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bccd.int\CHC\Casper_Home\mstrong\VP Adm Services\Budget\Allocation Model\2019-20 Allocation Model\"/>
    </mc:Choice>
  </mc:AlternateContent>
  <bookViews>
    <workbookView xWindow="0" yWindow="0" windowWidth="20520" windowHeight="10365" firstSheet="5" activeTab="12"/>
  </bookViews>
  <sheets>
    <sheet name="FTES Graphical Presentation" sheetId="98" r:id="rId1"/>
    <sheet name="SBCCD - FTES DISTRIBUTION" sheetId="106" r:id="rId2"/>
    <sheet name="SBCCD - Growth Comparison" sheetId="107" r:id="rId3"/>
    <sheet name="FTES Summary Comparison" sheetId="105" r:id="rId4"/>
    <sheet name="SBCCD - Growth Percents" sheetId="108" r:id="rId5"/>
    <sheet name="District Graph" sheetId="102" r:id="rId6"/>
    <sheet name="Valley Chart" sheetId="100" state="hidden" r:id="rId7"/>
    <sheet name="Crafton Chart" sheetId="101" state="hidden" r:id="rId8"/>
    <sheet name="FTES Calculations" sheetId="103" r:id="rId9"/>
    <sheet name="FTES Summary Page" sheetId="99" state="hidden" r:id="rId10"/>
    <sheet name="FTES Planning" sheetId="93" r:id="rId11"/>
    <sheet name="Summary" sheetId="91" r:id="rId12"/>
    <sheet name="Tentative" sheetId="92" r:id="rId13"/>
    <sheet name="SCFF" sheetId="114" r:id="rId14"/>
    <sheet name="Salary Increases 2" sheetId="94" r:id="rId15"/>
    <sheet name="Questica Tie-Out V2" sheetId="113" r:id="rId16"/>
    <sheet name="Questica Tie-out" sheetId="112" state="hidden" r:id="rId17"/>
    <sheet name="Sheet1" sheetId="104" state="hidden" r:id="rId18"/>
    <sheet name="Salary Step &amp; Column" sheetId="110" state="hidden" r:id="rId19"/>
    <sheet name="Percent Budget Add" sheetId="109" state="hidden" r:id="rId20"/>
  </sheets>
  <externalReferences>
    <externalReference r:id="rId21"/>
  </externalReferences>
  <definedNames>
    <definedName name="_xlnm.Print_Area" localSheetId="8">'FTES Calculations'!$A$1:$H$75</definedName>
    <definedName name="_xlnm.Print_Area" localSheetId="0">'FTES Graphical Presentation'!$A$1:$T$47</definedName>
    <definedName name="_xlnm.Print_Area" localSheetId="10">'FTES Planning'!$A$1:$J$84</definedName>
    <definedName name="_xlnm.Print_Area" localSheetId="3">'FTES Summary Comparison'!$A$1:$G$35</definedName>
    <definedName name="_xlnm.Print_Area" localSheetId="9">'FTES Summary Page'!$A$1:$J$45</definedName>
    <definedName name="_xlnm.Print_Area" localSheetId="11">Summary!$A$1:$M$36</definedName>
    <definedName name="_xlnm.Print_Area" localSheetId="12">Tentative!$A$1:$Z$89</definedName>
    <definedName name="_xlnm.Print_Titles" localSheetId="10">'FTES Planning'!$1:$8</definedName>
    <definedName name="_xlnm.Print_Titles" localSheetId="16">'Questica Tie-out'!$1:$3</definedName>
    <definedName name="_xlnm.Print_Titles" localSheetId="15">'Questica Tie-Out V2'!$1:$3</definedName>
    <definedName name="_xlnm.Print_Titles" localSheetId="12">Tentative!$A:$B,Tentative!$1:$2</definedName>
  </definedNames>
  <calcPr calcId="162913"/>
</workbook>
</file>

<file path=xl/calcChain.xml><?xml version="1.0" encoding="utf-8"?>
<calcChain xmlns="http://schemas.openxmlformats.org/spreadsheetml/2006/main">
  <c r="Z11" i="92" l="1"/>
  <c r="Z26" i="92" s="1"/>
  <c r="Z10" i="92"/>
  <c r="X9" i="92"/>
  <c r="W9" i="92"/>
  <c r="V10" i="92"/>
  <c r="V11" i="92" s="1"/>
  <c r="V26" i="92" s="1"/>
  <c r="T9" i="92"/>
  <c r="S9" i="92"/>
  <c r="R10" i="92"/>
  <c r="N10" i="92"/>
  <c r="N11" i="92" s="1"/>
  <c r="N26" i="92" s="1"/>
  <c r="J10" i="92"/>
  <c r="J11" i="92" s="1"/>
  <c r="J26" i="92" s="1"/>
  <c r="I7" i="92"/>
  <c r="R26" i="92"/>
  <c r="F26" i="92"/>
  <c r="R11" i="92"/>
  <c r="P9" i="92"/>
  <c r="O9" i="92"/>
  <c r="L9" i="92"/>
  <c r="K9" i="92"/>
  <c r="H9" i="92"/>
  <c r="G9" i="92"/>
  <c r="F30" i="92"/>
  <c r="F12" i="92"/>
  <c r="F16" i="92"/>
  <c r="D9" i="92"/>
  <c r="C9" i="92"/>
  <c r="F11" i="92"/>
  <c r="C6" i="92"/>
  <c r="D6" i="92"/>
  <c r="M67" i="92" l="1"/>
  <c r="I69" i="92"/>
  <c r="I67" i="92"/>
  <c r="C19" i="92"/>
  <c r="O108" i="92" l="1"/>
  <c r="S108" i="92" s="1"/>
  <c r="W108" i="92" s="1"/>
  <c r="W107" i="92"/>
  <c r="S107" i="92"/>
  <c r="O107" i="92"/>
  <c r="O105" i="92"/>
  <c r="S105" i="92" s="1"/>
  <c r="W105" i="92" s="1"/>
  <c r="X46" i="92" l="1"/>
  <c r="W46" i="92"/>
  <c r="T46" i="92"/>
  <c r="S46" i="92"/>
  <c r="P46" i="92"/>
  <c r="O46" i="92"/>
  <c r="N46" i="92"/>
  <c r="L46" i="92"/>
  <c r="K46" i="92"/>
  <c r="J46" i="92"/>
  <c r="D48" i="92" l="1"/>
  <c r="C48" i="92"/>
  <c r="F45" i="92" l="1"/>
  <c r="F81" i="92" l="1"/>
  <c r="J23" i="92" l="1"/>
  <c r="R48" i="92"/>
  <c r="V48" i="92" s="1"/>
  <c r="Z48" i="92" s="1"/>
  <c r="J42" i="92" l="1"/>
  <c r="F25" i="92"/>
  <c r="N23" i="92" l="1"/>
  <c r="R23" i="92" s="1"/>
  <c r="V23" i="92" s="1"/>
  <c r="Z23" i="92" s="1"/>
  <c r="K66" i="92" l="1"/>
  <c r="O66" i="92" s="1"/>
  <c r="S66" i="92" s="1"/>
  <c r="W66" i="92" s="1"/>
  <c r="K67" i="92"/>
  <c r="O67" i="92" s="1"/>
  <c r="S67" i="92" s="1"/>
  <c r="W67" i="92" s="1"/>
  <c r="K68" i="92"/>
  <c r="O68" i="92" s="1"/>
  <c r="S68" i="92" s="1"/>
  <c r="W68" i="92" s="1"/>
  <c r="M69" i="92"/>
  <c r="Q69" i="92" s="1"/>
  <c r="R44" i="92"/>
  <c r="R43" i="92"/>
  <c r="N42" i="92"/>
  <c r="N44" i="92"/>
  <c r="N41" i="92"/>
  <c r="V28" i="92"/>
  <c r="Z28" i="92" s="1"/>
  <c r="J17" i="92"/>
  <c r="J13" i="92"/>
  <c r="J7" i="92"/>
  <c r="R42" i="92" l="1"/>
  <c r="V44" i="92"/>
  <c r="V43" i="92"/>
  <c r="R41" i="92"/>
  <c r="V42" i="92"/>
  <c r="U69" i="92"/>
  <c r="R69" i="92"/>
  <c r="N69" i="92"/>
  <c r="Z44" i="92" l="1"/>
  <c r="Z43" i="92"/>
  <c r="V41" i="92"/>
  <c r="Z42" i="92"/>
  <c r="Y69" i="92"/>
  <c r="Z69" i="92" s="1"/>
  <c r="V69" i="92"/>
  <c r="Z41" i="92" l="1"/>
  <c r="J64" i="92" l="1"/>
  <c r="J65" i="92"/>
  <c r="J66" i="92"/>
  <c r="J67" i="92"/>
  <c r="J68" i="92"/>
  <c r="J69" i="92"/>
  <c r="J63" i="92"/>
  <c r="F52" i="92"/>
  <c r="W101" i="92"/>
  <c r="S101" i="92"/>
  <c r="S100" i="92"/>
  <c r="O101" i="92"/>
  <c r="O100" i="92"/>
  <c r="K101" i="92"/>
  <c r="K100" i="92"/>
  <c r="G101" i="92"/>
  <c r="G100" i="92"/>
  <c r="C101" i="92"/>
  <c r="C100" i="92"/>
  <c r="J71" i="92" l="1"/>
  <c r="F64" i="92"/>
  <c r="F65" i="92"/>
  <c r="F66" i="92"/>
  <c r="F67" i="92"/>
  <c r="F68" i="92"/>
  <c r="F69" i="92"/>
  <c r="F63" i="92"/>
  <c r="D54" i="92"/>
  <c r="C54" i="92"/>
  <c r="N45" i="92" l="1"/>
  <c r="F22" i="92"/>
  <c r="F14" i="92"/>
  <c r="R45" i="92" l="1"/>
  <c r="L10" i="114"/>
  <c r="L5" i="114"/>
  <c r="L4" i="114"/>
  <c r="V45" i="92" l="1"/>
  <c r="K10" i="114"/>
  <c r="K4" i="114"/>
  <c r="K5" i="114"/>
  <c r="J92" i="114"/>
  <c r="I92" i="114"/>
  <c r="H92" i="114"/>
  <c r="G92" i="114"/>
  <c r="J90" i="114"/>
  <c r="I90" i="114"/>
  <c r="H90" i="114"/>
  <c r="H91" i="114" s="1"/>
  <c r="J87" i="114"/>
  <c r="I87" i="114"/>
  <c r="G87" i="114"/>
  <c r="J85" i="114"/>
  <c r="I85" i="114"/>
  <c r="H85" i="114"/>
  <c r="H86" i="114" s="1"/>
  <c r="J82" i="114"/>
  <c r="I82" i="114"/>
  <c r="G82" i="114"/>
  <c r="J80" i="114"/>
  <c r="I80" i="114"/>
  <c r="H80" i="114"/>
  <c r="H81" i="114" s="1"/>
  <c r="J77" i="114"/>
  <c r="I77" i="114"/>
  <c r="G77" i="114"/>
  <c r="J75" i="114"/>
  <c r="I75" i="114"/>
  <c r="H75" i="114"/>
  <c r="H76" i="114" s="1"/>
  <c r="J72" i="114"/>
  <c r="I72" i="114"/>
  <c r="G72" i="114"/>
  <c r="J70" i="114"/>
  <c r="I70" i="114"/>
  <c r="H70" i="114"/>
  <c r="H71" i="114" s="1"/>
  <c r="J67" i="114"/>
  <c r="I67" i="114"/>
  <c r="F54" i="114"/>
  <c r="G90" i="114" s="1"/>
  <c r="F48" i="114"/>
  <c r="F42" i="114"/>
  <c r="F36" i="114"/>
  <c r="F30" i="114"/>
  <c r="J10" i="114"/>
  <c r="I10" i="114"/>
  <c r="H10" i="114"/>
  <c r="F10" i="114"/>
  <c r="G10" i="114"/>
  <c r="D9" i="114"/>
  <c r="E10" i="114" s="1"/>
  <c r="J4" i="114"/>
  <c r="I4" i="114"/>
  <c r="G4" i="114"/>
  <c r="B3" i="114"/>
  <c r="A3" i="114"/>
  <c r="G91" i="114" l="1"/>
  <c r="G93" i="114" s="1"/>
  <c r="Z45" i="92"/>
  <c r="I71" i="114"/>
  <c r="I73" i="114" s="1"/>
  <c r="J76" i="114"/>
  <c r="J78" i="114" s="1"/>
  <c r="J71" i="114"/>
  <c r="J31" i="114" s="1"/>
  <c r="J32" i="114" s="1"/>
  <c r="I76" i="114"/>
  <c r="I78" i="114" s="1"/>
  <c r="J81" i="114"/>
  <c r="J83" i="114" s="1"/>
  <c r="I91" i="114"/>
  <c r="I93" i="114" s="1"/>
  <c r="I86" i="114"/>
  <c r="I88" i="114" s="1"/>
  <c r="J91" i="114"/>
  <c r="J55" i="114" s="1"/>
  <c r="J56" i="114" s="1"/>
  <c r="I81" i="114"/>
  <c r="I43" i="114" s="1"/>
  <c r="I44" i="114" s="1"/>
  <c r="J86" i="114"/>
  <c r="J49" i="114" s="1"/>
  <c r="J50" i="114" s="1"/>
  <c r="H93" i="114"/>
  <c r="H55" i="114"/>
  <c r="H56" i="114" s="1"/>
  <c r="H88" i="114"/>
  <c r="H49" i="114"/>
  <c r="H50" i="114" s="1"/>
  <c r="H83" i="114"/>
  <c r="H43" i="114"/>
  <c r="H44" i="114" s="1"/>
  <c r="H73" i="114"/>
  <c r="H31" i="114"/>
  <c r="H32" i="114" s="1"/>
  <c r="H78" i="114"/>
  <c r="H37" i="114"/>
  <c r="H38" i="114" s="1"/>
  <c r="G70" i="114"/>
  <c r="G71" i="114" s="1"/>
  <c r="G75" i="114"/>
  <c r="G76" i="114" s="1"/>
  <c r="G80" i="114"/>
  <c r="G81" i="114" s="1"/>
  <c r="G85" i="114"/>
  <c r="G86" i="114" s="1"/>
  <c r="J88" i="114" l="1"/>
  <c r="J37" i="114"/>
  <c r="J38" i="114" s="1"/>
  <c r="J39" i="114" s="1"/>
  <c r="G55" i="114"/>
  <c r="G56" i="114" s="1"/>
  <c r="G57" i="114" s="1"/>
  <c r="I31" i="114"/>
  <c r="I32" i="114" s="1"/>
  <c r="I33" i="114" s="1"/>
  <c r="I55" i="114"/>
  <c r="I56" i="114" s="1"/>
  <c r="I57" i="114" s="1"/>
  <c r="I49" i="114"/>
  <c r="I50" i="114" s="1"/>
  <c r="I51" i="114" s="1"/>
  <c r="J73" i="114"/>
  <c r="J43" i="114"/>
  <c r="J44" i="114" s="1"/>
  <c r="J46" i="114" s="1"/>
  <c r="I37" i="114"/>
  <c r="I38" i="114" s="1"/>
  <c r="I40" i="114" s="1"/>
  <c r="J93" i="114"/>
  <c r="I83" i="114"/>
  <c r="G78" i="114"/>
  <c r="G37" i="114"/>
  <c r="G38" i="114" s="1"/>
  <c r="G73" i="114"/>
  <c r="G31" i="114"/>
  <c r="G32" i="114" s="1"/>
  <c r="H39" i="114"/>
  <c r="H40" i="114"/>
  <c r="H46" i="114"/>
  <c r="H45" i="114"/>
  <c r="J34" i="114"/>
  <c r="J33" i="114"/>
  <c r="G83" i="114"/>
  <c r="G43" i="114"/>
  <c r="G44" i="114" s="1"/>
  <c r="H33" i="114"/>
  <c r="H34" i="114"/>
  <c r="J51" i="114"/>
  <c r="J52" i="114"/>
  <c r="H51" i="114"/>
  <c r="H52" i="114"/>
  <c r="H57" i="114"/>
  <c r="H58" i="114"/>
  <c r="I45" i="114"/>
  <c r="I46" i="114"/>
  <c r="G88" i="114"/>
  <c r="G49" i="114"/>
  <c r="G50" i="114" s="1"/>
  <c r="J57" i="114"/>
  <c r="J58" i="114"/>
  <c r="G58" i="114" l="1"/>
  <c r="J40" i="114"/>
  <c r="I34" i="114"/>
  <c r="I58" i="114"/>
  <c r="I39" i="114"/>
  <c r="I52" i="114"/>
  <c r="J45" i="114"/>
  <c r="G52" i="114"/>
  <c r="G51" i="114"/>
  <c r="G45" i="114"/>
  <c r="G46" i="114"/>
  <c r="G39" i="114"/>
  <c r="G40" i="114"/>
  <c r="G34" i="114"/>
  <c r="G33" i="114"/>
  <c r="G23" i="114"/>
  <c r="G61" i="114" l="1"/>
  <c r="G21" i="114"/>
  <c r="G24" i="114" s="1"/>
  <c r="G18" i="114" l="1"/>
  <c r="G65" i="114" l="1"/>
  <c r="G66" i="114" s="1"/>
  <c r="G68" i="114" s="1"/>
  <c r="G60" i="114" s="1"/>
  <c r="G62" i="114" s="1"/>
  <c r="G5" i="114" s="1"/>
  <c r="G25" i="114"/>
  <c r="H21" i="114"/>
  <c r="H18" i="114" l="1"/>
  <c r="G22" i="114" s="1"/>
  <c r="H22" i="114" l="1"/>
  <c r="H23" i="114" s="1"/>
  <c r="H19" i="114"/>
  <c r="H65" i="114"/>
  <c r="H66" i="114" s="1"/>
  <c r="H68" i="114" s="1"/>
  <c r="H60" i="114" s="1"/>
  <c r="H25" i="114" l="1"/>
  <c r="H26" i="114" s="1"/>
  <c r="H61" i="114"/>
  <c r="H62" i="114" s="1"/>
  <c r="H5" i="114" s="1"/>
  <c r="H24" i="114"/>
  <c r="I21" i="114" l="1"/>
  <c r="I18" i="114" l="1"/>
  <c r="I19" i="114" l="1"/>
  <c r="I65" i="114"/>
  <c r="I66" i="114" s="1"/>
  <c r="I68" i="114" s="1"/>
  <c r="I60" i="114" s="1"/>
  <c r="I22" i="114"/>
  <c r="I23" i="114" s="1"/>
  <c r="I61" i="114" l="1"/>
  <c r="I62" i="114" s="1"/>
  <c r="I5" i="114" s="1"/>
  <c r="K17" i="114"/>
  <c r="I24" i="114"/>
  <c r="I25" i="114"/>
  <c r="I26" i="114" s="1"/>
  <c r="J21" i="114" l="1"/>
  <c r="J18" i="114" l="1"/>
  <c r="J65" i="114" s="1"/>
  <c r="J66" i="114" s="1"/>
  <c r="J68" i="114" s="1"/>
  <c r="J60" i="114" s="1"/>
  <c r="J19" i="114" l="1"/>
  <c r="J22" i="114"/>
  <c r="J23" i="114" s="1"/>
  <c r="K16" i="114" s="1"/>
  <c r="L17" i="114" s="1"/>
  <c r="J24" i="114" l="1"/>
  <c r="J25" i="114"/>
  <c r="J26" i="114" s="1"/>
  <c r="K11" i="114"/>
  <c r="J61" i="114"/>
  <c r="J62" i="114" s="1"/>
  <c r="J5" i="114" s="1"/>
  <c r="K12" i="114" l="1"/>
  <c r="K15" i="114" l="1"/>
  <c r="K18" i="114" s="1"/>
  <c r="K21" i="114"/>
  <c r="K19" i="114" l="1"/>
  <c r="K22" i="114"/>
  <c r="K23" i="114" s="1"/>
  <c r="L16" i="114" l="1"/>
  <c r="L11" i="114"/>
  <c r="L12" i="114" s="1"/>
  <c r="K25" i="114"/>
  <c r="K26" i="114" s="1"/>
  <c r="K24" i="114"/>
  <c r="L15" i="114" l="1"/>
  <c r="L18" i="114" s="1"/>
  <c r="L21" i="114"/>
  <c r="Z60" i="92"/>
  <c r="Z59" i="92"/>
  <c r="Z58" i="92"/>
  <c r="Z57" i="92"/>
  <c r="Z56" i="92"/>
  <c r="Z55" i="92"/>
  <c r="Y49" i="92"/>
  <c r="Z34" i="92"/>
  <c r="Z33" i="92"/>
  <c r="Z32" i="92"/>
  <c r="V60" i="92"/>
  <c r="V59" i="92"/>
  <c r="V58" i="92"/>
  <c r="V57" i="92"/>
  <c r="V56" i="92"/>
  <c r="V55" i="92"/>
  <c r="U49" i="92"/>
  <c r="V34" i="92"/>
  <c r="V33" i="92"/>
  <c r="V32" i="92"/>
  <c r="R60" i="92"/>
  <c r="R59" i="92"/>
  <c r="R58" i="92"/>
  <c r="R57" i="92"/>
  <c r="R56" i="92"/>
  <c r="R55" i="92"/>
  <c r="Q49" i="92"/>
  <c r="R34" i="92"/>
  <c r="R33" i="92"/>
  <c r="R32" i="92"/>
  <c r="N60" i="92"/>
  <c r="N59" i="92"/>
  <c r="N58" i="92"/>
  <c r="N57" i="92"/>
  <c r="N56" i="92"/>
  <c r="N55" i="92"/>
  <c r="M49" i="92"/>
  <c r="N34" i="92"/>
  <c r="N33" i="92"/>
  <c r="N32" i="92"/>
  <c r="L19" i="114" l="1"/>
  <c r="L22" i="114"/>
  <c r="L23" i="114" s="1"/>
  <c r="L24" i="114" s="1"/>
  <c r="F21" i="94"/>
  <c r="F18" i="94"/>
  <c r="F12" i="94"/>
  <c r="E19" i="94"/>
  <c r="D19" i="94" s="1"/>
  <c r="D21" i="94" s="1"/>
  <c r="K129" i="92"/>
  <c r="E128" i="92"/>
  <c r="L25" i="114" l="1"/>
  <c r="L26" i="114" s="1"/>
  <c r="E21" i="94"/>
  <c r="E130" i="92"/>
  <c r="F129" i="92"/>
  <c r="E17" i="94"/>
  <c r="E18" i="94" s="1"/>
  <c r="E11" i="94"/>
  <c r="E12" i="94" s="1"/>
  <c r="D17" i="94"/>
  <c r="D18" i="94" s="1"/>
  <c r="D11" i="94"/>
  <c r="D12" i="94" s="1"/>
  <c r="A10" i="94"/>
  <c r="A16" i="94"/>
  <c r="A19" i="94" s="1"/>
  <c r="F14" i="94"/>
  <c r="F15" i="94" s="1"/>
  <c r="E14" i="94"/>
  <c r="E15" i="94" s="1"/>
  <c r="D14" i="94"/>
  <c r="D15" i="94" s="1"/>
  <c r="J78" i="92" l="1"/>
  <c r="J104" i="92" l="1"/>
  <c r="O129" i="92" l="1"/>
  <c r="J24" i="99"/>
  <c r="J35" i="99" s="1"/>
  <c r="E19" i="103"/>
  <c r="F19" i="103"/>
  <c r="G18" i="103"/>
  <c r="G19" i="103" s="1"/>
  <c r="F7" i="103"/>
  <c r="F29" i="103" s="1"/>
  <c r="E7" i="103"/>
  <c r="E29" i="103" s="1"/>
  <c r="S129" i="92" l="1"/>
  <c r="D11" i="103"/>
  <c r="D12" i="103" s="1"/>
  <c r="D13" i="103" s="1"/>
  <c r="D14" i="103" s="1"/>
  <c r="C11" i="103"/>
  <c r="C12" i="103" s="1"/>
  <c r="C13" i="103" s="1"/>
  <c r="C14" i="103" s="1"/>
  <c r="D127" i="92"/>
  <c r="C127" i="92"/>
  <c r="W129" i="92" l="1"/>
  <c r="C128" i="92"/>
  <c r="C132" i="92" s="1"/>
  <c r="D128" i="92"/>
  <c r="D130" i="92" s="1"/>
  <c r="C130" i="92" l="1"/>
  <c r="F33" i="92"/>
  <c r="F34" i="92"/>
  <c r="F35" i="92"/>
  <c r="F36" i="92"/>
  <c r="N37" i="92"/>
  <c r="R37" i="92" s="1"/>
  <c r="V37" i="92" s="1"/>
  <c r="Z37" i="92" s="1"/>
  <c r="E30" i="92"/>
  <c r="E38" i="92" s="1"/>
  <c r="F32" i="92"/>
  <c r="E55" i="92"/>
  <c r="F55" i="92" s="1"/>
  <c r="F70" i="92"/>
  <c r="F71" i="92" s="1"/>
  <c r="F97" i="92" s="1"/>
  <c r="C71" i="92"/>
  <c r="D71" i="92"/>
  <c r="D72" i="92" s="1"/>
  <c r="E71" i="92"/>
  <c r="F73" i="92"/>
  <c r="J32" i="92"/>
  <c r="J34" i="92"/>
  <c r="J55" i="92"/>
  <c r="J70" i="92"/>
  <c r="J73" i="92"/>
  <c r="J80" i="92"/>
  <c r="J82" i="92"/>
  <c r="J97" i="92" s="1"/>
  <c r="D100" i="92"/>
  <c r="E100" i="92" s="1"/>
  <c r="F100" i="92" s="1"/>
  <c r="G108" i="92"/>
  <c r="H108" i="92" s="1"/>
  <c r="I108" i="92" s="1"/>
  <c r="J108" i="92" s="1"/>
  <c r="D101" i="92"/>
  <c r="E101" i="92" s="1"/>
  <c r="F101" i="92" s="1"/>
  <c r="H101" i="92"/>
  <c r="I101" i="92" s="1"/>
  <c r="J101" i="92" s="1"/>
  <c r="F104" i="92"/>
  <c r="D105" i="92"/>
  <c r="E105" i="92" s="1"/>
  <c r="F105" i="92" s="1"/>
  <c r="H105" i="92"/>
  <c r="D106" i="92"/>
  <c r="E106" i="92" s="1"/>
  <c r="F106" i="92" s="1"/>
  <c r="H106" i="92"/>
  <c r="D107" i="92"/>
  <c r="E107" i="92" s="1"/>
  <c r="F107" i="92" s="1"/>
  <c r="H107" i="92"/>
  <c r="E111" i="92"/>
  <c r="I111" i="92"/>
  <c r="F112" i="92"/>
  <c r="G112" i="92"/>
  <c r="H112" i="92"/>
  <c r="K12" i="94"/>
  <c r="P105" i="92"/>
  <c r="Q105" i="92" s="1"/>
  <c r="R105" i="92" s="1"/>
  <c r="P106" i="92"/>
  <c r="Q106" i="92" s="1"/>
  <c r="R106" i="92" s="1"/>
  <c r="P107" i="92"/>
  <c r="Q107" i="92" s="1"/>
  <c r="R107" i="92" s="1"/>
  <c r="C72" i="92" l="1"/>
  <c r="E53" i="92"/>
  <c r="E72" i="92"/>
  <c r="I112" i="92"/>
  <c r="J112" i="92" s="1"/>
  <c r="I106" i="92"/>
  <c r="I107" i="92"/>
  <c r="I105" i="92"/>
  <c r="H100" i="92"/>
  <c r="D108" i="92"/>
  <c r="E108" i="92" s="1"/>
  <c r="F108" i="92" s="1"/>
  <c r="C53" i="92" l="1"/>
  <c r="D53" i="92"/>
  <c r="J105" i="92"/>
  <c r="J107" i="92"/>
  <c r="J106" i="92"/>
  <c r="I100" i="92"/>
  <c r="J100" i="92" s="1"/>
  <c r="J24" i="92" s="1"/>
  <c r="C59" i="92"/>
  <c r="E96" i="92"/>
  <c r="D59" i="92" l="1"/>
  <c r="F59" i="92" s="1"/>
  <c r="D30" i="92"/>
  <c r="C97" i="92"/>
  <c r="D97" i="92" l="1"/>
  <c r="C30" i="92"/>
  <c r="C38" i="92" s="1"/>
  <c r="D38" i="92"/>
  <c r="E87" i="92" l="1"/>
  <c r="E97" i="92"/>
  <c r="C87" i="92" l="1"/>
  <c r="O141" i="92" l="1"/>
  <c r="A22" i="94" l="1"/>
  <c r="A25" i="94" s="1"/>
  <c r="A28" i="94" s="1"/>
  <c r="M65" i="113" l="1"/>
  <c r="L65" i="113"/>
  <c r="N104" i="92" l="1"/>
  <c r="M70" i="112" l="1"/>
  <c r="L70" i="112"/>
  <c r="T105" i="92" l="1"/>
  <c r="D22" i="91"/>
  <c r="B22" i="91"/>
  <c r="Z175" i="92"/>
  <c r="V175" i="92"/>
  <c r="R175" i="92"/>
  <c r="N175" i="92"/>
  <c r="P10" i="103" l="1"/>
  <c r="B23" i="91" l="1"/>
  <c r="D24" i="91"/>
  <c r="D23" i="91" l="1"/>
  <c r="Y154" i="92" l="1"/>
  <c r="Y155" i="92" s="1"/>
  <c r="X154" i="92"/>
  <c r="W154" i="92"/>
  <c r="U154" i="92"/>
  <c r="T154" i="92"/>
  <c r="S154" i="92"/>
  <c r="Q154" i="92"/>
  <c r="P154" i="92"/>
  <c r="O154" i="92"/>
  <c r="M154" i="92"/>
  <c r="M155" i="92" s="1"/>
  <c r="L154" i="92"/>
  <c r="L155" i="92" s="1"/>
  <c r="K154" i="92"/>
  <c r="K155" i="92" s="1"/>
  <c r="E154" i="92"/>
  <c r="D154" i="92"/>
  <c r="C154" i="92"/>
  <c r="V154" i="92" l="1"/>
  <c r="Z154" i="92"/>
  <c r="R154" i="92"/>
  <c r="F154" i="92"/>
  <c r="M156" i="92"/>
  <c r="S155" i="92"/>
  <c r="S156" i="92" s="1"/>
  <c r="Y156" i="92"/>
  <c r="D155" i="92"/>
  <c r="D156" i="92" s="1"/>
  <c r="E155" i="92"/>
  <c r="E156" i="92" s="1"/>
  <c r="X155" i="92"/>
  <c r="X156" i="92" s="1"/>
  <c r="N154" i="92"/>
  <c r="N155" i="92"/>
  <c r="L156" i="92"/>
  <c r="W155" i="92"/>
  <c r="C155" i="92"/>
  <c r="W156" i="92"/>
  <c r="T155" i="92"/>
  <c r="T156" i="92" s="1"/>
  <c r="U155" i="92"/>
  <c r="U156" i="92" s="1"/>
  <c r="O155" i="92"/>
  <c r="O156" i="92" s="1"/>
  <c r="P155" i="92"/>
  <c r="P156" i="92" s="1"/>
  <c r="Q155" i="92"/>
  <c r="Q156" i="92" s="1"/>
  <c r="K156" i="92"/>
  <c r="N156" i="92" l="1"/>
  <c r="F155" i="92"/>
  <c r="F156" i="92" s="1"/>
  <c r="Z155" i="92"/>
  <c r="Z156" i="92" s="1"/>
  <c r="C156" i="92"/>
  <c r="V155" i="92"/>
  <c r="V156" i="92" s="1"/>
  <c r="R155" i="92"/>
  <c r="R156" i="92" s="1"/>
  <c r="I154" i="92"/>
  <c r="H154" i="92"/>
  <c r="H155" i="92" s="1"/>
  <c r="G154" i="92"/>
  <c r="G155" i="92" s="1"/>
  <c r="H156" i="92" l="1"/>
  <c r="I155" i="92"/>
  <c r="I156" i="92" s="1"/>
  <c r="J154" i="92"/>
  <c r="G156" i="92"/>
  <c r="J155" i="92" l="1"/>
  <c r="J156" i="92" s="1"/>
  <c r="B6" i="110"/>
  <c r="C6" i="110"/>
  <c r="D6" i="110"/>
  <c r="E6" i="110"/>
  <c r="E11" i="110" s="1"/>
  <c r="C8" i="110"/>
  <c r="D8" i="110"/>
  <c r="E8" i="110"/>
  <c r="C9" i="110"/>
  <c r="D9" i="110"/>
  <c r="E9" i="110"/>
  <c r="C10" i="110"/>
  <c r="D10" i="110"/>
  <c r="E10" i="110"/>
  <c r="C11" i="110"/>
  <c r="D11" i="110"/>
  <c r="D161" i="92" l="1"/>
  <c r="E161" i="92"/>
  <c r="C161" i="92"/>
  <c r="X141" i="92"/>
  <c r="X144" i="92" s="1"/>
  <c r="W141" i="92"/>
  <c r="W144" i="92" s="1"/>
  <c r="T141" i="92"/>
  <c r="T144" i="92" s="1"/>
  <c r="S141" i="92"/>
  <c r="S144" i="92" s="1"/>
  <c r="P141" i="92"/>
  <c r="P144" i="92" s="1"/>
  <c r="O144" i="92"/>
  <c r="L141" i="92"/>
  <c r="L142" i="92" s="1"/>
  <c r="K141" i="92"/>
  <c r="K142" i="92" s="1"/>
  <c r="T142" i="92" l="1"/>
  <c r="T145" i="92" s="1"/>
  <c r="S142" i="92"/>
  <c r="S145" i="92" s="1"/>
  <c r="K144" i="92"/>
  <c r="K145" i="92" s="1"/>
  <c r="L144" i="92"/>
  <c r="L145" i="92" s="1"/>
  <c r="O142" i="92"/>
  <c r="O145" i="92" s="1"/>
  <c r="P142" i="92"/>
  <c r="P145" i="92" s="1"/>
  <c r="X142" i="92"/>
  <c r="X145" i="92" s="1"/>
  <c r="W142" i="92"/>
  <c r="W145" i="92" s="1"/>
  <c r="F22" i="91" l="1"/>
  <c r="H22" i="91" l="1"/>
  <c r="J22" i="91" l="1"/>
  <c r="L22" i="91" l="1"/>
  <c r="L101" i="92"/>
  <c r="M101" i="92" s="1"/>
  <c r="N101" i="92" s="1"/>
  <c r="E58" i="93"/>
  <c r="F58" i="93" s="1"/>
  <c r="G58" i="93" l="1"/>
  <c r="I57" i="93"/>
  <c r="P101" i="92" l="1"/>
  <c r="Q101" i="92" s="1"/>
  <c r="R101" i="92" s="1"/>
  <c r="J57" i="93"/>
  <c r="X101" i="92" l="1"/>
  <c r="Y101" i="92" s="1"/>
  <c r="Z101" i="92" s="1"/>
  <c r="T101" i="92"/>
  <c r="U101" i="92" s="1"/>
  <c r="V101" i="92" s="1"/>
  <c r="J33" i="92"/>
  <c r="B24" i="109"/>
  <c r="G24" i="109" s="1"/>
  <c r="L24" i="109" s="1"/>
  <c r="H23" i="109"/>
  <c r="M23" i="109" s="1"/>
  <c r="G23" i="109"/>
  <c r="L23" i="109" s="1"/>
  <c r="F23" i="109"/>
  <c r="H22" i="109"/>
  <c r="M22" i="109" s="1"/>
  <c r="G22" i="109"/>
  <c r="L22" i="109" s="1"/>
  <c r="F22" i="109"/>
  <c r="K22" i="109" s="1"/>
  <c r="H21" i="109"/>
  <c r="M21" i="109" s="1"/>
  <c r="G21" i="109"/>
  <c r="L21" i="109" s="1"/>
  <c r="F21" i="109"/>
  <c r="H20" i="109"/>
  <c r="M20" i="109" s="1"/>
  <c r="G20" i="109"/>
  <c r="L20" i="109" s="1"/>
  <c r="F20" i="109"/>
  <c r="H14" i="109"/>
  <c r="H17" i="109" s="1"/>
  <c r="G14" i="109"/>
  <c r="G17" i="109" s="1"/>
  <c r="F14" i="109"/>
  <c r="F17" i="109" s="1"/>
  <c r="D14" i="109"/>
  <c r="D17" i="109" s="1"/>
  <c r="C14" i="109"/>
  <c r="C17" i="109" s="1"/>
  <c r="B14" i="109"/>
  <c r="B17" i="109" s="1"/>
  <c r="M12" i="109"/>
  <c r="K12" i="109"/>
  <c r="I12" i="109"/>
  <c r="E12" i="109"/>
  <c r="M11" i="109"/>
  <c r="L11" i="109"/>
  <c r="K11" i="109"/>
  <c r="I11" i="109"/>
  <c r="E11" i="109"/>
  <c r="M10" i="109"/>
  <c r="L10" i="109"/>
  <c r="K10" i="109"/>
  <c r="I10" i="109"/>
  <c r="E10" i="109"/>
  <c r="M9" i="109"/>
  <c r="L9" i="109"/>
  <c r="K9" i="109"/>
  <c r="I9" i="109"/>
  <c r="E9" i="109"/>
  <c r="M8" i="109"/>
  <c r="L8" i="109"/>
  <c r="K8" i="109"/>
  <c r="I8" i="109"/>
  <c r="E8" i="109"/>
  <c r="M7" i="109"/>
  <c r="L7" i="109"/>
  <c r="K7" i="109"/>
  <c r="I7" i="109"/>
  <c r="E7" i="109"/>
  <c r="M6" i="109"/>
  <c r="L6" i="109"/>
  <c r="K6" i="109"/>
  <c r="I6" i="109"/>
  <c r="E6" i="109"/>
  <c r="I4" i="109"/>
  <c r="E4" i="109"/>
  <c r="N6" i="109" l="1"/>
  <c r="N7" i="109"/>
  <c r="I23" i="109"/>
  <c r="N9" i="109"/>
  <c r="N23" i="109"/>
  <c r="N10" i="109"/>
  <c r="N8" i="109"/>
  <c r="N11" i="109"/>
  <c r="E14" i="109"/>
  <c r="E17" i="109" s="1"/>
  <c r="I21" i="109"/>
  <c r="N21" i="109" s="1"/>
  <c r="N12" i="109"/>
  <c r="B25" i="109"/>
  <c r="I20" i="109"/>
  <c r="I22" i="109"/>
  <c r="N22" i="109" s="1"/>
  <c r="K14" i="109"/>
  <c r="K20" i="109"/>
  <c r="K21" i="109"/>
  <c r="K23" i="109"/>
  <c r="L14" i="109"/>
  <c r="I14" i="109"/>
  <c r="H24" i="109"/>
  <c r="M24" i="109" s="1"/>
  <c r="M14" i="109"/>
  <c r="F24" i="109"/>
  <c r="N14" i="109" l="1"/>
  <c r="I17" i="109"/>
  <c r="K24" i="109"/>
  <c r="I24" i="109"/>
  <c r="N24" i="109" s="1"/>
  <c r="N20" i="109"/>
  <c r="B26" i="109"/>
  <c r="F25" i="109"/>
  <c r="H25" i="109"/>
  <c r="M25" i="109" s="1"/>
  <c r="G25" i="109"/>
  <c r="L25" i="109" l="1"/>
  <c r="K25" i="109"/>
  <c r="I25" i="109"/>
  <c r="N25" i="109" s="1"/>
  <c r="F26" i="109"/>
  <c r="H26" i="109"/>
  <c r="M26" i="109" s="1"/>
  <c r="G26" i="109"/>
  <c r="G28" i="109" s="1"/>
  <c r="F28" i="109"/>
  <c r="F30" i="109" l="1"/>
  <c r="K28" i="109"/>
  <c r="F35" i="109"/>
  <c r="F33" i="109"/>
  <c r="K26" i="109"/>
  <c r="I26" i="109"/>
  <c r="H28" i="109"/>
  <c r="G35" i="109"/>
  <c r="G33" i="109"/>
  <c r="L28" i="109"/>
  <c r="G30" i="109"/>
  <c r="N26" i="109" l="1"/>
  <c r="I28" i="109"/>
  <c r="H35" i="109"/>
  <c r="H33" i="109"/>
  <c r="M28" i="109"/>
  <c r="H30" i="109"/>
  <c r="I35" i="109" l="1"/>
  <c r="N28" i="109"/>
  <c r="I30" i="109"/>
  <c r="J4" i="104"/>
  <c r="L3" i="104"/>
  <c r="L4" i="104"/>
  <c r="L5" i="104"/>
  <c r="L6" i="104"/>
  <c r="L7" i="104"/>
  <c r="L8" i="104"/>
  <c r="L9" i="104"/>
  <c r="A8" i="94"/>
  <c r="A9" i="94" s="1"/>
  <c r="J3" i="104" l="1"/>
  <c r="J9" i="104"/>
  <c r="J8" i="104"/>
  <c r="J7" i="104"/>
  <c r="J6" i="104"/>
  <c r="J5" i="104"/>
  <c r="O9" i="103" l="1"/>
  <c r="P9" i="103"/>
  <c r="P8" i="103"/>
  <c r="D8" i="103" s="1"/>
  <c r="O8" i="103"/>
  <c r="C8" i="103" s="1"/>
  <c r="M7" i="103"/>
  <c r="F41" i="103" l="1"/>
  <c r="O10" i="103"/>
  <c r="M9" i="103"/>
  <c r="M8" i="103"/>
  <c r="Q8" i="103" s="1"/>
  <c r="Q9" i="103" l="1"/>
  <c r="M10" i="103"/>
  <c r="Q10" i="103" s="1"/>
  <c r="M11" i="103" l="1"/>
  <c r="M12" i="103" l="1"/>
  <c r="M14" i="103" l="1"/>
  <c r="M13" i="103"/>
  <c r="H141" i="92" l="1"/>
  <c r="H144" i="92" s="1"/>
  <c r="G141" i="92"/>
  <c r="G144" i="92" s="1"/>
  <c r="Y145" i="92"/>
  <c r="U145" i="92"/>
  <c r="Q145" i="92"/>
  <c r="M145" i="92"/>
  <c r="I145" i="92"/>
  <c r="E145" i="92"/>
  <c r="Z143" i="92"/>
  <c r="V143" i="92"/>
  <c r="R143" i="92"/>
  <c r="N143" i="92"/>
  <c r="J143" i="92"/>
  <c r="F143" i="92"/>
  <c r="D142" i="92"/>
  <c r="D144" i="92" s="1"/>
  <c r="C142" i="92"/>
  <c r="N142" i="92" l="1"/>
  <c r="F142" i="92"/>
  <c r="G142" i="92"/>
  <c r="G145" i="92" s="1"/>
  <c r="H142" i="92"/>
  <c r="J144" i="92"/>
  <c r="V144" i="92"/>
  <c r="Z142" i="92"/>
  <c r="D145" i="92"/>
  <c r="C144" i="92"/>
  <c r="F144" i="92" s="1"/>
  <c r="R142" i="92"/>
  <c r="V142" i="92"/>
  <c r="F145" i="92" l="1"/>
  <c r="J142" i="92"/>
  <c r="J145" i="92" s="1"/>
  <c r="H145" i="92"/>
  <c r="C145" i="92"/>
  <c r="N144" i="92"/>
  <c r="N145" i="92" s="1"/>
  <c r="Z144" i="92"/>
  <c r="Z145" i="92" s="1"/>
  <c r="R144" i="92"/>
  <c r="R145" i="92" s="1"/>
  <c r="V145" i="92"/>
  <c r="L135" i="92" l="1"/>
  <c r="K135" i="92"/>
  <c r="Y138" i="92"/>
  <c r="Y147" i="92" s="1"/>
  <c r="Z136" i="92"/>
  <c r="U138" i="92"/>
  <c r="U147" i="92" s="1"/>
  <c r="V136" i="92"/>
  <c r="Q138" i="92"/>
  <c r="Q147" i="92" s="1"/>
  <c r="R136" i="92"/>
  <c r="M138" i="92"/>
  <c r="M147" i="92" s="1"/>
  <c r="N136" i="92"/>
  <c r="I138" i="92"/>
  <c r="I147" i="92" s="1"/>
  <c r="J136" i="92"/>
  <c r="H135" i="92"/>
  <c r="H137" i="92" s="1"/>
  <c r="G135" i="92"/>
  <c r="G137" i="92" s="1"/>
  <c r="D135" i="92"/>
  <c r="K137" i="92" l="1"/>
  <c r="L137" i="92"/>
  <c r="D137" i="92"/>
  <c r="N135" i="92"/>
  <c r="J135" i="92"/>
  <c r="L138" i="92" l="1"/>
  <c r="L147" i="92" s="1"/>
  <c r="G138" i="92"/>
  <c r="G147" i="92" s="1"/>
  <c r="N137" i="92"/>
  <c r="N138" i="92" s="1"/>
  <c r="N147" i="92" s="1"/>
  <c r="P135" i="92"/>
  <c r="P137" i="92" s="1"/>
  <c r="O135" i="92"/>
  <c r="O137" i="92" s="1"/>
  <c r="J137" i="92"/>
  <c r="J138" i="92" s="1"/>
  <c r="J147" i="92" s="1"/>
  <c r="K138" i="92"/>
  <c r="K147" i="92" s="1"/>
  <c r="H138" i="92"/>
  <c r="H147" i="92" s="1"/>
  <c r="T135" i="92" l="1"/>
  <c r="X135" i="92"/>
  <c r="P138" i="92"/>
  <c r="P147" i="92" s="1"/>
  <c r="S135" i="92"/>
  <c r="S137" i="92" s="1"/>
  <c r="W135" i="92"/>
  <c r="W137" i="92" s="1"/>
  <c r="R135" i="92"/>
  <c r="C135" i="92"/>
  <c r="T137" i="92" l="1"/>
  <c r="T138" i="92" s="1"/>
  <c r="T147" i="92" s="1"/>
  <c r="X137" i="92"/>
  <c r="X138" i="92" s="1"/>
  <c r="X147" i="92" s="1"/>
  <c r="C137" i="92"/>
  <c r="C138" i="92" s="1"/>
  <c r="O138" i="92"/>
  <c r="O147" i="92" s="1"/>
  <c r="R137" i="92"/>
  <c r="R138" i="92" s="1"/>
  <c r="R147" i="92" s="1"/>
  <c r="V135" i="92"/>
  <c r="Z135" i="92"/>
  <c r="E138" i="92"/>
  <c r="D138" i="92"/>
  <c r="F136" i="92"/>
  <c r="F135" i="92"/>
  <c r="V137" i="92" l="1"/>
  <c r="V138" i="92" s="1"/>
  <c r="V147" i="92" s="1"/>
  <c r="Z137" i="92"/>
  <c r="Z138" i="92" s="1"/>
  <c r="Z147" i="92" s="1"/>
  <c r="F137" i="92"/>
  <c r="F138" i="92" s="1"/>
  <c r="S138" i="92"/>
  <c r="S147" i="92" s="1"/>
  <c r="W138" i="92"/>
  <c r="W147" i="92" s="1"/>
  <c r="B24" i="91" l="1"/>
  <c r="P13" i="104"/>
  <c r="N13" i="104" l="1"/>
  <c r="J1" i="93" l="1"/>
  <c r="G19" i="105" l="1"/>
  <c r="G20" i="105"/>
  <c r="G21" i="105"/>
  <c r="G8" i="105"/>
  <c r="G9" i="105"/>
  <c r="G10" i="105"/>
  <c r="M24" i="105" l="1"/>
  <c r="N24" i="105" s="1"/>
  <c r="M23" i="105"/>
  <c r="M21" i="105"/>
  <c r="M20" i="105"/>
  <c r="M19" i="105"/>
  <c r="M18" i="105"/>
  <c r="N18" i="105" s="1"/>
  <c r="M17" i="105"/>
  <c r="L35" i="105"/>
  <c r="M13" i="105"/>
  <c r="J35" i="105"/>
  <c r="L34" i="105"/>
  <c r="K34" i="105"/>
  <c r="J34" i="105"/>
  <c r="M11" i="105"/>
  <c r="J33" i="105"/>
  <c r="K32" i="105"/>
  <c r="J32" i="105"/>
  <c r="L31" i="105"/>
  <c r="K31" i="105"/>
  <c r="J31" i="105"/>
  <c r="L30" i="105"/>
  <c r="J30" i="105"/>
  <c r="L29" i="105"/>
  <c r="M6" i="105"/>
  <c r="L28" i="105"/>
  <c r="M34" i="105" l="1"/>
  <c r="N34" i="105" s="1"/>
  <c r="M31" i="105"/>
  <c r="N17" i="105"/>
  <c r="K28" i="105"/>
  <c r="M28" i="105" s="1"/>
  <c r="J29" i="105"/>
  <c r="M10" i="105"/>
  <c r="N10" i="105" s="1"/>
  <c r="L33" i="105"/>
  <c r="N21" i="105"/>
  <c r="J28" i="105"/>
  <c r="M8" i="105"/>
  <c r="N8" i="105" s="1"/>
  <c r="L32" i="105"/>
  <c r="M32" i="105" s="1"/>
  <c r="N32" i="105" s="1"/>
  <c r="N23" i="105"/>
  <c r="M7" i="105"/>
  <c r="N7" i="105" s="1"/>
  <c r="K30" i="105"/>
  <c r="M30" i="105" s="1"/>
  <c r="N30" i="105" s="1"/>
  <c r="M12" i="105"/>
  <c r="N12" i="105" s="1"/>
  <c r="N19" i="105"/>
  <c r="M22" i="105"/>
  <c r="N22" i="105" s="1"/>
  <c r="N31" i="105"/>
  <c r="N20" i="105"/>
  <c r="M9" i="105"/>
  <c r="N9" i="105" s="1"/>
  <c r="K29" i="105"/>
  <c r="M29" i="105" s="1"/>
  <c r="K33" i="105"/>
  <c r="K35" i="105"/>
  <c r="M35" i="105" s="1"/>
  <c r="N35" i="105" s="1"/>
  <c r="N6" i="105"/>
  <c r="N11" i="105"/>
  <c r="N13" i="105"/>
  <c r="M33" i="105" l="1"/>
  <c r="N33" i="105" s="1"/>
  <c r="N29" i="105"/>
  <c r="N28" i="105"/>
  <c r="D17" i="105" l="1"/>
  <c r="B17" i="105"/>
  <c r="A13" i="105"/>
  <c r="A12" i="105"/>
  <c r="A11" i="105"/>
  <c r="A10" i="105"/>
  <c r="A9" i="105"/>
  <c r="A8" i="105"/>
  <c r="A7" i="105"/>
  <c r="D6" i="105"/>
  <c r="D28" i="105" s="1"/>
  <c r="B6" i="105"/>
  <c r="A6" i="105"/>
  <c r="A21" i="105" l="1"/>
  <c r="A32" i="105" s="1"/>
  <c r="I10" i="105"/>
  <c r="I21" i="105" s="1"/>
  <c r="I32" i="105" s="1"/>
  <c r="A22" i="105"/>
  <c r="A33" i="105" s="1"/>
  <c r="I11" i="105"/>
  <c r="I22" i="105" s="1"/>
  <c r="I33" i="105" s="1"/>
  <c r="A18" i="105"/>
  <c r="A29" i="105" s="1"/>
  <c r="I7" i="105"/>
  <c r="I18" i="105" s="1"/>
  <c r="I29" i="105" s="1"/>
  <c r="A19" i="105"/>
  <c r="A30" i="105" s="1"/>
  <c r="I8" i="105"/>
  <c r="I19" i="105" s="1"/>
  <c r="I30" i="105" s="1"/>
  <c r="A23" i="105"/>
  <c r="A34" i="105" s="1"/>
  <c r="I12" i="105"/>
  <c r="I23" i="105" s="1"/>
  <c r="I34" i="105" s="1"/>
  <c r="A17" i="105"/>
  <c r="A28" i="105" s="1"/>
  <c r="I6" i="105"/>
  <c r="I17" i="105" s="1"/>
  <c r="I28" i="105" s="1"/>
  <c r="A20" i="105"/>
  <c r="A31" i="105" s="1"/>
  <c r="I9" i="105"/>
  <c r="I20" i="105" s="1"/>
  <c r="I31" i="105" s="1"/>
  <c r="A24" i="105"/>
  <c r="A35" i="105" s="1"/>
  <c r="I13" i="105"/>
  <c r="I24" i="105" s="1"/>
  <c r="I35" i="105" s="1"/>
  <c r="B28" i="105"/>
  <c r="B25" i="99"/>
  <c r="B14" i="99"/>
  <c r="B13" i="99"/>
  <c r="B15" i="99"/>
  <c r="B16" i="99"/>
  <c r="B17" i="99"/>
  <c r="B18" i="99"/>
  <c r="B19" i="99"/>
  <c r="E16" i="99" l="1"/>
  <c r="E15" i="99"/>
  <c r="E14" i="99"/>
  <c r="E25" i="99"/>
  <c r="G11" i="105" l="1"/>
  <c r="G22" i="105"/>
  <c r="E17" i="99"/>
  <c r="G12" i="105" l="1"/>
  <c r="E18" i="99"/>
  <c r="G24" i="105"/>
  <c r="G23" i="105"/>
  <c r="P4" i="104"/>
  <c r="P5" i="104"/>
  <c r="P6" i="104"/>
  <c r="P7" i="104"/>
  <c r="P8" i="104"/>
  <c r="P9" i="104"/>
  <c r="P3" i="104"/>
  <c r="Q4" i="104"/>
  <c r="R4" i="104"/>
  <c r="Q5" i="104"/>
  <c r="R5" i="104"/>
  <c r="Q6" i="104"/>
  <c r="R6" i="104"/>
  <c r="Q7" i="104"/>
  <c r="R7" i="104"/>
  <c r="Q8" i="104"/>
  <c r="R8" i="104"/>
  <c r="Q9" i="104"/>
  <c r="R9" i="104"/>
  <c r="R3" i="104"/>
  <c r="Q3" i="104"/>
  <c r="Q11" i="104" l="1"/>
  <c r="Q15" i="104" s="1"/>
  <c r="R11" i="104"/>
  <c r="R15" i="104" s="1"/>
  <c r="G13" i="105"/>
  <c r="E19" i="99"/>
  <c r="P11" i="104"/>
  <c r="P15" i="104" s="1"/>
  <c r="J30" i="104" l="1"/>
  <c r="E30" i="104"/>
  <c r="J29" i="104"/>
  <c r="J31" i="104"/>
  <c r="E31" i="104"/>
  <c r="E29" i="104"/>
  <c r="E32" i="104" s="1"/>
  <c r="J26" i="104"/>
  <c r="E26" i="104"/>
  <c r="I25" i="104"/>
  <c r="I24" i="104"/>
  <c r="I23" i="104"/>
  <c r="I26" i="104" s="1"/>
  <c r="D24" i="104"/>
  <c r="D25" i="104"/>
  <c r="D23" i="104"/>
  <c r="H26" i="104"/>
  <c r="G26" i="104"/>
  <c r="C26" i="104"/>
  <c r="B26" i="104"/>
  <c r="J32" i="104" l="1"/>
  <c r="J34" i="104"/>
  <c r="E34" i="104"/>
  <c r="D26" i="104"/>
  <c r="L11" i="104" l="1"/>
  <c r="L14" i="104" s="1"/>
  <c r="K11" i="104"/>
  <c r="K14" i="104" s="1"/>
  <c r="J11" i="104"/>
  <c r="J14" i="104" s="1"/>
  <c r="M10" i="104"/>
  <c r="M9" i="104"/>
  <c r="M8" i="104"/>
  <c r="M7" i="104"/>
  <c r="M6" i="104"/>
  <c r="M5" i="104"/>
  <c r="M4" i="104"/>
  <c r="M3" i="104"/>
  <c r="H11" i="104"/>
  <c r="H14" i="104" s="1"/>
  <c r="G11" i="104"/>
  <c r="G14" i="104" s="1"/>
  <c r="F11" i="104"/>
  <c r="F14" i="104" s="1"/>
  <c r="I10" i="104"/>
  <c r="I9" i="104"/>
  <c r="I8" i="104"/>
  <c r="I7" i="104"/>
  <c r="I6" i="104"/>
  <c r="I5" i="104"/>
  <c r="I4" i="104"/>
  <c r="I3" i="104"/>
  <c r="C11" i="104"/>
  <c r="C14" i="104" s="1"/>
  <c r="D11" i="104"/>
  <c r="D14" i="104" s="1"/>
  <c r="B11" i="104"/>
  <c r="B14" i="104" s="1"/>
  <c r="E4" i="104"/>
  <c r="E5" i="104"/>
  <c r="E6" i="104"/>
  <c r="E7" i="104"/>
  <c r="E8" i="104"/>
  <c r="E9" i="104"/>
  <c r="E10" i="104"/>
  <c r="E3" i="104"/>
  <c r="N10" i="104" l="1"/>
  <c r="N9" i="104"/>
  <c r="N4" i="104"/>
  <c r="N8" i="104"/>
  <c r="N7" i="104"/>
  <c r="N6" i="104"/>
  <c r="N5" i="104"/>
  <c r="N3" i="104"/>
  <c r="M11" i="104"/>
  <c r="I11" i="104"/>
  <c r="E11" i="104"/>
  <c r="A6" i="93"/>
  <c r="B6" i="93"/>
  <c r="C6" i="93"/>
  <c r="A7" i="93"/>
  <c r="B7" i="93"/>
  <c r="C7" i="93"/>
  <c r="A8" i="93"/>
  <c r="B8" i="93"/>
  <c r="C8" i="93"/>
  <c r="C5" i="93"/>
  <c r="B5" i="93"/>
  <c r="A5" i="93"/>
  <c r="N11" i="104" l="1"/>
  <c r="N14" i="104" s="1"/>
  <c r="B22" i="99"/>
  <c r="B33" i="99" s="1"/>
  <c r="C25" i="103" l="1"/>
  <c r="D36" i="103" s="1"/>
  <c r="C47" i="103" s="1"/>
  <c r="D58" i="103" s="1"/>
  <c r="D69" i="103" s="1"/>
  <c r="C24" i="103"/>
  <c r="D35" i="103" s="1"/>
  <c r="C46" i="103" s="1"/>
  <c r="D57" i="103" s="1"/>
  <c r="D68" i="103" s="1"/>
  <c r="C23" i="103"/>
  <c r="D34" i="103" s="1"/>
  <c r="C45" i="103" s="1"/>
  <c r="D56" i="103" s="1"/>
  <c r="D67" i="103" s="1"/>
  <c r="C22" i="103"/>
  <c r="D33" i="103" s="1"/>
  <c r="C44" i="103" s="1"/>
  <c r="D55" i="103" s="1"/>
  <c r="D66" i="103" s="1"/>
  <c r="D21" i="103"/>
  <c r="C21" i="103"/>
  <c r="D32" i="103" s="1"/>
  <c r="C43" i="103" s="1"/>
  <c r="D54" i="103" s="1"/>
  <c r="D65" i="103" s="1"/>
  <c r="D20" i="103"/>
  <c r="C20" i="103"/>
  <c r="D31" i="103" s="1"/>
  <c r="C42" i="103" s="1"/>
  <c r="D53" i="103" s="1"/>
  <c r="D64" i="103" s="1"/>
  <c r="D19" i="103"/>
  <c r="C19" i="103"/>
  <c r="D30" i="103" s="1"/>
  <c r="C41" i="103" s="1"/>
  <c r="D52" i="103" s="1"/>
  <c r="D63" i="103" s="1"/>
  <c r="D18" i="103"/>
  <c r="C18" i="103"/>
  <c r="D29" i="103" s="1"/>
  <c r="C40" i="103" s="1"/>
  <c r="D51" i="103" s="1"/>
  <c r="D62" i="103" s="1"/>
  <c r="G7" i="103"/>
  <c r="E36" i="99"/>
  <c r="E37" i="99"/>
  <c r="E35" i="99"/>
  <c r="B36" i="99"/>
  <c r="B37" i="99"/>
  <c r="B38" i="99"/>
  <c r="B39" i="99"/>
  <c r="B40" i="99"/>
  <c r="B41" i="99"/>
  <c r="B35" i="99"/>
  <c r="B26" i="99"/>
  <c r="B27" i="99"/>
  <c r="B28" i="99"/>
  <c r="B29" i="99"/>
  <c r="B30" i="99"/>
  <c r="B24" i="99"/>
  <c r="E29" i="99" l="1"/>
  <c r="E28" i="99"/>
  <c r="E27" i="99"/>
  <c r="E26" i="99"/>
  <c r="E30" i="99"/>
  <c r="F8" i="103"/>
  <c r="F30" i="103" s="1"/>
  <c r="G18" i="105"/>
  <c r="E24" i="99"/>
  <c r="G7" i="105"/>
  <c r="E13" i="99"/>
  <c r="C6" i="105"/>
  <c r="E39" i="99"/>
  <c r="E38" i="99"/>
  <c r="F51" i="103"/>
  <c r="F62" i="103" s="1"/>
  <c r="E8" i="103"/>
  <c r="E30" i="103" s="1"/>
  <c r="E51" i="103"/>
  <c r="C17" i="105" l="1"/>
  <c r="E17" i="105" s="1"/>
  <c r="F17" i="105" s="1"/>
  <c r="G29" i="103"/>
  <c r="B18" i="105"/>
  <c r="D46" i="103"/>
  <c r="D47" i="103" s="1"/>
  <c r="F9" i="103"/>
  <c r="B19" i="105" s="1"/>
  <c r="C28" i="105"/>
  <c r="E28" i="105" s="1"/>
  <c r="F28" i="105" s="1"/>
  <c r="E6" i="105"/>
  <c r="F6" i="105" s="1"/>
  <c r="B7" i="105"/>
  <c r="E9" i="103"/>
  <c r="B8" i="105" s="1"/>
  <c r="G8" i="103"/>
  <c r="I8" i="103" s="1"/>
  <c r="E62" i="103"/>
  <c r="G62" i="103" s="1"/>
  <c r="G51" i="103"/>
  <c r="E64" i="93"/>
  <c r="P43" i="98"/>
  <c r="S43" i="98" s="1"/>
  <c r="P18" i="98"/>
  <c r="S18" i="98" s="1"/>
  <c r="I43" i="98"/>
  <c r="B43" i="98"/>
  <c r="I18" i="98"/>
  <c r="E41" i="103" l="1"/>
  <c r="B29" i="105"/>
  <c r="E40" i="99"/>
  <c r="B30" i="105"/>
  <c r="F10" i="103"/>
  <c r="B20" i="105" s="1"/>
  <c r="C7" i="105"/>
  <c r="G9" i="103"/>
  <c r="I9" i="103" s="1"/>
  <c r="E10" i="103"/>
  <c r="B9" i="105" s="1"/>
  <c r="E41" i="99"/>
  <c r="E52" i="103" l="1"/>
  <c r="D7" i="105"/>
  <c r="E7" i="105" s="1"/>
  <c r="F7" i="105" s="1"/>
  <c r="C18" i="105"/>
  <c r="C29" i="105" s="1"/>
  <c r="G30" i="103"/>
  <c r="F11" i="103"/>
  <c r="B31" i="105"/>
  <c r="G10" i="103"/>
  <c r="I10" i="103" s="1"/>
  <c r="E11" i="103"/>
  <c r="B10" i="105" s="1"/>
  <c r="B21" i="105" l="1"/>
  <c r="B32" i="105" s="1"/>
  <c r="G17" i="93"/>
  <c r="E20" i="103"/>
  <c r="E31" i="103" s="1"/>
  <c r="F12" i="103"/>
  <c r="B22" i="105" s="1"/>
  <c r="G11" i="103"/>
  <c r="I11" i="103" s="1"/>
  <c r="D22" i="103" s="1"/>
  <c r="E12" i="103"/>
  <c r="B11" i="105" s="1"/>
  <c r="C8" i="105" l="1"/>
  <c r="E42" i="103"/>
  <c r="D8" i="105" s="1"/>
  <c r="B33" i="105"/>
  <c r="F13" i="103"/>
  <c r="B23" i="105" s="1"/>
  <c r="G12" i="103"/>
  <c r="I12" i="103" s="1"/>
  <c r="D23" i="103" s="1"/>
  <c r="E13" i="103"/>
  <c r="B12" i="105" s="1"/>
  <c r="D15" i="93"/>
  <c r="C17" i="93"/>
  <c r="C16" i="93"/>
  <c r="D11" i="93"/>
  <c r="J12" i="93"/>
  <c r="I12" i="93"/>
  <c r="H12" i="93"/>
  <c r="G12" i="93"/>
  <c r="F12" i="93"/>
  <c r="J11" i="93"/>
  <c r="I11" i="93"/>
  <c r="E11" i="93"/>
  <c r="G23" i="99"/>
  <c r="D23" i="99"/>
  <c r="C23" i="99"/>
  <c r="A19" i="99"/>
  <c r="A30" i="99" s="1"/>
  <c r="A41" i="99" s="1"/>
  <c r="A18" i="99"/>
  <c r="A29" i="99" s="1"/>
  <c r="A40" i="99" s="1"/>
  <c r="A17" i="99"/>
  <c r="A28" i="99" s="1"/>
  <c r="A39" i="99" s="1"/>
  <c r="A16" i="99"/>
  <c r="A27" i="99" s="1"/>
  <c r="A38" i="99" s="1"/>
  <c r="G11" i="93"/>
  <c r="A15" i="99"/>
  <c r="A26" i="99" s="1"/>
  <c r="A37" i="99" s="1"/>
  <c r="A14" i="99"/>
  <c r="A25" i="99" s="1"/>
  <c r="A36" i="99" s="1"/>
  <c r="A13" i="99"/>
  <c r="A24" i="99" s="1"/>
  <c r="A35" i="99" s="1"/>
  <c r="G13" i="99"/>
  <c r="G12" i="99"/>
  <c r="D12" i="99"/>
  <c r="C12" i="99"/>
  <c r="A12" i="99"/>
  <c r="A23" i="99" s="1"/>
  <c r="A34" i="99" s="1"/>
  <c r="L43" i="98"/>
  <c r="E43" i="98"/>
  <c r="L18" i="98"/>
  <c r="B18" i="98"/>
  <c r="E18" i="98" s="1"/>
  <c r="E8" i="105" l="1"/>
  <c r="F8" i="105" s="1"/>
  <c r="G14" i="99"/>
  <c r="E53" i="103"/>
  <c r="E21" i="103" s="1"/>
  <c r="H12" i="99"/>
  <c r="I12" i="99" s="1"/>
  <c r="H23" i="99"/>
  <c r="I23" i="99" s="1"/>
  <c r="F14" i="103"/>
  <c r="B24" i="105" s="1"/>
  <c r="B34" i="105"/>
  <c r="E43" i="103"/>
  <c r="G13" i="103"/>
  <c r="I13" i="103" s="1"/>
  <c r="D24" i="103" s="1"/>
  <c r="E14" i="103"/>
  <c r="B13" i="105" s="1"/>
  <c r="D34" i="99"/>
  <c r="G34" i="99"/>
  <c r="C32" i="93"/>
  <c r="F11" i="93"/>
  <c r="D12" i="93"/>
  <c r="C33" i="93"/>
  <c r="H11" i="93"/>
  <c r="D16" i="93"/>
  <c r="D21" i="93" s="1"/>
  <c r="C34" i="99"/>
  <c r="E64" i="103" l="1"/>
  <c r="E32" i="103"/>
  <c r="E54" i="103"/>
  <c r="C9" i="105"/>
  <c r="K23" i="99"/>
  <c r="K12" i="99"/>
  <c r="H34" i="99"/>
  <c r="I34" i="99" s="1"/>
  <c r="B35" i="105"/>
  <c r="D9" i="105"/>
  <c r="G14" i="103"/>
  <c r="I14" i="103" s="1"/>
  <c r="D25" i="103" s="1"/>
  <c r="E12" i="93"/>
  <c r="C34" i="93"/>
  <c r="C13" i="99"/>
  <c r="E16" i="93"/>
  <c r="E9" i="105" l="1"/>
  <c r="F9" i="105" s="1"/>
  <c r="F13" i="99"/>
  <c r="E22" i="103"/>
  <c r="E33" i="103" s="1"/>
  <c r="F32" i="93"/>
  <c r="E65" i="103"/>
  <c r="D17" i="93"/>
  <c r="D22" i="93" s="1"/>
  <c r="D23" i="93" s="1"/>
  <c r="D13" i="99"/>
  <c r="C24" i="99"/>
  <c r="C14" i="99"/>
  <c r="F16" i="93"/>
  <c r="C10" i="105" l="1"/>
  <c r="E45" i="103"/>
  <c r="F14" i="99"/>
  <c r="E44" i="103"/>
  <c r="C35" i="99"/>
  <c r="F24" i="99"/>
  <c r="H13" i="99"/>
  <c r="I13" i="99" s="1"/>
  <c r="E17" i="93"/>
  <c r="D32" i="93"/>
  <c r="G16" i="93"/>
  <c r="C15" i="99"/>
  <c r="C25" i="99"/>
  <c r="D24" i="99"/>
  <c r="E55" i="103" l="1"/>
  <c r="E23" i="103" s="1"/>
  <c r="E34" i="103" s="1"/>
  <c r="F35" i="99"/>
  <c r="K13" i="99"/>
  <c r="K24" i="99"/>
  <c r="D10" i="105"/>
  <c r="E10" i="105" s="1"/>
  <c r="F10" i="105" s="1"/>
  <c r="F15" i="99"/>
  <c r="C36" i="99"/>
  <c r="K14" i="99" s="1"/>
  <c r="F25" i="99"/>
  <c r="D37" i="93"/>
  <c r="D27" i="93" s="1"/>
  <c r="D35" i="99"/>
  <c r="E18" i="93"/>
  <c r="F17" i="93"/>
  <c r="D14" i="99"/>
  <c r="C26" i="99"/>
  <c r="F26" i="99" s="1"/>
  <c r="C16" i="99"/>
  <c r="H16" i="93"/>
  <c r="E46" i="103" l="1"/>
  <c r="G32" i="93"/>
  <c r="E66" i="103"/>
  <c r="C11" i="105"/>
  <c r="K25" i="99"/>
  <c r="F16" i="99"/>
  <c r="L36" i="99"/>
  <c r="M36" i="99" s="1"/>
  <c r="F36" i="99"/>
  <c r="H14" i="99"/>
  <c r="I14" i="99" s="1"/>
  <c r="E56" i="103"/>
  <c r="E24" i="103" s="1"/>
  <c r="E35" i="103" s="1"/>
  <c r="D11" i="105"/>
  <c r="G18" i="93"/>
  <c r="F18" i="93"/>
  <c r="E32" i="93"/>
  <c r="I16" i="93"/>
  <c r="C17" i="99"/>
  <c r="C27" i="99"/>
  <c r="F27" i="99" s="1"/>
  <c r="H17" i="93"/>
  <c r="C37" i="99"/>
  <c r="E47" i="103" l="1"/>
  <c r="K26" i="99"/>
  <c r="K15" i="99"/>
  <c r="F17" i="99"/>
  <c r="L37" i="99"/>
  <c r="M37" i="99" s="1"/>
  <c r="F37" i="99"/>
  <c r="C12" i="105"/>
  <c r="E67" i="103"/>
  <c r="E11" i="105"/>
  <c r="F11" i="105" s="1"/>
  <c r="H18" i="93"/>
  <c r="C18" i="99"/>
  <c r="J16" i="93"/>
  <c r="D15" i="99"/>
  <c r="G15" i="99"/>
  <c r="I17" i="93"/>
  <c r="C28" i="99"/>
  <c r="F28" i="99" s="1"/>
  <c r="C38" i="99"/>
  <c r="K27" i="99" l="1"/>
  <c r="F38" i="99"/>
  <c r="K16" i="99"/>
  <c r="F18" i="99"/>
  <c r="L38" i="99"/>
  <c r="M38" i="99" s="1"/>
  <c r="H15" i="99"/>
  <c r="I15" i="99" s="1"/>
  <c r="I18" i="93"/>
  <c r="C19" i="99"/>
  <c r="C39" i="99"/>
  <c r="C29" i="99"/>
  <c r="F29" i="99" s="1"/>
  <c r="J17" i="93"/>
  <c r="F39" i="99" l="1"/>
  <c r="K28" i="99"/>
  <c r="K17" i="99"/>
  <c r="F19" i="99"/>
  <c r="C40" i="99"/>
  <c r="L39" i="99"/>
  <c r="M39" i="99" s="1"/>
  <c r="E57" i="103"/>
  <c r="E25" i="103" s="1"/>
  <c r="E36" i="103" s="1"/>
  <c r="D12" i="105"/>
  <c r="J18" i="93"/>
  <c r="D16" i="99"/>
  <c r="G16" i="99"/>
  <c r="C30" i="99"/>
  <c r="F30" i="99" s="1"/>
  <c r="K29" i="99" l="1"/>
  <c r="F40" i="99"/>
  <c r="K18" i="99"/>
  <c r="L40" i="99"/>
  <c r="M40" i="99" s="1"/>
  <c r="C41" i="99"/>
  <c r="C13" i="105"/>
  <c r="D13" i="105"/>
  <c r="H16" i="99"/>
  <c r="I16" i="99" s="1"/>
  <c r="E68" i="103"/>
  <c r="E12" i="105"/>
  <c r="F12" i="105" s="1"/>
  <c r="L41" i="99" l="1"/>
  <c r="M41" i="99" s="1"/>
  <c r="K30" i="99"/>
  <c r="F41" i="99"/>
  <c r="K19" i="99"/>
  <c r="E13" i="105"/>
  <c r="F13" i="105" s="1"/>
  <c r="E58" i="103"/>
  <c r="E69" i="103" s="1"/>
  <c r="G17" i="99"/>
  <c r="D17" i="99"/>
  <c r="P13" i="105" l="1"/>
  <c r="Q13" i="105" s="1"/>
  <c r="H17" i="99"/>
  <c r="I17" i="99" s="1"/>
  <c r="H32" i="93" l="1"/>
  <c r="D18" i="99"/>
  <c r="Z73" i="92"/>
  <c r="Z70" i="92"/>
  <c r="Y111" i="92"/>
  <c r="I32" i="93" l="1"/>
  <c r="D19" i="99"/>
  <c r="G18" i="99"/>
  <c r="H18" i="99" l="1"/>
  <c r="I18" i="99" s="1"/>
  <c r="G19" i="99" l="1"/>
  <c r="H19" i="99" l="1"/>
  <c r="I19" i="99" s="1"/>
  <c r="J32" i="93"/>
  <c r="F64" i="93"/>
  <c r="G64" i="93" s="1"/>
  <c r="A13" i="91" l="1"/>
  <c r="A19" i="91" s="1"/>
  <c r="A28" i="91" s="1"/>
  <c r="X107" i="92" l="1"/>
  <c r="Y107" i="92" s="1"/>
  <c r="Z107" i="92" s="1"/>
  <c r="X105" i="92" l="1"/>
  <c r="Y105" i="92" s="1"/>
  <c r="Z105" i="92" s="1"/>
  <c r="A32" i="94" l="1"/>
  <c r="E32" i="94" s="1"/>
  <c r="F31" i="94"/>
  <c r="E31" i="94"/>
  <c r="D31" i="94"/>
  <c r="C31" i="94"/>
  <c r="A29" i="94"/>
  <c r="F29" i="94" s="1"/>
  <c r="F28" i="94"/>
  <c r="E28" i="94"/>
  <c r="D28" i="94"/>
  <c r="C28" i="94"/>
  <c r="A26" i="94"/>
  <c r="C26" i="94" s="1"/>
  <c r="F25" i="94"/>
  <c r="E25" i="94"/>
  <c r="D25" i="94"/>
  <c r="C25" i="94"/>
  <c r="A23" i="94"/>
  <c r="E23" i="94" s="1"/>
  <c r="F22" i="94"/>
  <c r="E22" i="94"/>
  <c r="D22" i="94"/>
  <c r="C22" i="94"/>
  <c r="A20" i="94"/>
  <c r="C19" i="94"/>
  <c r="A17" i="94"/>
  <c r="C16" i="94"/>
  <c r="A14" i="94"/>
  <c r="C14" i="94" s="1"/>
  <c r="C13" i="94"/>
  <c r="G12" i="94"/>
  <c r="C12" i="94"/>
  <c r="G11" i="94"/>
  <c r="C11" i="94"/>
  <c r="G10" i="94"/>
  <c r="C10" i="94"/>
  <c r="G9" i="94"/>
  <c r="C9" i="94"/>
  <c r="G8" i="94"/>
  <c r="C8" i="94"/>
  <c r="G7" i="94"/>
  <c r="C7" i="94"/>
  <c r="D18" i="93"/>
  <c r="C18" i="93"/>
  <c r="D13" i="93" s="1"/>
  <c r="B18" i="93"/>
  <c r="E21" i="93"/>
  <c r="J15" i="93"/>
  <c r="I15" i="93"/>
  <c r="H15" i="93"/>
  <c r="G15" i="93"/>
  <c r="F15" i="93"/>
  <c r="E15" i="93"/>
  <c r="L112" i="92"/>
  <c r="P112" i="92" s="1"/>
  <c r="T112" i="92" s="1"/>
  <c r="X112" i="92" s="1"/>
  <c r="U111" i="92"/>
  <c r="Q111" i="92"/>
  <c r="M111" i="92"/>
  <c r="T107" i="92"/>
  <c r="U107" i="92" s="1"/>
  <c r="V107" i="92" s="1"/>
  <c r="L107" i="92"/>
  <c r="L129" i="92" s="1"/>
  <c r="L106" i="92"/>
  <c r="U105" i="92"/>
  <c r="V105" i="92" s="1"/>
  <c r="L105" i="92"/>
  <c r="V73" i="92"/>
  <c r="R73" i="92"/>
  <c r="N73" i="92"/>
  <c r="V70" i="92"/>
  <c r="R70" i="92"/>
  <c r="N70" i="92"/>
  <c r="P129" i="92" l="1"/>
  <c r="E72" i="93"/>
  <c r="E76" i="93" s="1"/>
  <c r="C103" i="92"/>
  <c r="H58" i="93"/>
  <c r="M107" i="92"/>
  <c r="M129" i="92" s="1"/>
  <c r="M105" i="92"/>
  <c r="I11" i="94"/>
  <c r="I12" i="94"/>
  <c r="H64" i="93"/>
  <c r="A18" i="94"/>
  <c r="E26" i="94"/>
  <c r="G31" i="94"/>
  <c r="C29" i="94"/>
  <c r="D29" i="94"/>
  <c r="A27" i="94"/>
  <c r="F27" i="94" s="1"/>
  <c r="E29" i="94"/>
  <c r="G19" i="94"/>
  <c r="A30" i="94"/>
  <c r="D30" i="94" s="1"/>
  <c r="L108" i="92"/>
  <c r="C17" i="94"/>
  <c r="G22" i="94"/>
  <c r="A15" i="94"/>
  <c r="C20" i="94"/>
  <c r="F23" i="94"/>
  <c r="G13" i="94"/>
  <c r="G16" i="94"/>
  <c r="G25" i="94"/>
  <c r="G28" i="94"/>
  <c r="D26" i="94"/>
  <c r="F21" i="93"/>
  <c r="G103" i="92" s="1"/>
  <c r="M106" i="92"/>
  <c r="A21" i="94"/>
  <c r="A24" i="94"/>
  <c r="D23" i="94"/>
  <c r="C23" i="94"/>
  <c r="F32" i="94"/>
  <c r="C32" i="94"/>
  <c r="F26" i="94"/>
  <c r="D32" i="94"/>
  <c r="A33" i="94"/>
  <c r="L68" i="92" l="1"/>
  <c r="L66" i="92"/>
  <c r="L67" i="92"/>
  <c r="T129" i="92"/>
  <c r="Q129" i="92"/>
  <c r="N129" i="92"/>
  <c r="X129" i="92"/>
  <c r="J119" i="92"/>
  <c r="J120" i="92"/>
  <c r="M108" i="92"/>
  <c r="P108" i="92"/>
  <c r="Q108" i="92" s="1"/>
  <c r="R108" i="92" s="1"/>
  <c r="I58" i="93"/>
  <c r="N107" i="92"/>
  <c r="N105" i="92"/>
  <c r="D27" i="94"/>
  <c r="C18" i="94"/>
  <c r="M112" i="92"/>
  <c r="Q112" i="92" s="1"/>
  <c r="U112" i="92" s="1"/>
  <c r="Y112" i="92" s="1"/>
  <c r="I64" i="93"/>
  <c r="J56" i="93"/>
  <c r="W100" i="92" s="1"/>
  <c r="F30" i="94"/>
  <c r="G26" i="94"/>
  <c r="I26" i="94" s="1"/>
  <c r="G29" i="94"/>
  <c r="E27" i="94"/>
  <c r="C30" i="94"/>
  <c r="G23" i="94"/>
  <c r="I23" i="94" s="1"/>
  <c r="E30" i="94"/>
  <c r="C27" i="94"/>
  <c r="O121" i="92" s="1"/>
  <c r="L100" i="92"/>
  <c r="N4" i="92" s="1"/>
  <c r="D43" i="93"/>
  <c r="D49" i="93" s="1"/>
  <c r="G17" i="94"/>
  <c r="I17" i="94" s="1"/>
  <c r="P100" i="92"/>
  <c r="Q100" i="92" s="1"/>
  <c r="R100" i="92" s="1"/>
  <c r="G32" i="94"/>
  <c r="I32" i="94" s="1"/>
  <c r="C15" i="94"/>
  <c r="G14" i="94"/>
  <c r="G20" i="94"/>
  <c r="I20" i="94" s="1"/>
  <c r="E22" i="93"/>
  <c r="G21" i="93"/>
  <c r="C33" i="94"/>
  <c r="F33" i="94"/>
  <c r="E33" i="94"/>
  <c r="D33" i="94"/>
  <c r="K112" i="92"/>
  <c r="C21" i="94"/>
  <c r="I126" i="92" s="1"/>
  <c r="F24" i="94"/>
  <c r="E24" i="94"/>
  <c r="D24" i="94"/>
  <c r="C24" i="94"/>
  <c r="O120" i="92"/>
  <c r="W106" i="92"/>
  <c r="N106" i="92"/>
  <c r="Q67" i="92" l="1"/>
  <c r="M68" i="92"/>
  <c r="Q68" i="92" s="1"/>
  <c r="M66" i="92"/>
  <c r="Q66" i="92" s="1"/>
  <c r="P67" i="92"/>
  <c r="P66" i="92"/>
  <c r="N66" i="92"/>
  <c r="P68" i="92"/>
  <c r="R4" i="92"/>
  <c r="U129" i="92"/>
  <c r="Y129" i="92" s="1"/>
  <c r="V129" i="92"/>
  <c r="R129" i="92"/>
  <c r="M122" i="92"/>
  <c r="M126" i="92"/>
  <c r="N108" i="92"/>
  <c r="E73" i="93"/>
  <c r="E77" i="93" s="1"/>
  <c r="D103" i="92"/>
  <c r="F103" i="92" s="1"/>
  <c r="J58" i="93"/>
  <c r="M100" i="92"/>
  <c r="N100" i="92" s="1"/>
  <c r="O119" i="92"/>
  <c r="G126" i="92"/>
  <c r="H127" i="92"/>
  <c r="H126" i="92"/>
  <c r="G127" i="92"/>
  <c r="I127" i="92"/>
  <c r="G27" i="94"/>
  <c r="I27" i="94" s="1"/>
  <c r="I14" i="94"/>
  <c r="I29" i="94"/>
  <c r="G30" i="94"/>
  <c r="I30" i="94" s="1"/>
  <c r="G18" i="94"/>
  <c r="I18" i="94" s="1"/>
  <c r="G15" i="94"/>
  <c r="I15" i="94" s="1"/>
  <c r="W120" i="92"/>
  <c r="W121" i="92"/>
  <c r="W119" i="92"/>
  <c r="X106" i="92"/>
  <c r="J64" i="93"/>
  <c r="F127" i="92"/>
  <c r="F126" i="92"/>
  <c r="H21" i="93"/>
  <c r="G33" i="94"/>
  <c r="I33" i="94" s="1"/>
  <c r="F22" i="93"/>
  <c r="H103" i="92" s="1"/>
  <c r="E23" i="93"/>
  <c r="E13" i="93" s="1"/>
  <c r="G24" i="94"/>
  <c r="I24" i="94" s="1"/>
  <c r="N112" i="92"/>
  <c r="O112" i="92"/>
  <c r="P121" i="92"/>
  <c r="P120" i="92"/>
  <c r="P119" i="92"/>
  <c r="G21" i="94"/>
  <c r="I21" i="94" s="1"/>
  <c r="S121" i="92"/>
  <c r="S119" i="92"/>
  <c r="S120" i="92"/>
  <c r="T106" i="92"/>
  <c r="N67" i="92" l="1"/>
  <c r="N68" i="92"/>
  <c r="R66" i="92"/>
  <c r="R67" i="92"/>
  <c r="R68" i="92"/>
  <c r="Q126" i="92"/>
  <c r="M63" i="92"/>
  <c r="N21" i="92"/>
  <c r="N7" i="92"/>
  <c r="N24" i="92"/>
  <c r="N17" i="92"/>
  <c r="N13" i="92"/>
  <c r="Z129" i="92"/>
  <c r="N121" i="92"/>
  <c r="I128" i="92"/>
  <c r="N120" i="92"/>
  <c r="L122" i="92"/>
  <c r="H128" i="92"/>
  <c r="G122" i="92"/>
  <c r="J121" i="92"/>
  <c r="J122" i="92" s="1"/>
  <c r="H122" i="92"/>
  <c r="K122" i="92"/>
  <c r="N119" i="92"/>
  <c r="I122" i="92"/>
  <c r="G128" i="92"/>
  <c r="M127" i="92"/>
  <c r="M64" i="92" s="1"/>
  <c r="K127" i="92"/>
  <c r="J127" i="92"/>
  <c r="L126" i="92"/>
  <c r="L127" i="92"/>
  <c r="L64" i="92" s="1"/>
  <c r="K126" i="92"/>
  <c r="J126" i="92"/>
  <c r="F128" i="92"/>
  <c r="F130" i="92" s="1"/>
  <c r="J103" i="92"/>
  <c r="O122" i="92"/>
  <c r="C122" i="92"/>
  <c r="E122" i="92"/>
  <c r="F120" i="92"/>
  <c r="D122" i="92"/>
  <c r="F119" i="92"/>
  <c r="F121" i="92"/>
  <c r="X120" i="92"/>
  <c r="X121" i="92"/>
  <c r="Y106" i="92"/>
  <c r="X119" i="92"/>
  <c r="W122" i="92"/>
  <c r="X108" i="92"/>
  <c r="Y108" i="92" s="1"/>
  <c r="Z108" i="92" s="1"/>
  <c r="X100" i="92"/>
  <c r="E78" i="93"/>
  <c r="T100" i="92"/>
  <c r="U100" i="92" s="1"/>
  <c r="V100" i="92" s="1"/>
  <c r="T108" i="92"/>
  <c r="U108" i="92" s="1"/>
  <c r="V108" i="92" s="1"/>
  <c r="E43" i="93"/>
  <c r="E49" i="93" s="1"/>
  <c r="F37" i="93"/>
  <c r="F67" i="93" s="1"/>
  <c r="F72" i="93" s="1"/>
  <c r="F76" i="93" s="1"/>
  <c r="G104" i="92" s="1"/>
  <c r="E37" i="93"/>
  <c r="F43" i="93"/>
  <c r="F49" i="93" s="1"/>
  <c r="J21" i="93"/>
  <c r="G22" i="93"/>
  <c r="F23" i="93"/>
  <c r="F13" i="93" s="1"/>
  <c r="R112" i="92"/>
  <c r="S112" i="92"/>
  <c r="S122" i="92"/>
  <c r="P122" i="92"/>
  <c r="Q120" i="92"/>
  <c r="Q121" i="92"/>
  <c r="Q119" i="92"/>
  <c r="T121" i="92"/>
  <c r="T119" i="92"/>
  <c r="U106" i="92"/>
  <c r="T120" i="92"/>
  <c r="T68" i="92" l="1"/>
  <c r="X68" i="92" s="1"/>
  <c r="O126" i="92"/>
  <c r="K63" i="92"/>
  <c r="U67" i="92"/>
  <c r="Y67" i="92" s="1"/>
  <c r="T67" i="92"/>
  <c r="P126" i="92"/>
  <c r="L63" i="92"/>
  <c r="U68" i="92"/>
  <c r="Y68" i="92" s="1"/>
  <c r="Q63" i="92"/>
  <c r="T66" i="92"/>
  <c r="O127" i="92"/>
  <c r="K64" i="92"/>
  <c r="U66" i="92"/>
  <c r="Y66" i="92" s="1"/>
  <c r="V4" i="92"/>
  <c r="Z4" i="92" s="1"/>
  <c r="R13" i="92"/>
  <c r="R24" i="92"/>
  <c r="N25" i="92"/>
  <c r="R7" i="92"/>
  <c r="R17" i="92"/>
  <c r="R21" i="92"/>
  <c r="Y100" i="92"/>
  <c r="Z100" i="92" s="1"/>
  <c r="N122" i="92"/>
  <c r="H71" i="92"/>
  <c r="H161" i="92"/>
  <c r="I161" i="92"/>
  <c r="G71" i="92"/>
  <c r="G161" i="92"/>
  <c r="P127" i="92"/>
  <c r="P64" i="92" s="1"/>
  <c r="Q127" i="92"/>
  <c r="Q64" i="92" s="1"/>
  <c r="K128" i="92"/>
  <c r="K65" i="92" s="1"/>
  <c r="M128" i="92"/>
  <c r="M65" i="92" s="1"/>
  <c r="L128" i="92"/>
  <c r="L65" i="92" s="1"/>
  <c r="T126" i="92"/>
  <c r="X126" i="92" s="1"/>
  <c r="H130" i="92"/>
  <c r="I130" i="92"/>
  <c r="G130" i="92"/>
  <c r="J128" i="92"/>
  <c r="J130" i="92" s="1"/>
  <c r="S127" i="92"/>
  <c r="W127" i="92" s="1"/>
  <c r="U126" i="92"/>
  <c r="D162" i="92"/>
  <c r="D163" i="92" s="1"/>
  <c r="C162" i="92"/>
  <c r="C163" i="92" s="1"/>
  <c r="F122" i="92"/>
  <c r="R121" i="92"/>
  <c r="X122" i="92"/>
  <c r="Z106" i="92"/>
  <c r="Y121" i="92"/>
  <c r="Z121" i="92" s="1"/>
  <c r="Y119" i="92"/>
  <c r="Z119" i="92" s="1"/>
  <c r="Y120" i="92"/>
  <c r="Z120" i="92" s="1"/>
  <c r="V112" i="92"/>
  <c r="W112" i="92"/>
  <c r="Z112" i="92" s="1"/>
  <c r="N126" i="92"/>
  <c r="N127" i="92"/>
  <c r="F60" i="93"/>
  <c r="F82" i="93" s="1"/>
  <c r="F27" i="93"/>
  <c r="G102" i="92" s="1"/>
  <c r="E60" i="93"/>
  <c r="E82" i="93" s="1"/>
  <c r="E27" i="93"/>
  <c r="C102" i="92" s="1"/>
  <c r="G37" i="93"/>
  <c r="I21" i="93"/>
  <c r="G23" i="93"/>
  <c r="G13" i="93" s="1"/>
  <c r="H22" i="93"/>
  <c r="R120" i="92"/>
  <c r="Q122" i="92"/>
  <c r="R119" i="92"/>
  <c r="U120" i="92"/>
  <c r="U121" i="92"/>
  <c r="V121" i="92" s="1"/>
  <c r="V106" i="92"/>
  <c r="U119" i="92"/>
  <c r="V119" i="92" s="1"/>
  <c r="T122" i="92"/>
  <c r="O128" i="92" l="1"/>
  <c r="U63" i="92"/>
  <c r="Z68" i="92"/>
  <c r="N64" i="92"/>
  <c r="O64" i="92"/>
  <c r="G16" i="92"/>
  <c r="G12" i="92"/>
  <c r="N65" i="92"/>
  <c r="O65" i="92"/>
  <c r="X67" i="92"/>
  <c r="Z67" i="92" s="1"/>
  <c r="V67" i="92"/>
  <c r="X66" i="92"/>
  <c r="Z66" i="92" s="1"/>
  <c r="V66" i="92"/>
  <c r="N63" i="92"/>
  <c r="O63" i="92"/>
  <c r="V68" i="92"/>
  <c r="P63" i="92"/>
  <c r="T63" i="92" s="1"/>
  <c r="X63" i="92" s="1"/>
  <c r="V17" i="92"/>
  <c r="V7" i="92"/>
  <c r="V24" i="92"/>
  <c r="R25" i="92"/>
  <c r="V21" i="92"/>
  <c r="V13" i="92"/>
  <c r="H97" i="92"/>
  <c r="G97" i="92"/>
  <c r="G162" i="92" s="1"/>
  <c r="G163" i="92" s="1"/>
  <c r="Y126" i="92"/>
  <c r="Y63" i="92" s="1"/>
  <c r="K103" i="92"/>
  <c r="G67" i="93"/>
  <c r="G72" i="93" s="1"/>
  <c r="G76" i="93" s="1"/>
  <c r="K104" i="92" s="1"/>
  <c r="J94" i="92"/>
  <c r="J93" i="92"/>
  <c r="U127" i="92"/>
  <c r="Y127" i="92" s="1"/>
  <c r="T127" i="92"/>
  <c r="T128" i="92" s="1"/>
  <c r="K130" i="92"/>
  <c r="Q128" i="92"/>
  <c r="Q65" i="92" s="1"/>
  <c r="L130" i="92"/>
  <c r="R126" i="92"/>
  <c r="P128" i="92"/>
  <c r="P65" i="92" s="1"/>
  <c r="T65" i="92" s="1"/>
  <c r="M130" i="92"/>
  <c r="S126" i="92"/>
  <c r="N128" i="92"/>
  <c r="N130" i="92" s="1"/>
  <c r="I96" i="92"/>
  <c r="B21" i="91"/>
  <c r="F21" i="91"/>
  <c r="D21" i="91"/>
  <c r="R127" i="92"/>
  <c r="K161" i="92"/>
  <c r="M161" i="92"/>
  <c r="O130" i="92"/>
  <c r="K71" i="92"/>
  <c r="Z122" i="92"/>
  <c r="Y122" i="92"/>
  <c r="G60" i="93"/>
  <c r="G27" i="93"/>
  <c r="G43" i="93"/>
  <c r="G49" i="93" s="1"/>
  <c r="R122" i="92"/>
  <c r="I22" i="93"/>
  <c r="H23" i="93"/>
  <c r="H13" i="93" s="1"/>
  <c r="U122" i="92"/>
  <c r="V120" i="92"/>
  <c r="V122" i="92" s="1"/>
  <c r="R65" i="92" l="1"/>
  <c r="R64" i="92"/>
  <c r="S64" i="92"/>
  <c r="S63" i="92"/>
  <c r="R63" i="92"/>
  <c r="K12" i="92"/>
  <c r="T64" i="92"/>
  <c r="K16" i="92"/>
  <c r="U64" i="92"/>
  <c r="Y64" i="92" s="1"/>
  <c r="Z7" i="92"/>
  <c r="Z21" i="92"/>
  <c r="Z24" i="92"/>
  <c r="Z25" i="92" s="1"/>
  <c r="V25" i="92"/>
  <c r="Z13" i="92"/>
  <c r="Z17" i="92"/>
  <c r="G82" i="93"/>
  <c r="K97" i="92"/>
  <c r="K162" i="92" s="1"/>
  <c r="K163" i="92" s="1"/>
  <c r="W126" i="92"/>
  <c r="W128" i="92" s="1"/>
  <c r="W130" i="92" s="1"/>
  <c r="X127" i="92"/>
  <c r="Z127" i="92" s="1"/>
  <c r="U128" i="92"/>
  <c r="U65" i="92" s="1"/>
  <c r="Q130" i="92"/>
  <c r="P130" i="92"/>
  <c r="V127" i="92"/>
  <c r="Y128" i="92"/>
  <c r="Y130" i="92" s="1"/>
  <c r="S128" i="92"/>
  <c r="S65" i="92" s="1"/>
  <c r="R128" i="92"/>
  <c r="R130" i="92" s="1"/>
  <c r="V126" i="92"/>
  <c r="F91" i="92"/>
  <c r="F115" i="92"/>
  <c r="F116" i="92" s="1"/>
  <c r="H162" i="92"/>
  <c r="H163" i="92" s="1"/>
  <c r="O161" i="92"/>
  <c r="Q161" i="92"/>
  <c r="L161" i="92"/>
  <c r="O71" i="92"/>
  <c r="T130" i="92"/>
  <c r="M96" i="92"/>
  <c r="K102" i="92"/>
  <c r="H43" i="93"/>
  <c r="H37" i="93"/>
  <c r="J22" i="93"/>
  <c r="I23" i="93"/>
  <c r="I13" i="93" s="1"/>
  <c r="W65" i="92" l="1"/>
  <c r="X64" i="92"/>
  <c r="V65" i="92"/>
  <c r="Y65" i="92"/>
  <c r="Y161" i="92" s="1"/>
  <c r="W63" i="92"/>
  <c r="Z63" i="92" s="1"/>
  <c r="V63" i="92"/>
  <c r="W64" i="92"/>
  <c r="V64" i="92"/>
  <c r="O16" i="92"/>
  <c r="O12" i="92"/>
  <c r="U130" i="92"/>
  <c r="O97" i="92"/>
  <c r="O162" i="92" s="1"/>
  <c r="O163" i="92" s="1"/>
  <c r="O103" i="92"/>
  <c r="H67" i="93"/>
  <c r="H72" i="93" s="1"/>
  <c r="H76" i="93" s="1"/>
  <c r="O104" i="92" s="1"/>
  <c r="X128" i="92"/>
  <c r="S130" i="92"/>
  <c r="Z126" i="92"/>
  <c r="V128" i="92"/>
  <c r="V130" i="92" s="1"/>
  <c r="J161" i="92"/>
  <c r="J173" i="92"/>
  <c r="F173" i="92"/>
  <c r="F161" i="92"/>
  <c r="U161" i="92"/>
  <c r="H60" i="93"/>
  <c r="H27" i="93"/>
  <c r="H49" i="93"/>
  <c r="Q96" i="92" s="1"/>
  <c r="L71" i="92"/>
  <c r="I37" i="93"/>
  <c r="I43" i="93"/>
  <c r="I49" i="93" s="1"/>
  <c r="J43" i="93"/>
  <c r="J49" i="93" s="1"/>
  <c r="J37" i="93"/>
  <c r="J23" i="93"/>
  <c r="J13" i="93" s="1"/>
  <c r="Z64" i="92" l="1"/>
  <c r="Z128" i="92"/>
  <c r="Z130" i="92" s="1"/>
  <c r="X65" i="92"/>
  <c r="Z65" i="92" s="1"/>
  <c r="S16" i="92"/>
  <c r="S12" i="92"/>
  <c r="H82" i="93"/>
  <c r="L97" i="92"/>
  <c r="L162" i="92" s="1"/>
  <c r="L163" i="92" s="1"/>
  <c r="W103" i="92"/>
  <c r="J67" i="93"/>
  <c r="J72" i="93" s="1"/>
  <c r="J76" i="93" s="1"/>
  <c r="W104" i="92" s="1"/>
  <c r="S103" i="92"/>
  <c r="I67" i="93"/>
  <c r="I72" i="93" s="1"/>
  <c r="I76" i="93" s="1"/>
  <c r="S104" i="92" s="1"/>
  <c r="X130" i="92"/>
  <c r="W71" i="92"/>
  <c r="W161" i="92"/>
  <c r="S161" i="92"/>
  <c r="S71" i="92"/>
  <c r="F162" i="92"/>
  <c r="F163" i="92" s="1"/>
  <c r="U96" i="92"/>
  <c r="I60" i="93"/>
  <c r="I27" i="93"/>
  <c r="J60" i="93"/>
  <c r="J27" i="93"/>
  <c r="O102" i="92"/>
  <c r="W12" i="92" l="1"/>
  <c r="W16" i="92"/>
  <c r="I82" i="93"/>
  <c r="W97" i="92"/>
  <c r="W162" i="92" s="1"/>
  <c r="W163" i="92" s="1"/>
  <c r="J82" i="93"/>
  <c r="S97" i="92"/>
  <c r="S162" i="92" s="1"/>
  <c r="S163" i="92" s="1"/>
  <c r="N94" i="92"/>
  <c r="N93" i="92"/>
  <c r="N173" i="92"/>
  <c r="C32" i="91"/>
  <c r="N161" i="92"/>
  <c r="Y96" i="92"/>
  <c r="S102" i="92"/>
  <c r="W102" i="92"/>
  <c r="N71" i="92" l="1"/>
  <c r="M71" i="92"/>
  <c r="M53" i="92" s="1"/>
  <c r="M72" i="92" l="1"/>
  <c r="K72" i="92"/>
  <c r="L72" i="92"/>
  <c r="M97" i="92"/>
  <c r="M162" i="92" s="1"/>
  <c r="M163" i="92" s="1"/>
  <c r="N97" i="92"/>
  <c r="N162" i="92" s="1"/>
  <c r="N163" i="92" s="1"/>
  <c r="M63" i="113"/>
  <c r="M68" i="112"/>
  <c r="M76" i="112" s="1"/>
  <c r="M67" i="113" l="1"/>
  <c r="M73" i="113"/>
  <c r="J1" i="99" l="1"/>
  <c r="A8" i="91"/>
  <c r="A14" i="91" s="1"/>
  <c r="A20" i="91" s="1"/>
  <c r="A29" i="91" s="1"/>
  <c r="E162" i="92" l="1"/>
  <c r="E163" i="92" s="1"/>
  <c r="G24" i="99"/>
  <c r="G35" i="99" s="1"/>
  <c r="H35" i="99" s="1"/>
  <c r="I35" i="99" s="1"/>
  <c r="D18" i="105"/>
  <c r="D29" i="105" s="1"/>
  <c r="E29" i="105" s="1"/>
  <c r="F29" i="105" s="1"/>
  <c r="G41" i="103"/>
  <c r="F52" i="103"/>
  <c r="D33" i="93" l="1"/>
  <c r="D44" i="93" s="1"/>
  <c r="F20" i="103"/>
  <c r="E18" i="105"/>
  <c r="F18" i="105" s="1"/>
  <c r="H24" i="99"/>
  <c r="I24" i="99" s="1"/>
  <c r="G52" i="103"/>
  <c r="I52" i="103" s="1"/>
  <c r="G63" i="103"/>
  <c r="D38" i="93" l="1"/>
  <c r="D28" i="93" s="1"/>
  <c r="D34" i="93"/>
  <c r="G20" i="103"/>
  <c r="F31" i="103" s="1"/>
  <c r="D45" i="93"/>
  <c r="D50" i="93"/>
  <c r="D51" i="93" s="1"/>
  <c r="D39" i="93" l="1"/>
  <c r="D29" i="93" s="1"/>
  <c r="G31" i="103"/>
  <c r="F42" i="103"/>
  <c r="F53" i="103" s="1"/>
  <c r="D25" i="99"/>
  <c r="D36" i="99" s="1"/>
  <c r="C19" i="105"/>
  <c r="E33" i="93" l="1"/>
  <c r="F21" i="103"/>
  <c r="F32" i="103" s="1"/>
  <c r="G53" i="103"/>
  <c r="G21" i="103" s="1"/>
  <c r="G42" i="103"/>
  <c r="D19" i="105"/>
  <c r="D30" i="105" s="1"/>
  <c r="G25" i="99"/>
  <c r="G36" i="99" s="1"/>
  <c r="H36" i="99" s="1"/>
  <c r="I36" i="99" s="1"/>
  <c r="F64" i="103"/>
  <c r="G64" i="103" s="1"/>
  <c r="C30" i="105"/>
  <c r="E44" i="93"/>
  <c r="E38" i="93" l="1"/>
  <c r="E61" i="93" s="1"/>
  <c r="E34" i="93"/>
  <c r="E30" i="105"/>
  <c r="F30" i="105" s="1"/>
  <c r="D26" i="99"/>
  <c r="D37" i="99" s="1"/>
  <c r="I53" i="103"/>
  <c r="C20" i="105"/>
  <c r="C31" i="105" s="1"/>
  <c r="G32" i="103"/>
  <c r="E19" i="105"/>
  <c r="F19" i="105" s="1"/>
  <c r="H25" i="99"/>
  <c r="I25" i="99" s="1"/>
  <c r="F43" i="103"/>
  <c r="E45" i="93"/>
  <c r="E50" i="93"/>
  <c r="E51" i="93" s="1"/>
  <c r="E39" i="93" l="1"/>
  <c r="E29" i="93" s="1"/>
  <c r="E28" i="93"/>
  <c r="D102" i="92" s="1"/>
  <c r="F102" i="92" s="1"/>
  <c r="G43" i="103"/>
  <c r="D20" i="105"/>
  <c r="G26" i="99"/>
  <c r="E62" i="93"/>
  <c r="E83" i="93"/>
  <c r="E84" i="93" s="1"/>
  <c r="D31" i="105" l="1"/>
  <c r="E31" i="105" s="1"/>
  <c r="F31" i="105" s="1"/>
  <c r="E20" i="105"/>
  <c r="F20" i="105" s="1"/>
  <c r="F65" i="103"/>
  <c r="G65" i="103" s="1"/>
  <c r="F33" i="93"/>
  <c r="F22" i="103"/>
  <c r="F33" i="103" s="1"/>
  <c r="G54" i="103"/>
  <c r="G37" i="99"/>
  <c r="H37" i="99" s="1"/>
  <c r="I37" i="99" s="1"/>
  <c r="H26" i="99"/>
  <c r="I26" i="99" s="1"/>
  <c r="G22" i="103" l="1"/>
  <c r="I54" i="103"/>
  <c r="F38" i="93"/>
  <c r="F68" i="93" s="1"/>
  <c r="F73" i="93" s="1"/>
  <c r="F77" i="93" s="1"/>
  <c r="F34" i="93"/>
  <c r="F44" i="93"/>
  <c r="F45" i="103"/>
  <c r="C21" i="105"/>
  <c r="C32" i="105" s="1"/>
  <c r="D27" i="99"/>
  <c r="D38" i="99" s="1"/>
  <c r="F78" i="93" l="1"/>
  <c r="H104" i="92"/>
  <c r="G45" i="103"/>
  <c r="G28" i="99"/>
  <c r="G39" i="99" s="1"/>
  <c r="D22" i="105"/>
  <c r="D33" i="105" s="1"/>
  <c r="F45" i="93"/>
  <c r="F50" i="93"/>
  <c r="F51" i="93" s="1"/>
  <c r="F39" i="93"/>
  <c r="F29" i="93" s="1"/>
  <c r="F61" i="93"/>
  <c r="F28" i="93"/>
  <c r="H102" i="92" s="1"/>
  <c r="G33" i="103"/>
  <c r="F44" i="103"/>
  <c r="J102" i="92" l="1"/>
  <c r="H16" i="92"/>
  <c r="H12" i="92"/>
  <c r="G44" i="103"/>
  <c r="G27" i="99"/>
  <c r="F55" i="103"/>
  <c r="D21" i="105"/>
  <c r="F83" i="93"/>
  <c r="F84" i="93" s="1"/>
  <c r="F62" i="93"/>
  <c r="L12" i="92" l="1"/>
  <c r="J12" i="92"/>
  <c r="J14" i="92" s="1"/>
  <c r="L16" i="92"/>
  <c r="J16" i="92"/>
  <c r="J18" i="92" s="1"/>
  <c r="J60" i="92"/>
  <c r="J56" i="92"/>
  <c r="E21" i="105"/>
  <c r="F21" i="105" s="1"/>
  <c r="D32" i="105"/>
  <c r="E32" i="105" s="1"/>
  <c r="F32" i="105" s="1"/>
  <c r="F66" i="103"/>
  <c r="G66" i="103" s="1"/>
  <c r="G55" i="103"/>
  <c r="G33" i="93"/>
  <c r="F23" i="103"/>
  <c r="F34" i="103" s="1"/>
  <c r="G38" i="99"/>
  <c r="H38" i="99" s="1"/>
  <c r="I38" i="99" s="1"/>
  <c r="H27" i="99"/>
  <c r="I27" i="99" s="1"/>
  <c r="B8" i="91"/>
  <c r="C8" i="91" s="1"/>
  <c r="P16" i="92" l="1"/>
  <c r="N16" i="92"/>
  <c r="N18" i="92" s="1"/>
  <c r="P12" i="92"/>
  <c r="N12" i="92"/>
  <c r="N14" i="92" s="1"/>
  <c r="F56" i="103"/>
  <c r="F46" i="103"/>
  <c r="D28" i="99"/>
  <c r="G34" i="103"/>
  <c r="C22" i="105"/>
  <c r="G38" i="93"/>
  <c r="G44" i="93"/>
  <c r="G34" i="93"/>
  <c r="I55" i="103"/>
  <c r="G23" i="103"/>
  <c r="J59" i="92"/>
  <c r="T12" i="92" l="1"/>
  <c r="R12" i="92"/>
  <c r="R14" i="92" s="1"/>
  <c r="T16" i="92"/>
  <c r="R16" i="92"/>
  <c r="R18" i="92" s="1"/>
  <c r="L103" i="92"/>
  <c r="G68" i="93"/>
  <c r="G73" i="93" s="1"/>
  <c r="G77" i="93" s="1"/>
  <c r="H28" i="99"/>
  <c r="I28" i="99" s="1"/>
  <c r="D39" i="99"/>
  <c r="H39" i="99" s="1"/>
  <c r="I39" i="99" s="1"/>
  <c r="G46" i="103"/>
  <c r="G29" i="99"/>
  <c r="G40" i="99" s="1"/>
  <c r="D23" i="105"/>
  <c r="D34" i="105" s="1"/>
  <c r="I71" i="92"/>
  <c r="I53" i="92" s="1"/>
  <c r="F67" i="103"/>
  <c r="G67" i="103" s="1"/>
  <c r="F24" i="103"/>
  <c r="F35" i="103" s="1"/>
  <c r="G56" i="103"/>
  <c r="H33" i="93"/>
  <c r="E22" i="105"/>
  <c r="F22" i="105" s="1"/>
  <c r="C33" i="105"/>
  <c r="E33" i="105" s="1"/>
  <c r="F33" i="105" s="1"/>
  <c r="G50" i="93"/>
  <c r="G51" i="93" s="1"/>
  <c r="G45" i="93"/>
  <c r="G61" i="93"/>
  <c r="G39" i="93"/>
  <c r="G29" i="93" s="1"/>
  <c r="G28" i="93"/>
  <c r="L102" i="92" s="1"/>
  <c r="N102" i="92" s="1"/>
  <c r="X16" i="92" l="1"/>
  <c r="V16" i="92"/>
  <c r="V18" i="92" s="1"/>
  <c r="X12" i="92"/>
  <c r="V12" i="92"/>
  <c r="V14" i="92" s="1"/>
  <c r="I62" i="92"/>
  <c r="I97" i="92"/>
  <c r="I162" i="92" s="1"/>
  <c r="I163" i="92" s="1"/>
  <c r="I72" i="92"/>
  <c r="H72" i="92"/>
  <c r="G72" i="92"/>
  <c r="L104" i="92"/>
  <c r="G78" i="93"/>
  <c r="N103" i="92"/>
  <c r="D29" i="99"/>
  <c r="C23" i="105"/>
  <c r="F57" i="103"/>
  <c r="G35" i="103"/>
  <c r="F47" i="103"/>
  <c r="I56" i="103"/>
  <c r="G24" i="103"/>
  <c r="G83" i="93"/>
  <c r="G84" i="93" s="1"/>
  <c r="G62" i="93"/>
  <c r="H38" i="93"/>
  <c r="H44" i="93"/>
  <c r="H34" i="93"/>
  <c r="J115" i="92"/>
  <c r="J116" i="92" s="1"/>
  <c r="E32" i="91" s="1"/>
  <c r="J91" i="92"/>
  <c r="P71" i="92"/>
  <c r="P161" i="92"/>
  <c r="Z12" i="92" l="1"/>
  <c r="Z14" i="92" s="1"/>
  <c r="P97" i="92"/>
  <c r="P162" i="92" s="1"/>
  <c r="P163" i="92" s="1"/>
  <c r="P103" i="92"/>
  <c r="R103" i="92" s="1"/>
  <c r="H68" i="93"/>
  <c r="H73" i="93" s="1"/>
  <c r="H77" i="93" s="1"/>
  <c r="J162" i="92"/>
  <c r="J163" i="92" s="1"/>
  <c r="D24" i="105"/>
  <c r="D35" i="105" s="1"/>
  <c r="G30" i="99"/>
  <c r="G41" i="99" s="1"/>
  <c r="G47" i="103"/>
  <c r="D20" i="91"/>
  <c r="H45" i="93"/>
  <c r="H50" i="93"/>
  <c r="H51" i="93" s="1"/>
  <c r="F25" i="103"/>
  <c r="F36" i="103" s="1"/>
  <c r="G57" i="103"/>
  <c r="F68" i="103"/>
  <c r="G68" i="103" s="1"/>
  <c r="I33" i="93"/>
  <c r="H39" i="93"/>
  <c r="H29" i="93" s="1"/>
  <c r="H28" i="93"/>
  <c r="P102" i="92" s="1"/>
  <c r="R102" i="92" s="1"/>
  <c r="H61" i="93"/>
  <c r="C34" i="105"/>
  <c r="E34" i="105" s="1"/>
  <c r="F34" i="105" s="1"/>
  <c r="E23" i="105"/>
  <c r="F23" i="105" s="1"/>
  <c r="H29" i="99"/>
  <c r="I29" i="99" s="1"/>
  <c r="D40" i="99"/>
  <c r="H40" i="99" s="1"/>
  <c r="I40" i="99" s="1"/>
  <c r="R173" i="92"/>
  <c r="R94" i="92"/>
  <c r="R93" i="92"/>
  <c r="R161" i="92"/>
  <c r="H78" i="93" l="1"/>
  <c r="P104" i="92"/>
  <c r="R104" i="92" s="1"/>
  <c r="G25" i="103"/>
  <c r="I57" i="103"/>
  <c r="I34" i="93"/>
  <c r="I44" i="93"/>
  <c r="I38" i="93"/>
  <c r="D30" i="99"/>
  <c r="G36" i="103"/>
  <c r="F58" i="103"/>
  <c r="C24" i="105"/>
  <c r="H62" i="93"/>
  <c r="H83" i="93"/>
  <c r="H84" i="93" s="1"/>
  <c r="T103" i="92" l="1"/>
  <c r="V103" i="92" s="1"/>
  <c r="I68" i="93"/>
  <c r="I73" i="93" s="1"/>
  <c r="I77" i="93" s="1"/>
  <c r="C35" i="105"/>
  <c r="E35" i="105" s="1"/>
  <c r="E24" i="105"/>
  <c r="I45" i="93"/>
  <c r="I50" i="93"/>
  <c r="I51" i="93" s="1"/>
  <c r="J33" i="93"/>
  <c r="G58" i="103"/>
  <c r="I58" i="103" s="1"/>
  <c r="F69" i="103"/>
  <c r="G69" i="103" s="1"/>
  <c r="M62" i="92"/>
  <c r="N91" i="92"/>
  <c r="N115" i="92"/>
  <c r="N116" i="92" s="1"/>
  <c r="G32" i="91" s="1"/>
  <c r="H30" i="99"/>
  <c r="I30" i="99" s="1"/>
  <c r="D41" i="99"/>
  <c r="H41" i="99" s="1"/>
  <c r="I41" i="99" s="1"/>
  <c r="I39" i="93"/>
  <c r="I29" i="93" s="1"/>
  <c r="I61" i="93"/>
  <c r="I28" i="93"/>
  <c r="T102" i="92" s="1"/>
  <c r="V102" i="92" s="1"/>
  <c r="I78" i="93" l="1"/>
  <c r="T104" i="92"/>
  <c r="V104" i="92" s="1"/>
  <c r="F24" i="105"/>
  <c r="P24" i="105"/>
  <c r="Q24" i="105" s="1"/>
  <c r="P35" i="105"/>
  <c r="Q35" i="105" s="1"/>
  <c r="F35" i="105"/>
  <c r="I62" i="93"/>
  <c r="I83" i="93"/>
  <c r="I84" i="93" s="1"/>
  <c r="F20" i="91"/>
  <c r="J38" i="93"/>
  <c r="J44" i="93"/>
  <c r="J34" i="93"/>
  <c r="T71" i="92"/>
  <c r="T161" i="92"/>
  <c r="T97" i="92" l="1"/>
  <c r="T162" i="92" s="1"/>
  <c r="T163" i="92" s="1"/>
  <c r="X103" i="92"/>
  <c r="Z103" i="92" s="1"/>
  <c r="J68" i="93"/>
  <c r="J73" i="93" s="1"/>
  <c r="J77" i="93" s="1"/>
  <c r="J50" i="93"/>
  <c r="J51" i="93" s="1"/>
  <c r="J45" i="93"/>
  <c r="J61" i="93"/>
  <c r="J28" i="93"/>
  <c r="X102" i="92" s="1"/>
  <c r="Z102" i="92" s="1"/>
  <c r="J39" i="93"/>
  <c r="J29" i="93" s="1"/>
  <c r="V161" i="92"/>
  <c r="V94" i="92"/>
  <c r="V173" i="92"/>
  <c r="V93" i="92"/>
  <c r="X104" i="92" l="1"/>
  <c r="Z104" i="92" s="1"/>
  <c r="J78" i="93"/>
  <c r="V71" i="92"/>
  <c r="J62" i="93"/>
  <c r="J83" i="93"/>
  <c r="J84" i="93" s="1"/>
  <c r="R71" i="92"/>
  <c r="Q71" i="92"/>
  <c r="Q53" i="92" s="1"/>
  <c r="X71" i="92"/>
  <c r="X161" i="92"/>
  <c r="Q62" i="92" l="1"/>
  <c r="X97" i="92"/>
  <c r="X162" i="92" s="1"/>
  <c r="X163" i="92" s="1"/>
  <c r="Q97" i="92"/>
  <c r="Q162" i="92" s="1"/>
  <c r="Q163" i="92" s="1"/>
  <c r="Q72" i="92"/>
  <c r="O72" i="92"/>
  <c r="P72" i="92"/>
  <c r="Z16" i="92"/>
  <c r="Z18" i="92" s="1"/>
  <c r="S72" i="92"/>
  <c r="T72" i="92"/>
  <c r="U71" i="92"/>
  <c r="U53" i="92" s="1"/>
  <c r="R97" i="92"/>
  <c r="R162" i="92" s="1"/>
  <c r="R163" i="92" s="1"/>
  <c r="V97" i="92"/>
  <c r="V162" i="92" s="1"/>
  <c r="V163" i="92" s="1"/>
  <c r="Z173" i="92"/>
  <c r="Z93" i="92"/>
  <c r="Z94" i="92"/>
  <c r="Z161" i="92"/>
  <c r="U62" i="92" l="1"/>
  <c r="U97" i="92"/>
  <c r="U162" i="92" s="1"/>
  <c r="U163" i="92" s="1"/>
  <c r="U72" i="92"/>
  <c r="R115" i="92"/>
  <c r="R116" i="92" s="1"/>
  <c r="I32" i="91" s="1"/>
  <c r="R91" i="92"/>
  <c r="J20" i="91"/>
  <c r="H20" i="91"/>
  <c r="Y71" i="92"/>
  <c r="Y53" i="92" s="1"/>
  <c r="Y62" i="92" l="1"/>
  <c r="Y97" i="92"/>
  <c r="Y162" i="92" s="1"/>
  <c r="Y163" i="92" s="1"/>
  <c r="V115" i="92"/>
  <c r="V116" i="92" s="1"/>
  <c r="K32" i="91" s="1"/>
  <c r="V91" i="92"/>
  <c r="Z71" i="92"/>
  <c r="L20" i="91"/>
  <c r="W72" i="92" l="1"/>
  <c r="X72" i="92"/>
  <c r="Y72" i="92"/>
  <c r="Z97" i="92"/>
  <c r="Z162" i="92" s="1"/>
  <c r="Z163" i="92" s="1"/>
  <c r="Z91" i="92" l="1"/>
  <c r="Z115" i="92"/>
  <c r="Z116" i="92" s="1"/>
  <c r="M32" i="91" s="1"/>
  <c r="R32" i="91" s="1"/>
  <c r="F14" i="91" l="1"/>
  <c r="L96" i="92"/>
  <c r="K96" i="92"/>
  <c r="P96" i="92" l="1"/>
  <c r="S96" i="92"/>
  <c r="F8" i="91" l="1"/>
  <c r="O96" i="92"/>
  <c r="X96" i="92"/>
  <c r="W96" i="92"/>
  <c r="T96" i="92"/>
  <c r="J14" i="91" l="1"/>
  <c r="L14" i="91"/>
  <c r="L8" i="91"/>
  <c r="H8" i="91"/>
  <c r="D8" i="91" l="1"/>
  <c r="E8" i="91" s="1"/>
  <c r="G8" i="91" l="1"/>
  <c r="I8" i="91" l="1"/>
  <c r="D87" i="92" l="1"/>
  <c r="B14" i="91"/>
  <c r="C14" i="91" s="1"/>
  <c r="D14" i="91" l="1"/>
  <c r="E14" i="91" s="1"/>
  <c r="G14" i="91" l="1"/>
  <c r="G96" i="92"/>
  <c r="H96" i="92"/>
  <c r="F18" i="92" l="1"/>
  <c r="J25" i="92" l="1"/>
  <c r="D96" i="92" l="1"/>
  <c r="C51" i="92"/>
  <c r="C96" i="92" l="1"/>
  <c r="B20" i="91" l="1"/>
  <c r="C20" i="91"/>
  <c r="J8" i="91"/>
  <c r="K8" i="91" s="1"/>
  <c r="H14" i="91"/>
  <c r="I14" i="91" s="1"/>
  <c r="J57" i="92"/>
  <c r="J58" i="92"/>
  <c r="D19" i="92"/>
  <c r="D51" i="92"/>
  <c r="F51" i="92" s="1"/>
  <c r="J6" i="92"/>
  <c r="J8" i="92" s="1"/>
  <c r="M8" i="91" l="1"/>
  <c r="E20" i="91"/>
  <c r="C29" i="91"/>
  <c r="C33" i="91" s="1"/>
  <c r="K14" i="91"/>
  <c r="M14" i="91" s="1"/>
  <c r="N6" i="92"/>
  <c r="R6" i="92" s="1"/>
  <c r="D45" i="92"/>
  <c r="D44" i="92"/>
  <c r="D110" i="92"/>
  <c r="D58" i="92" s="1"/>
  <c r="H5" i="92"/>
  <c r="D60" i="92"/>
  <c r="D109" i="92"/>
  <c r="D57" i="92" s="1"/>
  <c r="D42" i="92"/>
  <c r="D20" i="92"/>
  <c r="H20" i="92" s="1"/>
  <c r="L20" i="92" s="1"/>
  <c r="P20" i="92" s="1"/>
  <c r="T20" i="92" s="1"/>
  <c r="X20" i="92" s="1"/>
  <c r="D41" i="92"/>
  <c r="D43" i="92"/>
  <c r="D56" i="92"/>
  <c r="D62" i="92" s="1"/>
  <c r="R8" i="92"/>
  <c r="N8" i="92"/>
  <c r="V6" i="92"/>
  <c r="F8" i="92"/>
  <c r="F19" i="92"/>
  <c r="E29" i="91" l="1"/>
  <c r="E33" i="91" s="1"/>
  <c r="G20" i="91"/>
  <c r="F28" i="92"/>
  <c r="F38" i="92"/>
  <c r="F49" i="92" s="1"/>
  <c r="F96" i="92" s="1"/>
  <c r="L5" i="92"/>
  <c r="H41" i="92"/>
  <c r="H43" i="92"/>
  <c r="H44" i="92"/>
  <c r="H6" i="92"/>
  <c r="H42" i="92"/>
  <c r="H110" i="92"/>
  <c r="H45" i="92"/>
  <c r="H109" i="92"/>
  <c r="V8" i="92"/>
  <c r="Z6" i="92"/>
  <c r="C44" i="92"/>
  <c r="C110" i="92"/>
  <c r="C58" i="92" s="1"/>
  <c r="G5" i="92"/>
  <c r="C60" i="92"/>
  <c r="F60" i="92" s="1"/>
  <c r="C41" i="92"/>
  <c r="C56" i="92"/>
  <c r="C43" i="92"/>
  <c r="C109" i="92"/>
  <c r="C57" i="92" s="1"/>
  <c r="C20" i="92"/>
  <c r="G20" i="92" s="1"/>
  <c r="C45" i="92"/>
  <c r="C42" i="92"/>
  <c r="G29" i="91" l="1"/>
  <c r="G33" i="91" s="1"/>
  <c r="I20" i="91"/>
  <c r="E58" i="92"/>
  <c r="F58" i="92" s="1"/>
  <c r="Z8" i="92"/>
  <c r="H19" i="92"/>
  <c r="H51" i="92"/>
  <c r="L42" i="92"/>
  <c r="L41" i="92"/>
  <c r="P5" i="92"/>
  <c r="L109" i="92"/>
  <c r="L45" i="92"/>
  <c r="L44" i="92"/>
  <c r="L43" i="92"/>
  <c r="L110" i="92"/>
  <c r="L48" i="92"/>
  <c r="L6" i="92"/>
  <c r="G44" i="92"/>
  <c r="G45" i="92"/>
  <c r="G110" i="92"/>
  <c r="G42" i="92"/>
  <c r="G6" i="92"/>
  <c r="G43" i="92"/>
  <c r="G41" i="92"/>
  <c r="K5" i="92"/>
  <c r="G109" i="92"/>
  <c r="C62" i="92"/>
  <c r="F56" i="92"/>
  <c r="K20" i="92"/>
  <c r="J20" i="92"/>
  <c r="J22" i="92" s="1"/>
  <c r="E57" i="92"/>
  <c r="E62" i="92" s="1"/>
  <c r="K20" i="91" l="1"/>
  <c r="I29" i="91"/>
  <c r="I33" i="91" s="1"/>
  <c r="F57" i="92"/>
  <c r="F62" i="92" s="1"/>
  <c r="F74" i="92" s="1"/>
  <c r="F84" i="92" s="1"/>
  <c r="J29" i="92"/>
  <c r="J30" i="92" s="1"/>
  <c r="G19" i="92"/>
  <c r="J19" i="92" s="1"/>
  <c r="G51" i="92"/>
  <c r="P42" i="92"/>
  <c r="P41" i="92"/>
  <c r="P109" i="92"/>
  <c r="P45" i="92"/>
  <c r="T5" i="92"/>
  <c r="P44" i="92"/>
  <c r="P48" i="92"/>
  <c r="P110" i="92"/>
  <c r="P43" i="92"/>
  <c r="P6" i="92"/>
  <c r="N20" i="92"/>
  <c r="N22" i="92" s="1"/>
  <c r="O20" i="92"/>
  <c r="K44" i="92"/>
  <c r="K41" i="92"/>
  <c r="K48" i="92"/>
  <c r="K109" i="92"/>
  <c r="K45" i="92"/>
  <c r="K110" i="92"/>
  <c r="K43" i="92"/>
  <c r="K42" i="92"/>
  <c r="O5" i="92"/>
  <c r="K6" i="92"/>
  <c r="L51" i="92"/>
  <c r="L19" i="92"/>
  <c r="M20" i="91" l="1"/>
  <c r="M29" i="91" s="1"/>
  <c r="K29" i="91"/>
  <c r="K33" i="91" s="1"/>
  <c r="F87" i="92"/>
  <c r="B29" i="91"/>
  <c r="O42" i="92"/>
  <c r="O41" i="92"/>
  <c r="O109" i="92"/>
  <c r="O45" i="92"/>
  <c r="S5" i="92"/>
  <c r="O43" i="92"/>
  <c r="O44" i="92"/>
  <c r="O110" i="92"/>
  <c r="O48" i="92"/>
  <c r="O6" i="92"/>
  <c r="X5" i="92"/>
  <c r="T45" i="92"/>
  <c r="T42" i="92"/>
  <c r="T109" i="92"/>
  <c r="T48" i="92"/>
  <c r="T44" i="92"/>
  <c r="T110" i="92"/>
  <c r="T41" i="92"/>
  <c r="T43" i="92"/>
  <c r="T6" i="92"/>
  <c r="J39" i="92"/>
  <c r="J38" i="92"/>
  <c r="J49" i="92" s="1"/>
  <c r="R20" i="92"/>
  <c r="R22" i="92" s="1"/>
  <c r="S20" i="92"/>
  <c r="J51" i="92"/>
  <c r="H52" i="92" s="1"/>
  <c r="N29" i="92"/>
  <c r="N30" i="92" s="1"/>
  <c r="K19" i="92"/>
  <c r="N19" i="92" s="1"/>
  <c r="K51" i="92"/>
  <c r="P19" i="92"/>
  <c r="P51" i="92"/>
  <c r="R29" i="91" l="1"/>
  <c r="M33" i="91"/>
  <c r="R33" i="91" s="1"/>
  <c r="J96" i="92"/>
  <c r="J98" i="92" s="1"/>
  <c r="J62" i="92"/>
  <c r="J74" i="92" s="1"/>
  <c r="J84" i="92" s="1"/>
  <c r="O19" i="92"/>
  <c r="R19" i="92" s="1"/>
  <c r="O51" i="92"/>
  <c r="N39" i="92"/>
  <c r="N38" i="92"/>
  <c r="N49" i="92" s="1"/>
  <c r="S44" i="92"/>
  <c r="S41" i="92"/>
  <c r="S109" i="92"/>
  <c r="S45" i="92"/>
  <c r="S42" i="92"/>
  <c r="S48" i="92"/>
  <c r="W5" i="92"/>
  <c r="S110" i="92"/>
  <c r="S43" i="92"/>
  <c r="S6" i="92"/>
  <c r="H54" i="92"/>
  <c r="H53" i="92"/>
  <c r="H62" i="92" s="1"/>
  <c r="G52" i="92"/>
  <c r="V20" i="92"/>
  <c r="V22" i="92" s="1"/>
  <c r="W20" i="92"/>
  <c r="Z20" i="92" s="1"/>
  <c r="Z22" i="92" s="1"/>
  <c r="T19" i="92"/>
  <c r="T51" i="92"/>
  <c r="N51" i="92"/>
  <c r="L52" i="92" s="1"/>
  <c r="R29" i="92"/>
  <c r="R30" i="92"/>
  <c r="X43" i="92"/>
  <c r="X45" i="92"/>
  <c r="X109" i="92"/>
  <c r="X41" i="92"/>
  <c r="X44" i="92"/>
  <c r="X48" i="92"/>
  <c r="X110" i="92"/>
  <c r="X42" i="92"/>
  <c r="X6" i="92"/>
  <c r="F89" i="92"/>
  <c r="J86" i="92"/>
  <c r="V29" i="92" l="1"/>
  <c r="V30" i="92" s="1"/>
  <c r="J52" i="92"/>
  <c r="G53" i="92"/>
  <c r="G54" i="92"/>
  <c r="R39" i="92"/>
  <c r="R38" i="92"/>
  <c r="R49" i="92" s="1"/>
  <c r="S19" i="92"/>
  <c r="V19" i="92" s="1"/>
  <c r="S51" i="92"/>
  <c r="L68" i="112"/>
  <c r="N96" i="92"/>
  <c r="N98" i="92" s="1"/>
  <c r="N62" i="92"/>
  <c r="N74" i="92" s="1"/>
  <c r="N84" i="92" s="1"/>
  <c r="L63" i="113"/>
  <c r="J87" i="92"/>
  <c r="D29" i="91"/>
  <c r="R51" i="92"/>
  <c r="P52" i="92" s="1"/>
  <c r="F92" i="92"/>
  <c r="C31" i="91" s="1"/>
  <c r="F88" i="92"/>
  <c r="C30" i="91" s="1"/>
  <c r="L53" i="92"/>
  <c r="L54" i="92"/>
  <c r="X51" i="92"/>
  <c r="X19" i="92"/>
  <c r="K52" i="92"/>
  <c r="Z29" i="92"/>
  <c r="Z30" i="92" s="1"/>
  <c r="W44" i="92"/>
  <c r="W45" i="92"/>
  <c r="W48" i="92"/>
  <c r="W42" i="92"/>
  <c r="W43" i="92"/>
  <c r="W110" i="92"/>
  <c r="W109" i="92"/>
  <c r="W41" i="92"/>
  <c r="W6" i="92"/>
  <c r="G62" i="92" l="1"/>
  <c r="F29" i="91"/>
  <c r="W19" i="92"/>
  <c r="Z19" i="92" s="1"/>
  <c r="W51" i="92"/>
  <c r="P54" i="92"/>
  <c r="P53" i="92"/>
  <c r="L72" i="112"/>
  <c r="L76" i="112"/>
  <c r="V38" i="92"/>
  <c r="V49" i="92" s="1"/>
  <c r="V39" i="92"/>
  <c r="Z39" i="92"/>
  <c r="Z38" i="92"/>
  <c r="Z49" i="92" s="1"/>
  <c r="R96" i="92"/>
  <c r="R98" i="92" s="1"/>
  <c r="R62" i="92"/>
  <c r="R74" i="92" s="1"/>
  <c r="R84" i="92" s="1"/>
  <c r="J89" i="92"/>
  <c r="N86" i="92"/>
  <c r="N87" i="92" s="1"/>
  <c r="N89" i="92" s="1"/>
  <c r="K53" i="92"/>
  <c r="N52" i="92"/>
  <c r="K54" i="92"/>
  <c r="L62" i="92"/>
  <c r="O52" i="92"/>
  <c r="L67" i="113"/>
  <c r="L73" i="113"/>
  <c r="V51" i="92"/>
  <c r="T52" i="92" s="1"/>
  <c r="P62" i="92" l="1"/>
  <c r="R86" i="92"/>
  <c r="R87" i="92" s="1"/>
  <c r="R89" i="92" s="1"/>
  <c r="N88" i="92"/>
  <c r="G30" i="91" s="1"/>
  <c r="N92" i="92"/>
  <c r="G31" i="91" s="1"/>
  <c r="Z51" i="92"/>
  <c r="X52" i="92" s="1"/>
  <c r="H29" i="91"/>
  <c r="V96" i="92"/>
  <c r="V98" i="92" s="1"/>
  <c r="V62" i="92"/>
  <c r="V74" i="92" s="1"/>
  <c r="V84" i="92" s="1"/>
  <c r="J88" i="92"/>
  <c r="E30" i="91" s="1"/>
  <c r="J92" i="92"/>
  <c r="E31" i="91" s="1"/>
  <c r="T53" i="92"/>
  <c r="T54" i="92"/>
  <c r="R52" i="92"/>
  <c r="O53" i="92"/>
  <c r="O54" i="92"/>
  <c r="K62" i="92"/>
  <c r="S52" i="92"/>
  <c r="Z96" i="92"/>
  <c r="Z98" i="92" s="1"/>
  <c r="Z62" i="92"/>
  <c r="Z74" i="92" s="1"/>
  <c r="Z84" i="92" s="1"/>
  <c r="T62" i="92" l="1"/>
  <c r="W52" i="92"/>
  <c r="W54" i="92" s="1"/>
  <c r="V86" i="92"/>
  <c r="V87" i="92" s="1"/>
  <c r="V89" i="92" s="1"/>
  <c r="R88" i="92"/>
  <c r="I30" i="91" s="1"/>
  <c r="R92" i="92"/>
  <c r="I31" i="91" s="1"/>
  <c r="L29" i="91"/>
  <c r="O62" i="92"/>
  <c r="S54" i="92"/>
  <c r="S53" i="92"/>
  <c r="V52" i="92"/>
  <c r="J29" i="91"/>
  <c r="X54" i="92"/>
  <c r="X53" i="92"/>
  <c r="X62" i="92" l="1"/>
  <c r="S62" i="92"/>
  <c r="Z52" i="92"/>
  <c r="W53" i="92"/>
  <c r="W62" i="92" s="1"/>
  <c r="Z86" i="92"/>
  <c r="Z87" i="92" s="1"/>
  <c r="Z89" i="92" s="1"/>
  <c r="V88" i="92"/>
  <c r="K30" i="91" s="1"/>
  <c r="V92" i="92"/>
  <c r="K31" i="91" s="1"/>
  <c r="Z92" i="92" l="1"/>
  <c r="M31" i="91" s="1"/>
  <c r="R31" i="91" s="1"/>
  <c r="Z88" i="92"/>
  <c r="M30" i="91" s="1"/>
  <c r="R30" i="91" s="1"/>
</calcChain>
</file>

<file path=xl/comments1.xml><?xml version="1.0" encoding="utf-8"?>
<comments xmlns="http://schemas.openxmlformats.org/spreadsheetml/2006/main">
  <authors>
    <author>Torres</author>
  </authors>
  <commentList>
    <comment ref="K22" authorId="0" shapeId="0">
      <text>
        <r>
          <rPr>
            <b/>
            <sz val="9"/>
            <color indexed="81"/>
            <rFont val="Tahoma"/>
            <family val="2"/>
          </rPr>
          <t>Torres:</t>
        </r>
        <r>
          <rPr>
            <sz val="9"/>
            <color indexed="81"/>
            <rFont val="Tahoma"/>
            <family val="2"/>
          </rPr>
          <t xml:space="preserve">
Last year's funded + las year's fall out + 2% growth</t>
        </r>
      </text>
    </comment>
    <comment ref="R22" authorId="0" shapeId="0">
      <text>
        <r>
          <rPr>
            <b/>
            <sz val="9"/>
            <color indexed="81"/>
            <rFont val="Tahoma"/>
            <family val="2"/>
          </rPr>
          <t>Torres:</t>
        </r>
        <r>
          <rPr>
            <sz val="9"/>
            <color indexed="81"/>
            <rFont val="Tahoma"/>
            <family val="2"/>
          </rPr>
          <t xml:space="preserve">
Last year's funded + las year's fall out + 2% growth</t>
        </r>
      </text>
    </comment>
  </commentList>
</comments>
</file>

<file path=xl/comments2.xml><?xml version="1.0" encoding="utf-8"?>
<comments xmlns="http://schemas.openxmlformats.org/spreadsheetml/2006/main">
  <authors>
    <author>Alexander, Tenille C</author>
  </authors>
  <commentList>
    <comment ref="K8" authorId="0" shapeId="0">
      <text>
        <r>
          <rPr>
            <b/>
            <sz val="9"/>
            <color indexed="81"/>
            <rFont val="Tahoma"/>
            <family val="2"/>
          </rPr>
          <t>Alexander, Tenille C:</t>
        </r>
        <r>
          <rPr>
            <sz val="9"/>
            <color indexed="81"/>
            <rFont val="Tahoma"/>
            <family val="2"/>
          </rPr>
          <t xml:space="preserve">
Final FTES per audit adjustment</t>
        </r>
      </text>
    </comment>
    <comment ref="L8" authorId="0" shapeId="0">
      <text>
        <r>
          <rPr>
            <b/>
            <sz val="9"/>
            <color indexed="81"/>
            <rFont val="Tahoma"/>
            <family val="2"/>
          </rPr>
          <t>Alexander, Tenille C:</t>
        </r>
        <r>
          <rPr>
            <sz val="9"/>
            <color indexed="81"/>
            <rFont val="Tahoma"/>
            <family val="2"/>
          </rPr>
          <t xml:space="preserve">
Final FTES per audit adjustment
</t>
        </r>
      </text>
    </comment>
  </commentList>
</comments>
</file>

<file path=xl/comments3.xml><?xml version="1.0" encoding="utf-8"?>
<comments xmlns="http://schemas.openxmlformats.org/spreadsheetml/2006/main">
  <authors>
    <author>Strong, Lawrence P</author>
  </authors>
  <commentList>
    <comment ref="D58" authorId="0" shapeId="0">
      <text>
        <r>
          <rPr>
            <b/>
            <sz val="9"/>
            <color indexed="81"/>
            <rFont val="Tahoma"/>
            <family val="2"/>
          </rPr>
          <t>Strong, Lawrence P:</t>
        </r>
        <r>
          <rPr>
            <sz val="9"/>
            <color indexed="81"/>
            <rFont val="Tahoma"/>
            <family val="2"/>
          </rPr>
          <t xml:space="preserve">
Why hard coded? (5/12/17)</t>
        </r>
      </text>
    </comment>
  </commentList>
</comments>
</file>

<file path=xl/comments4.xml><?xml version="1.0" encoding="utf-8"?>
<comments xmlns="http://schemas.openxmlformats.org/spreadsheetml/2006/main">
  <authors>
    <author>Strong, Lawrence P</author>
  </authors>
  <commentList>
    <comment ref="C8" authorId="0" shapeId="0">
      <text>
        <r>
          <rPr>
            <b/>
            <sz val="9"/>
            <color indexed="81"/>
            <rFont val="Tahoma"/>
            <family val="2"/>
          </rPr>
          <t>Strong, Lawrence P:</t>
        </r>
        <r>
          <rPr>
            <sz val="9"/>
            <color indexed="81"/>
            <rFont val="Tahoma"/>
            <family val="2"/>
          </rPr>
          <t xml:space="preserve">
Why formula includes $3,451,673 figure.  Should reference a cell, not include a number. (5/12/17)</t>
        </r>
      </text>
    </comment>
    <comment ref="C14" authorId="0" shapeId="0">
      <text>
        <r>
          <rPr>
            <b/>
            <sz val="9"/>
            <color indexed="81"/>
            <rFont val="Tahoma"/>
            <family val="2"/>
          </rPr>
          <t>Strong, Lawrence P:</t>
        </r>
        <r>
          <rPr>
            <sz val="9"/>
            <color indexed="81"/>
            <rFont val="Tahoma"/>
            <family val="2"/>
          </rPr>
          <t xml:space="preserve">
Why formula includes number? (5/12/17)</t>
        </r>
      </text>
    </comment>
    <comment ref="C20" authorId="0" shapeId="0">
      <text>
        <r>
          <rPr>
            <b/>
            <sz val="9"/>
            <color indexed="81"/>
            <rFont val="Tahoma"/>
            <family val="2"/>
          </rPr>
          <t>Strong, Lawrence P:</t>
        </r>
        <r>
          <rPr>
            <sz val="9"/>
            <color indexed="81"/>
            <rFont val="Tahoma"/>
            <family val="2"/>
          </rPr>
          <t xml:space="preserve">
Why formula includes number?  (5/12/17)</t>
        </r>
      </text>
    </comment>
  </commentList>
</comments>
</file>

<file path=xl/comments5.xml><?xml version="1.0" encoding="utf-8"?>
<comments xmlns="http://schemas.openxmlformats.org/spreadsheetml/2006/main">
  <authors>
    <author>Strong, Lawrence P</author>
    <author>Alexander, Tenille C</author>
    <author>Jose Torres</author>
    <author>Torres, Jose Felipe</author>
  </authors>
  <commentList>
    <comment ref="F6" authorId="0" shapeId="0">
      <text>
        <r>
          <rPr>
            <b/>
            <sz val="9"/>
            <color indexed="81"/>
            <rFont val="Tahoma"/>
            <family val="2"/>
          </rPr>
          <t>Strong, Lawrence P:</t>
        </r>
        <r>
          <rPr>
            <sz val="9"/>
            <color indexed="81"/>
            <rFont val="Tahoma"/>
            <family val="2"/>
          </rPr>
          <t xml:space="preserve">
Based on FTES Reports from Colleges</t>
        </r>
      </text>
    </comment>
    <comment ref="J6" authorId="0" shapeId="0">
      <text>
        <r>
          <rPr>
            <b/>
            <sz val="9"/>
            <color indexed="81"/>
            <rFont val="Tahoma"/>
            <family val="2"/>
          </rPr>
          <t>Strong, Lawrence P:</t>
        </r>
        <r>
          <rPr>
            <sz val="9"/>
            <color indexed="81"/>
            <rFont val="Tahoma"/>
            <family val="2"/>
          </rPr>
          <t xml:space="preserve">
Increased 2019-20 by .55% per May Revise Chancellor's Office update stating this is funded entrollment growth max</t>
        </r>
      </text>
    </comment>
    <comment ref="N17" authorId="1" shapeId="0">
      <text>
        <r>
          <rPr>
            <b/>
            <sz val="9"/>
            <color indexed="81"/>
            <rFont val="Tahoma"/>
            <family val="2"/>
          </rPr>
          <t>Alexander, Tenille C:</t>
        </r>
        <r>
          <rPr>
            <sz val="9"/>
            <color indexed="81"/>
            <rFont val="Tahoma"/>
            <family val="2"/>
          </rPr>
          <t xml:space="preserve">
Increased the prior year by the same percentage as the credit FTES rate</t>
        </r>
      </text>
    </comment>
    <comment ref="R17" authorId="1" shapeId="0">
      <text>
        <r>
          <rPr>
            <b/>
            <sz val="9"/>
            <color indexed="81"/>
            <rFont val="Tahoma"/>
            <family val="2"/>
          </rPr>
          <t>Alexander, Tenille C:</t>
        </r>
        <r>
          <rPr>
            <sz val="9"/>
            <color indexed="81"/>
            <rFont val="Tahoma"/>
            <family val="2"/>
          </rPr>
          <t xml:space="preserve">
Increased the prior year by the same percentage as the credit FTES rate</t>
        </r>
      </text>
    </comment>
    <comment ref="V17" authorId="1" shapeId="0">
      <text>
        <r>
          <rPr>
            <b/>
            <sz val="9"/>
            <color indexed="81"/>
            <rFont val="Tahoma"/>
            <family val="2"/>
          </rPr>
          <t>Alexander, Tenille C:</t>
        </r>
        <r>
          <rPr>
            <sz val="9"/>
            <color indexed="81"/>
            <rFont val="Tahoma"/>
            <family val="2"/>
          </rPr>
          <t xml:space="preserve">
Increased the prior year by the same percentage as the credit FTES rate</t>
        </r>
      </text>
    </comment>
    <comment ref="Z17" authorId="1" shapeId="0">
      <text>
        <r>
          <rPr>
            <b/>
            <sz val="9"/>
            <color indexed="81"/>
            <rFont val="Tahoma"/>
            <family val="2"/>
          </rPr>
          <t>Alexander, Tenille C:</t>
        </r>
        <r>
          <rPr>
            <sz val="9"/>
            <color indexed="81"/>
            <rFont val="Tahoma"/>
            <family val="2"/>
          </rPr>
          <t xml:space="preserve">
Increased the prior year by the same percentage as the credit FTES rate</t>
        </r>
      </text>
    </comment>
    <comment ref="F29" authorId="0" shapeId="0">
      <text>
        <r>
          <rPr>
            <b/>
            <sz val="9"/>
            <color indexed="81"/>
            <rFont val="Tahoma"/>
            <family val="2"/>
          </rPr>
          <t>Strong, Lawrence P:</t>
        </r>
        <r>
          <rPr>
            <sz val="9"/>
            <color indexed="81"/>
            <rFont val="Tahoma"/>
            <family val="2"/>
          </rPr>
          <t xml:space="preserve">
Per Christian Osmena, state shortfall estimate is $50M.  Our share at .01363 is about $680K</t>
        </r>
      </text>
    </comment>
    <comment ref="C37" authorId="0" shapeId="0">
      <text>
        <r>
          <rPr>
            <b/>
            <sz val="9"/>
            <color indexed="81"/>
            <rFont val="Tahoma"/>
            <family val="2"/>
          </rPr>
          <t>Strong, Lawrence P:</t>
        </r>
        <r>
          <rPr>
            <sz val="9"/>
            <color indexed="81"/>
            <rFont val="Tahoma"/>
            <family val="2"/>
          </rPr>
          <t xml:space="preserve">
What is the number $490,997 in this formula? (5/12/17)</t>
        </r>
      </text>
    </comment>
    <comment ref="D37" authorId="0" shapeId="0">
      <text>
        <r>
          <rPr>
            <b/>
            <sz val="9"/>
            <color indexed="81"/>
            <rFont val="Tahoma"/>
            <family val="2"/>
          </rPr>
          <t>Strong, Lawrence P:</t>
        </r>
        <r>
          <rPr>
            <sz val="9"/>
            <color indexed="81"/>
            <rFont val="Tahoma"/>
            <family val="2"/>
          </rPr>
          <t xml:space="preserve">
What number is this in the formula? (5/12/17)  We moved the district portion to the colleges. (5/17/17)…same for cell G23.</t>
        </r>
      </text>
    </comment>
    <comment ref="E37" authorId="0" shapeId="0">
      <text>
        <r>
          <rPr>
            <b/>
            <sz val="9"/>
            <color indexed="81"/>
            <rFont val="Tahoma"/>
            <family val="2"/>
          </rPr>
          <t>Strong, Lawrence P:</t>
        </r>
        <r>
          <rPr>
            <sz val="9"/>
            <color indexed="81"/>
            <rFont val="Tahoma"/>
            <family val="2"/>
          </rPr>
          <t xml:space="preserve">
Where did this number come from? (5/12/17)  We moved $369,301 from the district to the colleges (5/17/17)</t>
        </r>
      </text>
    </comment>
    <comment ref="J37" authorId="0" shapeId="0">
      <text>
        <r>
          <rPr>
            <b/>
            <sz val="9"/>
            <color indexed="81"/>
            <rFont val="Tahoma"/>
            <family val="2"/>
          </rPr>
          <t>Strong, Lawrence P:</t>
        </r>
        <r>
          <rPr>
            <sz val="9"/>
            <color indexed="81"/>
            <rFont val="Tahoma"/>
            <family val="2"/>
          </rPr>
          <t xml:space="preserve">
Base augmentation per Exhibit C at P2.</t>
        </r>
      </text>
    </comment>
    <comment ref="N37" authorId="0" shapeId="0">
      <text>
        <r>
          <rPr>
            <b/>
            <sz val="9"/>
            <color indexed="81"/>
            <rFont val="Tahoma"/>
            <family val="2"/>
          </rPr>
          <t>Strong, Lawrence P:</t>
        </r>
        <r>
          <rPr>
            <sz val="9"/>
            <color indexed="81"/>
            <rFont val="Tahoma"/>
            <family val="2"/>
          </rPr>
          <t xml:space="preserve">
Base augmentation per Exhibit C at P2.</t>
        </r>
      </text>
    </comment>
    <comment ref="R37" authorId="0" shapeId="0">
      <text>
        <r>
          <rPr>
            <b/>
            <sz val="9"/>
            <color indexed="81"/>
            <rFont val="Tahoma"/>
            <family val="2"/>
          </rPr>
          <t>Strong, Lawrence P:</t>
        </r>
        <r>
          <rPr>
            <sz val="9"/>
            <color indexed="81"/>
            <rFont val="Tahoma"/>
            <family val="2"/>
          </rPr>
          <t xml:space="preserve">
Base augmentation per Exhibit C at P2.</t>
        </r>
      </text>
    </comment>
    <comment ref="V37" authorId="0" shapeId="0">
      <text>
        <r>
          <rPr>
            <b/>
            <sz val="9"/>
            <color indexed="81"/>
            <rFont val="Tahoma"/>
            <family val="2"/>
          </rPr>
          <t>Strong, Lawrence P:</t>
        </r>
        <r>
          <rPr>
            <sz val="9"/>
            <color indexed="81"/>
            <rFont val="Tahoma"/>
            <family val="2"/>
          </rPr>
          <t xml:space="preserve">
Base augmentation per Exhibit C at P2.</t>
        </r>
      </text>
    </comment>
    <comment ref="Z37" authorId="0" shapeId="0">
      <text>
        <r>
          <rPr>
            <b/>
            <sz val="9"/>
            <color indexed="81"/>
            <rFont val="Tahoma"/>
            <family val="2"/>
          </rPr>
          <t>Strong, Lawrence P:</t>
        </r>
        <r>
          <rPr>
            <sz val="9"/>
            <color indexed="81"/>
            <rFont val="Tahoma"/>
            <family val="2"/>
          </rPr>
          <t xml:space="preserve">
Base augmentation per Exhibit C at P2.</t>
        </r>
      </text>
    </comment>
    <comment ref="I48" authorId="1" shapeId="0">
      <text>
        <r>
          <rPr>
            <b/>
            <sz val="9"/>
            <color indexed="81"/>
            <rFont val="Tahoma"/>
            <family val="2"/>
          </rPr>
          <t>Alexander, Tenille C:</t>
        </r>
        <r>
          <rPr>
            <sz val="9"/>
            <color indexed="81"/>
            <rFont val="Tahoma"/>
            <family val="2"/>
          </rPr>
          <t xml:space="preserve">
DSS One-Time from FCC Auction Fund</t>
        </r>
      </text>
    </comment>
    <comment ref="E59" authorId="2" shapeId="0">
      <text>
        <r>
          <rPr>
            <b/>
            <sz val="9"/>
            <color indexed="81"/>
            <rFont val="Tahoma"/>
            <family val="2"/>
          </rPr>
          <t>Jose Torres:</t>
        </r>
        <r>
          <rPr>
            <sz val="9"/>
            <color indexed="81"/>
            <rFont val="Tahoma"/>
            <family val="2"/>
          </rPr>
          <t xml:space="preserve">
50% of Expenses</t>
        </r>
      </text>
    </comment>
    <comment ref="I67" authorId="3" shapeId="0">
      <text>
        <r>
          <rPr>
            <b/>
            <sz val="9"/>
            <color indexed="81"/>
            <rFont val="Tahoma"/>
            <family val="2"/>
          </rPr>
          <t>Torres, Jose Felipe:</t>
        </r>
        <r>
          <rPr>
            <sz val="9"/>
            <color indexed="81"/>
            <rFont val="Tahoma"/>
            <family val="2"/>
          </rPr>
          <t xml:space="preserve">
Minus Number is the Block Grant Amount</t>
        </r>
      </text>
    </comment>
    <comment ref="I69" authorId="3" shapeId="0">
      <text>
        <r>
          <rPr>
            <b/>
            <sz val="9"/>
            <color indexed="81"/>
            <rFont val="Tahoma"/>
            <family val="2"/>
          </rPr>
          <t>Torres, Jose Felipe:</t>
        </r>
        <r>
          <rPr>
            <sz val="9"/>
            <color indexed="81"/>
            <rFont val="Tahoma"/>
            <family val="2"/>
          </rPr>
          <t xml:space="preserve">
-EDCT Foundation Director $185,000
-Part-time Admin Assistant $65,000
Total: $250,000
</t>
        </r>
      </text>
    </comment>
    <comment ref="M69" authorId="3" shapeId="0">
      <text>
        <r>
          <rPr>
            <b/>
            <sz val="9"/>
            <color indexed="81"/>
            <rFont val="Tahoma"/>
            <family val="2"/>
          </rPr>
          <t>Torres, Jose Felipe:</t>
        </r>
        <r>
          <rPr>
            <sz val="9"/>
            <color indexed="81"/>
            <rFont val="Tahoma"/>
            <family val="2"/>
          </rPr>
          <t xml:space="preserve">
-EDCT Foundation Director $170,000
-Part-time Admin Assistant $50,000
Total: $220,000
</t>
        </r>
      </text>
    </comment>
    <comment ref="Q69" authorId="3" shapeId="0">
      <text>
        <r>
          <rPr>
            <b/>
            <sz val="9"/>
            <color indexed="81"/>
            <rFont val="Tahoma"/>
            <family val="2"/>
          </rPr>
          <t>Torres, Jose Felipe:</t>
        </r>
        <r>
          <rPr>
            <sz val="9"/>
            <color indexed="81"/>
            <rFont val="Tahoma"/>
            <family val="2"/>
          </rPr>
          <t xml:space="preserve">
-EDCT Foundation Director $170,000
-Part-time Admin Assistant $50,000
Total: $220,000
</t>
        </r>
      </text>
    </comment>
    <comment ref="U69" authorId="3" shapeId="0">
      <text>
        <r>
          <rPr>
            <b/>
            <sz val="9"/>
            <color indexed="81"/>
            <rFont val="Tahoma"/>
            <family val="2"/>
          </rPr>
          <t>Torres, Jose Felipe:</t>
        </r>
        <r>
          <rPr>
            <sz val="9"/>
            <color indexed="81"/>
            <rFont val="Tahoma"/>
            <family val="2"/>
          </rPr>
          <t xml:space="preserve">
-EDCT Foundation Director $170,000
-Part-time Admin Assistant $50,000
Total: $220,000
</t>
        </r>
      </text>
    </comment>
    <comment ref="Y69" authorId="3" shapeId="0">
      <text>
        <r>
          <rPr>
            <b/>
            <sz val="9"/>
            <color indexed="81"/>
            <rFont val="Tahoma"/>
            <family val="2"/>
          </rPr>
          <t>Torres, Jose Felipe:</t>
        </r>
        <r>
          <rPr>
            <sz val="9"/>
            <color indexed="81"/>
            <rFont val="Tahoma"/>
            <family val="2"/>
          </rPr>
          <t xml:space="preserve">
-EDCT Foundation Director $170,000
-Part-time Admin Assistant $50,000
Total: $220,000
</t>
        </r>
      </text>
    </comment>
    <comment ref="E79" authorId="3" shapeId="0">
      <text>
        <r>
          <rPr>
            <b/>
            <sz val="9"/>
            <color indexed="81"/>
            <rFont val="Tahoma"/>
            <family val="2"/>
          </rPr>
          <t>Torres, Jose Felipe:</t>
        </r>
        <r>
          <rPr>
            <sz val="9"/>
            <color indexed="81"/>
            <rFont val="Tahoma"/>
            <family val="2"/>
          </rPr>
          <t xml:space="preserve">
-$3,200,000 for one-time expenses (fund 41)
-$1,500,000 for future STRS/PERS (fund 78)
-$22,000 for Citadel (Fund 84)
-$550,000 for Early Retirement is in the 3000's under District Office Column</t>
        </r>
      </text>
    </comment>
    <comment ref="C80" authorId="3" shapeId="0">
      <text>
        <r>
          <rPr>
            <b/>
            <sz val="9"/>
            <color indexed="81"/>
            <rFont val="Tahoma"/>
            <family val="2"/>
          </rPr>
          <t>Torres, Jose Felipe:</t>
        </r>
        <r>
          <rPr>
            <sz val="9"/>
            <color indexed="81"/>
            <rFont val="Tahoma"/>
            <family val="2"/>
          </rPr>
          <t xml:space="preserve">
Increase in retirment systems for 4 years</t>
        </r>
      </text>
    </comment>
    <comment ref="D80" authorId="3" shapeId="0">
      <text>
        <r>
          <rPr>
            <b/>
            <sz val="9"/>
            <color indexed="81"/>
            <rFont val="Tahoma"/>
            <family val="2"/>
          </rPr>
          <t>Torres, Jose Felipe:</t>
        </r>
        <r>
          <rPr>
            <sz val="9"/>
            <color indexed="81"/>
            <rFont val="Tahoma"/>
            <family val="2"/>
          </rPr>
          <t xml:space="preserve">
Increase in retirment systems for 4 years</t>
        </r>
      </text>
    </comment>
    <comment ref="F81" authorId="1" shapeId="0">
      <text>
        <r>
          <rPr>
            <b/>
            <sz val="9"/>
            <color indexed="81"/>
            <rFont val="Tahoma"/>
            <family val="2"/>
          </rPr>
          <t>Alexander, Tenille C:</t>
        </r>
        <r>
          <rPr>
            <sz val="9"/>
            <color indexed="81"/>
            <rFont val="Tahoma"/>
            <family val="2"/>
          </rPr>
          <t xml:space="preserve">
CSEA 3% Retro</t>
        </r>
      </text>
    </comment>
    <comment ref="E83" authorId="2" shapeId="0">
      <text>
        <r>
          <rPr>
            <b/>
            <sz val="9"/>
            <color indexed="81"/>
            <rFont val="Tahoma"/>
            <family val="2"/>
          </rPr>
          <t>Jose Torres:</t>
        </r>
        <r>
          <rPr>
            <sz val="9"/>
            <color indexed="81"/>
            <rFont val="Tahoma"/>
            <family val="2"/>
          </rPr>
          <t xml:space="preserve">
KVCR = $300,000
EDCT Found = $200,000</t>
        </r>
      </text>
    </comment>
    <comment ref="G134" authorId="3" shapeId="0">
      <text>
        <r>
          <rPr>
            <b/>
            <sz val="9"/>
            <color indexed="81"/>
            <rFont val="Tahoma"/>
            <family val="2"/>
          </rPr>
          <t>Torres, Jose Felipe:</t>
        </r>
        <r>
          <rPr>
            <sz val="9"/>
            <color indexed="81"/>
            <rFont val="Tahoma"/>
            <family val="2"/>
          </rPr>
          <t xml:space="preserve">
Bruce committed to 8 + 3 from Early Retirement</t>
        </r>
      </text>
    </comment>
    <comment ref="H134" authorId="3" shapeId="0">
      <text>
        <r>
          <rPr>
            <b/>
            <sz val="9"/>
            <color indexed="81"/>
            <rFont val="Tahoma"/>
            <family val="2"/>
          </rPr>
          <t>Torres, Jose Felipe:</t>
        </r>
        <r>
          <rPr>
            <sz val="9"/>
            <color indexed="81"/>
            <rFont val="Tahoma"/>
            <family val="2"/>
          </rPr>
          <t xml:space="preserve">
Bruce committed to 3 + 1 from Early Retirement</t>
        </r>
      </text>
    </comment>
  </commentList>
</comments>
</file>

<file path=xl/comments6.xml><?xml version="1.0" encoding="utf-8"?>
<comments xmlns="http://schemas.openxmlformats.org/spreadsheetml/2006/main">
  <authors>
    <author>Strong, Lawrence P</author>
  </authors>
  <commentList>
    <comment ref="H67" authorId="0" shapeId="0">
      <text>
        <r>
          <rPr>
            <b/>
            <sz val="9"/>
            <color indexed="81"/>
            <rFont val="Tahoma"/>
            <family val="2"/>
          </rPr>
          <t>Strong, Lawrence P:</t>
        </r>
        <r>
          <rPr>
            <sz val="9"/>
            <color indexed="81"/>
            <rFont val="Tahoma"/>
            <family val="2"/>
          </rPr>
          <t xml:space="preserve">
Updated to match May revise.  Previous estimate was 3,856.</t>
        </r>
      </text>
    </comment>
  </commentList>
</comments>
</file>

<file path=xl/comments7.xml><?xml version="1.0" encoding="utf-8"?>
<comments xmlns="http://schemas.openxmlformats.org/spreadsheetml/2006/main">
  <authors>
    <author>Torres, Jose Felipe</author>
  </authors>
  <commentList>
    <comment ref="C23" authorId="0" shapeId="0">
      <text>
        <r>
          <rPr>
            <b/>
            <sz val="9"/>
            <color indexed="81"/>
            <rFont val="Tahoma"/>
            <family val="2"/>
          </rPr>
          <t>Torres, Jose Felipe:</t>
        </r>
        <r>
          <rPr>
            <sz val="9"/>
            <color indexed="81"/>
            <rFont val="Tahoma"/>
            <family val="2"/>
          </rPr>
          <t xml:space="preserve">
Budget Adjustment $1.15 MM
Total of $5,732,874</t>
        </r>
      </text>
    </comment>
  </commentList>
</comments>
</file>

<file path=xl/sharedStrings.xml><?xml version="1.0" encoding="utf-8"?>
<sst xmlns="http://schemas.openxmlformats.org/spreadsheetml/2006/main" count="32449" uniqueCount="2533">
  <si>
    <t>SBVC</t>
  </si>
  <si>
    <t>CHC</t>
  </si>
  <si>
    <t>Total District Noncredit FTES</t>
  </si>
  <si>
    <t>District
Total</t>
  </si>
  <si>
    <t>Other Revenue</t>
  </si>
  <si>
    <t>1000 - Academic Salaries</t>
  </si>
  <si>
    <t>2000 - Classified Salaries</t>
  </si>
  <si>
    <t>3000 - Benefits</t>
  </si>
  <si>
    <t>4000 - Supplies</t>
  </si>
  <si>
    <t>5000 - Other Expenses and Services</t>
  </si>
  <si>
    <t>6000 - Capital Outlay</t>
  </si>
  <si>
    <t>7000 - Other Outgo</t>
  </si>
  <si>
    <t>Other Campus Revenue per Campus Projections</t>
  </si>
  <si>
    <t>Other Revenue Adjustment - Prior Year Funding</t>
  </si>
  <si>
    <t>Prior Year Expenditures</t>
  </si>
  <si>
    <t>Unrestricted Fund Balance</t>
  </si>
  <si>
    <t>Total</t>
  </si>
  <si>
    <t>Crafton</t>
  </si>
  <si>
    <t>Valley</t>
  </si>
  <si>
    <t>San Bernardino Community College District</t>
  </si>
  <si>
    <t>2015-16 Forecast</t>
  </si>
  <si>
    <t>2016-17 Forecast</t>
  </si>
  <si>
    <t>District Office</t>
  </si>
  <si>
    <t>Revenue Shortfall Percent</t>
  </si>
  <si>
    <t>Assumptions:</t>
  </si>
  <si>
    <t>Assessment for KVCR Operations Expenditures</t>
  </si>
  <si>
    <t>Assessment for SERP</t>
  </si>
  <si>
    <t>Assessment for EDCT Operations Expenditures</t>
  </si>
  <si>
    <t>Assessment for District Reserve</t>
  </si>
  <si>
    <t>Credit FTES Percent</t>
  </si>
  <si>
    <t>Change From Prev. Year State Base Revenue</t>
  </si>
  <si>
    <t>Forecasted</t>
  </si>
  <si>
    <t>Program Review</t>
  </si>
  <si>
    <t>Assessment for GASB 45 Future Costs</t>
  </si>
  <si>
    <t>Assessment for GASB 45 Liability (Past)</t>
  </si>
  <si>
    <t>Part-Time Rate Increases</t>
  </si>
  <si>
    <t>Salary Increase Analysis</t>
  </si>
  <si>
    <t>Percent</t>
  </si>
  <si>
    <t>District</t>
  </si>
  <si>
    <t>1000s</t>
  </si>
  <si>
    <t>2000s</t>
  </si>
  <si>
    <t>3000s</t>
  </si>
  <si>
    <t>Object Code</t>
  </si>
  <si>
    <t>Summary by Percent (Includes Salary, Retirement, &amp; FICA)</t>
  </si>
  <si>
    <t>Code</t>
  </si>
  <si>
    <t>Totals</t>
  </si>
  <si>
    <t>Salary Increases</t>
  </si>
  <si>
    <t>FTES Planning By College</t>
  </si>
  <si>
    <t>FTES Growth Target:</t>
  </si>
  <si>
    <t>College</t>
  </si>
  <si>
    <t>Projected Unfunded FTES:</t>
  </si>
  <si>
    <t>FTES Rate --&gt;</t>
  </si>
  <si>
    <t>C - Net Impact to the Colleges (A minus B)</t>
  </si>
  <si>
    <t>Additional FTES Growth Target</t>
  </si>
  <si>
    <t>Additional FTES Growth Target Costs</t>
  </si>
  <si>
    <t>Salary Increase Percent</t>
  </si>
  <si>
    <t>Benefits Percent</t>
  </si>
  <si>
    <t>State Funded Growth/ACCESS Rate</t>
  </si>
  <si>
    <t>COLA Percent</t>
  </si>
  <si>
    <t>Net Financial Impact From Growth Target:</t>
  </si>
  <si>
    <t>GASB 45 Contribution for Liability (Past)</t>
  </si>
  <si>
    <t>GASB 45 Contribution for Future Costs</t>
  </si>
  <si>
    <t>2015-2016</t>
  </si>
  <si>
    <t>2016-2017</t>
  </si>
  <si>
    <t>San Bernardino Valley College</t>
  </si>
  <si>
    <t>Crafton Hills College</t>
  </si>
  <si>
    <t>FY 18-19 Totals</t>
  </si>
  <si>
    <t>FY 19-20 Totals</t>
  </si>
  <si>
    <t>2017-2018</t>
  </si>
  <si>
    <t>2018-2019</t>
  </si>
  <si>
    <t>2019-2020</t>
  </si>
  <si>
    <t>Inflation for Object Codes 4000's-6000's %</t>
  </si>
  <si>
    <t>Notes:</t>
  </si>
  <si>
    <t>Multi-Year Forecast</t>
  </si>
  <si>
    <t>Unfunded FTES</t>
  </si>
  <si>
    <t>Months to Cover Monthly Expenditures:</t>
  </si>
  <si>
    <t>Fund Balance Percent</t>
  </si>
  <si>
    <t>Fund Balance to Cover Monthly Expenditures</t>
  </si>
  <si>
    <t>Actual
FY 12-13</t>
  </si>
  <si>
    <t>FY 18-19
FTES Revenues</t>
  </si>
  <si>
    <t>FY 19-20
FTES Revenues</t>
  </si>
  <si>
    <t>Unfunded FTES Funding Support</t>
  </si>
  <si>
    <t>Step In Column Expenses and Benefits</t>
  </si>
  <si>
    <t>Draft #</t>
  </si>
  <si>
    <t>Operating Results by Fiscal Year by Location</t>
  </si>
  <si>
    <t>Excess
(Deficit)</t>
  </si>
  <si>
    <t>Fund 
Balance</t>
  </si>
  <si>
    <t xml:space="preserve"> # FTES Left on the Table:</t>
  </si>
  <si>
    <t># FTES Funding Left on the Table:</t>
  </si>
  <si>
    <t>FY 20-21
FTES Revenues</t>
  </si>
  <si>
    <t>FY 20-21 Totals</t>
  </si>
  <si>
    <t>2020-21 Forecast</t>
  </si>
  <si>
    <t>2020-2021</t>
  </si>
  <si>
    <t>Enrollment Management Projection Graph</t>
  </si>
  <si>
    <t>Valley is 2% funding</t>
  </si>
  <si>
    <t>Enrollment Management FTES Projection</t>
  </si>
  <si>
    <t>Fiscal Year</t>
  </si>
  <si>
    <t>States's Growth</t>
  </si>
  <si>
    <t>Valley's Growth</t>
  </si>
  <si>
    <t>Crafton's Growth</t>
  </si>
  <si>
    <t>Actual FTES</t>
  </si>
  <si>
    <t>Actual</t>
  </si>
  <si>
    <t>Funded</t>
  </si>
  <si>
    <t>Unfunded</t>
  </si>
  <si>
    <t>BASELINE</t>
  </si>
  <si>
    <t>16-17</t>
  </si>
  <si>
    <t>17-18</t>
  </si>
  <si>
    <t>18-19</t>
  </si>
  <si>
    <t>19-20</t>
  </si>
  <si>
    <t>20-21</t>
  </si>
  <si>
    <t>Percent *</t>
  </si>
  <si>
    <t>Total Funded</t>
  </si>
  <si>
    <r>
      <t xml:space="preserve">Actual FTES will be used for </t>
    </r>
    <r>
      <rPr>
        <b/>
        <u/>
        <sz val="11"/>
        <color theme="3"/>
        <rFont val="Calibri"/>
        <family val="2"/>
        <scheme val="minor"/>
      </rPr>
      <t>Assessments</t>
    </r>
  </si>
  <si>
    <r>
      <t xml:space="preserve">Funded FTES will be used for </t>
    </r>
    <r>
      <rPr>
        <b/>
        <u/>
        <sz val="11"/>
        <color theme="6" tint="-0.499984740745262"/>
        <rFont val="Calibri"/>
        <family val="2"/>
        <scheme val="minor"/>
      </rPr>
      <t>Revenues</t>
    </r>
  </si>
  <si>
    <t>FY 17-18
Growth Target</t>
  </si>
  <si>
    <t>FY 18-19
Growth Target</t>
  </si>
  <si>
    <t>FY 19-20
Growth Target</t>
  </si>
  <si>
    <t>FY 20-21
Growth Target</t>
  </si>
  <si>
    <t>FY 17-18
Funded Rate</t>
  </si>
  <si>
    <t>FY 18-19
Funded Rate</t>
  </si>
  <si>
    <t>FY 19-20
Funded Rate</t>
  </si>
  <si>
    <t>FY 20-21
Funded Rate</t>
  </si>
  <si>
    <t>FY 17-18
Funded FTES</t>
  </si>
  <si>
    <t>FY 18-19
Funded FTES</t>
  </si>
  <si>
    <t>FY 19-20
Funded FTES</t>
  </si>
  <si>
    <t>FY 20-21
Funded FTES</t>
  </si>
  <si>
    <t>FY 17-18
Additional FTES</t>
  </si>
  <si>
    <t>FY 18-19
Additional FTES</t>
  </si>
  <si>
    <t>FY 19-20
Additional FTES</t>
  </si>
  <si>
    <t>FY 20-21
Additional FTES</t>
  </si>
  <si>
    <t>FY 17-18
Unfunded FTES</t>
  </si>
  <si>
    <t>FY 18-19
Unfunded FTES</t>
  </si>
  <si>
    <t>FY 19-20
Unfunded FTES</t>
  </si>
  <si>
    <t>FY 20-21
Unfunded FTES</t>
  </si>
  <si>
    <t>FY 17-18
Unfunded Amount</t>
  </si>
  <si>
    <t>FY 18-19
Unfunded Amount</t>
  </si>
  <si>
    <t>FY 19-20
Unfunded Amount</t>
  </si>
  <si>
    <t>FY 20-21
Unfunded Amount</t>
  </si>
  <si>
    <t xml:space="preserve">Total College Actual Credit FTES </t>
  </si>
  <si>
    <t>Enrollment Management FTES Projection - By College</t>
  </si>
  <si>
    <t>Section A - State Base Revenue</t>
  </si>
  <si>
    <t>Section C - Other Revenue</t>
  </si>
  <si>
    <t>Section F - One-Time Adjustments &amp; Fund Balance</t>
  </si>
  <si>
    <t>Section B - Adjustments for Reconciliations</t>
  </si>
  <si>
    <t>Adjustment for Revenue Shortfall</t>
  </si>
  <si>
    <t>Adjustment for FTES</t>
  </si>
  <si>
    <t>Adjustment for Base Allocation</t>
  </si>
  <si>
    <t>Annual Increase/(Decrease) to Fund Balance</t>
  </si>
  <si>
    <t>Other Adjustments (Property Taxes)</t>
  </si>
  <si>
    <t>Valley 2% Growth</t>
  </si>
  <si>
    <t>Crafton 3% Growth</t>
  </si>
  <si>
    <t>* 2.0% from funded FTES</t>
  </si>
  <si>
    <t>* 3.22% from funded FTES (@ P1)</t>
  </si>
  <si>
    <t>Valley 3% Growth</t>
  </si>
  <si>
    <t>Crafton 5.5% Growth</t>
  </si>
  <si>
    <t>FTES Generated by Productivity</t>
  </si>
  <si>
    <t>FY 17-18
Productivity FTES</t>
  </si>
  <si>
    <t>FY 18-19
Productivity FTES</t>
  </si>
  <si>
    <t>FY 19-20
Productivity FTES</t>
  </si>
  <si>
    <t>FY 20-21
Productivity FTES</t>
  </si>
  <si>
    <t>FTES Generated by Additional Costs</t>
  </si>
  <si>
    <t>FY 17-18
FTES with Costs</t>
  </si>
  <si>
    <t>FY 18-19
FTES with Costs</t>
  </si>
  <si>
    <t>FY 19-20
FTES with Costs</t>
  </si>
  <si>
    <t>FY 20-21
FTES with Costs</t>
  </si>
  <si>
    <t>B - Costs to Fund Additional FTES Growth Target</t>
  </si>
  <si>
    <t>Goals:</t>
  </si>
  <si>
    <t>Notes</t>
  </si>
  <si>
    <t>projected Stated Growth is 2%</t>
  </si>
  <si>
    <t>projected Stated Funded Growth is 2%</t>
  </si>
  <si>
    <t>Site Budgeted / Projected Actual Expenditures</t>
  </si>
  <si>
    <t>Overcap *</t>
  </si>
  <si>
    <t>* Overcap is the additional FTES the District could recapture if other Districts do not grow enough during the year.  Overcap is usually known at recalculation (Recalc) around February of each year.</t>
  </si>
  <si>
    <t>* Overcap FTES are estimates based on ACBO budget workshops and/or other information received by the District</t>
  </si>
  <si>
    <t xml:space="preserve"> Valley is 2% funding + 1% Overcap</t>
  </si>
  <si>
    <t xml:space="preserve">    Crafton is 2% funding + Overcap</t>
  </si>
  <si>
    <t xml:space="preserve">  Crafton is 2% funding + Overcap</t>
  </si>
  <si>
    <t>less Overcap</t>
  </si>
  <si>
    <t>plus Overcap</t>
  </si>
  <si>
    <t>* Overcap FTES are estimates based on ACBO budget workshops, State Reports, and/or other information received by the District</t>
  </si>
  <si>
    <t>Funded FTES (Prior to Overcap)</t>
  </si>
  <si>
    <t>Unfunded FTES (Prior to Overcap)</t>
  </si>
  <si>
    <t>Overcap (PY District Funded x Percent)</t>
  </si>
  <si>
    <t>Funded + Overcap</t>
  </si>
  <si>
    <t>Unfunded (After Overcap)</t>
  </si>
  <si>
    <t>Projected Funded FTES (With Overcap):</t>
  </si>
  <si>
    <t>Additional Growth 
(Goal 3)</t>
  </si>
  <si>
    <t>Additional Growth 
(Goal 2)</t>
  </si>
  <si>
    <t>Additional Growth 
(Goals 2 &amp; 3)</t>
  </si>
  <si>
    <t>Unrestricted</t>
  </si>
  <si>
    <t>Lottery</t>
  </si>
  <si>
    <t>Other</t>
  </si>
  <si>
    <t>Grand Total</t>
  </si>
  <si>
    <t>Type</t>
  </si>
  <si>
    <t>Adjunct</t>
  </si>
  <si>
    <t>Summer</t>
  </si>
  <si>
    <t>Pay for Course</t>
  </si>
  <si>
    <t>Valley - FY 15-16</t>
  </si>
  <si>
    <t>Variance</t>
  </si>
  <si>
    <t>Crafton - FY 15-16</t>
  </si>
  <si>
    <t>Crafton - FY 14-15</t>
  </si>
  <si>
    <t>Valley - FY 14-15</t>
  </si>
  <si>
    <t>Actual YTD</t>
  </si>
  <si>
    <t>Projection</t>
  </si>
  <si>
    <t>Average Monthly Expenditures</t>
  </si>
  <si>
    <t>Distribution of FTES are recommended to Chancellor's Cabinet by District Budget Committtee</t>
  </si>
  <si>
    <t>LS 24</t>
  </si>
  <si>
    <t>Salaries &amp; Benefits</t>
  </si>
  <si>
    <t>Total Expenditures</t>
  </si>
  <si>
    <t>Percent of Salaries &amp; Benefits from Total Expenditures</t>
  </si>
  <si>
    <t>From State Growth
(Goal 1)</t>
  </si>
  <si>
    <t>San Bernardino Valley College - Proposed Final</t>
  </si>
  <si>
    <t>Crafton Hills College - Proposed Final</t>
  </si>
  <si>
    <t>San Bernardino Community College District - Proposed Final</t>
  </si>
  <si>
    <t>San Bernardino Valley College - Tentative</t>
  </si>
  <si>
    <t>Crafton Hills College - Tentative</t>
  </si>
  <si>
    <t>San Bernardino Community College District - Tentative</t>
  </si>
  <si>
    <t>Valley's Actual - Final Budget</t>
  </si>
  <si>
    <t>Valley's Actual - Tentative Budget</t>
  </si>
  <si>
    <t>Valley's Total Funded - Final Budget</t>
  </si>
  <si>
    <t>Valley's Total Funded - Tentative Budget</t>
  </si>
  <si>
    <t>Crafton's Actual - Final Budget</t>
  </si>
  <si>
    <t>Crafton's Total Funded - Final Budget</t>
  </si>
  <si>
    <t>Crafton's Actual - Tentative Budget</t>
  </si>
  <si>
    <t>Crafton's Total Funded - Tentative Budget</t>
  </si>
  <si>
    <t>Valley's Growth Percent - Final Budget</t>
  </si>
  <si>
    <t>Valley's Growth Percent - Tentative Budget</t>
  </si>
  <si>
    <t>Crafton's Growth Percent - Final Budget</t>
  </si>
  <si>
    <t>Crafton's Growth Percent - Tentative Budget</t>
  </si>
  <si>
    <t>True Growth</t>
  </si>
  <si>
    <t>KVCR &amp; EDCT Foundation Contribution</t>
  </si>
  <si>
    <t>Proposed Final Budget FTES Allocation</t>
  </si>
  <si>
    <t>Basic Funding Percent</t>
  </si>
  <si>
    <t>One-time State Funding</t>
  </si>
  <si>
    <t>Budget State growth to both colleges for growth and financial stability</t>
  </si>
  <si>
    <t>Provide Crafton additional growth to achieve financial stability</t>
  </si>
  <si>
    <t>Provide Valley additional growth to maintain financial stability</t>
  </si>
  <si>
    <t>One-time Funding &amp; Expenses</t>
  </si>
  <si>
    <t>One-time Expenditures</t>
  </si>
  <si>
    <t>Net Increase for full-time conversion</t>
  </si>
  <si>
    <t>Part-time faculty conversions ($35K + benefits)</t>
  </si>
  <si>
    <t>FTES Growth</t>
  </si>
  <si>
    <t>FTES % Growth</t>
  </si>
  <si>
    <t>Funded %</t>
  </si>
  <si>
    <t>Salaries</t>
  </si>
  <si>
    <t>W benefits</t>
  </si>
  <si>
    <t>2% increase, 1.5% Step, 2% Faculty</t>
  </si>
  <si>
    <t>2% increase, 1.5% Step</t>
  </si>
  <si>
    <t>1.85% PERS, 1.20% STRS, 4.2% Health</t>
  </si>
  <si>
    <t>COLA</t>
  </si>
  <si>
    <t>A - Revenues from Additional Projected Funded FTES with COLA &amp; Base Increase</t>
  </si>
  <si>
    <t>Base Increase</t>
  </si>
  <si>
    <t>Total Expenses for Fund Balance Calculation</t>
  </si>
  <si>
    <t>District-wide</t>
  </si>
  <si>
    <t>Faculty Positions ($73,265*14.45%) + $15,933 Health</t>
  </si>
  <si>
    <t>Estimated Actuals 2015-2016</t>
  </si>
  <si>
    <t>KVCR/EDCT Contribution</t>
  </si>
  <si>
    <t xml:space="preserve">One-time Exp. 
(Adjust. to Fund Balance) </t>
  </si>
  <si>
    <t>All Data stated in 2016 Dollars</t>
  </si>
  <si>
    <t>Salary Amount 
[Benefits = Salary*20.28%]</t>
  </si>
  <si>
    <t>No. of full-time positions eligible for benefits [$15,933 Health]</t>
  </si>
  <si>
    <t>Classified &amp; Management Positions:</t>
  </si>
  <si>
    <t>Total Revenues</t>
  </si>
  <si>
    <t>Facilities Needs</t>
  </si>
  <si>
    <t>12% Fund balance goal</t>
  </si>
  <si>
    <t>12% from Total Expenses</t>
  </si>
  <si>
    <t>Excess over 12% goal</t>
  </si>
  <si>
    <t>STRS/PERS Set Aside for Rate Increases</t>
  </si>
  <si>
    <t>Total Actual Growth</t>
  </si>
  <si>
    <t>Funded Growth</t>
  </si>
  <si>
    <t>Salaries &amp; Benefits Increase Percent from Previous Year</t>
  </si>
  <si>
    <t>Salaries &amp; Benefits Increase Amount from Previous Year</t>
  </si>
  <si>
    <t>Step and Column Increase Percent</t>
  </si>
  <si>
    <t>Proposed Base Allocation Increase</t>
  </si>
  <si>
    <t>Budget Forecast by Department</t>
  </si>
  <si>
    <t>Budget Year 2017-2018</t>
  </si>
  <si>
    <t>Program</t>
  </si>
  <si>
    <t>2017
Budget</t>
  </si>
  <si>
    <t>2018
Budget</t>
  </si>
  <si>
    <t xml:space="preserve"> 
Change</t>
  </si>
  <si>
    <t xml:space="preserve"> 
% Change</t>
  </si>
  <si>
    <t>Revenue</t>
  </si>
  <si>
    <t/>
  </si>
  <si>
    <t>110.00.000000.000 - General Program</t>
  </si>
  <si>
    <t>-48.84%</t>
  </si>
  <si>
    <t>868100 - State Mandated Cost</t>
  </si>
  <si>
    <t>-100.00%</t>
  </si>
  <si>
    <t>886000 - Interest Income</t>
  </si>
  <si>
    <t>57.49%</t>
  </si>
  <si>
    <t>891200 - Sale Of Equipment And Supplies</t>
  </si>
  <si>
    <t>110.01.000000.000 - General Program</t>
  </si>
  <si>
    <t>28.52%</t>
  </si>
  <si>
    <t>861100 - Principal Apportionment</t>
  </si>
  <si>
    <t>8.53%</t>
  </si>
  <si>
    <t>861300 - Board Financial Assistance</t>
  </si>
  <si>
    <t>861800 - Part Time Faculty</t>
  </si>
  <si>
    <t>1.71%</t>
  </si>
  <si>
    <t>863000 - Prop 30 Epa Funds</t>
  </si>
  <si>
    <t>100.00%</t>
  </si>
  <si>
    <t>881100 - Secured Tax Roll</t>
  </si>
  <si>
    <t>8.79%</t>
  </si>
  <si>
    <t>887400 - Enrollment</t>
  </si>
  <si>
    <t>887900 - Student Records</t>
  </si>
  <si>
    <t>888000 - Non-Resident Tuition</t>
  </si>
  <si>
    <t>888900 - Other Student Fees/Charges</t>
  </si>
  <si>
    <t>889000 - Other Local Revenues</t>
  </si>
  <si>
    <t>347.42%</t>
  </si>
  <si>
    <t>889700 - Key Deposit</t>
  </si>
  <si>
    <t>110.01.612001.000 - Library</t>
  </si>
  <si>
    <t>889300 - Library Fine</t>
  </si>
  <si>
    <t>110.01.615001.000 - Technology Service - Acad Info Systems &amp; Tech</t>
  </si>
  <si>
    <t>-42.86%</t>
  </si>
  <si>
    <t>110.01.644001.000 - Student Health Services</t>
  </si>
  <si>
    <t>110.01.646001.000 - Financial Aid</t>
  </si>
  <si>
    <t>815000 - Fed Income-Pell</t>
  </si>
  <si>
    <t>110.01.657017.000 - Unrestricted Lottery</t>
  </si>
  <si>
    <t>0.00%</t>
  </si>
  <si>
    <t>868200 - State Lottery Proceeds</t>
  </si>
  <si>
    <t>110.02.000000.000 - General Program</t>
  </si>
  <si>
    <t>15.77%</t>
  </si>
  <si>
    <t>0.28%</t>
  </si>
  <si>
    <t>-3.63%</t>
  </si>
  <si>
    <t>-0.85%</t>
  </si>
  <si>
    <t>38.46%</t>
  </si>
  <si>
    <t>20.97%</t>
  </si>
  <si>
    <t>110.02.213300.000 - Fire Science - Fire Technology</t>
  </si>
  <si>
    <t>882300 - Private Contributions</t>
  </si>
  <si>
    <t>110.02.644001.000 - Student Health Services</t>
  </si>
  <si>
    <t>8.33%</t>
  </si>
  <si>
    <t>110.02.648001.000 - Veterans Education</t>
  </si>
  <si>
    <t>816000 - Veterans Education</t>
  </si>
  <si>
    <t>110.02.651001.000 - Maintenance</t>
  </si>
  <si>
    <t>110.02.657011.000 - Utilities - Electricity</t>
  </si>
  <si>
    <t>-34.56%</t>
  </si>
  <si>
    <t>110.02.657017.000 - Unrestricted Lottery</t>
  </si>
  <si>
    <t>110.02.710003.000 - Administrative Services - Physical Property &amp; Related Acquisitions</t>
  </si>
  <si>
    <t>21.35%</t>
  </si>
  <si>
    <t>885000 - Rentals And Leases</t>
  </si>
  <si>
    <t>110.03.619010.000 - State Mandate Claims Funding</t>
  </si>
  <si>
    <t>869900 - Other State Revenues</t>
  </si>
  <si>
    <t>21460001 - SBVC-Prop 30 EPA Funds-01</t>
  </si>
  <si>
    <t>21460002 - CHC-Prop 30 EPA Funds-01</t>
  </si>
  <si>
    <t>32690001 - CHC-Contract Education-01</t>
  </si>
  <si>
    <t>883600 - Contract Instructional Service</t>
  </si>
  <si>
    <t>32780003 - CHC-PSASB-Contract Education-03</t>
  </si>
  <si>
    <t>883000 - Contract Services</t>
  </si>
  <si>
    <t>32780005 - CHC-PSASB-Contract Education-05</t>
  </si>
  <si>
    <t>32810001 - CHC-Redlands USD Contract Education-01</t>
  </si>
  <si>
    <t>32810003 - CHC-Redlands USD Contract Education-03</t>
  </si>
  <si>
    <t>3.84%</t>
  </si>
  <si>
    <t>Expenditures</t>
  </si>
  <si>
    <t>720000 - Intrafund Transfers Out</t>
  </si>
  <si>
    <t>37.50%</t>
  </si>
  <si>
    <t>739000 - Interfund Transfers Out</t>
  </si>
  <si>
    <t>-11.54%</t>
  </si>
  <si>
    <t>740000 - Other Transfers</t>
  </si>
  <si>
    <t>110.01.020100.000 - Architecture Department</t>
  </si>
  <si>
    <t>4.23%</t>
  </si>
  <si>
    <t>110000 - Contract Classroom Inst.</t>
  </si>
  <si>
    <t>3.21%</t>
  </si>
  <si>
    <t>311000 - STRS-Teachers &amp; Instr Aid</t>
  </si>
  <si>
    <t>14.13%</t>
  </si>
  <si>
    <t>334000 - Medicare-Instructional</t>
  </si>
  <si>
    <t>341100 - Dental Ins.Tearchers/Inst Aide</t>
  </si>
  <si>
    <t>-0.96%</t>
  </si>
  <si>
    <t>341200 - Bshield-Pos Teacher/Instr Aide</t>
  </si>
  <si>
    <t>3.91%</t>
  </si>
  <si>
    <t>341500 - Vision Teacher/Inst Aide</t>
  </si>
  <si>
    <t>-21.69%</t>
  </si>
  <si>
    <t>351000 - SUI Teachers/Instructional Aid</t>
  </si>
  <si>
    <t>361000 - Work Comp Teachers/Instr Aide</t>
  </si>
  <si>
    <t>391000 - Life Ins - Teachers/Instr Aide</t>
  </si>
  <si>
    <t>-2.42%</t>
  </si>
  <si>
    <t>398100 - HHRC - Teacher/Int. Aides</t>
  </si>
  <si>
    <t>-54.00%</t>
  </si>
  <si>
    <t>430000 - Instructional Supplies</t>
  </si>
  <si>
    <t>450000 - Noninstructional Supplies</t>
  </si>
  <si>
    <t>110.01.040100.000 - Biology, General</t>
  </si>
  <si>
    <t>3.90%</t>
  </si>
  <si>
    <t>2.30%</t>
  </si>
  <si>
    <t>220300 - Instructional Aide (Unit)</t>
  </si>
  <si>
    <t>2.98%</t>
  </si>
  <si>
    <t>240500 - Substitute Add Cost-Dir.Instru</t>
  </si>
  <si>
    <t>13.12%</t>
  </si>
  <si>
    <t>322000 - PERS-Class/I.A-Non-Ins Adm/Sup</t>
  </si>
  <si>
    <t>322800 - PERS Class/I.A.-Non-Inst-Other</t>
  </si>
  <si>
    <t>332000 - OASDI Clas/I.A.Non-Ins Adm/Sup</t>
  </si>
  <si>
    <t>332800 - OASDI Class/I.A.-Non-Inst Othe</t>
  </si>
  <si>
    <t>334600 - Medicare Non-Instructional</t>
  </si>
  <si>
    <t>342100 - Dental Class/I.A. Non-Instruct</t>
  </si>
  <si>
    <t>342400 - Bshield-Hmo Class/I.A.Non-Inst</t>
  </si>
  <si>
    <t>3.06%</t>
  </si>
  <si>
    <t>342500 - Vision Class/I.A. Non-Inst</t>
  </si>
  <si>
    <t>352000 - SUI Class/I.A. Non-Ins Adm/Sup</t>
  </si>
  <si>
    <t>362000 - W/C Class/I.A. - Non - Ins - Adm/Sup</t>
  </si>
  <si>
    <t>362800 - W/C Class/I.A. - Non - Instr - Other</t>
  </si>
  <si>
    <t>392000 - Life - Class/I.A - Non - Ins Adm/Sup</t>
  </si>
  <si>
    <t>392800 - Life - Class/I.A. Non - Inst - Other</t>
  </si>
  <si>
    <t>398200 - HHRC - Class/I.A. - Non - Ins - Adm/Su</t>
  </si>
  <si>
    <t>422000 - Reference Books</t>
  </si>
  <si>
    <t>-75.96%</t>
  </si>
  <si>
    <t>561100 - Bus/Car Rentals</t>
  </si>
  <si>
    <t>205.56%</t>
  </si>
  <si>
    <t>564000 - Repairs And Maintenance</t>
  </si>
  <si>
    <t>571100 - Legal Expenses, Private</t>
  </si>
  <si>
    <t>580900 - Other Expenses &amp; Fees</t>
  </si>
  <si>
    <t>110.01.040101.000 - Microbiology - Biology, General</t>
  </si>
  <si>
    <t>9.02%</t>
  </si>
  <si>
    <t>8.16%</t>
  </si>
  <si>
    <t>110.01.040300.000 - Microbiology - Microbiology</t>
  </si>
  <si>
    <t>7.08%</t>
  </si>
  <si>
    <t>4.07%</t>
  </si>
  <si>
    <t>131100 - Fac Dept.Chair Stipend/Perdiem</t>
  </si>
  <si>
    <t>15.07%</t>
  </si>
  <si>
    <t>3.66%</t>
  </si>
  <si>
    <t>553100 - Water Treatment</t>
  </si>
  <si>
    <t>561000 - Rentals</t>
  </si>
  <si>
    <t>110.01.041000.000 - Biology Department - Anatomy And Physiology</t>
  </si>
  <si>
    <t>4.85%</t>
  </si>
  <si>
    <t>3.04%</t>
  </si>
  <si>
    <t>13.93%</t>
  </si>
  <si>
    <t>333.33%</t>
  </si>
  <si>
    <t>640000 - Equip/Furniture (Excld Comptr)</t>
  </si>
  <si>
    <t>110.01.050100.000 - Business Division - Business And Commerce, General</t>
  </si>
  <si>
    <t>238000 - Part-Time/Overtime/Student</t>
  </si>
  <si>
    <t>238300 - Work/Study Hourly</t>
  </si>
  <si>
    <t>520000 - Travel &amp; Conference Expenses</t>
  </si>
  <si>
    <t>110.01.050200.000 - Accounting</t>
  </si>
  <si>
    <t>3.78%</t>
  </si>
  <si>
    <t>2.69%</t>
  </si>
  <si>
    <t>13.54%</t>
  </si>
  <si>
    <t>443000 - Software</t>
  </si>
  <si>
    <t>110.01.050400.000 - Business Admin, Finance, Ins</t>
  </si>
  <si>
    <t>4.44%</t>
  </si>
  <si>
    <t>3.63%</t>
  </si>
  <si>
    <t>14.59%</t>
  </si>
  <si>
    <t>3.49%</t>
  </si>
  <si>
    <t>-13.50%</t>
  </si>
  <si>
    <t>18.49%</t>
  </si>
  <si>
    <t>110.01.051400.000 - Computer Info Tech</t>
  </si>
  <si>
    <t>3.10%</t>
  </si>
  <si>
    <t>148000 - Noninstruction Hourly</t>
  </si>
  <si>
    <t>14.00%</t>
  </si>
  <si>
    <t>3.05%</t>
  </si>
  <si>
    <t>342000 - Health &amp; Welfare-Clas/I.A-N.I.</t>
  </si>
  <si>
    <t>399100 - In Lieu Of Benefits - Instructio</t>
  </si>
  <si>
    <t>0.96%</t>
  </si>
  <si>
    <t>-1.61%</t>
  </si>
  <si>
    <t>562100 - Software Leases/Licensing</t>
  </si>
  <si>
    <t>110.01.060400.000 - Radio/Television Instruction</t>
  </si>
  <si>
    <t>-0.17%</t>
  </si>
  <si>
    <t>2.81%</t>
  </si>
  <si>
    <t>240000 - Inst Aides-Hourly- Dir.Instruc</t>
  </si>
  <si>
    <t>240100 - Non Student Instr Aides-D.I.</t>
  </si>
  <si>
    <t>-38.02%</t>
  </si>
  <si>
    <t>13.68%</t>
  </si>
  <si>
    <t>68.90%</t>
  </si>
  <si>
    <t>110.01.070100.000 - Computer  Science Department</t>
  </si>
  <si>
    <t>-4.37%</t>
  </si>
  <si>
    <t>-42.31%</t>
  </si>
  <si>
    <t>110.01.079900.000 - Geographic Information Svcs</t>
  </si>
  <si>
    <t>110.01.083500.000 - P.E - Physical Education</t>
  </si>
  <si>
    <t>4.32%</t>
  </si>
  <si>
    <t>3.46%</t>
  </si>
  <si>
    <t>218100 - Class Unit Member Noninstructi</t>
  </si>
  <si>
    <t>2.95%</t>
  </si>
  <si>
    <t>14.32%</t>
  </si>
  <si>
    <t>3.35%</t>
  </si>
  <si>
    <t>110.01.083501.000 - Mens Athletics - Physical Education</t>
  </si>
  <si>
    <t>6.01%</t>
  </si>
  <si>
    <t>130600 - Contract Coach Stipend</t>
  </si>
  <si>
    <t>130800 - Part Time Coach Stipend</t>
  </si>
  <si>
    <t>9.51%</t>
  </si>
  <si>
    <t>110.01.083520.000 - Athletic Trainer - Physical Education</t>
  </si>
  <si>
    <t>4.96%</t>
  </si>
  <si>
    <t>238200 - Overtime - Contract Employee</t>
  </si>
  <si>
    <t>238500 - HR Substitute, Additional Cost</t>
  </si>
  <si>
    <t>110.01.090100.000 - Technical Training Division - Engineering</t>
  </si>
  <si>
    <t>105.30%</t>
  </si>
  <si>
    <t>155.08%</t>
  </si>
  <si>
    <t>336000 - PARS-Non-Instructional</t>
  </si>
  <si>
    <t>-29.89%</t>
  </si>
  <si>
    <t>521000 - PERSonal Mileage</t>
  </si>
  <si>
    <t>555000 - Laundry, Cleaning &amp; Uniforms</t>
  </si>
  <si>
    <t>41.08%</t>
  </si>
  <si>
    <t>110.01.093400.000 - Electronics Department</t>
  </si>
  <si>
    <t>5.54%</t>
  </si>
  <si>
    <t>4.29%</t>
  </si>
  <si>
    <t>238900 - Facilitator-Non-Fte</t>
  </si>
  <si>
    <t>15.32%</t>
  </si>
  <si>
    <t>4.09%</t>
  </si>
  <si>
    <t>8.43%</t>
  </si>
  <si>
    <t>-18.29%</t>
  </si>
  <si>
    <t>4.35%</t>
  </si>
  <si>
    <t>1.83%</t>
  </si>
  <si>
    <t>-52.00%</t>
  </si>
  <si>
    <t>444000 - Media</t>
  </si>
  <si>
    <t>110.01.094600.000 - Refrigeration</t>
  </si>
  <si>
    <t>10.23%</t>
  </si>
  <si>
    <t>9.52%</t>
  </si>
  <si>
    <t>21.10%</t>
  </si>
  <si>
    <t>110.01.094700.000 - Diesel Dept</t>
  </si>
  <si>
    <t>-2.13%</t>
  </si>
  <si>
    <t>4.75%</t>
  </si>
  <si>
    <t>15.82%</t>
  </si>
  <si>
    <t>410000 - Textbooks</t>
  </si>
  <si>
    <t>475000 - Meals &amp; Refreshments</t>
  </si>
  <si>
    <t>27.22%</t>
  </si>
  <si>
    <t>110.01.094801.000 - Automotive Department</t>
  </si>
  <si>
    <t>2.71%</t>
  </si>
  <si>
    <t>1.50%</t>
  </si>
  <si>
    <t>12.23%</t>
  </si>
  <si>
    <t>1.48%</t>
  </si>
  <si>
    <t>-77.80%</t>
  </si>
  <si>
    <t>33.60%</t>
  </si>
  <si>
    <t>563200 - Maint.Agree - Hazardous Mater.</t>
  </si>
  <si>
    <t>6.86%</t>
  </si>
  <si>
    <t>110.01.095000.000 - Aeronautics Department - Main</t>
  </si>
  <si>
    <t>0.08%</t>
  </si>
  <si>
    <t>4.72%</t>
  </si>
  <si>
    <t>3.02%</t>
  </si>
  <si>
    <t>15.79%</t>
  </si>
  <si>
    <t>399200 - In Lieu Of Benefits  - Non - Instr</t>
  </si>
  <si>
    <t>421000 - Magazines &amp; Subscriptions</t>
  </si>
  <si>
    <t>110.01.095630.000 - Machine Shop Department</t>
  </si>
  <si>
    <t>6.73%</t>
  </si>
  <si>
    <t>5.56%</t>
  </si>
  <si>
    <t>-41.01%</t>
  </si>
  <si>
    <t>110.01.095650.000 - Welding</t>
  </si>
  <si>
    <t>136.34%</t>
  </si>
  <si>
    <t>132.16%</t>
  </si>
  <si>
    <t>156.71%</t>
  </si>
  <si>
    <t>98.08%</t>
  </si>
  <si>
    <t>107.82%</t>
  </si>
  <si>
    <t>56.62%</t>
  </si>
  <si>
    <t>95.17%</t>
  </si>
  <si>
    <t>-8.00%</t>
  </si>
  <si>
    <t>110.01.095800.000 - Water Supply Technology</t>
  </si>
  <si>
    <t>3.50%</t>
  </si>
  <si>
    <t>3.61%</t>
  </si>
  <si>
    <t>14.57%</t>
  </si>
  <si>
    <t>3.52%</t>
  </si>
  <si>
    <t>-42.49%</t>
  </si>
  <si>
    <t>562000 - Leases</t>
  </si>
  <si>
    <t>110.01.099901.000 - Technical Training Division - Other Engineering &amp; Related Industrial Technologies</t>
  </si>
  <si>
    <t>6.47%</t>
  </si>
  <si>
    <t>220100 - Instructional Aide/Supervisor</t>
  </si>
  <si>
    <t>6.59%</t>
  </si>
  <si>
    <t>3.00%</t>
  </si>
  <si>
    <t>5.01%</t>
  </si>
  <si>
    <t>110.01.100200.000 - Art Department</t>
  </si>
  <si>
    <t>3.54%</t>
  </si>
  <si>
    <t>2.61%</t>
  </si>
  <si>
    <t>2.97%</t>
  </si>
  <si>
    <t>13.46%</t>
  </si>
  <si>
    <t>2.54%</t>
  </si>
  <si>
    <t>-10.78%</t>
  </si>
  <si>
    <t>581500 - Promotional/Givaways/Awards</t>
  </si>
  <si>
    <t>-33.57%</t>
  </si>
  <si>
    <t>-20.45%</t>
  </si>
  <si>
    <t>110.01.100400.000 - Music Department</t>
  </si>
  <si>
    <t>3.62%</t>
  </si>
  <si>
    <t>3.20%</t>
  </si>
  <si>
    <t>14.11%</t>
  </si>
  <si>
    <t>2.96%</t>
  </si>
  <si>
    <t>36.11%</t>
  </si>
  <si>
    <t>25.12%</t>
  </si>
  <si>
    <t>511300 - Consultant &amp; Other Services</t>
  </si>
  <si>
    <t>-21.63%</t>
  </si>
  <si>
    <t>110.01.100700.000 - Drama Department - Dramatic Arts</t>
  </si>
  <si>
    <t>4.31%</t>
  </si>
  <si>
    <t>15.10%</t>
  </si>
  <si>
    <t>108.55%</t>
  </si>
  <si>
    <t>325.53%</t>
  </si>
  <si>
    <t>-78.85%</t>
  </si>
  <si>
    <t>-82.26%</t>
  </si>
  <si>
    <t>583100 - Broadcast Prg Rights/Performan</t>
  </si>
  <si>
    <t>110.01.100800.000 - Dance Department</t>
  </si>
  <si>
    <t>110.01.110100.000 - Modern Languages</t>
  </si>
  <si>
    <t>4.12%</t>
  </si>
  <si>
    <t>3.12%</t>
  </si>
  <si>
    <t>14.03%</t>
  </si>
  <si>
    <t>3.08%</t>
  </si>
  <si>
    <t>110.01.122100.000 - Pharmacy Technology</t>
  </si>
  <si>
    <t>-73.68%</t>
  </si>
  <si>
    <t>110.01.123011.000 - Registered Nursing Program</t>
  </si>
  <si>
    <t>19.82%</t>
  </si>
  <si>
    <t>33.79%</t>
  </si>
  <si>
    <t>239000 - Calworks-Workstudy</t>
  </si>
  <si>
    <t>4.80%</t>
  </si>
  <si>
    <t>-5.24%</t>
  </si>
  <si>
    <t>-12.53%</t>
  </si>
  <si>
    <t>-11.94%</t>
  </si>
  <si>
    <t>-30.84%</t>
  </si>
  <si>
    <t>-11.69%</t>
  </si>
  <si>
    <t>-13.82%</t>
  </si>
  <si>
    <t>-59.38%</t>
  </si>
  <si>
    <t>531000 - Dues And Membership</t>
  </si>
  <si>
    <t>109.42%</t>
  </si>
  <si>
    <t>-98.66%</t>
  </si>
  <si>
    <t>110.01.123900.000 - Psychiatric Tech</t>
  </si>
  <si>
    <t>4.00%</t>
  </si>
  <si>
    <t>13.86%</t>
  </si>
  <si>
    <t>110.01.126000.000 - Allied Health Department - Health Professions, Transfer Core Curriculum</t>
  </si>
  <si>
    <t>553600 - Hazardous Materials</t>
  </si>
  <si>
    <t>110.01.130501.000 - Child Development/Early Care And Education</t>
  </si>
  <si>
    <t>3.17%</t>
  </si>
  <si>
    <t>2.04%</t>
  </si>
  <si>
    <t>12.83%</t>
  </si>
  <si>
    <t>1.99%</t>
  </si>
  <si>
    <t>11.11%</t>
  </si>
  <si>
    <t>110.01.130700.000 - Restaurant Management Program</t>
  </si>
  <si>
    <t>25.42%</t>
  </si>
  <si>
    <t>8.17%</t>
  </si>
  <si>
    <t>470000 - Food Supplies</t>
  </si>
  <si>
    <t>-17.67%</t>
  </si>
  <si>
    <t>563900 - Maint.Agree - Computer Systems</t>
  </si>
  <si>
    <t>110.01.150100.000 - English Department</t>
  </si>
  <si>
    <t>5.15%</t>
  </si>
  <si>
    <t>15.39%</t>
  </si>
  <si>
    <t>0.13%</t>
  </si>
  <si>
    <t>5.21%</t>
  </si>
  <si>
    <t>-20.83%</t>
  </si>
  <si>
    <t>1.10%</t>
  </si>
  <si>
    <t>-1.34%</t>
  </si>
  <si>
    <t>-53.49%</t>
  </si>
  <si>
    <t>580100 - Advertising</t>
  </si>
  <si>
    <t>110.01.150600.000 - Speech Department</t>
  </si>
  <si>
    <t>3.97%</t>
  </si>
  <si>
    <t>13.84%</t>
  </si>
  <si>
    <t>2.91%</t>
  </si>
  <si>
    <t>110.01.150900.000 - Philosophy</t>
  </si>
  <si>
    <t>16.00%</t>
  </si>
  <si>
    <t>15.03%</t>
  </si>
  <si>
    <t>21.95%</t>
  </si>
  <si>
    <t>27.19%</t>
  </si>
  <si>
    <t>15.14%</t>
  </si>
  <si>
    <t>8.84%</t>
  </si>
  <si>
    <t>14.19%</t>
  </si>
  <si>
    <t>-13.95%</t>
  </si>
  <si>
    <t>9.89%</t>
  </si>
  <si>
    <t>7.24%</t>
  </si>
  <si>
    <t>-49.45%</t>
  </si>
  <si>
    <t>110.01.170100.000 - Mathematics Department</t>
  </si>
  <si>
    <t>6.53%</t>
  </si>
  <si>
    <t>5.26%</t>
  </si>
  <si>
    <t>128700 - Non-Classroom Reassigned Time</t>
  </si>
  <si>
    <t>3.22%</t>
  </si>
  <si>
    <t>16.31%</t>
  </si>
  <si>
    <t>5.13%</t>
  </si>
  <si>
    <t>2.35%</t>
  </si>
  <si>
    <t>7.63%</t>
  </si>
  <si>
    <t>-19.08%</t>
  </si>
  <si>
    <t>3.34%</t>
  </si>
  <si>
    <t>0.84%</t>
  </si>
  <si>
    <t>-52.46%</t>
  </si>
  <si>
    <t>9.32%</t>
  </si>
  <si>
    <t>110.01.179901.000 - Math &amp; Science</t>
  </si>
  <si>
    <t>-26.64%</t>
  </si>
  <si>
    <t>110.01.190100.000 - Science Division - Physical Sciences, General</t>
  </si>
  <si>
    <t>67.72%</t>
  </si>
  <si>
    <t>44.17%</t>
  </si>
  <si>
    <t>455100 - Printing</t>
  </si>
  <si>
    <t>60.22%</t>
  </si>
  <si>
    <t>110.01.190200.000 - Physics Department</t>
  </si>
  <si>
    <t>1.78%</t>
  </si>
  <si>
    <t>2.72%</t>
  </si>
  <si>
    <t>-13.04%</t>
  </si>
  <si>
    <t>13.59%</t>
  </si>
  <si>
    <t>2.63%</t>
  </si>
  <si>
    <t>-4.06%</t>
  </si>
  <si>
    <t>16.62%</t>
  </si>
  <si>
    <t>110.01.190500.000 - Chemistry Department</t>
  </si>
  <si>
    <t>9.96%</t>
  </si>
  <si>
    <t>12.55%</t>
  </si>
  <si>
    <t>110200 - Reassigned Time</t>
  </si>
  <si>
    <t>5.35%</t>
  </si>
  <si>
    <t>22.91%</t>
  </si>
  <si>
    <t>11.02%</t>
  </si>
  <si>
    <t>5.52%</t>
  </si>
  <si>
    <t>10.71%</t>
  </si>
  <si>
    <t>-16.57%</t>
  </si>
  <si>
    <t>6.55%</t>
  </si>
  <si>
    <t>-50.99%</t>
  </si>
  <si>
    <t>98.68%</t>
  </si>
  <si>
    <t>1,331.58%</t>
  </si>
  <si>
    <t>-40.12%</t>
  </si>
  <si>
    <t>110.01.191400.000 - Geology Department</t>
  </si>
  <si>
    <t>10.91%</t>
  </si>
  <si>
    <t>5.36%</t>
  </si>
  <si>
    <t>16.50%</t>
  </si>
  <si>
    <t>8.05%</t>
  </si>
  <si>
    <t>-14.57%</t>
  </si>
  <si>
    <t>9.09%</t>
  </si>
  <si>
    <t>6.46%</t>
  </si>
  <si>
    <t>-49.82%</t>
  </si>
  <si>
    <t>110.01.200100.000 - Psychology</t>
  </si>
  <si>
    <t>3.65%</t>
  </si>
  <si>
    <t>13.49%</t>
  </si>
  <si>
    <t>110.01.210500.000 - Administration Of Justice</t>
  </si>
  <si>
    <t>4.05%</t>
  </si>
  <si>
    <t>14.12%</t>
  </si>
  <si>
    <t>3.03%</t>
  </si>
  <si>
    <t>110.01.220100.000 - Social Science, General</t>
  </si>
  <si>
    <t>8.91%</t>
  </si>
  <si>
    <t>24.36%</t>
  </si>
  <si>
    <t>-28.57%</t>
  </si>
  <si>
    <t>520700 - Cell Phone Allowance - Academic</t>
  </si>
  <si>
    <t>110.01.220200.000 - Anthropology</t>
  </si>
  <si>
    <t>4.89%</t>
  </si>
  <si>
    <t>4.34%</t>
  </si>
  <si>
    <t>15.37%</t>
  </si>
  <si>
    <t>110.01.220400.000 - Ecomomics</t>
  </si>
  <si>
    <t>6.00%</t>
  </si>
  <si>
    <t>13.58%</t>
  </si>
  <si>
    <t>110.01.220500.000 - History</t>
  </si>
  <si>
    <t>4.18%</t>
  </si>
  <si>
    <t>3.15%</t>
  </si>
  <si>
    <t>110.01.220600.000 - Geography Department</t>
  </si>
  <si>
    <t>4.54%</t>
  </si>
  <si>
    <t>15.35%</t>
  </si>
  <si>
    <t>4.16%</t>
  </si>
  <si>
    <t>-50.00%</t>
  </si>
  <si>
    <t>-88.99%</t>
  </si>
  <si>
    <t>110.01.220700.000 - Political Science</t>
  </si>
  <si>
    <t>15.08%</t>
  </si>
  <si>
    <t>3.81%</t>
  </si>
  <si>
    <t>110.01.220800.000 - Sociology</t>
  </si>
  <si>
    <t>12.42%</t>
  </si>
  <si>
    <t>5.04%</t>
  </si>
  <si>
    <t>16.15%</t>
  </si>
  <si>
    <t>110.01.229901.000 - Human Services Department</t>
  </si>
  <si>
    <t>5.00%</t>
  </si>
  <si>
    <t>4.17%</t>
  </si>
  <si>
    <t>110.01.493001.000 - Office Of Instruction - Adjuncts</t>
  </si>
  <si>
    <t>130000 - Instructors Day/Hourly</t>
  </si>
  <si>
    <t>4.71%</t>
  </si>
  <si>
    <t>130700 - Summer Session Hourly</t>
  </si>
  <si>
    <t>7.00%</t>
  </si>
  <si>
    <t>131000 - Pay-For-Course Prof.Hours</t>
  </si>
  <si>
    <t>10.57%</t>
  </si>
  <si>
    <t>110.01.493009.000 - Tutorial Center</t>
  </si>
  <si>
    <t>-36.65%</t>
  </si>
  <si>
    <t>-35.88%</t>
  </si>
  <si>
    <t>-42.23%</t>
  </si>
  <si>
    <t>-39.88%</t>
  </si>
  <si>
    <t>-54.32%</t>
  </si>
  <si>
    <t>-73.17%</t>
  </si>
  <si>
    <t>110.01.493010.000 - Counseling - General Studies</t>
  </si>
  <si>
    <t>4.19%</t>
  </si>
  <si>
    <t>128300 - Cert Non-Mgt. Non-Teach</t>
  </si>
  <si>
    <t>312000 - STRS-Class/I.A-Non-Ins-Adm/Sup</t>
  </si>
  <si>
    <t>318000 - STRS Other Academic-N.I-Others</t>
  </si>
  <si>
    <t>333000 - OASDI Other Academ N.I.-Adm/Su</t>
  </si>
  <si>
    <t>343100 - Bshield-Pos-Othr Academ-Nonins</t>
  </si>
  <si>
    <t>343400 - Dental-Other Academ-Non-Instru</t>
  </si>
  <si>
    <t>343500 - Vision-Other Academ-Non-Instru</t>
  </si>
  <si>
    <t>353000 - SUI Other Academic N.I.Adm/Sup</t>
  </si>
  <si>
    <t>353800 - SUI Other Academic - N.I. Others</t>
  </si>
  <si>
    <t>363000 - W/C Other Academic - N.I.Adm/Sup</t>
  </si>
  <si>
    <t>363800 - W/C Other Academic - N.I.  - Other</t>
  </si>
  <si>
    <t>393000 - Life - Other Academic N.I.Adm/Su</t>
  </si>
  <si>
    <t>393800 - Life - Other Academic N.I. Other</t>
  </si>
  <si>
    <t>398400 - HHRC - Other Academic - N.I - Adm/Su</t>
  </si>
  <si>
    <t>110.01.493030.000 - Disabled Student Prog/Services - General Studies</t>
  </si>
  <si>
    <t>5.02%</t>
  </si>
  <si>
    <t>110.01.493070.000 - Reading Program</t>
  </si>
  <si>
    <t>3.01%</t>
  </si>
  <si>
    <t>13.91%</t>
  </si>
  <si>
    <t>9.50%</t>
  </si>
  <si>
    <t>642000 - Computer/It Equipment</t>
  </si>
  <si>
    <t>110.01.601001.000 - P.E - Academic Administration</t>
  </si>
  <si>
    <t>4.79%</t>
  </si>
  <si>
    <t>110.01.601002.000 - Business Division - Academic Administration</t>
  </si>
  <si>
    <t>4.83%</t>
  </si>
  <si>
    <t>110.01.601003.000 - Arts And Lectures</t>
  </si>
  <si>
    <t>-8.77%</t>
  </si>
  <si>
    <t>-47.37%</t>
  </si>
  <si>
    <t>110.01.601004.000 - Humanities Division</t>
  </si>
  <si>
    <t>3.86%</t>
  </si>
  <si>
    <t>120100 - Cert. Managers</t>
  </si>
  <si>
    <t>1.49%</t>
  </si>
  <si>
    <t>-1.32%</t>
  </si>
  <si>
    <t>-24.82%</t>
  </si>
  <si>
    <t>50.00%</t>
  </si>
  <si>
    <t>900.00%</t>
  </si>
  <si>
    <t>-75.00%</t>
  </si>
  <si>
    <t>200.00%</t>
  </si>
  <si>
    <t>110.01.601005.000 - Mathematics Division - Academic Administration</t>
  </si>
  <si>
    <t>11.58%</t>
  </si>
  <si>
    <t>6.58%</t>
  </si>
  <si>
    <t>110.01.601007.000 - Science Division - Academic Administration</t>
  </si>
  <si>
    <t>3.85%</t>
  </si>
  <si>
    <t>110.01.601008.000 - Registered Nursing Program - Academic Administration</t>
  </si>
  <si>
    <t>7.68%</t>
  </si>
  <si>
    <t>8.04%</t>
  </si>
  <si>
    <t>110.01.601009.000 - Allied Health Department - Academic Administration</t>
  </si>
  <si>
    <t>8.92%</t>
  </si>
  <si>
    <t>27.44%</t>
  </si>
  <si>
    <t>238600 - Substitute, No Add. Cost</t>
  </si>
  <si>
    <t>8.88%</t>
  </si>
  <si>
    <t>110.01.601010.000 - Psychiatric Tech - Academic Administration</t>
  </si>
  <si>
    <t>8.69%</t>
  </si>
  <si>
    <t>110.01.601011.000 - Technical Training Division - Academic Administration</t>
  </si>
  <si>
    <t>0.51%</t>
  </si>
  <si>
    <t>2.93%</t>
  </si>
  <si>
    <t>-82.04%</t>
  </si>
  <si>
    <t>73.67%</t>
  </si>
  <si>
    <t>6.54%</t>
  </si>
  <si>
    <t>5.45%</t>
  </si>
  <si>
    <t>-99.30%</t>
  </si>
  <si>
    <t>110.01.601012.000 - Social Science, General - Academic Administration</t>
  </si>
  <si>
    <t>6.21%</t>
  </si>
  <si>
    <t>6.51%</t>
  </si>
  <si>
    <t>110.01.601013.000 - Sheriff'S Academy - Academic Administration</t>
  </si>
  <si>
    <t>-36.22%</t>
  </si>
  <si>
    <t>6.57%</t>
  </si>
  <si>
    <t>5.10%</t>
  </si>
  <si>
    <t>240400 - Facilitator-Instructional-D.I.</t>
  </si>
  <si>
    <t>-49.95%</t>
  </si>
  <si>
    <t>110.01.601014.000 - Extended Academy - Academic Administration</t>
  </si>
  <si>
    <t>-3.33%</t>
  </si>
  <si>
    <t>148100 - Substitute-Non Instruction</t>
  </si>
  <si>
    <t>-16.23%</t>
  </si>
  <si>
    <t>-6.61%</t>
  </si>
  <si>
    <t>135.04%</t>
  </si>
  <si>
    <t>84.33%</t>
  </si>
  <si>
    <t>261.45%</t>
  </si>
  <si>
    <t>456000 - Commencement Supplies</t>
  </si>
  <si>
    <t>66.67%</t>
  </si>
  <si>
    <t>-9.34%</t>
  </si>
  <si>
    <t>622000 - Building Improvements</t>
  </si>
  <si>
    <t>110.01.601015.000 - Office Of Instruction</t>
  </si>
  <si>
    <t>3.70%</t>
  </si>
  <si>
    <t>130100 - Substitutes Day/Hourly</t>
  </si>
  <si>
    <t>130300 - Instructors - Off-Campus</t>
  </si>
  <si>
    <t>130400 - Instr Hourly/Work Experience</t>
  </si>
  <si>
    <t>111.83%</t>
  </si>
  <si>
    <t>130900 - Load Banking</t>
  </si>
  <si>
    <t>4.03%</t>
  </si>
  <si>
    <t>12.45%</t>
  </si>
  <si>
    <t>-50.41%</t>
  </si>
  <si>
    <t>535000 - Postage &amp; Freight</t>
  </si>
  <si>
    <t>554000 - Telephone</t>
  </si>
  <si>
    <t>1,222.22%</t>
  </si>
  <si>
    <t>-21.43%</t>
  </si>
  <si>
    <t>110.01.601016.000 - Off-Campus Programs</t>
  </si>
  <si>
    <t>-0.31%</t>
  </si>
  <si>
    <t>0.06%</t>
  </si>
  <si>
    <t>-5.00%</t>
  </si>
  <si>
    <t>-0.09%</t>
  </si>
  <si>
    <t>85.19%</t>
  </si>
  <si>
    <t>-16.67%</t>
  </si>
  <si>
    <t>0.03%</t>
  </si>
  <si>
    <t>110.01.601017.000 - Weekend College</t>
  </si>
  <si>
    <t>14.81%</t>
  </si>
  <si>
    <t>110.01.601019.000 - Honors Program</t>
  </si>
  <si>
    <t>128.57%</t>
  </si>
  <si>
    <t>-33.33%</t>
  </si>
  <si>
    <t>-20.00%</t>
  </si>
  <si>
    <t>5.92%</t>
  </si>
  <si>
    <t>110.01.602001.000 - Diesel Dept - Course And Curriculum Development</t>
  </si>
  <si>
    <t>110.01.602002.000 - Refrigeration</t>
  </si>
  <si>
    <t>-32.21%</t>
  </si>
  <si>
    <t>110.01.603001.000 - Academic Senate</t>
  </si>
  <si>
    <t>-4.65%</t>
  </si>
  <si>
    <t>13.26%</t>
  </si>
  <si>
    <t>110.01.609002.000 - Accreditation</t>
  </si>
  <si>
    <t>293.39%</t>
  </si>
  <si>
    <t>110.01.611001.000 - Library - Learning Center</t>
  </si>
  <si>
    <t>4.90%</t>
  </si>
  <si>
    <t>2.92%</t>
  </si>
  <si>
    <t>4.50%</t>
  </si>
  <si>
    <t>2.24%</t>
  </si>
  <si>
    <t>210100 - Classified Supervisor</t>
  </si>
  <si>
    <t>1.47%</t>
  </si>
  <si>
    <t>5.05%</t>
  </si>
  <si>
    <t>-10.60%</t>
  </si>
  <si>
    <t>2.21%</t>
  </si>
  <si>
    <t>3.07%</t>
  </si>
  <si>
    <t>4.27%</t>
  </si>
  <si>
    <t>-16.84%</t>
  </si>
  <si>
    <t>20.00%</t>
  </si>
  <si>
    <t>204.00%</t>
  </si>
  <si>
    <t>563000 - Maintenance Agreements</t>
  </si>
  <si>
    <t>0.24%</t>
  </si>
  <si>
    <t>33.33%</t>
  </si>
  <si>
    <t>300.00%</t>
  </si>
  <si>
    <t>17.46%</t>
  </si>
  <si>
    <t>14.79%</t>
  </si>
  <si>
    <t>1,740.49%</t>
  </si>
  <si>
    <t>-41.59%</t>
  </si>
  <si>
    <t>12.03%</t>
  </si>
  <si>
    <t>3.98%</t>
  </si>
  <si>
    <t>4.48%</t>
  </si>
  <si>
    <t>9.53%</t>
  </si>
  <si>
    <t>-17.39%</t>
  </si>
  <si>
    <t>-51.47%</t>
  </si>
  <si>
    <t>5.89%</t>
  </si>
  <si>
    <t>42.27%</t>
  </si>
  <si>
    <t>-31.02%</t>
  </si>
  <si>
    <t>563700 - Maint.Agree - Office Equip</t>
  </si>
  <si>
    <t>-86.67%</t>
  </si>
  <si>
    <t>125.73%</t>
  </si>
  <si>
    <t>14.31%</t>
  </si>
  <si>
    <t>-56.92%</t>
  </si>
  <si>
    <t>110.01.619002.000 - Tutorial Center</t>
  </si>
  <si>
    <t>6.48%</t>
  </si>
  <si>
    <t>-17.11%</t>
  </si>
  <si>
    <t>39.63%</t>
  </si>
  <si>
    <t>-17.58%</t>
  </si>
  <si>
    <t>54.25%</t>
  </si>
  <si>
    <t>39.77%</t>
  </si>
  <si>
    <t>39.50%</t>
  </si>
  <si>
    <t>32.06%</t>
  </si>
  <si>
    <t>38.55%</t>
  </si>
  <si>
    <t>4.41%</t>
  </si>
  <si>
    <t>10.48%</t>
  </si>
  <si>
    <t>9.68%</t>
  </si>
  <si>
    <t>-17.34%</t>
  </si>
  <si>
    <t>30.11%</t>
  </si>
  <si>
    <t>-38.67%</t>
  </si>
  <si>
    <t>-51.44%</t>
  </si>
  <si>
    <t>-11.50%</t>
  </si>
  <si>
    <t>110.01.619004.000 - Grants - Other Instructional Support Sv</t>
  </si>
  <si>
    <t>-2.36%</t>
  </si>
  <si>
    <t>1.52%</t>
  </si>
  <si>
    <t>-9.77%</t>
  </si>
  <si>
    <t>-38.19%</t>
  </si>
  <si>
    <t>8.44%</t>
  </si>
  <si>
    <t>-16.95%</t>
  </si>
  <si>
    <t>-51.21%</t>
  </si>
  <si>
    <t>36.36%</t>
  </si>
  <si>
    <t>110.01.619007.000 - Planning And Research</t>
  </si>
  <si>
    <t>-5.29%</t>
  </si>
  <si>
    <t>238100 - Nonstudent Hourly</t>
  </si>
  <si>
    <t>18.69%</t>
  </si>
  <si>
    <t>-19.65%</t>
  </si>
  <si>
    <t>-4.00%</t>
  </si>
  <si>
    <t>0.05%</t>
  </si>
  <si>
    <t>11.36%</t>
  </si>
  <si>
    <t>110.01.619008.000 - Resource Development</t>
  </si>
  <si>
    <t>210000 - Classified Managers-Non-Instru</t>
  </si>
  <si>
    <t>7.82%</t>
  </si>
  <si>
    <t>-30.00%</t>
  </si>
  <si>
    <t>238400 - Class Employee-Consultant</t>
  </si>
  <si>
    <t>-4.11%</t>
  </si>
  <si>
    <t>6.91%</t>
  </si>
  <si>
    <t>28.11%</t>
  </si>
  <si>
    <t>-34.43%</t>
  </si>
  <si>
    <t>44.07%</t>
  </si>
  <si>
    <t>13.88%</t>
  </si>
  <si>
    <t>520800 - Cell Phone Allowance - Classifie</t>
  </si>
  <si>
    <t>2.19%</t>
  </si>
  <si>
    <t>-64.67%</t>
  </si>
  <si>
    <t>110.01.620001.000 - Admissions &amp; Records</t>
  </si>
  <si>
    <t>0.20%</t>
  </si>
  <si>
    <t>6.56%</t>
  </si>
  <si>
    <t>69.96%</t>
  </si>
  <si>
    <t>172.73%</t>
  </si>
  <si>
    <t>-99.20%</t>
  </si>
  <si>
    <t>-50.61%</t>
  </si>
  <si>
    <t>14.41%</t>
  </si>
  <si>
    <t>-1.06%</t>
  </si>
  <si>
    <t>-7.85%</t>
  </si>
  <si>
    <t>77.78%</t>
  </si>
  <si>
    <t>-40.88%</t>
  </si>
  <si>
    <t>2,068.18%</t>
  </si>
  <si>
    <t>47.06%</t>
  </si>
  <si>
    <t>110.01.631002.000 - Minority Transter Program</t>
  </si>
  <si>
    <t>8.67%</t>
  </si>
  <si>
    <t>-65.13%</t>
  </si>
  <si>
    <t>-14.63%</t>
  </si>
  <si>
    <t>110.01.631004.000 - Counseling - Counseling &amp; Guidance</t>
  </si>
  <si>
    <t>4.55%</t>
  </si>
  <si>
    <t>2.99%</t>
  </si>
  <si>
    <t>300000 - Employee Benefits</t>
  </si>
  <si>
    <t>15.42%</t>
  </si>
  <si>
    <t>4.38%</t>
  </si>
  <si>
    <t>3,653.03%</t>
  </si>
  <si>
    <t>2,280.95%</t>
  </si>
  <si>
    <t>429.18%</t>
  </si>
  <si>
    <t>1.25%</t>
  </si>
  <si>
    <t>110.01.633001.000 - Articulation Program</t>
  </si>
  <si>
    <t>110.01.633002.000 - Transfer Center</t>
  </si>
  <si>
    <t>3.72%</t>
  </si>
  <si>
    <t>-34.80%</t>
  </si>
  <si>
    <t>185.25%</t>
  </si>
  <si>
    <t>7.41%</t>
  </si>
  <si>
    <t>54.28%</t>
  </si>
  <si>
    <t>-0.18%</t>
  </si>
  <si>
    <t>64,375.00%</t>
  </si>
  <si>
    <t>-81.79%</t>
  </si>
  <si>
    <t>110.01.642001.000 - Disabled Student Prog/Services - DSPS</t>
  </si>
  <si>
    <t>6.77%</t>
  </si>
  <si>
    <t>5.70%</t>
  </si>
  <si>
    <t>110.01.643001.000 - EOPS</t>
  </si>
  <si>
    <t>6.43%</t>
  </si>
  <si>
    <t>-0.04%</t>
  </si>
  <si>
    <t>110.01.645001.000 - Counseling/Matriculation Division</t>
  </si>
  <si>
    <t>57.72%</t>
  </si>
  <si>
    <t>15.91%</t>
  </si>
  <si>
    <t>1.63%</t>
  </si>
  <si>
    <t>-10.30%</t>
  </si>
  <si>
    <t>110.01.645002.000 - Student Development</t>
  </si>
  <si>
    <t>-4.38%</t>
  </si>
  <si>
    <t>1.87%</t>
  </si>
  <si>
    <t>7.67%</t>
  </si>
  <si>
    <t>320.00%</t>
  </si>
  <si>
    <t>-11.34%</t>
  </si>
  <si>
    <t>-3.74%</t>
  </si>
  <si>
    <t>-12.31%</t>
  </si>
  <si>
    <t>25.65%</t>
  </si>
  <si>
    <t>166.32%</t>
  </si>
  <si>
    <t>2.27%</t>
  </si>
  <si>
    <t>-5.09%</t>
  </si>
  <si>
    <t>-1.71%</t>
  </si>
  <si>
    <t>-24.95%</t>
  </si>
  <si>
    <t>-55.92%</t>
  </si>
  <si>
    <t>-61.11%</t>
  </si>
  <si>
    <t>-34.60%</t>
  </si>
  <si>
    <t>110.01.646002.000 - Campus President - Financial Aid</t>
  </si>
  <si>
    <t>110.01.647001.000 - Workforce Readiness - Job Development/Placement Srvc</t>
  </si>
  <si>
    <t>8.85%</t>
  </si>
  <si>
    <t>5.62%</t>
  </si>
  <si>
    <t>110.01.647003.000 - WIA Carryover</t>
  </si>
  <si>
    <t>760000 - Other Student Aid</t>
  </si>
  <si>
    <t>110.01.649001.000 - Workforce Readiness - Misc. Student Svcs.</t>
  </si>
  <si>
    <t>4.08%</t>
  </si>
  <si>
    <t>3.53%</t>
  </si>
  <si>
    <t>2.70%</t>
  </si>
  <si>
    <t>110.01.649002.000 - Outreach And Recruitment</t>
  </si>
  <si>
    <t>581.48%</t>
  </si>
  <si>
    <t>146.32%</t>
  </si>
  <si>
    <t>110.01.649003.000 - Commencement</t>
  </si>
  <si>
    <t>0.38%</t>
  </si>
  <si>
    <t>35.29%</t>
  </si>
  <si>
    <t>142.11%</t>
  </si>
  <si>
    <t>-58.37%</t>
  </si>
  <si>
    <t>110.01.649004.000 - Puente</t>
  </si>
  <si>
    <t>62.21%</t>
  </si>
  <si>
    <t>110.01.649011.000 - Middle College</t>
  </si>
  <si>
    <t>4.77%</t>
  </si>
  <si>
    <t>5.39%</t>
  </si>
  <si>
    <t>110.01.651001.000 - Maintenance</t>
  </si>
  <si>
    <t>-1.79%</t>
  </si>
  <si>
    <t>451000 - Maintenance Supplies</t>
  </si>
  <si>
    <t>-26.60%</t>
  </si>
  <si>
    <t>451100 - Air Cond &amp; Heating Supplies</t>
  </si>
  <si>
    <t>-15.48%</t>
  </si>
  <si>
    <t>451200 - Lock &amp; Key Supplies</t>
  </si>
  <si>
    <t>-28.13%</t>
  </si>
  <si>
    <t>565000 - Repairs, Lock &amp; Key</t>
  </si>
  <si>
    <t>15.38%</t>
  </si>
  <si>
    <t>566000 - Repairs,Boiler,Chillers,A/C</t>
  </si>
  <si>
    <t>-83.22%</t>
  </si>
  <si>
    <t>110.01.653001.000 - Custodial</t>
  </si>
  <si>
    <t>13.25%</t>
  </si>
  <si>
    <t>28.62%</t>
  </si>
  <si>
    <t>18.75%</t>
  </si>
  <si>
    <t>-48.78%</t>
  </si>
  <si>
    <t>2.90%</t>
  </si>
  <si>
    <t>8.54%</t>
  </si>
  <si>
    <t>2.79%</t>
  </si>
  <si>
    <t>1.26%</t>
  </si>
  <si>
    <t>-19.94%</t>
  </si>
  <si>
    <t>-52.97%</t>
  </si>
  <si>
    <t>452000 - Custodian Supplies</t>
  </si>
  <si>
    <t>12.11%</t>
  </si>
  <si>
    <t>38.45%</t>
  </si>
  <si>
    <t>110.01.653005.000 - Custodial - Student &amp; Co-Curricular</t>
  </si>
  <si>
    <t>8.51%</t>
  </si>
  <si>
    <t>110.01.655001.000 - Grounds</t>
  </si>
  <si>
    <t>2.37%</t>
  </si>
  <si>
    <t>3.75%</t>
  </si>
  <si>
    <t>453000 - Grounds Supplies</t>
  </si>
  <si>
    <t>-5.62%</t>
  </si>
  <si>
    <t>5.95%</t>
  </si>
  <si>
    <t>110.01.657003.000 - Technology Service</t>
  </si>
  <si>
    <t>110.01.657005.000 - Counseling/Matriculation Div</t>
  </si>
  <si>
    <t>-3.80%</t>
  </si>
  <si>
    <t>110.01.657007.000 - Utilities - Water</t>
  </si>
  <si>
    <t>431.12%</t>
  </si>
  <si>
    <t>553000 - Water</t>
  </si>
  <si>
    <t>110.01.657008.000 - Utilities - Telephone</t>
  </si>
  <si>
    <t>9.90%</t>
  </si>
  <si>
    <t>110.01.657010.000 - Utilities - Gas</t>
  </si>
  <si>
    <t>551000 - Gas</t>
  </si>
  <si>
    <t>110.01.657011.000 - Utilities - Electricity</t>
  </si>
  <si>
    <t>14.24%</t>
  </si>
  <si>
    <t>552000 - Electric</t>
  </si>
  <si>
    <t>110.01.657028.000 - Social Science, General</t>
  </si>
  <si>
    <t>110.01.660001.000 - Technology Service - Planning, Policymaking, &amp; Coordination</t>
  </si>
  <si>
    <t>3.95%</t>
  </si>
  <si>
    <t>110.01.660003.000 - Campus President</t>
  </si>
  <si>
    <t>4.78%</t>
  </si>
  <si>
    <t>120000 - Contract Cert. Administrators</t>
  </si>
  <si>
    <t>218000 - Classified Confidential Employ</t>
  </si>
  <si>
    <t>-47.42%</t>
  </si>
  <si>
    <t>2.13%</t>
  </si>
  <si>
    <t>-6.67%</t>
  </si>
  <si>
    <t>19.69%</t>
  </si>
  <si>
    <t>-12.50%</t>
  </si>
  <si>
    <t>520600 - Expense Allowance</t>
  </si>
  <si>
    <t>45.45%</t>
  </si>
  <si>
    <t>-12.47%</t>
  </si>
  <si>
    <t>-51.97%</t>
  </si>
  <si>
    <t>-40.00%</t>
  </si>
  <si>
    <t>-71.43%</t>
  </si>
  <si>
    <t>580500 - Student Refund Petition</t>
  </si>
  <si>
    <t>84.21%</t>
  </si>
  <si>
    <t>575.94%</t>
  </si>
  <si>
    <t>114.29%</t>
  </si>
  <si>
    <t>110.01.660004.000 - Grants - Planning, Policymaking, &amp; Coordination</t>
  </si>
  <si>
    <t>-20.35%</t>
  </si>
  <si>
    <t>-40.79%</t>
  </si>
  <si>
    <t>-23.88%</t>
  </si>
  <si>
    <t>-39.82%</t>
  </si>
  <si>
    <t>-64.65%</t>
  </si>
  <si>
    <t>-54.61%</t>
  </si>
  <si>
    <t>8,000.00%</t>
  </si>
  <si>
    <t>147.45%</t>
  </si>
  <si>
    <t>110.01.671001.000 - Marketing &amp; Public Affairs</t>
  </si>
  <si>
    <t>-39.14%</t>
  </si>
  <si>
    <t>-46.05%</t>
  </si>
  <si>
    <t>-93.99%</t>
  </si>
  <si>
    <t>-75.04%</t>
  </si>
  <si>
    <t>58.33%</t>
  </si>
  <si>
    <t>1,886,692.45%</t>
  </si>
  <si>
    <t>-66.48%</t>
  </si>
  <si>
    <t>-63.97%</t>
  </si>
  <si>
    <t>110.01.672001.000 - College Business Office</t>
  </si>
  <si>
    <t>-4.04%</t>
  </si>
  <si>
    <t>23.66%</t>
  </si>
  <si>
    <t>-92.78%</t>
  </si>
  <si>
    <t>-7.95%</t>
  </si>
  <si>
    <t>81.11%</t>
  </si>
  <si>
    <t>-14.71%</t>
  </si>
  <si>
    <t>-11.25%</t>
  </si>
  <si>
    <t>-32.57%</t>
  </si>
  <si>
    <t>-60.39%</t>
  </si>
  <si>
    <t>110.01.675001.000 - Professional Development</t>
  </si>
  <si>
    <t>0.85%</t>
  </si>
  <si>
    <t>128200 - Cert Coordinators</t>
  </si>
  <si>
    <t>148200 - Facilitator Certificated</t>
  </si>
  <si>
    <t>-46.61%</t>
  </si>
  <si>
    <t>-28.38%</t>
  </si>
  <si>
    <t>189.92%</t>
  </si>
  <si>
    <t>110.01.676001.000 - Diversity</t>
  </si>
  <si>
    <t>-27.63%</t>
  </si>
  <si>
    <t>123.53%</t>
  </si>
  <si>
    <t>-65.41%</t>
  </si>
  <si>
    <t>110.01.677001.000 - Transporation, General</t>
  </si>
  <si>
    <t>-8.09%</t>
  </si>
  <si>
    <t>16.68%</t>
  </si>
  <si>
    <t>110.01.677002.000 - Rideshare Program</t>
  </si>
  <si>
    <t>6.67%</t>
  </si>
  <si>
    <t>110.01.677003.000 - Telephone Operations &amp; Maint</t>
  </si>
  <si>
    <t>4.26%</t>
  </si>
  <si>
    <t>110.01.677004.000 - General Supplies &amp; Services</t>
  </si>
  <si>
    <t>-8.72%</t>
  </si>
  <si>
    <t>-2.59%</t>
  </si>
  <si>
    <t>-83.74%</t>
  </si>
  <si>
    <t>553500 - Solid Waste Disposal</t>
  </si>
  <si>
    <t>20.37%</t>
  </si>
  <si>
    <t>556000 - Pest Control</t>
  </si>
  <si>
    <t>-3.86%</t>
  </si>
  <si>
    <t>558000 - Fire Extinguisher Service</t>
  </si>
  <si>
    <t>42.76%</t>
  </si>
  <si>
    <t>41.31%</t>
  </si>
  <si>
    <t>-1.56%</t>
  </si>
  <si>
    <t>71.19%</t>
  </si>
  <si>
    <t>563100 - Maint.Agree - Ac/Heating</t>
  </si>
  <si>
    <t>669.23%</t>
  </si>
  <si>
    <t>-22.51%</t>
  </si>
  <si>
    <t>83.33%</t>
  </si>
  <si>
    <t>580200 - Physical,Fingerprinting,Tbtest</t>
  </si>
  <si>
    <t>171.43%</t>
  </si>
  <si>
    <t>-89.13%</t>
  </si>
  <si>
    <t>-61.27%</t>
  </si>
  <si>
    <t>110.01.677005.000 - Auditorium</t>
  </si>
  <si>
    <t>-20.94%</t>
  </si>
  <si>
    <t>-98.67%</t>
  </si>
  <si>
    <t>110.01.677007.000 - Mailroom And Postage</t>
  </si>
  <si>
    <t>115.77%</t>
  </si>
  <si>
    <t>-364.91%</t>
  </si>
  <si>
    <t>23.88%</t>
  </si>
  <si>
    <t>24.81%</t>
  </si>
  <si>
    <t>110.01.679001.000 - Classified Senate</t>
  </si>
  <si>
    <t>282.94%</t>
  </si>
  <si>
    <t>5.09%</t>
  </si>
  <si>
    <t>110.01.679008.000 - Campus President</t>
  </si>
  <si>
    <t>110.01.683001.000 - Custodial - Community Use Of Facilities</t>
  </si>
  <si>
    <t>4.92%</t>
  </si>
  <si>
    <t>110.01.692002.000 - Child Development Center</t>
  </si>
  <si>
    <t>110.01.696001.000 - Mens Athletics - Student &amp; Co-Curricular</t>
  </si>
  <si>
    <t>110.01.696002.000 - Student Activities</t>
  </si>
  <si>
    <t>26.84%</t>
  </si>
  <si>
    <t>91.44%</t>
  </si>
  <si>
    <t>106.12%</t>
  </si>
  <si>
    <t>110.01.696005.000 - Mens Athletics - Baseball</t>
  </si>
  <si>
    <t>-2.24%</t>
  </si>
  <si>
    <t>511400 - Officials/Other Services - Sport</t>
  </si>
  <si>
    <t>-11.62%</t>
  </si>
  <si>
    <t>-11.49%</t>
  </si>
  <si>
    <t>-11.05%</t>
  </si>
  <si>
    <t>581300 - Athletics Entry Fee</t>
  </si>
  <si>
    <t>577.97%</t>
  </si>
  <si>
    <t>110.01.696006.000 - Womens Athletics - Volleyball</t>
  </si>
  <si>
    <t>-1.23%</t>
  </si>
  <si>
    <t>610.06%</t>
  </si>
  <si>
    <t>-32.26%</t>
  </si>
  <si>
    <t>512000 - Other Contracts/Outside Servic</t>
  </si>
  <si>
    <t>-18.15%</t>
  </si>
  <si>
    <t>110.01.696007.000 - Womens Athletics - Softball</t>
  </si>
  <si>
    <t>-3.01%</t>
  </si>
  <si>
    <t>-40.73%</t>
  </si>
  <si>
    <t>-25.18%</t>
  </si>
  <si>
    <t>1.36%</t>
  </si>
  <si>
    <t>47.78%</t>
  </si>
  <si>
    <t>110.01.696008.000 - Mens Athletics - Basketball</t>
  </si>
  <si>
    <t>-24.59%</t>
  </si>
  <si>
    <t>-20.32%</t>
  </si>
  <si>
    <t>-34.32%</t>
  </si>
  <si>
    <t>-40.39%</t>
  </si>
  <si>
    <t>0.89%</t>
  </si>
  <si>
    <t>110.01.696009.000 - Womens Athletics - Basketball</t>
  </si>
  <si>
    <t>-7.01%</t>
  </si>
  <si>
    <t>202.27%</t>
  </si>
  <si>
    <t>-18.89%</t>
  </si>
  <si>
    <t>-18.45%</t>
  </si>
  <si>
    <t>-8.99%</t>
  </si>
  <si>
    <t>110.01.696010.000 - Mens Athletics - Track</t>
  </si>
  <si>
    <t>-38.01%</t>
  </si>
  <si>
    <t>207.69%</t>
  </si>
  <si>
    <t>-33.36%</t>
  </si>
  <si>
    <t>-51.96%</t>
  </si>
  <si>
    <t>-58.59%</t>
  </si>
  <si>
    <t>110.01.696011.000 - Womens Athletics - Track</t>
  </si>
  <si>
    <t>-9.18%</t>
  </si>
  <si>
    <t>275.00%</t>
  </si>
  <si>
    <t>-31.32%</t>
  </si>
  <si>
    <t>-65.33%</t>
  </si>
  <si>
    <t>110.01.696012.000 - Mens Athletics - Cross Country</t>
  </si>
  <si>
    <t>9.73%</t>
  </si>
  <si>
    <t>609.22%</t>
  </si>
  <si>
    <t>-16.76%</t>
  </si>
  <si>
    <t>56.64%</t>
  </si>
  <si>
    <t>110.01.696013.000 - Womens Athletics - Cross Country</t>
  </si>
  <si>
    <t>19.50%</t>
  </si>
  <si>
    <t>-20.95%</t>
  </si>
  <si>
    <t>13.64%</t>
  </si>
  <si>
    <t>31.58%</t>
  </si>
  <si>
    <t>110.01.696018.000 - Mens Athletics - Football</t>
  </si>
  <si>
    <t>-9.48%</t>
  </si>
  <si>
    <t>-6.10%</t>
  </si>
  <si>
    <t>-33.16%</t>
  </si>
  <si>
    <t>-22.59%</t>
  </si>
  <si>
    <t>-28.85%</t>
  </si>
  <si>
    <t>-28.89%</t>
  </si>
  <si>
    <t>-35.59%</t>
  </si>
  <si>
    <t>110.01.696020.000 - Mens Athletics - Soccer</t>
  </si>
  <si>
    <t>-15.33%</t>
  </si>
  <si>
    <t>740.34%</t>
  </si>
  <si>
    <t>24.33%</t>
  </si>
  <si>
    <t>-54.97%</t>
  </si>
  <si>
    <t>-0.05%</t>
  </si>
  <si>
    <t>110.01.696021.000 - Womens Athletics - Soccer</t>
  </si>
  <si>
    <t>6.10%</t>
  </si>
  <si>
    <t>103,348.28%</t>
  </si>
  <si>
    <t>-9.13%</t>
  </si>
  <si>
    <t>-15.55%</t>
  </si>
  <si>
    <t>110.01.696022.000 - Mens Athletics - Athletics</t>
  </si>
  <si>
    <t>10.60%</t>
  </si>
  <si>
    <t>25.84%</t>
  </si>
  <si>
    <t>15.36%</t>
  </si>
  <si>
    <t>110.01.696023.000 - Womens Athletics - Athletics</t>
  </si>
  <si>
    <t>15.84%</t>
  </si>
  <si>
    <t>1.05%</t>
  </si>
  <si>
    <t>733.33%</t>
  </si>
  <si>
    <t>110.01.696024.000 - P.E - Athletics</t>
  </si>
  <si>
    <t>-38.82%</t>
  </si>
  <si>
    <t>69.09%</t>
  </si>
  <si>
    <t>-39.90%</t>
  </si>
  <si>
    <t>110.01.696025.000 - Athletic Trainer - Athletic Trainer</t>
  </si>
  <si>
    <t>110.01.710012.000 - Administrative Services</t>
  </si>
  <si>
    <t>-30.74%</t>
  </si>
  <si>
    <t>3.43%</t>
  </si>
  <si>
    <t>3.30%</t>
  </si>
  <si>
    <t>1,729.27%</t>
  </si>
  <si>
    <t>-96.72%</t>
  </si>
  <si>
    <t>110.02.040100.000 - Biology, General</t>
  </si>
  <si>
    <t>5.23%</t>
  </si>
  <si>
    <t>150.00%</t>
  </si>
  <si>
    <t>5.88%</t>
  </si>
  <si>
    <t>110.02.040300.000 - Microbiology Department</t>
  </si>
  <si>
    <t>1.97%</t>
  </si>
  <si>
    <t>-15.77%</t>
  </si>
  <si>
    <t>110.02.041000.000 - Anatomy &amp; Physiology Dept - Anatomy And Physiology</t>
  </si>
  <si>
    <t>58.11%</t>
  </si>
  <si>
    <t>3.55%</t>
  </si>
  <si>
    <t>1.21%</t>
  </si>
  <si>
    <t>110.02.050200.000 - Accounting</t>
  </si>
  <si>
    <t>3.80%</t>
  </si>
  <si>
    <t>4.28%</t>
  </si>
  <si>
    <t>-15.00%</t>
  </si>
  <si>
    <t>15.31%</t>
  </si>
  <si>
    <t>110.02.050400.000 - Business Admin, Finance, Ins</t>
  </si>
  <si>
    <t>110.02.070100.000 - Computer  Science Department</t>
  </si>
  <si>
    <t>4.21%</t>
  </si>
  <si>
    <t>15.23%</t>
  </si>
  <si>
    <t>-62.50%</t>
  </si>
  <si>
    <t>110.02.083500.000 - Physical Education Division</t>
  </si>
  <si>
    <t>-3.79%</t>
  </si>
  <si>
    <t>-5.46%</t>
  </si>
  <si>
    <t>-5.33%</t>
  </si>
  <si>
    <t>-9.21%</t>
  </si>
  <si>
    <t>-28.22%</t>
  </si>
  <si>
    <t>-8.33%</t>
  </si>
  <si>
    <t>-10.55%</t>
  </si>
  <si>
    <t>-57.83%</t>
  </si>
  <si>
    <t>-25.00%</t>
  </si>
  <si>
    <t>-6.20%</t>
  </si>
  <si>
    <t>1,400.00%</t>
  </si>
  <si>
    <t>57.92%</t>
  </si>
  <si>
    <t>563500 - Maint.Agree - Grounds</t>
  </si>
  <si>
    <t>110.02.085001.000 - Modern Languages - Sign Language</t>
  </si>
  <si>
    <t>25.63%</t>
  </si>
  <si>
    <t>42.59%</t>
  </si>
  <si>
    <t>3.77%</t>
  </si>
  <si>
    <t>3.40%</t>
  </si>
  <si>
    <t>-3.29%</t>
  </si>
  <si>
    <t>110.02.100200.000 - Art Department</t>
  </si>
  <si>
    <t>20.68%</t>
  </si>
  <si>
    <t>24.52%</t>
  </si>
  <si>
    <t>55.83%</t>
  </si>
  <si>
    <t>37.69%</t>
  </si>
  <si>
    <t>58.15%</t>
  </si>
  <si>
    <t>110.02.100400.000 - Music Department</t>
  </si>
  <si>
    <t>169.61%</t>
  </si>
  <si>
    <t>14.14%</t>
  </si>
  <si>
    <t>335000 - PARS-Instructional</t>
  </si>
  <si>
    <t>-19.33%</t>
  </si>
  <si>
    <t>110.02.100700.000 - Drama Department</t>
  </si>
  <si>
    <t>250.00%</t>
  </si>
  <si>
    <t>110.02.110100.000 - Modern Languages - Foreign Languages, General</t>
  </si>
  <si>
    <t>13.17%</t>
  </si>
  <si>
    <t>110.02.121000.000 - Resp Therapy Cert Program - Respiratory Care/Therapy</t>
  </si>
  <si>
    <t>0.72%</t>
  </si>
  <si>
    <t>14.73%</t>
  </si>
  <si>
    <t>110.02.125000.000 - Emergency Medicine Program - Emergency Medical Services</t>
  </si>
  <si>
    <t>2.59%</t>
  </si>
  <si>
    <t>8.08%</t>
  </si>
  <si>
    <t>13.43%</t>
  </si>
  <si>
    <t>2.55%</t>
  </si>
  <si>
    <t>-1.04%</t>
  </si>
  <si>
    <t>-3.88%</t>
  </si>
  <si>
    <t>-21.03%</t>
  </si>
  <si>
    <t>2.74%</t>
  </si>
  <si>
    <t>-19.64%</t>
  </si>
  <si>
    <t>110.02.130502.000 - Early Childhood Education</t>
  </si>
  <si>
    <t>110.02.150100.000 - English Department</t>
  </si>
  <si>
    <t>21.60%</t>
  </si>
  <si>
    <t>19.47%</t>
  </si>
  <si>
    <t>32.10%</t>
  </si>
  <si>
    <t>17.81%</t>
  </si>
  <si>
    <t>27.78%</t>
  </si>
  <si>
    <t>-6.85%</t>
  </si>
  <si>
    <t>18.95%</t>
  </si>
  <si>
    <t>16.08%</t>
  </si>
  <si>
    <t>-45.28%</t>
  </si>
  <si>
    <t>110.02.150600.000 - Speech Department</t>
  </si>
  <si>
    <t>3.14%</t>
  </si>
  <si>
    <t>110.02.150900.000 - Philosophy</t>
  </si>
  <si>
    <t>58.30%</t>
  </si>
  <si>
    <t>59.03%</t>
  </si>
  <si>
    <t>75.85%</t>
  </si>
  <si>
    <t>38.66%</t>
  </si>
  <si>
    <t>45.48%</t>
  </si>
  <si>
    <t>9.63%</t>
  </si>
  <si>
    <t>40.00%</t>
  </si>
  <si>
    <t>36.62%</t>
  </si>
  <si>
    <t>-35.60%</t>
  </si>
  <si>
    <t>110.02.170100.000 - Mathematics Department</t>
  </si>
  <si>
    <t>11.10%</t>
  </si>
  <si>
    <t>12.86%</t>
  </si>
  <si>
    <t>13.50%</t>
  </si>
  <si>
    <t>110.02.190200.000 - Physics Department</t>
  </si>
  <si>
    <t>6.72%</t>
  </si>
  <si>
    <t>8.18%</t>
  </si>
  <si>
    <t>110.02.190500.000 - Chemistry Department</t>
  </si>
  <si>
    <t>4.14%</t>
  </si>
  <si>
    <t>2.87%</t>
  </si>
  <si>
    <t>13.74%</t>
  </si>
  <si>
    <t>110.02.191100.000 - Formerly Astronomy Dept.</t>
  </si>
  <si>
    <t>110.02.191400.000 - Geology Department</t>
  </si>
  <si>
    <t>-0.39%</t>
  </si>
  <si>
    <t>-10.24%</t>
  </si>
  <si>
    <t>8.20%</t>
  </si>
  <si>
    <t>-64.71%</t>
  </si>
  <si>
    <t>7.69%</t>
  </si>
  <si>
    <t>-10.53%</t>
  </si>
  <si>
    <t>110.02.200100.000 - Psychology</t>
  </si>
  <si>
    <t>3.38%</t>
  </si>
  <si>
    <t>2.20%</t>
  </si>
  <si>
    <t>13.01%</t>
  </si>
  <si>
    <t>4.94%</t>
  </si>
  <si>
    <t>3.73%</t>
  </si>
  <si>
    <t>14.69%</t>
  </si>
  <si>
    <t>793.33%</t>
  </si>
  <si>
    <t>-19.39%</t>
  </si>
  <si>
    <t>-28.01%</t>
  </si>
  <si>
    <t>302.60%</t>
  </si>
  <si>
    <t>0.67%</t>
  </si>
  <si>
    <t>46.90%</t>
  </si>
  <si>
    <t>110.02.219901.000 - Public Safety Training</t>
  </si>
  <si>
    <t>110.02.220400.000 - Economics</t>
  </si>
  <si>
    <t>2.76%</t>
  </si>
  <si>
    <t>110.02.220500.000 - History</t>
  </si>
  <si>
    <t>145.87%</t>
  </si>
  <si>
    <t>172.82%</t>
  </si>
  <si>
    <t>93.44%</t>
  </si>
  <si>
    <t>74.94%</t>
  </si>
  <si>
    <t>110.02.220600.000 - Geography Department</t>
  </si>
  <si>
    <t>110.02.220700.000 - Political Science</t>
  </si>
  <si>
    <t>4.98%</t>
  </si>
  <si>
    <t>15.09%</t>
  </si>
  <si>
    <t>110.02.220800.000 - Sociology</t>
  </si>
  <si>
    <t>4.01%</t>
  </si>
  <si>
    <t>110.02.493001.000 - Office Of Instruction - Adjuncts</t>
  </si>
  <si>
    <t>12.61%</t>
  </si>
  <si>
    <t>12.85%</t>
  </si>
  <si>
    <t>7.87%</t>
  </si>
  <si>
    <t>115.76%</t>
  </si>
  <si>
    <t>110.02.493070.000 - Reading Program</t>
  </si>
  <si>
    <t>4.67%</t>
  </si>
  <si>
    <t>110.02.493096.000 - Workforce Readiness</t>
  </si>
  <si>
    <t>110.02.601004.000 - Humanities Division</t>
  </si>
  <si>
    <t>7.52%</t>
  </si>
  <si>
    <t>110.02.601015.000 - Office Of Instruction</t>
  </si>
  <si>
    <t>-18.37%</t>
  </si>
  <si>
    <t>23.62%</t>
  </si>
  <si>
    <t>-73.90%</t>
  </si>
  <si>
    <t>4.99%</t>
  </si>
  <si>
    <t>341000 - Health &amp; Welfare-Cert/I.A Inst</t>
  </si>
  <si>
    <t>-41.07%</t>
  </si>
  <si>
    <t>-6.12%</t>
  </si>
  <si>
    <t>42.86%</t>
  </si>
  <si>
    <t>-14.52%</t>
  </si>
  <si>
    <t>16.67%</t>
  </si>
  <si>
    <t>110.02.601019.000 - Honors Program</t>
  </si>
  <si>
    <t>11.70%</t>
  </si>
  <si>
    <t>11.56%</t>
  </si>
  <si>
    <t>35.05%</t>
  </si>
  <si>
    <t>39.53%</t>
  </si>
  <si>
    <t>-13.89%</t>
  </si>
  <si>
    <t>-40.83%</t>
  </si>
  <si>
    <t>110.02.601021.000 - Resp Therapy Cert Program - Academic Administration</t>
  </si>
  <si>
    <t>31.38%</t>
  </si>
  <si>
    <t>187.87%</t>
  </si>
  <si>
    <t>110.02.601022.000 - Emergency Medicine Program - Academic Administration</t>
  </si>
  <si>
    <t>5.69%</t>
  </si>
  <si>
    <t>110.02.601023.000 - Radiologic Technology</t>
  </si>
  <si>
    <t>110.02.601024.000 - Fire Science - Academic Administration</t>
  </si>
  <si>
    <t>-3.11%</t>
  </si>
  <si>
    <t>110.02.601025.000 - Vocational Education</t>
  </si>
  <si>
    <t>110.02.601026.000 - Learning Resource Center</t>
  </si>
  <si>
    <t>276.23%</t>
  </si>
  <si>
    <t>295,721,126.47%</t>
  </si>
  <si>
    <t>14.53%</t>
  </si>
  <si>
    <t>13.36%</t>
  </si>
  <si>
    <t>110.02.611002.000 - Learning Resource Center</t>
  </si>
  <si>
    <t>1.69%</t>
  </si>
  <si>
    <t>4.62%</t>
  </si>
  <si>
    <t>-34.39%</t>
  </si>
  <si>
    <t>110.02.612001.000 - Library</t>
  </si>
  <si>
    <t>1.90%</t>
  </si>
  <si>
    <t>108.76%</t>
  </si>
  <si>
    <t>4.65%</t>
  </si>
  <si>
    <t>31.49%</t>
  </si>
  <si>
    <t>19.74%</t>
  </si>
  <si>
    <t>-0.02%</t>
  </si>
  <si>
    <t>110.02.619001.000 - Aquatics Center</t>
  </si>
  <si>
    <t>-15.73%</t>
  </si>
  <si>
    <t>166.07%</t>
  </si>
  <si>
    <t>5.82%</t>
  </si>
  <si>
    <t>110.02.619003.000 - Grants</t>
  </si>
  <si>
    <t>-41.28%</t>
  </si>
  <si>
    <t>-97.34%</t>
  </si>
  <si>
    <t>-90.26%</t>
  </si>
  <si>
    <t>110.02.619005.000 - Campus President - Other Instructional Support Sv</t>
  </si>
  <si>
    <t>109.40%</t>
  </si>
  <si>
    <t>131.45%</t>
  </si>
  <si>
    <t>12,282,082.72%</t>
  </si>
  <si>
    <t>-8.04%</t>
  </si>
  <si>
    <t>48.47%</t>
  </si>
  <si>
    <t>176.48%</t>
  </si>
  <si>
    <t>163.51%</t>
  </si>
  <si>
    <t>108.36%</t>
  </si>
  <si>
    <t>-61.93%</t>
  </si>
  <si>
    <t>-69.70%</t>
  </si>
  <si>
    <t>-34.78%</t>
  </si>
  <si>
    <t>110.02.619006.000 - Science Division</t>
  </si>
  <si>
    <t>21.80%</t>
  </si>
  <si>
    <t>-42.32%</t>
  </si>
  <si>
    <t>18.76%</t>
  </si>
  <si>
    <t>13.19%</t>
  </si>
  <si>
    <t>-10.51%</t>
  </si>
  <si>
    <t>-47.43%</t>
  </si>
  <si>
    <t>2.86%</t>
  </si>
  <si>
    <t>0.10%</t>
  </si>
  <si>
    <t>110.02.619008.000 - Resource Development</t>
  </si>
  <si>
    <t>2.16%</t>
  </si>
  <si>
    <t>-66.67%</t>
  </si>
  <si>
    <t>5.73%</t>
  </si>
  <si>
    <t>29.40%</t>
  </si>
  <si>
    <t>-45.45%</t>
  </si>
  <si>
    <t>-2.91%</t>
  </si>
  <si>
    <t>-2.43%</t>
  </si>
  <si>
    <t>110.02.619009.000 - Marketing &amp; Public Affairs - Other Instructional Support Sv</t>
  </si>
  <si>
    <t>5.19%</t>
  </si>
  <si>
    <t>110.02.620001.000 - Admissions &amp; Records</t>
  </si>
  <si>
    <t>7.60%</t>
  </si>
  <si>
    <t>19.08%</t>
  </si>
  <si>
    <t>7.50%</t>
  </si>
  <si>
    <t>2.14%</t>
  </si>
  <si>
    <t>6.25%</t>
  </si>
  <si>
    <t>-19.24%</t>
  </si>
  <si>
    <t>-52.56%</t>
  </si>
  <si>
    <t>7.77%</t>
  </si>
  <si>
    <t>-14.68%</t>
  </si>
  <si>
    <t>28.57%</t>
  </si>
  <si>
    <t>110.02.620003.000 - Workforce Readiness</t>
  </si>
  <si>
    <t>110.02.631004.000 - Counseling - Counseling &amp; Guidance</t>
  </si>
  <si>
    <t>5.48%</t>
  </si>
  <si>
    <t>7.45%</t>
  </si>
  <si>
    <t>5.28%</t>
  </si>
  <si>
    <t>-83.33%</t>
  </si>
  <si>
    <t>16.89%</t>
  </si>
  <si>
    <t>14.68%</t>
  </si>
  <si>
    <t>-75.47%</t>
  </si>
  <si>
    <t>23.15%</t>
  </si>
  <si>
    <t>14.05%</t>
  </si>
  <si>
    <t>-9.83%</t>
  </si>
  <si>
    <t>-47.03%</t>
  </si>
  <si>
    <t>-60.00%</t>
  </si>
  <si>
    <t>-73.33%</t>
  </si>
  <si>
    <t>-46.43%</t>
  </si>
  <si>
    <t>-24.17%</t>
  </si>
  <si>
    <t>110.02.633001.000 - Articulation Program</t>
  </si>
  <si>
    <t>110.02.633004.000 - Transfer Center 7/1/05</t>
  </si>
  <si>
    <t>-4.76%</t>
  </si>
  <si>
    <t>25.00%</t>
  </si>
  <si>
    <t>110.02.634002.000 - Career Center</t>
  </si>
  <si>
    <t>-6.41%</t>
  </si>
  <si>
    <t>-11.11%</t>
  </si>
  <si>
    <t>33.07%</t>
  </si>
  <si>
    <t>110.02.642002.000 - Disabled Student Prog/Service</t>
  </si>
  <si>
    <t>22.60%</t>
  </si>
  <si>
    <t>20.34%</t>
  </si>
  <si>
    <t>48.56%</t>
  </si>
  <si>
    <t>55.87%</t>
  </si>
  <si>
    <t>54.47%</t>
  </si>
  <si>
    <t>-31.00%</t>
  </si>
  <si>
    <t>110.02.643001.000 - EOPS</t>
  </si>
  <si>
    <t>-1.24%</t>
  </si>
  <si>
    <t>-16.65%</t>
  </si>
  <si>
    <t>156.61%</t>
  </si>
  <si>
    <t>-44.81%</t>
  </si>
  <si>
    <t>-7.25%</t>
  </si>
  <si>
    <t>110.02.645003.000 - Student Services - Student Personnel Admin.</t>
  </si>
  <si>
    <t>5.20%</t>
  </si>
  <si>
    <t>14.33%</t>
  </si>
  <si>
    <t>6.71%</t>
  </si>
  <si>
    <t>17.95%</t>
  </si>
  <si>
    <t>-41.04%</t>
  </si>
  <si>
    <t>110.02.646001.000 - Financial Aids</t>
  </si>
  <si>
    <t>8.99%</t>
  </si>
  <si>
    <t>14.08%</t>
  </si>
  <si>
    <t>7.36%</t>
  </si>
  <si>
    <t>1,233.33%</t>
  </si>
  <si>
    <t>110.02.649003.000 - Commencement</t>
  </si>
  <si>
    <t>34.65%</t>
  </si>
  <si>
    <t>48.80%</t>
  </si>
  <si>
    <t>110.02.649005.000 - Articulation Program</t>
  </si>
  <si>
    <t>5.93%</t>
  </si>
  <si>
    <t>0.91%</t>
  </si>
  <si>
    <t>-90.30%</t>
  </si>
  <si>
    <t>-25.74%</t>
  </si>
  <si>
    <t>214.29%</t>
  </si>
  <si>
    <t>1.56%</t>
  </si>
  <si>
    <t>48.15%</t>
  </si>
  <si>
    <t>-58.07%</t>
  </si>
  <si>
    <t>113.48%</t>
  </si>
  <si>
    <t>32.26%</t>
  </si>
  <si>
    <t>563400 - Maint.Agree - Building</t>
  </si>
  <si>
    <t>47.42%</t>
  </si>
  <si>
    <t>-64.06%</t>
  </si>
  <si>
    <t>74.21%</t>
  </si>
  <si>
    <t>-83.25%</t>
  </si>
  <si>
    <t>110.02.653001.000 - Custodial</t>
  </si>
  <si>
    <t>1.30%</t>
  </si>
  <si>
    <t>7.02%</t>
  </si>
  <si>
    <t>10.00%</t>
  </si>
  <si>
    <t>63.64%</t>
  </si>
  <si>
    <t>110.02.653003.000 - Custodial - Child Development Centers</t>
  </si>
  <si>
    <t>110.02.653004.000 - Custodial - Food Services</t>
  </si>
  <si>
    <t>110.02.655002.000 - Grounds - Grounds Maint &amp; Repairs</t>
  </si>
  <si>
    <t>8.21%</t>
  </si>
  <si>
    <t>126.36%</t>
  </si>
  <si>
    <t>-22.22%</t>
  </si>
  <si>
    <t>110.02.657001.000 - Telephone Operations &amp; Maint</t>
  </si>
  <si>
    <t>4.76%</t>
  </si>
  <si>
    <t>110.02.657008.000 - Utilities - Telephone</t>
  </si>
  <si>
    <t>679.22%</t>
  </si>
  <si>
    <t>110.02.657009.000 - Parking Lot Improvements</t>
  </si>
  <si>
    <t>238.10%</t>
  </si>
  <si>
    <t>16.61%</t>
  </si>
  <si>
    <t>110.02.657012.000 - Utilities - Fuel Oil</t>
  </si>
  <si>
    <t>-0.94%</t>
  </si>
  <si>
    <t>2.53%</t>
  </si>
  <si>
    <t>9.39%</t>
  </si>
  <si>
    <t>-17.62%</t>
  </si>
  <si>
    <t>-17.73%</t>
  </si>
  <si>
    <t>110.02.659001.000 - Administrative Services - Other M&amp;O</t>
  </si>
  <si>
    <t>2.00%</t>
  </si>
  <si>
    <t>5.38%</t>
  </si>
  <si>
    <t>-19.23%</t>
  </si>
  <si>
    <t>110.02.659003.000 - Maintenance &amp; Operations - Other M&amp;O</t>
  </si>
  <si>
    <t>110.02.660003.000 - Campus President - Planning, Policymaking, &amp; Coordination</t>
  </si>
  <si>
    <t>27.53%</t>
  </si>
  <si>
    <t>6.38%</t>
  </si>
  <si>
    <t>-55.56%</t>
  </si>
  <si>
    <t>-7.69%</t>
  </si>
  <si>
    <t>366.39%</t>
  </si>
  <si>
    <t>-41.18%</t>
  </si>
  <si>
    <t>110.02.660005.000 - Planning And Research</t>
  </si>
  <si>
    <t>17.84%</t>
  </si>
  <si>
    <t>23.33%</t>
  </si>
  <si>
    <t>9.35%</t>
  </si>
  <si>
    <t>30.77%</t>
  </si>
  <si>
    <t>110.02.671001.000 - Marketing &amp; Public Affairs - Community Relations</t>
  </si>
  <si>
    <t>0.57%</t>
  </si>
  <si>
    <t>-7.89%</t>
  </si>
  <si>
    <t>140.00%</t>
  </si>
  <si>
    <t>-17.43%</t>
  </si>
  <si>
    <t>-29.41%</t>
  </si>
  <si>
    <t>30.00%</t>
  </si>
  <si>
    <t>108.33%</t>
  </si>
  <si>
    <t>53.85%</t>
  </si>
  <si>
    <t>-37.50%</t>
  </si>
  <si>
    <t>110.02.672001.000 - College Business Office - Fiscal Operations</t>
  </si>
  <si>
    <t>-0.30%</t>
  </si>
  <si>
    <t>-1.75%</t>
  </si>
  <si>
    <t>-98.52%</t>
  </si>
  <si>
    <t>110.02.675001.000 - Professional Development</t>
  </si>
  <si>
    <t>0.49%</t>
  </si>
  <si>
    <t>-8.50%</t>
  </si>
  <si>
    <t>110.02.677006.000 - Purchasing And Warehousing - Logistical Services</t>
  </si>
  <si>
    <t>4.81%</t>
  </si>
  <si>
    <t>110.02.677007.000 - Mailroom And Postage * Logistical Services</t>
  </si>
  <si>
    <t>110.02.677008.000 - Administrative Services - Logistical Services</t>
  </si>
  <si>
    <t>110.02.679002.000 - Technology Service - Other Gen Inst.Support Svcs</t>
  </si>
  <si>
    <t>4.59%</t>
  </si>
  <si>
    <t>5.41%</t>
  </si>
  <si>
    <t>4.56%</t>
  </si>
  <si>
    <t>6.63%</t>
  </si>
  <si>
    <t>-6.08%</t>
  </si>
  <si>
    <t>-2.50%</t>
  </si>
  <si>
    <t>110.02.683002.000 - College Business Office - Community Use Of Facilities</t>
  </si>
  <si>
    <t>110.02.691002.000 - Purchasing And Warehousing - Bookstores</t>
  </si>
  <si>
    <t>110.02.691003.000 - Custodial - Bookstores</t>
  </si>
  <si>
    <t>4.70%</t>
  </si>
  <si>
    <t>2.84%</t>
  </si>
  <si>
    <t>110.02.692002.000 - Child Development Center</t>
  </si>
  <si>
    <t>110.02.695002.000 - Grounds - Parking</t>
  </si>
  <si>
    <t>4.82%</t>
  </si>
  <si>
    <t>2.94%</t>
  </si>
  <si>
    <t>110.02.695003.000 - Custodial - Parking</t>
  </si>
  <si>
    <t>3.83%</t>
  </si>
  <si>
    <t>110.02.695004.000 - Parking Lot Improvements</t>
  </si>
  <si>
    <t>110.02.696003.000 - Student Services - Student &amp; Co-Curricular</t>
  </si>
  <si>
    <t>3.99%</t>
  </si>
  <si>
    <t>110.02.696004.000 - College Business Office - Student &amp; Co-Curricular</t>
  </si>
  <si>
    <t>4.84%</t>
  </si>
  <si>
    <t>110.02.696022.000 - Mens Athletics</t>
  </si>
  <si>
    <t>139.94%</t>
  </si>
  <si>
    <t>20.13%</t>
  </si>
  <si>
    <t>-10.31%</t>
  </si>
  <si>
    <t>60.00%</t>
  </si>
  <si>
    <t>-19.59%</t>
  </si>
  <si>
    <t>400.61%</t>
  </si>
  <si>
    <t>120.00%</t>
  </si>
  <si>
    <t>110.02.696023.000 - Womens Athletics</t>
  </si>
  <si>
    <t>214.50%</t>
  </si>
  <si>
    <t>37.60%</t>
  </si>
  <si>
    <t>62.89%</t>
  </si>
  <si>
    <t>490.20%</t>
  </si>
  <si>
    <t>340.00%</t>
  </si>
  <si>
    <t>226.67%</t>
  </si>
  <si>
    <t>110.02.710001.000 - Technology Service - Physical Property &amp; Related Acquisitions</t>
  </si>
  <si>
    <t>110.02.710002.000 - Maintenance &amp; Operations - Physical Property &amp; Related Acquisitions</t>
  </si>
  <si>
    <t>4.04%</t>
  </si>
  <si>
    <t>110.03.609001.000 - Collective Brgn/Dist Assembly</t>
  </si>
  <si>
    <t>-13.29%</t>
  </si>
  <si>
    <t>-30.76%</t>
  </si>
  <si>
    <t>-8.52%</t>
  </si>
  <si>
    <t>-4.92%</t>
  </si>
  <si>
    <t>-13.90%</t>
  </si>
  <si>
    <t>-19.09%</t>
  </si>
  <si>
    <t>-15.11%</t>
  </si>
  <si>
    <t>-36.03%</t>
  </si>
  <si>
    <t>-18.31%</t>
  </si>
  <si>
    <t>-20.28%</t>
  </si>
  <si>
    <t>-62.42%</t>
  </si>
  <si>
    <t>110.03.615002.000 - Distance Education - Acad Info Systems &amp; Tech</t>
  </si>
  <si>
    <t>29.78%</t>
  </si>
  <si>
    <t>-12.25%</t>
  </si>
  <si>
    <t>59.97%</t>
  </si>
  <si>
    <t>19.87%</t>
  </si>
  <si>
    <t>20.54%</t>
  </si>
  <si>
    <t>-8.28%</t>
  </si>
  <si>
    <t>-46.12%</t>
  </si>
  <si>
    <t>64.25%</t>
  </si>
  <si>
    <t>-65.52%</t>
  </si>
  <si>
    <t>250.04%</t>
  </si>
  <si>
    <t>583000 - Software/On-Site/Internet Serv</t>
  </si>
  <si>
    <t>-95.24%</t>
  </si>
  <si>
    <t>110.03.649002.000 - Outreach And Recruitment</t>
  </si>
  <si>
    <t>-43.41%</t>
  </si>
  <si>
    <t>163.16%</t>
  </si>
  <si>
    <t>110.03.651001.000 - Maintenance</t>
  </si>
  <si>
    <t>218.58%</t>
  </si>
  <si>
    <t>383.20%</t>
  </si>
  <si>
    <t>-2.53%</t>
  </si>
  <si>
    <t>19.05%</t>
  </si>
  <si>
    <t>189.19%</t>
  </si>
  <si>
    <t>-16.27%</t>
  </si>
  <si>
    <t>9.38%</t>
  </si>
  <si>
    <t>110.03.657013.000 - Utilities-Central Services</t>
  </si>
  <si>
    <t>-36.89%</t>
  </si>
  <si>
    <t>-47.91%</t>
  </si>
  <si>
    <t>1.75%</t>
  </si>
  <si>
    <t>10.70%</t>
  </si>
  <si>
    <t>110.03.660007.000 - District Chancellor</t>
  </si>
  <si>
    <t>-10.14%</t>
  </si>
  <si>
    <t>5.46%</t>
  </si>
  <si>
    <t>1.37%</t>
  </si>
  <si>
    <t>5.42%</t>
  </si>
  <si>
    <t>420000 - Book,Magazine&amp;Period - Dist.Use</t>
  </si>
  <si>
    <t>3.56%</t>
  </si>
  <si>
    <t>-21.95%</t>
  </si>
  <si>
    <t>8.70%</t>
  </si>
  <si>
    <t>-63.24%</t>
  </si>
  <si>
    <t>-38.46%</t>
  </si>
  <si>
    <t>110.03.660008.000 - Institutional Effectiveness</t>
  </si>
  <si>
    <t>69.46%</t>
  </si>
  <si>
    <t>94.35%</t>
  </si>
  <si>
    <t>42.10%</t>
  </si>
  <si>
    <t>37.04%</t>
  </si>
  <si>
    <t>110.03.660009.000 - Board Of Trustees</t>
  </si>
  <si>
    <t>-27.32%</t>
  </si>
  <si>
    <t>218800 - Board Of Trustees</t>
  </si>
  <si>
    <t>-14.29%</t>
  </si>
  <si>
    <t>-41.13%</t>
  </si>
  <si>
    <t>-0.16%</t>
  </si>
  <si>
    <t>55.56%</t>
  </si>
  <si>
    <t>572000 - Election Expenses</t>
  </si>
  <si>
    <t>110.03.671001.000 - Marketing &amp; Public Affairs</t>
  </si>
  <si>
    <t>12.96%</t>
  </si>
  <si>
    <t>16.26%</t>
  </si>
  <si>
    <t>106.10%</t>
  </si>
  <si>
    <t>-50.86%</t>
  </si>
  <si>
    <t>12.35%</t>
  </si>
  <si>
    <t>352800 - SUI Class/I.A. Non-Instr Other</t>
  </si>
  <si>
    <t>-49.97%</t>
  </si>
  <si>
    <t>-84.62%</t>
  </si>
  <si>
    <t>-51.73%</t>
  </si>
  <si>
    <t>-47.92%</t>
  </si>
  <si>
    <t>172.93%</t>
  </si>
  <si>
    <t>-84.64%</t>
  </si>
  <si>
    <t>-56.83%</t>
  </si>
  <si>
    <t>110.03.672002.000 - Controller</t>
  </si>
  <si>
    <t>10.39%</t>
  </si>
  <si>
    <t>29.41%</t>
  </si>
  <si>
    <t>-32.56%</t>
  </si>
  <si>
    <t>4.60%</t>
  </si>
  <si>
    <t>1.82%</t>
  </si>
  <si>
    <t>571000 - Legal Expenses, County Council</t>
  </si>
  <si>
    <t>32.23%</t>
  </si>
  <si>
    <t>478.70%</t>
  </si>
  <si>
    <t>110.03.672003.000 - Internal Audit</t>
  </si>
  <si>
    <t>5.11%</t>
  </si>
  <si>
    <t>26.15%</t>
  </si>
  <si>
    <t>-67.98%</t>
  </si>
  <si>
    <t>-6.93%</t>
  </si>
  <si>
    <t>573000 - Audit Expenses</t>
  </si>
  <si>
    <t>-3.17%</t>
  </si>
  <si>
    <t>110.03.672004.000 - Accounting</t>
  </si>
  <si>
    <t>14.90%</t>
  </si>
  <si>
    <t>42.22%</t>
  </si>
  <si>
    <t>15.01%</t>
  </si>
  <si>
    <t>-10.79%</t>
  </si>
  <si>
    <t>-47.59%</t>
  </si>
  <si>
    <t>17.89%</t>
  </si>
  <si>
    <t>-26.65%</t>
  </si>
  <si>
    <t>564100 - P.C. Repairs</t>
  </si>
  <si>
    <t>9.82%</t>
  </si>
  <si>
    <t>110.03.673001.000 - Human Resources</t>
  </si>
  <si>
    <t>26.43%</t>
  </si>
  <si>
    <t>344.44%</t>
  </si>
  <si>
    <t>-2,925.16%</t>
  </si>
  <si>
    <t>48.29%</t>
  </si>
  <si>
    <t>-9.09%</t>
  </si>
  <si>
    <t>44.54%</t>
  </si>
  <si>
    <t>16.90%</t>
  </si>
  <si>
    <t>25.97%</t>
  </si>
  <si>
    <t>-7.57%</t>
  </si>
  <si>
    <t>-45.70%</t>
  </si>
  <si>
    <t>266.67%</t>
  </si>
  <si>
    <t>222.58%</t>
  </si>
  <si>
    <t>92.72%</t>
  </si>
  <si>
    <t>-340.00%</t>
  </si>
  <si>
    <t>263.64%</t>
  </si>
  <si>
    <t>78.57%</t>
  </si>
  <si>
    <t>-46.76%</t>
  </si>
  <si>
    <t>105.88%</t>
  </si>
  <si>
    <t>413.14%</t>
  </si>
  <si>
    <t>110.03.675003.000 - Employee Benefits - Tuition Reimbursement</t>
  </si>
  <si>
    <t>3.39%</t>
  </si>
  <si>
    <t>584000 - Csea Tuition Reimbursement</t>
  </si>
  <si>
    <t>18.64%</t>
  </si>
  <si>
    <t>584100 - Tuition Reimbursement - Mgt</t>
  </si>
  <si>
    <t>59.09%</t>
  </si>
  <si>
    <t>584200 - Tuition Reimb-Superv/Confident</t>
  </si>
  <si>
    <t>584300 - Tuition Reimb-Csea Dependents</t>
  </si>
  <si>
    <t>-54.55%</t>
  </si>
  <si>
    <t>584400 - Cta Tuition Reimbursement</t>
  </si>
  <si>
    <t>110.03.677004.000 - General Supplies &amp; Services</t>
  </si>
  <si>
    <t>0.97%</t>
  </si>
  <si>
    <t>2.06%</t>
  </si>
  <si>
    <t>-0.74%</t>
  </si>
  <si>
    <t>110.03.677009.000 - District Health &amp; Safety</t>
  </si>
  <si>
    <t>2.64%</t>
  </si>
  <si>
    <t>148600 - Reassigned Time-Non Classroom</t>
  </si>
  <si>
    <t>-23.56%</t>
  </si>
  <si>
    <t>-23.83%</t>
  </si>
  <si>
    <t>58.73%</t>
  </si>
  <si>
    <t>55.04%</t>
  </si>
  <si>
    <t>35.00%</t>
  </si>
  <si>
    <t>7.14%</t>
  </si>
  <si>
    <t>233.33%</t>
  </si>
  <si>
    <t>2.22%</t>
  </si>
  <si>
    <t>110.03.677010.000 - Purchasing And Warehousing</t>
  </si>
  <si>
    <t>6.94%</t>
  </si>
  <si>
    <t>24.17%</t>
  </si>
  <si>
    <t>15.21%</t>
  </si>
  <si>
    <t>15.33%</t>
  </si>
  <si>
    <t>19.85%</t>
  </si>
  <si>
    <t>-8.81%</t>
  </si>
  <si>
    <t>-18.52%</t>
  </si>
  <si>
    <t>-3.70%</t>
  </si>
  <si>
    <t>-44.44%</t>
  </si>
  <si>
    <t>-28.26%</t>
  </si>
  <si>
    <t>110.03.677011.000 - Insurance</t>
  </si>
  <si>
    <t>544000 - Student Insurance</t>
  </si>
  <si>
    <t>110.03.677012.000 - Police</t>
  </si>
  <si>
    <t>-1.20%</t>
  </si>
  <si>
    <t>2.65%</t>
  </si>
  <si>
    <t>17.78%</t>
  </si>
  <si>
    <t>-24.24%</t>
  </si>
  <si>
    <t>-47.20%</t>
  </si>
  <si>
    <t>-59.05%</t>
  </si>
  <si>
    <t>-48.08%</t>
  </si>
  <si>
    <t>-59.60%</t>
  </si>
  <si>
    <t>-96.77%</t>
  </si>
  <si>
    <t>110.03.677013.000 - Printing</t>
  </si>
  <si>
    <t>-6.33%</t>
  </si>
  <si>
    <t>21.15%</t>
  </si>
  <si>
    <t>15.66%</t>
  </si>
  <si>
    <t>-41.02%</t>
  </si>
  <si>
    <t>-35.24%</t>
  </si>
  <si>
    <t>-49.63%</t>
  </si>
  <si>
    <t>-0.47%</t>
  </si>
  <si>
    <t>110.03.677014.000 - Security</t>
  </si>
  <si>
    <t>7.32%</t>
  </si>
  <si>
    <t>9.47%</t>
  </si>
  <si>
    <t>9.60%</t>
  </si>
  <si>
    <t>2.46%</t>
  </si>
  <si>
    <t>-18.99%</t>
  </si>
  <si>
    <t>-52.41%</t>
  </si>
  <si>
    <t>110.03.678001.000 - Data Processing</t>
  </si>
  <si>
    <t>11.08%</t>
  </si>
  <si>
    <t>-1.11%</t>
  </si>
  <si>
    <t>38.96%</t>
  </si>
  <si>
    <t>18.10%</t>
  </si>
  <si>
    <t>18.50%</t>
  </si>
  <si>
    <t>-6.31%</t>
  </si>
  <si>
    <t>-44.96%</t>
  </si>
  <si>
    <t>-37.04%</t>
  </si>
  <si>
    <t>-26.52%</t>
  </si>
  <si>
    <t>-11.90%</t>
  </si>
  <si>
    <t>1.01%</t>
  </si>
  <si>
    <t>-24.03%</t>
  </si>
  <si>
    <t>-76.92%</t>
  </si>
  <si>
    <t>110.03.679003.000 - Employee Benefits - SUI/Excess STRS Sick Leave</t>
  </si>
  <si>
    <t>350000 - State Unemployment Insurance</t>
  </si>
  <si>
    <t>394100 - Retiree Incentive - Academic</t>
  </si>
  <si>
    <t>110.03.701001.000 - Professional Development Centr - Contract Education</t>
  </si>
  <si>
    <t>110.03.710004.000 - Facilities Planning/Adm.Svcs.</t>
  </si>
  <si>
    <t>7.64%</t>
  </si>
  <si>
    <t>-2.56%</t>
  </si>
  <si>
    <t>80.65%</t>
  </si>
  <si>
    <t>-48.72%</t>
  </si>
  <si>
    <t>0.63%</t>
  </si>
  <si>
    <t>110.03.730004.000 - Insurance</t>
  </si>
  <si>
    <t>32690004 - CHC-Contract Education-04</t>
  </si>
  <si>
    <t>581900 - Indirect Charge</t>
  </si>
  <si>
    <t>Per multi-year forecast</t>
  </si>
  <si>
    <t>Questica</t>
  </si>
  <si>
    <t>Difference</t>
  </si>
  <si>
    <t>REVENUE</t>
  </si>
  <si>
    <t>EXPENSE</t>
  </si>
  <si>
    <t>KVCR (reduce fund bal.)</t>
  </si>
  <si>
    <t>EDCT (reduce fund bal.)</t>
  </si>
  <si>
    <t>RECONCILIATION OF MULTI-YEAR FORECAST TO QUESTICA</t>
  </si>
  <si>
    <t>DESCRIPTION</t>
  </si>
  <si>
    <t xml:space="preserve">  </t>
  </si>
  <si>
    <t>20.92%</t>
  </si>
  <si>
    <t>1.22%</t>
  </si>
  <si>
    <t>1.68%</t>
  </si>
  <si>
    <t>21.20%</t>
  </si>
  <si>
    <t>10.01%</t>
  </si>
  <si>
    <t>-5.64%</t>
  </si>
  <si>
    <t>-6.53%</t>
  </si>
  <si>
    <t>898100 - Interfund Transfers In</t>
  </si>
  <si>
    <t>-68.45%</t>
  </si>
  <si>
    <t>10.29%</t>
  </si>
  <si>
    <t>700000 - Intrafund Transfers Out</t>
  </si>
  <si>
    <t>31.25%</t>
  </si>
  <si>
    <t>4.25%</t>
  </si>
  <si>
    <t>10.50%</t>
  </si>
  <si>
    <t>4.47%</t>
  </si>
  <si>
    <t>40.58%</t>
  </si>
  <si>
    <t>31.44%</t>
  </si>
  <si>
    <t>827.45%</t>
  </si>
  <si>
    <t>20.78%</t>
  </si>
  <si>
    <t>-28.14%</t>
  </si>
  <si>
    <t>4.24%</t>
  </si>
  <si>
    <t>0.47%</t>
  </si>
  <si>
    <t>-2.09%</t>
  </si>
  <si>
    <t>3.19%</t>
  </si>
  <si>
    <t>13.99%</t>
  </si>
  <si>
    <t>54.92%</t>
  </si>
  <si>
    <t>70.22%</t>
  </si>
  <si>
    <t>10.68%</t>
  </si>
  <si>
    <t>-19.00%</t>
  </si>
  <si>
    <t>-19.88%</t>
  </si>
  <si>
    <t>-11.41%</t>
  </si>
  <si>
    <t>-22.49%</t>
  </si>
  <si>
    <t>-18.68%</t>
  </si>
  <si>
    <t>-38.72%</t>
  </si>
  <si>
    <t>-21.74%</t>
  </si>
  <si>
    <t>-23.63%</t>
  </si>
  <si>
    <t>-64.00%</t>
  </si>
  <si>
    <t>-28.03%</t>
  </si>
  <si>
    <t>-27.86%</t>
  </si>
  <si>
    <t>10.26%</t>
  </si>
  <si>
    <t>514.04%</t>
  </si>
  <si>
    <t>138.93%</t>
  </si>
  <si>
    <t>6.33%</t>
  </si>
  <si>
    <t>23.51%</t>
  </si>
  <si>
    <t>1,722.96%</t>
  </si>
  <si>
    <t>-32.38%</t>
  </si>
  <si>
    <t>17.53%</t>
  </si>
  <si>
    <t>29.71%</t>
  </si>
  <si>
    <t>1.61%</t>
  </si>
  <si>
    <t>-8.13%</t>
  </si>
  <si>
    <t>-14.46%</t>
  </si>
  <si>
    <t>-4.01%</t>
  </si>
  <si>
    <t>-32.37%</t>
  </si>
  <si>
    <t>-13.64%</t>
  </si>
  <si>
    <t>-15.72%</t>
  </si>
  <si>
    <t>-60.27%</t>
  </si>
  <si>
    <t>3.69%</t>
  </si>
  <si>
    <t>-3.02%</t>
  </si>
  <si>
    <t>-23.32%</t>
  </si>
  <si>
    <t>-2.08%</t>
  </si>
  <si>
    <t>-4.45%</t>
  </si>
  <si>
    <t>-54.96%</t>
  </si>
  <si>
    <t>25.88%</t>
  </si>
  <si>
    <t>-10.56%</t>
  </si>
  <si>
    <t>14.60%</t>
  </si>
  <si>
    <t>-0.23%</t>
  </si>
  <si>
    <t>-21.12%</t>
  </si>
  <si>
    <t>0.73%</t>
  </si>
  <si>
    <t>-1.70%</t>
  </si>
  <si>
    <t>-53.66%</t>
  </si>
  <si>
    <t>1.86%</t>
  </si>
  <si>
    <t>28.21%</t>
  </si>
  <si>
    <t>-88.44%</t>
  </si>
  <si>
    <t>2.12%</t>
  </si>
  <si>
    <t>139.07%</t>
  </si>
  <si>
    <t>10.83%</t>
  </si>
  <si>
    <t>-23.75%</t>
  </si>
  <si>
    <t>136.00%</t>
  </si>
  <si>
    <t>42.05%</t>
  </si>
  <si>
    <t>-6.15%</t>
  </si>
  <si>
    <t>-2.01%</t>
  </si>
  <si>
    <t>8.35%</t>
  </si>
  <si>
    <t>-1.94%</t>
  </si>
  <si>
    <t>-48.04%</t>
  </si>
  <si>
    <t>174.00%</t>
  </si>
  <si>
    <t>9.07%</t>
  </si>
  <si>
    <t>1.34%</t>
  </si>
  <si>
    <t>12.06%</t>
  </si>
  <si>
    <t>1.29%</t>
  </si>
  <si>
    <t>7.44%</t>
  </si>
  <si>
    <t>-62.06%</t>
  </si>
  <si>
    <t>-45.04%</t>
  </si>
  <si>
    <t>-50.48%</t>
  </si>
  <si>
    <t>-48.47%</t>
  </si>
  <si>
    <t>-60.85%</t>
  </si>
  <si>
    <t>-77.00%</t>
  </si>
  <si>
    <t>-7.03%</t>
  </si>
  <si>
    <t>-9.70%</t>
  </si>
  <si>
    <t>-0.15%</t>
  </si>
  <si>
    <t>-9.51%</t>
  </si>
  <si>
    <t>-13.34%</t>
  </si>
  <si>
    <t>-22.07%</t>
  </si>
  <si>
    <t>-31.48%</t>
  </si>
  <si>
    <t>-14.61%</t>
  </si>
  <si>
    <t>-59.75%</t>
  </si>
  <si>
    <t>-48.64%</t>
  </si>
  <si>
    <t>-6.16%</t>
  </si>
  <si>
    <t>-20.07%</t>
  </si>
  <si>
    <t>-25.72%</t>
  </si>
  <si>
    <t>-41.27%</t>
  </si>
  <si>
    <t>-65.50%</t>
  </si>
  <si>
    <t>-22.62%</t>
  </si>
  <si>
    <t>-24.52%</t>
  </si>
  <si>
    <t>-24.77%</t>
  </si>
  <si>
    <t>-22.70%</t>
  </si>
  <si>
    <t>8.73%</t>
  </si>
  <si>
    <t>0.33%</t>
  </si>
  <si>
    <t>6.15%</t>
  </si>
  <si>
    <t>-36.23%</t>
  </si>
  <si>
    <t>8.37%</t>
  </si>
  <si>
    <t>65.27%</t>
  </si>
  <si>
    <t>-3.71%</t>
  </si>
  <si>
    <t>-12.05%</t>
  </si>
  <si>
    <t>0.71%</t>
  </si>
  <si>
    <t>1,522.22%</t>
  </si>
  <si>
    <t>32.81%</t>
  </si>
  <si>
    <t>-30.60%</t>
  </si>
  <si>
    <t>-94.99%</t>
  </si>
  <si>
    <t>2.10%</t>
  </si>
  <si>
    <t>4.63%</t>
  </si>
  <si>
    <t>1.53%</t>
  </si>
  <si>
    <t>15.69%</t>
  </si>
  <si>
    <t>-47.09%</t>
  </si>
  <si>
    <t>9.75%</t>
  </si>
  <si>
    <t>-28.72%</t>
  </si>
  <si>
    <t>48.82%</t>
  </si>
  <si>
    <t>-28.95%</t>
  </si>
  <si>
    <t>197.89%</t>
  </si>
  <si>
    <t>136.52%</t>
  </si>
  <si>
    <t>-2.52%</t>
  </si>
  <si>
    <t>-0.89%</t>
  </si>
  <si>
    <t>-50.38%</t>
  </si>
  <si>
    <t>-54.39%</t>
  </si>
  <si>
    <t>46.70%</t>
  </si>
  <si>
    <t>33.41%</t>
  </si>
  <si>
    <t>0.35%</t>
  </si>
  <si>
    <t>102.99%</t>
  </si>
  <si>
    <t>-35.97%</t>
  </si>
  <si>
    <t>0.50%</t>
  </si>
  <si>
    <t>110.01.619121.000 - Academic Success/Learning Svcs</t>
  </si>
  <si>
    <t>-0.41%</t>
  </si>
  <si>
    <t>227.87%</t>
  </si>
  <si>
    <t>-82.52%</t>
  </si>
  <si>
    <t>-3.32%</t>
  </si>
  <si>
    <t>0.42%</t>
  </si>
  <si>
    <t>-55.10%</t>
  </si>
  <si>
    <t>-57.53%</t>
  </si>
  <si>
    <t>-27.92%</t>
  </si>
  <si>
    <t>-29.39%</t>
  </si>
  <si>
    <t>-40.32%</t>
  </si>
  <si>
    <t>0.54%</t>
  </si>
  <si>
    <t>3.67%</t>
  </si>
  <si>
    <t>6.64%</t>
  </si>
  <si>
    <t>6.06%</t>
  </si>
  <si>
    <t>1.77%</t>
  </si>
  <si>
    <t>15.93%</t>
  </si>
  <si>
    <t>-7.93%</t>
  </si>
  <si>
    <t>-4.67%</t>
  </si>
  <si>
    <t>-2.69%</t>
  </si>
  <si>
    <t>44.26%</t>
  </si>
  <si>
    <t>-4.46%</t>
  </si>
  <si>
    <t>-12.91%</t>
  </si>
  <si>
    <t>-5.91%</t>
  </si>
  <si>
    <t>-2.66%</t>
  </si>
  <si>
    <t>-25.61%</t>
  </si>
  <si>
    <t>-56.30%</t>
  </si>
  <si>
    <t>8.65%</t>
  </si>
  <si>
    <t>5.37%</t>
  </si>
  <si>
    <t>40.83%</t>
  </si>
  <si>
    <t>-45.05%</t>
  </si>
  <si>
    <t>159.54%</t>
  </si>
  <si>
    <t>-6.80%</t>
  </si>
  <si>
    <t>-23.08%</t>
  </si>
  <si>
    <t>-6.46%</t>
  </si>
  <si>
    <t>-3.07%</t>
  </si>
  <si>
    <t>-26.04%</t>
  </si>
  <si>
    <t>-56.56%</t>
  </si>
  <si>
    <t>-16.68%</t>
  </si>
  <si>
    <t>-31.25%</t>
  </si>
  <si>
    <t>-19.58%</t>
  </si>
  <si>
    <t>13.03%</t>
  </si>
  <si>
    <t>47.87%</t>
  </si>
  <si>
    <t>18.08%</t>
  </si>
  <si>
    <t>48.78%</t>
  </si>
  <si>
    <t>1.43%</t>
  </si>
  <si>
    <t>9.77%</t>
  </si>
  <si>
    <t>0.53%</t>
  </si>
  <si>
    <t>-20.51%</t>
  </si>
  <si>
    <t>-53.31%</t>
  </si>
  <si>
    <t>6.84%</t>
  </si>
  <si>
    <t>8.34%</t>
  </si>
  <si>
    <t>-12.19%</t>
  </si>
  <si>
    <t>-2.80%</t>
  </si>
  <si>
    <t>-8.18%</t>
  </si>
  <si>
    <t>-5.53%</t>
  </si>
  <si>
    <t>-27.40%</t>
  </si>
  <si>
    <t>-57.35%</t>
  </si>
  <si>
    <t>10.17%</t>
  </si>
  <si>
    <t>119.51%</t>
  </si>
  <si>
    <t>86.74%</t>
  </si>
  <si>
    <t>-6.84%</t>
  </si>
  <si>
    <t>-15.42%</t>
  </si>
  <si>
    <t>-10.28%</t>
  </si>
  <si>
    <t>-10.13%</t>
  </si>
  <si>
    <t>-14.12%</t>
  </si>
  <si>
    <t>-28.94%</t>
  </si>
  <si>
    <t>-58.26%</t>
  </si>
  <si>
    <t>-81.98%</t>
  </si>
  <si>
    <t>461.22%</t>
  </si>
  <si>
    <t>698,013.21%</t>
  </si>
  <si>
    <t>95.12%</t>
  </si>
  <si>
    <t>-67.42%</t>
  </si>
  <si>
    <t>35.02%</t>
  </si>
  <si>
    <t>-3.21%</t>
  </si>
  <si>
    <t>-27.77%</t>
  </si>
  <si>
    <t>11.74%</t>
  </si>
  <si>
    <t>-7.13%</t>
  </si>
  <si>
    <t>-5.58%</t>
  </si>
  <si>
    <t>12.82%</t>
  </si>
  <si>
    <t>2.48%</t>
  </si>
  <si>
    <t>75.02%</t>
  </si>
  <si>
    <t>-22.42%</t>
  </si>
  <si>
    <t>-88.37%</t>
  </si>
  <si>
    <t>115.93%</t>
  </si>
  <si>
    <t>-361.86%</t>
  </si>
  <si>
    <t>34.33%</t>
  </si>
  <si>
    <t>11.07%</t>
  </si>
  <si>
    <t>23.31%</t>
  </si>
  <si>
    <t>35.08%</t>
  </si>
  <si>
    <t>78.15%</t>
  </si>
  <si>
    <t>-1.40%</t>
  </si>
  <si>
    <t>-5.96%</t>
  </si>
  <si>
    <t>-13.61%</t>
  </si>
  <si>
    <t>-26.51%</t>
  </si>
  <si>
    <t>-1.98%</t>
  </si>
  <si>
    <t>-43.47%</t>
  </si>
  <si>
    <t>-30.40%</t>
  </si>
  <si>
    <t>-19.75%</t>
  </si>
  <si>
    <t>21.04%</t>
  </si>
  <si>
    <t>-46.22%</t>
  </si>
  <si>
    <t>-21.47%</t>
  </si>
  <si>
    <t>97.40%</t>
  </si>
  <si>
    <t>-88.97%</t>
  </si>
  <si>
    <t>-22.73%</t>
  </si>
  <si>
    <t>14.70%</t>
  </si>
  <si>
    <t>125.81%</t>
  </si>
  <si>
    <t>55.50%</t>
  </si>
  <si>
    <t>-88.40%</t>
  </si>
  <si>
    <t>5.16%</t>
  </si>
  <si>
    <t>-22.28%</t>
  </si>
  <si>
    <t>-39.10%</t>
  </si>
  <si>
    <t>-32.66%</t>
  </si>
  <si>
    <t>58.01%</t>
  </si>
  <si>
    <t>20.62%</t>
  </si>
  <si>
    <t>4.22%</t>
  </si>
  <si>
    <t>7.80%</t>
  </si>
  <si>
    <t>6.96%</t>
  </si>
  <si>
    <t>18.27%</t>
  </si>
  <si>
    <t>6.75%</t>
  </si>
  <si>
    <t>-2.61%</t>
  </si>
  <si>
    <t>2.18%</t>
  </si>
  <si>
    <t>-23.00%</t>
  </si>
  <si>
    <t>-1.67%</t>
  </si>
  <si>
    <t>-54.77%</t>
  </si>
  <si>
    <t>-2.75%</t>
  </si>
  <si>
    <t>-1.13%</t>
  </si>
  <si>
    <t>-0.57%</t>
  </si>
  <si>
    <t>-9.86%</t>
  </si>
  <si>
    <t>-10.93%</t>
  </si>
  <si>
    <t>-32.88%</t>
  </si>
  <si>
    <t>-16.36%</t>
  </si>
  <si>
    <t>-60.57%</t>
  </si>
  <si>
    <t>6.62%</t>
  </si>
  <si>
    <t>4.11%</t>
  </si>
  <si>
    <t>-60.98%</t>
  </si>
  <si>
    <t>-64.47%</t>
  </si>
  <si>
    <t>-66.99%</t>
  </si>
  <si>
    <t>-84.67%</t>
  </si>
  <si>
    <t>1.09%</t>
  </si>
  <si>
    <t>-17.68%</t>
  </si>
  <si>
    <t>21.45%</t>
  </si>
  <si>
    <t>-76.43%</t>
  </si>
  <si>
    <t>1.58%</t>
  </si>
  <si>
    <t>-4.26%</t>
  </si>
  <si>
    <t>-24.30%</t>
  </si>
  <si>
    <t>-55.53%</t>
  </si>
  <si>
    <t>-22.54%</t>
  </si>
  <si>
    <t>538.06%</t>
  </si>
  <si>
    <t>-252.11%</t>
  </si>
  <si>
    <t>1,172.07%</t>
  </si>
  <si>
    <t>5.57%</t>
  </si>
  <si>
    <t>-3.27%</t>
  </si>
  <si>
    <t>3.47%</t>
  </si>
  <si>
    <t>1.64%</t>
  </si>
  <si>
    <t>4.02%</t>
  </si>
  <si>
    <t>37.47%</t>
  </si>
  <si>
    <t>-290.90%</t>
  </si>
  <si>
    <t>147.84%</t>
  </si>
  <si>
    <t>1,172.41%</t>
  </si>
  <si>
    <t>27.60%</t>
  </si>
  <si>
    <t>109.28%</t>
  </si>
  <si>
    <t>2.01%</t>
  </si>
  <si>
    <t>-27.50%</t>
  </si>
  <si>
    <t>30.40%</t>
  </si>
  <si>
    <t>13.60%</t>
  </si>
  <si>
    <t>-64.33%</t>
  </si>
  <si>
    <t>33.73%</t>
  </si>
  <si>
    <t>16.06%</t>
  </si>
  <si>
    <t>20.74%</t>
  </si>
  <si>
    <t>-8.23%</t>
  </si>
  <si>
    <t>-46.09%</t>
  </si>
  <si>
    <t>-13.70%</t>
  </si>
  <si>
    <t>-18.58%</t>
  </si>
  <si>
    <t>-11.02%</t>
  </si>
  <si>
    <t>-7.92%</t>
  </si>
  <si>
    <t>-7.63%</t>
  </si>
  <si>
    <t>-9.96%</t>
  </si>
  <si>
    <t>-28.81%</t>
  </si>
  <si>
    <t>-58.18%</t>
  </si>
  <si>
    <t>5.50%</t>
  </si>
  <si>
    <t>8.24%</t>
  </si>
  <si>
    <t>22.51%</t>
  </si>
  <si>
    <t>96.50%</t>
  </si>
  <si>
    <t>11.87%</t>
  </si>
  <si>
    <t>0.92%</t>
  </si>
  <si>
    <t>-19.11%</t>
  </si>
  <si>
    <t>121.71%</t>
  </si>
  <si>
    <t>33.92%</t>
  </si>
  <si>
    <t>-65.37%</t>
  </si>
  <si>
    <t>16.81%</t>
  </si>
  <si>
    <t>20.71%</t>
  </si>
  <si>
    <t>19.12%</t>
  </si>
  <si>
    <t>11.67%</t>
  </si>
  <si>
    <t>17.01%</t>
  </si>
  <si>
    <t>-11.70%</t>
  </si>
  <si>
    <t>-48.13%</t>
  </si>
  <si>
    <t>-15.85%</t>
  </si>
  <si>
    <t>166.59%</t>
  </si>
  <si>
    <t>4.61%</t>
  </si>
  <si>
    <t>-7.64%</t>
  </si>
  <si>
    <t>-14.73%</t>
  </si>
  <si>
    <t>-18.03%</t>
  </si>
  <si>
    <t>-35.19%</t>
  </si>
  <si>
    <t>-2.79%</t>
  </si>
  <si>
    <t>187.46%</t>
  </si>
  <si>
    <t>13.81%</t>
  </si>
  <si>
    <t>-35.46%</t>
  </si>
  <si>
    <t>4.64%</t>
  </si>
  <si>
    <t>27.48%</t>
  </si>
  <si>
    <t>17.62%</t>
  </si>
  <si>
    <t>88.89%</t>
  </si>
  <si>
    <t>1.12%</t>
  </si>
  <si>
    <t>0.19%</t>
  </si>
  <si>
    <t>4.86%</t>
  </si>
  <si>
    <t>4.45%</t>
  </si>
  <si>
    <t>154.66%</t>
  </si>
  <si>
    <t>0.80%</t>
  </si>
  <si>
    <t>203.01%</t>
  </si>
  <si>
    <t>14.95%</t>
  </si>
  <si>
    <t>15.64%</t>
  </si>
  <si>
    <t>90.40%</t>
  </si>
  <si>
    <t>260.00%</t>
  </si>
  <si>
    <t>198.17%</t>
  </si>
  <si>
    <t>29.49%</t>
  </si>
  <si>
    <t>59.70%</t>
  </si>
  <si>
    <t>216.54%</t>
  </si>
  <si>
    <t>373.54%</t>
  </si>
  <si>
    <t>12.09%</t>
  </si>
  <si>
    <t>87.72%</t>
  </si>
  <si>
    <t>52.69%</t>
  </si>
  <si>
    <t>140.92%</t>
  </si>
  <si>
    <t>342.69%</t>
  </si>
  <si>
    <t>0.31%</t>
  </si>
  <si>
    <t>612000 - Site Improvement</t>
  </si>
  <si>
    <t>173.31%</t>
  </si>
  <si>
    <t>93.67%</t>
  </si>
  <si>
    <t>523.29%</t>
  </si>
  <si>
    <t>133.77%</t>
  </si>
  <si>
    <t>174.27%</t>
  </si>
  <si>
    <t>181.33%</t>
  </si>
  <si>
    <t>116.85%</t>
  </si>
  <si>
    <t>27.38%</t>
  </si>
  <si>
    <t>-25.36%</t>
  </si>
  <si>
    <t>27.34%</t>
  </si>
  <si>
    <t>44.29%</t>
  </si>
  <si>
    <t>0.68%</t>
  </si>
  <si>
    <t>-40.86%</t>
  </si>
  <si>
    <t>-52.90%</t>
  </si>
  <si>
    <t>102.60%</t>
  </si>
  <si>
    <t>100.10%</t>
  </si>
  <si>
    <t>-38.53%</t>
  </si>
  <si>
    <t>264.58%</t>
  </si>
  <si>
    <t>148.53%</t>
  </si>
  <si>
    <t>-39.72%</t>
  </si>
  <si>
    <t>16.60%</t>
  </si>
  <si>
    <t>21.55%</t>
  </si>
  <si>
    <t>14.62%</t>
  </si>
  <si>
    <t>45.07%</t>
  </si>
  <si>
    <t>-0.62%</t>
  </si>
  <si>
    <t>14.67%</t>
  </si>
  <si>
    <t>38.21%</t>
  </si>
  <si>
    <t>-75.61%</t>
  </si>
  <si>
    <t>-11.55%</t>
  </si>
  <si>
    <t>9.17%</t>
  </si>
  <si>
    <t>34.11%</t>
  </si>
  <si>
    <t>-3,939.50%</t>
  </si>
  <si>
    <t>44.68%</t>
  </si>
  <si>
    <t>55.99%</t>
  </si>
  <si>
    <t>46.13%</t>
  </si>
  <si>
    <t>63.76%</t>
  </si>
  <si>
    <t>15.54%</t>
  </si>
  <si>
    <t>-32.13%</t>
  </si>
  <si>
    <t>82.78%</t>
  </si>
  <si>
    <t>259.20%</t>
  </si>
  <si>
    <t>500.00%</t>
  </si>
  <si>
    <t>110.03.675004.000 - EMG Planning/Preparedness</t>
  </si>
  <si>
    <t>-12.88%</t>
  </si>
  <si>
    <t>-20.47%</t>
  </si>
  <si>
    <t>-36.35%</t>
  </si>
  <si>
    <t>-36.57%</t>
  </si>
  <si>
    <t>1.94%</t>
  </si>
  <si>
    <t>6.95%</t>
  </si>
  <si>
    <t>22.16%</t>
  </si>
  <si>
    <t>-88.00%</t>
  </si>
  <si>
    <t>7.33%</t>
  </si>
  <si>
    <t>13.44%</t>
  </si>
  <si>
    <t>10.05%</t>
  </si>
  <si>
    <t>32.51%</t>
  </si>
  <si>
    <t>-12.99%</t>
  </si>
  <si>
    <t>-48.89%</t>
  </si>
  <si>
    <t>-37.84%</t>
  </si>
  <si>
    <t>-6.45%</t>
  </si>
  <si>
    <t>-46.74%</t>
  </si>
  <si>
    <t>-89.84%</t>
  </si>
  <si>
    <t>99.04%</t>
  </si>
  <si>
    <t>-18.96%</t>
  </si>
  <si>
    <t>-99.44%</t>
  </si>
  <si>
    <t>7.04%</t>
  </si>
  <si>
    <t>9.31%</t>
  </si>
  <si>
    <t>9.43%</t>
  </si>
  <si>
    <t>10.93%</t>
  </si>
  <si>
    <t>38.94%</t>
  </si>
  <si>
    <t>18.09%</t>
  </si>
  <si>
    <t>21.43%</t>
  </si>
  <si>
    <t>-29.62%</t>
  </si>
  <si>
    <t>7.55%</t>
  </si>
  <si>
    <t xml:space="preserve">Multi Year Forecast </t>
  </si>
  <si>
    <r>
      <t xml:space="preserve">Adjusted State Base Revenue </t>
    </r>
    <r>
      <rPr>
        <i/>
        <sz val="9"/>
        <color theme="0"/>
        <rFont val="Arial"/>
        <family val="2"/>
      </rPr>
      <t>(line 14 - line 16)</t>
    </r>
  </si>
  <si>
    <t xml:space="preserve">One-time Exp. (Salaries adjustment of 1.5%) </t>
  </si>
  <si>
    <r>
      <t xml:space="preserve">Total State Revenue </t>
    </r>
    <r>
      <rPr>
        <i/>
        <sz val="9"/>
        <color theme="0"/>
        <rFont val="Arial"/>
        <family val="2"/>
      </rPr>
      <t>(add lines 17 - 23)</t>
    </r>
  </si>
  <si>
    <t>One-time Exp. (Adjust. to Fund Balance) - EDCT</t>
  </si>
  <si>
    <t>One-time Exp. (Adjust. to Fund Balance) - KVCR</t>
  </si>
  <si>
    <t>Prior Year Audit Adjustments to Fund Balance</t>
  </si>
  <si>
    <t>2021-22 Forecast</t>
  </si>
  <si>
    <t>2022-23 Forecast</t>
  </si>
  <si>
    <t>21-22</t>
  </si>
  <si>
    <t>22-23</t>
  </si>
  <si>
    <t>FY 21-22
Growth Target</t>
  </si>
  <si>
    <t>FY 22-23
Growth Target</t>
  </si>
  <si>
    <t>FY 21-22
Additional FTES</t>
  </si>
  <si>
    <t>FY 22-23
Additional FTES</t>
  </si>
  <si>
    <t>FY 21-22
Funded Rate</t>
  </si>
  <si>
    <t>FY 22-23
Funded Rate</t>
  </si>
  <si>
    <t>FY 22-23
Funded FTES</t>
  </si>
  <si>
    <t>FY 21-22
Funded FTES</t>
  </si>
  <si>
    <t>FY 21-22
Unfunded FTES</t>
  </si>
  <si>
    <t>FY 22-23
Unfunded FTES</t>
  </si>
  <si>
    <t>FY 21-22
Unfunded Amount</t>
  </si>
  <si>
    <t>FY 22-23
Unfunded Amount</t>
  </si>
  <si>
    <t>FY 21-22
FTES Revenues</t>
  </si>
  <si>
    <t>FY 22-23
FTES Revenues</t>
  </si>
  <si>
    <t>FY 21-22
Productivity FTES</t>
  </si>
  <si>
    <t>FY 22-23
Productivity FTES</t>
  </si>
  <si>
    <t>FY 21-22
FTES with Costs</t>
  </si>
  <si>
    <t>FY 22-23
FTES with Costs</t>
  </si>
  <si>
    <t>FY 18-19
Growth Target Costs</t>
  </si>
  <si>
    <t>FY 19-20
Growth Target Costs</t>
  </si>
  <si>
    <t>FY 20-21
Growth Target Costs</t>
  </si>
  <si>
    <t>FY 21-22
Growth Target Costs</t>
  </si>
  <si>
    <t>FY 22-23
Growth Target Costs</t>
  </si>
  <si>
    <t>FY 21-22 Totals</t>
  </si>
  <si>
    <t>FY 22-23 Totals</t>
  </si>
  <si>
    <t>Stabilization Funding</t>
  </si>
  <si>
    <t>3000s (Benefits)</t>
  </si>
  <si>
    <t>3000s (Taxes - C = 25.80% A = 17.78%)</t>
  </si>
  <si>
    <t>Taxes - C = 25.80% A = 17.78%</t>
  </si>
  <si>
    <t>FCC Legal Fees Reimbursement</t>
  </si>
  <si>
    <t>Section D - Shared Costs</t>
  </si>
  <si>
    <t>Percent of Costs</t>
  </si>
  <si>
    <t>Support Services Operations</t>
  </si>
  <si>
    <t xml:space="preserve">Property &amp; Liability Insurance </t>
  </si>
  <si>
    <t>District Support Services</t>
  </si>
  <si>
    <t>SBCCD
Total</t>
  </si>
  <si>
    <t xml:space="preserve">District Interest Income </t>
  </si>
  <si>
    <t>District Part-time Faculty Funding</t>
  </si>
  <si>
    <t>District Full-time Faculty Funding</t>
  </si>
  <si>
    <t>District Lottery Funding</t>
  </si>
  <si>
    <t>State Funded Rate Credit FTES</t>
  </si>
  <si>
    <t>State Funded Rate Enhanced Non-Credit FTES</t>
  </si>
  <si>
    <t>State Funded Rate Non-Credit FTES</t>
  </si>
  <si>
    <t>Total District FTES</t>
  </si>
  <si>
    <t>Total State Base Revenue</t>
  </si>
  <si>
    <t>Revenue Shortfall Amount</t>
  </si>
  <si>
    <t>Base Allocation Revenue (Medium and Small Colleges)</t>
  </si>
  <si>
    <t>Total Credit FTES Funding</t>
  </si>
  <si>
    <t>Total Enhanced Non-Credit FTES Funding</t>
  </si>
  <si>
    <t>Total Non-Credit FTES Funding</t>
  </si>
  <si>
    <t xml:space="preserve">District Funded Non-Credit FTES </t>
  </si>
  <si>
    <t xml:space="preserve">District Funded Enhanced Non-Credit FTES </t>
  </si>
  <si>
    <t xml:space="preserve">District Funded Credit FTES </t>
  </si>
  <si>
    <t xml:space="preserve">Excess/(Deficit) </t>
  </si>
  <si>
    <r>
      <t>Total Site Budget Allocation</t>
    </r>
    <r>
      <rPr>
        <sz val="10"/>
        <color theme="1"/>
        <rFont val="Arial"/>
        <family val="2"/>
      </rPr>
      <t/>
    </r>
  </si>
  <si>
    <r>
      <t xml:space="preserve">Total District Revenue </t>
    </r>
    <r>
      <rPr>
        <i/>
        <sz val="9"/>
        <color theme="0"/>
        <rFont val="Arial"/>
        <family val="2"/>
      </rPr>
      <t>(add lines 24, 26-33)</t>
    </r>
  </si>
  <si>
    <t>Site Fund Balance July 1, Year Beginning</t>
  </si>
  <si>
    <t>Site Fund Balance June 30, Year Ending</t>
  </si>
  <si>
    <t>STRS/PERS Trust Interest Revenue</t>
  </si>
  <si>
    <t>Percentages of Budget by Site</t>
  </si>
  <si>
    <t>Supplemental Component (Pell, AB 540, Promise Grant)</t>
  </si>
  <si>
    <t>Student Success Incentive Component</t>
  </si>
  <si>
    <t>Supplemental Component Rate</t>
  </si>
  <si>
    <t>Total Supplemental Component</t>
  </si>
  <si>
    <t>Total Student Success Incentive Component</t>
  </si>
  <si>
    <t>Student Success Incentive Component Rate (Combined)</t>
  </si>
  <si>
    <t>Stability Provision</t>
  </si>
  <si>
    <t>District FTES Data Input</t>
  </si>
  <si>
    <t>Growth Rate:</t>
  </si>
  <si>
    <t>Remaining Available Growth:</t>
  </si>
  <si>
    <t>2015-16</t>
  </si>
  <si>
    <t>2016-17</t>
  </si>
  <si>
    <t>2017-18</t>
  </si>
  <si>
    <t>2018-19</t>
  </si>
  <si>
    <t>2019-20</t>
  </si>
  <si>
    <t>2020-21</t>
  </si>
  <si>
    <t>2021-22</t>
  </si>
  <si>
    <t>Traditional Credit FTES Input</t>
  </si>
  <si>
    <t>A</t>
  </si>
  <si>
    <t>Reported FTES (320 Report)</t>
  </si>
  <si>
    <t>Year-to-Year Change</t>
  </si>
  <si>
    <t>B</t>
  </si>
  <si>
    <t>Highest Applied FTES for Averaging, prev. 3 years</t>
  </si>
  <si>
    <t>C</t>
  </si>
  <si>
    <t>Lower of A &amp; B</t>
  </si>
  <si>
    <t>3-year Rolling Average</t>
  </si>
  <si>
    <t>Current Year</t>
  </si>
  <si>
    <t>Prior Year</t>
  </si>
  <si>
    <t>Second Prior Year</t>
  </si>
  <si>
    <t>Average</t>
  </si>
  <si>
    <t>FTES Available for Growth</t>
  </si>
  <si>
    <t>Growth</t>
  </si>
  <si>
    <t>Target Growth</t>
  </si>
  <si>
    <t>Achieved Growth</t>
  </si>
  <si>
    <t>Excess FTES</t>
  </si>
  <si>
    <t>Paid FTES</t>
  </si>
  <si>
    <t>Other FTES Input</t>
  </si>
  <si>
    <t>Credit</t>
  </si>
  <si>
    <t>Special Admit</t>
  </si>
  <si>
    <t>Reported</t>
  </si>
  <si>
    <t>Incarcerated Credit</t>
  </si>
  <si>
    <t>Non-Credit</t>
  </si>
  <si>
    <t>Traditional Non-Credit</t>
  </si>
  <si>
    <t>Career Development &amp; 
College Preparation 
(CDCP)</t>
  </si>
  <si>
    <t>Incarcerated Non-Credit</t>
  </si>
  <si>
    <t>Growth Funding</t>
  </si>
  <si>
    <t>Maximum</t>
  </si>
  <si>
    <t>Applied</t>
  </si>
  <si>
    <t>Available</t>
  </si>
  <si>
    <t>Traditional</t>
  </si>
  <si>
    <t>CY 3-Yr Avg</t>
  </si>
  <si>
    <t>Funding Rate</t>
  </si>
  <si>
    <t>Growth in $</t>
  </si>
  <si>
    <t>PY FTES</t>
  </si>
  <si>
    <t>Incarcerated</t>
  </si>
  <si>
    <t>2018-2019 Estimated Actuals</t>
  </si>
  <si>
    <t>2019-20 Preliminary Budget</t>
  </si>
  <si>
    <t>2023-24 Forecast</t>
  </si>
  <si>
    <t>2023-24</t>
  </si>
  <si>
    <t>2022-23</t>
  </si>
  <si>
    <t>FY 23-24
Growth Target</t>
  </si>
  <si>
    <t>FY 2019-20 Tentative Budget - V1</t>
  </si>
  <si>
    <t>FY 23-24
Additional FTES</t>
  </si>
  <si>
    <t>FY 23-24
Funded Rate</t>
  </si>
  <si>
    <t>FY 23-24
Funded FTES</t>
  </si>
  <si>
    <t>FY 23-24
Unfunded FTES</t>
  </si>
  <si>
    <t>FY 23-24
Unfunded Amount</t>
  </si>
  <si>
    <t>FY 23-24
FTES Revenues</t>
  </si>
  <si>
    <t>FY 23-24
Productivity FTES</t>
  </si>
  <si>
    <t>FY 23-24
FTES with Costs</t>
  </si>
  <si>
    <t>FY 23-24
Growth Target Costs</t>
  </si>
  <si>
    <t>FY 23-24 Totals</t>
  </si>
  <si>
    <t>23-24</t>
  </si>
  <si>
    <t>Baseline
FY 16-17</t>
  </si>
  <si>
    <t>Salary Increases (Retro)</t>
  </si>
  <si>
    <t>Special Admit Credit</t>
  </si>
  <si>
    <t>Special Admit Rate</t>
  </si>
  <si>
    <t>Special Admit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</si>
</sst>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_(&quot;$&quot;* #,##0_);_(&quot;$&quot;* \(#,##0\);_(&quot;$&quot;* &quot;-&quot;??_);_(@_)"/>
    <numFmt numFmtId="169" formatCode="_(* #,##0.000000_);_(* \(#,##0.000000\);_(* &quot;-&quot;??_);_(@_)"/>
    <numFmt numFmtId="170" formatCode="_(* #,##0.0000_);_(* \(#,##0.0000\);_(* &quot;-&quot;??_);_(@_)"/>
    <numFmt numFmtId="171" formatCode="[$-10409]\ #,##0.00;\(#,##0.##\)"/>
    <numFmt numFmtId="172" formatCode="[$-10409]\ #,##0.00;\(#,##0.00\)"/>
    <numFmt numFmtId="173" formatCode="[$-10409]\ #,##0;\(#,##0\)"/>
  </numFmts>
  <fonts count="77" x14ac:knownFonts="1">
    <font>
      <sz val="11"/>
      <color theme="1"/>
      <name val="Calibri"/>
      <family val="2"/>
      <scheme val="minor"/>
    </font>
    <font>
      <sz val="11"/>
      <name val="Calibri"/>
      <family val="2"/>
    </font>
    <font>
      <sz val="10"/>
      <color indexed="8"/>
      <name val="Arial"/>
      <family val="2"/>
    </font>
    <font>
      <b/>
      <sz val="10"/>
      <color indexed="8"/>
      <name val="Arial"/>
      <family val="2"/>
    </font>
    <font>
      <sz val="11"/>
      <color theme="1"/>
      <name val="Calibri"/>
      <family val="2"/>
      <scheme val="minor"/>
    </font>
    <font>
      <sz val="10"/>
      <color theme="0"/>
      <name val="Arial"/>
      <family val="2"/>
    </font>
    <font>
      <b/>
      <sz val="10"/>
      <color theme="0"/>
      <name val="Arial"/>
      <family val="2"/>
    </font>
    <font>
      <sz val="10"/>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1"/>
      <color rgb="FF3F3F76"/>
      <name val="Calibri"/>
      <family val="2"/>
      <scheme val="minor"/>
    </font>
    <font>
      <b/>
      <sz val="11"/>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6"/>
      <color theme="1"/>
      <name val="Calibri"/>
      <family val="2"/>
      <scheme val="minor"/>
    </font>
    <font>
      <sz val="18"/>
      <color theme="3"/>
      <name val="Cambria"/>
      <family val="2"/>
      <scheme val="major"/>
    </font>
    <font>
      <b/>
      <sz val="14"/>
      <color theme="1"/>
      <name val="Calibri"/>
      <family val="2"/>
      <scheme val="minor"/>
    </font>
    <font>
      <b/>
      <sz val="11"/>
      <name val="Calibri"/>
      <family val="2"/>
      <scheme val="minor"/>
    </font>
    <font>
      <b/>
      <sz val="10"/>
      <color theme="1"/>
      <name val="Calibri"/>
      <family val="2"/>
      <scheme val="minor"/>
    </font>
    <font>
      <sz val="10"/>
      <color theme="1"/>
      <name val="Calibri"/>
      <family val="2"/>
      <scheme val="minor"/>
    </font>
    <font>
      <b/>
      <sz val="16"/>
      <color theme="5"/>
      <name val="Calibri"/>
      <family val="2"/>
      <scheme val="minor"/>
    </font>
    <font>
      <b/>
      <sz val="12"/>
      <color theme="5"/>
      <name val="Calibri"/>
      <family val="2"/>
      <scheme val="minor"/>
    </font>
    <font>
      <b/>
      <sz val="12"/>
      <name val="Calibri"/>
      <family val="2"/>
      <scheme val="minor"/>
    </font>
    <font>
      <sz val="11"/>
      <color theme="4" tint="-0.249977111117893"/>
      <name val="Calibri"/>
      <family val="2"/>
      <scheme val="minor"/>
    </font>
    <font>
      <sz val="10"/>
      <color theme="4" tint="-0.249977111117893"/>
      <name val="Calibri"/>
      <family val="2"/>
      <scheme val="minor"/>
    </font>
    <font>
      <b/>
      <u/>
      <sz val="11"/>
      <color theme="3"/>
      <name val="Calibri"/>
      <family val="2"/>
      <scheme val="minor"/>
    </font>
    <font>
      <b/>
      <sz val="11"/>
      <color theme="6" tint="-0.499984740745262"/>
      <name val="Calibri"/>
      <family val="2"/>
      <scheme val="minor"/>
    </font>
    <font>
      <b/>
      <u/>
      <sz val="11"/>
      <color theme="6" tint="-0.499984740745262"/>
      <name val="Calibri"/>
      <family val="2"/>
      <scheme val="minor"/>
    </font>
    <font>
      <sz val="11"/>
      <color theme="6" tint="-0.499984740745262"/>
      <name val="Calibri"/>
      <family val="2"/>
      <scheme val="minor"/>
    </font>
    <font>
      <sz val="10"/>
      <color theme="6" tint="-0.499984740745262"/>
      <name val="Calibri"/>
      <family val="2"/>
      <scheme val="minor"/>
    </font>
    <font>
      <b/>
      <sz val="10"/>
      <color theme="6" tint="-0.499984740745262"/>
      <name val="Calibri"/>
      <family val="2"/>
      <scheme val="minor"/>
    </font>
    <font>
      <b/>
      <sz val="11"/>
      <color theme="5"/>
      <name val="Calibri"/>
      <family val="2"/>
      <scheme val="minor"/>
    </font>
    <font>
      <sz val="11"/>
      <color theme="5"/>
      <name val="Calibri"/>
      <family val="2"/>
      <scheme val="minor"/>
    </font>
    <font>
      <sz val="11"/>
      <color theme="1"/>
      <name val="Calibri"/>
      <family val="2"/>
      <scheme val="minor"/>
    </font>
    <font>
      <sz val="12"/>
      <name val="Calibri"/>
      <family val="2"/>
      <scheme val="minor"/>
    </font>
    <font>
      <sz val="11"/>
      <name val="Calibri"/>
      <family val="2"/>
      <scheme val="minor"/>
    </font>
    <font>
      <b/>
      <sz val="14"/>
      <color theme="5"/>
      <name val="Calibri"/>
      <family val="2"/>
      <scheme val="minor"/>
    </font>
    <font>
      <b/>
      <sz val="11"/>
      <color theme="1"/>
      <name val="Calibri"/>
      <family val="2"/>
      <scheme val="minor"/>
    </font>
    <font>
      <b/>
      <sz val="14"/>
      <name val="Calibri"/>
      <family val="2"/>
      <scheme val="minor"/>
    </font>
    <font>
      <b/>
      <sz val="12"/>
      <color theme="0"/>
      <name val="Calibri"/>
      <family val="2"/>
      <scheme val="minor"/>
    </font>
    <font>
      <sz val="11"/>
      <color rgb="FF000000"/>
      <name val="Calibri"/>
      <family val="2"/>
      <scheme val="minor"/>
    </font>
    <font>
      <b/>
      <sz val="18"/>
      <color rgb="FF000000"/>
      <name val="Arial"/>
      <family val="2"/>
    </font>
    <font>
      <i/>
      <sz val="10"/>
      <color rgb="FF000000"/>
      <name val="Arial"/>
      <family val="2"/>
    </font>
    <font>
      <b/>
      <sz val="9"/>
      <color rgb="FF000000"/>
      <name val="Arial"/>
      <family val="2"/>
    </font>
    <font>
      <b/>
      <u/>
      <sz val="8"/>
      <color rgb="FF000000"/>
      <name val="Arial"/>
      <family val="2"/>
    </font>
    <font>
      <sz val="10"/>
      <color rgb="FF000000"/>
      <name val="Arial"/>
      <family val="2"/>
    </font>
    <font>
      <sz val="8"/>
      <color rgb="FF000000"/>
      <name val="Arial"/>
      <family val="2"/>
    </font>
    <font>
      <b/>
      <sz val="10"/>
      <color rgb="FF000000"/>
      <name val="Arial"/>
      <family val="2"/>
    </font>
    <font>
      <b/>
      <sz val="8"/>
      <color rgb="FF000000"/>
      <name val="Arial"/>
      <family val="2"/>
    </font>
    <font>
      <b/>
      <sz val="11"/>
      <name val="Calibri"/>
      <family val="2"/>
    </font>
    <font>
      <b/>
      <sz val="14"/>
      <name val="Calibri"/>
      <family val="2"/>
    </font>
    <font>
      <b/>
      <sz val="12"/>
      <name val="Calibri"/>
      <family val="2"/>
    </font>
    <font>
      <sz val="9"/>
      <color theme="0"/>
      <name val="Arial"/>
      <family val="2"/>
    </font>
    <font>
      <sz val="9"/>
      <color theme="1"/>
      <name val="Arial"/>
      <family val="2"/>
    </font>
    <font>
      <sz val="9"/>
      <color indexed="8"/>
      <name val="Arial"/>
      <family val="2"/>
    </font>
    <font>
      <i/>
      <sz val="9"/>
      <color theme="0"/>
      <name val="Arial"/>
      <family val="2"/>
    </font>
    <font>
      <sz val="11"/>
      <color theme="0"/>
      <name val="Arial"/>
      <family val="2"/>
    </font>
    <font>
      <sz val="16"/>
      <color theme="0"/>
      <name val="Arial"/>
      <family val="2"/>
    </font>
    <font>
      <b/>
      <sz val="12"/>
      <color theme="1"/>
      <name val="Calibri"/>
      <family val="2"/>
      <scheme val="minor"/>
    </font>
    <font>
      <sz val="12"/>
      <color theme="1"/>
      <name val="Calibri"/>
      <family val="2"/>
      <scheme val="minor"/>
    </font>
    <font>
      <sz val="10"/>
      <color theme="1"/>
      <name val="Cambria"/>
      <family val="2"/>
      <scheme val="major"/>
    </font>
    <font>
      <i/>
      <sz val="10"/>
      <color theme="1"/>
      <name val="Calibri"/>
      <family val="2"/>
      <scheme val="minor"/>
    </font>
    <font>
      <i/>
      <sz val="8"/>
      <color theme="1"/>
      <name val="Calibri"/>
      <family val="2"/>
      <scheme val="minor"/>
    </font>
    <font>
      <i/>
      <sz val="10"/>
      <color indexed="8"/>
      <name val="Arial"/>
      <family val="2"/>
    </font>
    <font>
      <i/>
      <sz val="9"/>
      <color indexed="8"/>
      <name val="Arial"/>
      <family val="2"/>
    </font>
  </fonts>
  <fills count="59">
    <fill>
      <patternFill patternType="none"/>
    </fill>
    <fill>
      <patternFill patternType="gray125"/>
    </fill>
    <fill>
      <patternFill patternType="solid">
        <fgColor theme="4" tint="0.79998168889431442"/>
        <bgColor indexed="64"/>
      </patternFill>
    </fill>
    <fill>
      <patternFill patternType="solid">
        <fgColor theme="7" tint="-0.499984740745262"/>
        <bgColor indexed="64"/>
      </patternFill>
    </fill>
    <fill>
      <patternFill patternType="solid">
        <fgColor theme="0"/>
        <bgColor indexed="64"/>
      </patternFill>
    </fill>
    <fill>
      <patternFill patternType="solid">
        <fgColor theme="3" tint="-0.499984740745262"/>
        <bgColor indexed="64"/>
      </patternFill>
    </fill>
    <fill>
      <patternFill patternType="solid">
        <fgColor theme="7" tint="0.79998168889431442"/>
        <bgColor indexed="64"/>
      </patternFill>
    </fill>
    <fill>
      <patternFill patternType="solid">
        <fgColor theme="4"/>
      </patternFill>
    </fill>
    <fill>
      <patternFill patternType="solid">
        <fgColor theme="8"/>
      </patternFill>
    </fill>
    <fill>
      <patternFill patternType="solid">
        <fgColor theme="9" tint="0.59999389629810485"/>
        <bgColor indexed="65"/>
      </patternFill>
    </fill>
    <fill>
      <patternFill patternType="solid">
        <f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39997558519241921"/>
        <bgColor indexed="65"/>
      </patternFill>
    </fill>
    <fill>
      <patternFill patternType="solid">
        <fgColor theme="5"/>
        <bgColor theme="5"/>
      </patternFill>
    </fill>
    <fill>
      <patternFill patternType="solid">
        <fgColor theme="5" tint="0.79998168889431442"/>
        <bgColor theme="5" tint="0.79998168889431442"/>
      </patternFill>
    </fill>
    <fill>
      <patternFill patternType="solid">
        <fgColor theme="4" tint="0.79998168889431442"/>
        <bgColor theme="4" tint="0.79998168889431442"/>
      </patternFill>
    </fill>
    <fill>
      <patternFill patternType="solid">
        <fgColor theme="4"/>
        <bgColor theme="4"/>
      </patternFill>
    </fill>
    <fill>
      <patternFill patternType="solid">
        <fgColor theme="6" tint="-0.249977111117893"/>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theme="4"/>
        <bgColor indexed="64"/>
      </patternFill>
    </fill>
    <fill>
      <patternFill patternType="solid">
        <fgColor theme="7" tint="-0.249977111117893"/>
        <bgColor indexed="64"/>
      </patternFill>
    </fill>
    <fill>
      <patternFill patternType="solid">
        <fgColor theme="4" tint="0.79998168889431442"/>
        <bgColor theme="4"/>
      </patternFill>
    </fill>
    <fill>
      <patternFill patternType="solid">
        <fgColor theme="0" tint="-4.9989318521683403E-2"/>
        <bgColor indexed="64"/>
      </patternFill>
    </fill>
    <fill>
      <patternFill patternType="solid">
        <fgColor theme="5" tint="-0.249977111117893"/>
        <bgColor indexed="64"/>
      </patternFill>
    </fill>
    <fill>
      <patternFill patternType="solid">
        <fgColor theme="7"/>
        <bgColor indexed="64"/>
      </patternFill>
    </fill>
    <fill>
      <patternFill patternType="solid">
        <fgColor rgb="FF92D050"/>
        <bgColor indexed="64"/>
      </patternFill>
    </fill>
    <fill>
      <patternFill patternType="solid">
        <fgColor rgb="FF00B0F0"/>
        <bgColor indexed="64"/>
      </patternFill>
    </fill>
    <fill>
      <patternFill patternType="solid">
        <fgColor theme="1" tint="0.34998626667073579"/>
        <bgColor indexed="64"/>
      </patternFill>
    </fill>
    <fill>
      <patternFill patternType="solid">
        <fgColor theme="1"/>
        <bgColor indexed="64"/>
      </patternFill>
    </fill>
    <fill>
      <patternFill patternType="solid">
        <fgColor rgb="FFE7C3C9"/>
        <bgColor indexed="64"/>
      </patternFill>
    </fill>
    <fill>
      <patternFill patternType="solid">
        <fgColor theme="0" tint="-0.499984740745262"/>
        <bgColor indexed="64"/>
      </patternFill>
    </fill>
    <fill>
      <patternFill patternType="solid">
        <fgColor rgb="FFFFFF00"/>
        <bgColor indexed="64"/>
      </patternFill>
    </fill>
  </fills>
  <borders count="85">
    <border>
      <left/>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diagonal/>
    </border>
    <border>
      <left/>
      <right/>
      <top style="thin">
        <color theme="0" tint="-0.499984740745262"/>
      </top>
      <bottom style="thin">
        <color theme="0" tint="-0.499984740745262"/>
      </bottom>
      <diagonal/>
    </border>
    <border>
      <left/>
      <right style="thin">
        <color theme="3" tint="-0.499984740745262"/>
      </right>
      <top/>
      <bottom/>
      <diagonal/>
    </border>
    <border>
      <left/>
      <right/>
      <top style="thin">
        <color indexed="64"/>
      </top>
      <bottom style="double">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theme="3" tint="-0.499984740745262"/>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5" tint="-0.499984740745262"/>
      </left>
      <right style="thin">
        <color indexed="64"/>
      </right>
      <top style="medium">
        <color theme="5" tint="-0.499984740745262"/>
      </top>
      <bottom style="thin">
        <color indexed="64"/>
      </bottom>
      <diagonal/>
    </border>
    <border>
      <left style="thin">
        <color indexed="64"/>
      </left>
      <right style="thin">
        <color indexed="64"/>
      </right>
      <top style="medium">
        <color theme="5" tint="-0.499984740745262"/>
      </top>
      <bottom style="thin">
        <color indexed="64"/>
      </bottom>
      <diagonal/>
    </border>
    <border>
      <left style="thin">
        <color indexed="64"/>
      </left>
      <right style="medium">
        <color theme="5" tint="-0.499984740745262"/>
      </right>
      <top style="medium">
        <color theme="5" tint="-0.499984740745262"/>
      </top>
      <bottom style="thin">
        <color indexed="64"/>
      </bottom>
      <diagonal/>
    </border>
    <border>
      <left style="medium">
        <color theme="5" tint="-0.499984740745262"/>
      </left>
      <right style="thin">
        <color indexed="64"/>
      </right>
      <top style="thin">
        <color indexed="64"/>
      </top>
      <bottom style="thin">
        <color indexed="64"/>
      </bottom>
      <diagonal/>
    </border>
    <border>
      <left style="thin">
        <color indexed="64"/>
      </left>
      <right style="medium">
        <color theme="5" tint="-0.499984740745262"/>
      </right>
      <top style="thin">
        <color indexed="64"/>
      </top>
      <bottom style="thin">
        <color indexed="64"/>
      </bottom>
      <diagonal/>
    </border>
    <border>
      <left style="medium">
        <color theme="5" tint="-0.499984740745262"/>
      </left>
      <right style="thin">
        <color indexed="64"/>
      </right>
      <top style="thin">
        <color indexed="64"/>
      </top>
      <bottom style="medium">
        <color theme="5" tint="-0.499984740745262"/>
      </bottom>
      <diagonal/>
    </border>
    <border>
      <left style="thin">
        <color indexed="64"/>
      </left>
      <right style="thin">
        <color indexed="64"/>
      </right>
      <top style="thin">
        <color indexed="64"/>
      </top>
      <bottom style="medium">
        <color theme="5" tint="-0.499984740745262"/>
      </bottom>
      <diagonal/>
    </border>
    <border>
      <left style="thin">
        <color indexed="64"/>
      </left>
      <right style="medium">
        <color theme="5" tint="-0.499984740745262"/>
      </right>
      <top style="thin">
        <color indexed="64"/>
      </top>
      <bottom style="medium">
        <color theme="5" tint="-0.499984740745262"/>
      </bottom>
      <diagonal/>
    </border>
    <border>
      <left style="medium">
        <color indexed="64"/>
      </left>
      <right/>
      <top style="medium">
        <color indexed="64"/>
      </top>
      <bottom style="thin">
        <color theme="5" tint="0.39997558519241921"/>
      </bottom>
      <diagonal/>
    </border>
    <border>
      <left/>
      <right/>
      <top style="medium">
        <color indexed="64"/>
      </top>
      <bottom style="thin">
        <color theme="5" tint="0.39997558519241921"/>
      </bottom>
      <diagonal/>
    </border>
    <border>
      <left/>
      <right style="medium">
        <color indexed="64"/>
      </right>
      <top style="medium">
        <color indexed="64"/>
      </top>
      <bottom style="thin">
        <color theme="5" tint="0.39997558519241921"/>
      </bottom>
      <diagonal/>
    </border>
    <border>
      <left style="medium">
        <color indexed="64"/>
      </left>
      <right/>
      <top style="thin">
        <color theme="5" tint="0.39997558519241921"/>
      </top>
      <bottom style="thin">
        <color theme="5" tint="0.39997558519241921"/>
      </bottom>
      <diagonal/>
    </border>
    <border>
      <left/>
      <right style="medium">
        <color indexed="64"/>
      </right>
      <top style="thin">
        <color theme="5" tint="0.39997558519241921"/>
      </top>
      <bottom style="thin">
        <color theme="5" tint="0.39997558519241921"/>
      </bottom>
      <diagonal/>
    </border>
    <border>
      <left style="medium">
        <color indexed="64"/>
      </left>
      <right/>
      <top style="thin">
        <color theme="5" tint="0.39997558519241921"/>
      </top>
      <bottom style="medium">
        <color indexed="64"/>
      </bottom>
      <diagonal/>
    </border>
    <border>
      <left/>
      <right/>
      <top style="thin">
        <color theme="5" tint="0.39997558519241921"/>
      </top>
      <bottom style="medium">
        <color indexed="64"/>
      </bottom>
      <diagonal/>
    </border>
    <border>
      <left/>
      <right style="medium">
        <color indexed="64"/>
      </right>
      <top style="thin">
        <color theme="5" tint="0.39997558519241921"/>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double">
        <color theme="4"/>
      </bottom>
      <diagonal/>
    </border>
    <border>
      <left/>
      <right/>
      <top style="thin">
        <color theme="4" tint="0.39997558519241921"/>
      </top>
      <bottom style="double">
        <color theme="4"/>
      </bottom>
      <diagonal/>
    </border>
    <border>
      <left style="thin">
        <color theme="4" tint="0.39997558519241921"/>
      </left>
      <right/>
      <top style="thin">
        <color theme="4" tint="0.39997558519241921"/>
      </top>
      <bottom/>
      <diagonal/>
    </border>
    <border>
      <left style="thin">
        <color theme="4" tint="0.39997558519241921"/>
      </left>
      <right/>
      <top style="double">
        <color theme="4"/>
      </top>
      <bottom style="thin">
        <color theme="4" tint="0.39997558519241921"/>
      </bottom>
      <diagonal/>
    </border>
    <border>
      <left/>
      <right/>
      <top style="double">
        <color theme="4"/>
      </top>
      <bottom style="thin">
        <color theme="4" tint="0.39997558519241921"/>
      </bottom>
      <diagonal/>
    </border>
    <border>
      <left/>
      <right style="thin">
        <color theme="4" tint="0.39997558519241921"/>
      </right>
      <top style="thin">
        <color theme="4" tint="0.39997558519241921"/>
      </top>
      <bottom/>
      <diagonal/>
    </border>
    <border>
      <left style="medium">
        <color rgb="FFC00000"/>
      </left>
      <right style="thin">
        <color rgb="FF7F7F7F"/>
      </right>
      <top style="medium">
        <color rgb="FFC00000"/>
      </top>
      <bottom style="thin">
        <color rgb="FF7F7F7F"/>
      </bottom>
      <diagonal/>
    </border>
    <border>
      <left style="thin">
        <color rgb="FF7F7F7F"/>
      </left>
      <right style="thin">
        <color rgb="FF7F7F7F"/>
      </right>
      <top style="medium">
        <color rgb="FFC00000"/>
      </top>
      <bottom style="thin">
        <color rgb="FF7F7F7F"/>
      </bottom>
      <diagonal/>
    </border>
    <border>
      <left style="thin">
        <color rgb="FF7F7F7F"/>
      </left>
      <right style="medium">
        <color rgb="FFC00000"/>
      </right>
      <top style="medium">
        <color rgb="FFC00000"/>
      </top>
      <bottom style="thin">
        <color rgb="FF7F7F7F"/>
      </bottom>
      <diagonal/>
    </border>
    <border>
      <left style="medium">
        <color rgb="FFC00000"/>
      </left>
      <right style="thin">
        <color rgb="FF7F7F7F"/>
      </right>
      <top style="thin">
        <color rgb="FF7F7F7F"/>
      </top>
      <bottom style="thin">
        <color rgb="FF7F7F7F"/>
      </bottom>
      <diagonal/>
    </border>
    <border>
      <left style="thin">
        <color rgb="FF7F7F7F"/>
      </left>
      <right style="medium">
        <color rgb="FFC00000"/>
      </right>
      <top style="thin">
        <color rgb="FF7F7F7F"/>
      </top>
      <bottom style="thin">
        <color rgb="FF7F7F7F"/>
      </bottom>
      <diagonal/>
    </border>
    <border>
      <left style="medium">
        <color rgb="FFC00000"/>
      </left>
      <right style="thin">
        <color rgb="FF7F7F7F"/>
      </right>
      <top style="thin">
        <color rgb="FF7F7F7F"/>
      </top>
      <bottom style="medium">
        <color rgb="FFC00000"/>
      </bottom>
      <diagonal/>
    </border>
    <border>
      <left style="thin">
        <color rgb="FF7F7F7F"/>
      </left>
      <right style="thin">
        <color rgb="FF7F7F7F"/>
      </right>
      <top style="thin">
        <color rgb="FF7F7F7F"/>
      </top>
      <bottom style="medium">
        <color rgb="FFC00000"/>
      </bottom>
      <diagonal/>
    </border>
    <border>
      <left style="thin">
        <color rgb="FF7F7F7F"/>
      </left>
      <right style="medium">
        <color rgb="FFC00000"/>
      </right>
      <top style="thin">
        <color rgb="FF7F7F7F"/>
      </top>
      <bottom style="medium">
        <color rgb="FFC00000"/>
      </bottom>
      <diagonal/>
    </border>
    <border>
      <left style="medium">
        <color rgb="FFC00000"/>
      </left>
      <right style="thin">
        <color rgb="FF7F7F7F"/>
      </right>
      <top style="thin">
        <color rgb="FF7F7F7F"/>
      </top>
      <bottom/>
      <diagonal/>
    </border>
    <border>
      <left style="thin">
        <color rgb="FF7F7F7F"/>
      </left>
      <right style="thin">
        <color rgb="FF7F7F7F"/>
      </right>
      <top style="thin">
        <color rgb="FF7F7F7F"/>
      </top>
      <bottom/>
      <diagonal/>
    </border>
    <border>
      <left/>
      <right/>
      <top style="medium">
        <color auto="1"/>
      </top>
      <bottom/>
      <diagonal/>
    </border>
    <border>
      <left style="thin">
        <color rgb="FF7F7F7F"/>
      </left>
      <right style="thin">
        <color rgb="FF7F7F7F"/>
      </right>
      <top/>
      <bottom style="thin">
        <color rgb="FF7F7F7F"/>
      </bottom>
      <diagonal/>
    </border>
    <border>
      <left style="thin">
        <color rgb="FF7F7F7F"/>
      </left>
      <right style="medium">
        <color rgb="FFC00000"/>
      </right>
      <top/>
      <bottom style="thin">
        <color rgb="FF7F7F7F"/>
      </bottom>
      <diagonal/>
    </border>
    <border>
      <left/>
      <right/>
      <top style="thin">
        <color indexed="64"/>
      </top>
      <bottom style="thin">
        <color indexed="64"/>
      </bottom>
      <diagonal/>
    </border>
    <border>
      <left/>
      <right style="thin">
        <color rgb="FF7F7F7F"/>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auto="1"/>
      </left>
      <right/>
      <top/>
      <bottom/>
      <diagonal/>
    </border>
    <border>
      <left/>
      <right style="thin">
        <color auto="1"/>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499984740745262"/>
      </top>
      <bottom/>
      <diagonal/>
    </border>
    <border>
      <left style="thin">
        <color rgb="FF7F7F7F"/>
      </left>
      <right style="thin">
        <color rgb="FF7F7F7F"/>
      </right>
      <top style="medium">
        <color indexed="64"/>
      </top>
      <bottom style="thin">
        <color rgb="FF7F7F7F"/>
      </bottom>
      <diagonal/>
    </border>
    <border>
      <left style="thin">
        <color rgb="FF7F7F7F"/>
      </left>
      <right style="thin">
        <color rgb="FF7F7F7F"/>
      </right>
      <top style="thin">
        <color rgb="FF7F7F7F"/>
      </top>
      <bottom style="medium">
        <color indexed="64"/>
      </bottom>
      <diagonal/>
    </border>
    <border>
      <left style="medium">
        <color theme="5" tint="-0.499984740745262"/>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theme="5" tint="-0.499984740745262"/>
      </right>
      <top style="thin">
        <color indexed="64"/>
      </top>
      <bottom/>
      <diagonal/>
    </border>
    <border>
      <left/>
      <right/>
      <top/>
      <bottom style="thin">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s>
  <cellStyleXfs count="46">
    <xf numFmtId="0" fontId="0" fillId="0" borderId="0"/>
    <xf numFmtId="43" fontId="4" fillId="0" borderId="0" applyFont="0" applyFill="0" applyBorder="0" applyAlignment="0" applyProtection="0"/>
    <xf numFmtId="0" fontId="10" fillId="7" borderId="0" applyNumberFormat="0" applyBorder="0" applyAlignment="0" applyProtection="0"/>
    <xf numFmtId="0" fontId="10" fillId="8" borderId="0" applyNumberFormat="0" applyBorder="0" applyAlignment="0" applyProtection="0"/>
    <xf numFmtId="0" fontId="4" fillId="9" borderId="0" applyNumberFormat="0" applyBorder="0" applyAlignment="0" applyProtection="0"/>
    <xf numFmtId="9" fontId="4" fillId="0" borderId="0" applyFont="0" applyFill="0" applyBorder="0" applyAlignment="0" applyProtection="0"/>
    <xf numFmtId="0" fontId="13" fillId="10" borderId="8" applyNumberFormat="0" applyAlignment="0" applyProtection="0"/>
    <xf numFmtId="44" fontId="4" fillId="0" borderId="0" applyFon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11" borderId="0" applyNumberFormat="0" applyBorder="0" applyAlignment="0" applyProtection="0"/>
    <xf numFmtId="0" fontId="19" fillId="12" borderId="0" applyNumberFormat="0" applyBorder="0" applyAlignment="0" applyProtection="0"/>
    <xf numFmtId="0" fontId="20" fillId="13" borderId="0" applyNumberFormat="0" applyBorder="0" applyAlignment="0" applyProtection="0"/>
    <xf numFmtId="0" fontId="21" fillId="14" borderId="13" applyNumberFormat="0" applyAlignment="0" applyProtection="0"/>
    <xf numFmtId="0" fontId="22" fillId="14" borderId="8" applyNumberFormat="0" applyAlignment="0" applyProtection="0"/>
    <xf numFmtId="0" fontId="23" fillId="0" borderId="14" applyNumberFormat="0" applyFill="0" applyAlignment="0" applyProtection="0"/>
    <xf numFmtId="0" fontId="8" fillId="15" borderId="15" applyNumberFormat="0" applyAlignment="0" applyProtection="0"/>
    <xf numFmtId="0" fontId="24" fillId="0" borderId="0" applyNumberFormat="0" applyFill="0" applyBorder="0" applyAlignment="0" applyProtection="0"/>
    <xf numFmtId="0" fontId="4" fillId="16" borderId="16" applyNumberFormat="0" applyFont="0" applyAlignment="0" applyProtection="0"/>
    <xf numFmtId="0" fontId="25" fillId="0" borderId="0" applyNumberFormat="0" applyFill="0" applyBorder="0" applyAlignment="0" applyProtection="0"/>
    <xf numFmtId="0" fontId="9" fillId="0" borderId="17"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1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 fillId="36" borderId="0" applyNumberFormat="0" applyBorder="0" applyAlignment="0" applyProtection="0"/>
    <xf numFmtId="0" fontId="10" fillId="37" borderId="0" applyNumberFormat="0" applyBorder="0" applyAlignment="0" applyProtection="0"/>
    <xf numFmtId="0" fontId="27" fillId="0" borderId="0" applyNumberFormat="0" applyFill="0" applyBorder="0" applyAlignment="0" applyProtection="0"/>
    <xf numFmtId="0" fontId="52" fillId="0" borderId="0"/>
  </cellStyleXfs>
  <cellXfs count="587">
    <xf numFmtId="0" fontId="0" fillId="0" borderId="0" xfId="0"/>
    <xf numFmtId="0" fontId="2" fillId="0" borderId="0" xfId="0" applyFont="1" applyFill="1" applyBorder="1" applyAlignment="1">
      <alignment vertical="center" wrapText="1"/>
    </xf>
    <xf numFmtId="164" fontId="2" fillId="0" borderId="0" xfId="0" applyNumberFormat="1" applyFont="1" applyFill="1" applyBorder="1" applyAlignment="1">
      <alignment horizontal="right" vertical="center"/>
    </xf>
    <xf numFmtId="0" fontId="2" fillId="0" borderId="0" xfId="0" applyFont="1" applyBorder="1"/>
    <xf numFmtId="0" fontId="2" fillId="0" borderId="0" xfId="0" applyFont="1" applyFill="1" applyBorder="1" applyAlignment="1">
      <alignment horizontal="left" vertical="center"/>
    </xf>
    <xf numFmtId="0" fontId="2" fillId="0" borderId="0" xfId="0" applyFont="1" applyFill="1" applyBorder="1" applyAlignment="1"/>
    <xf numFmtId="0" fontId="2" fillId="0" borderId="0" xfId="0" applyFont="1" applyFill="1" applyBorder="1"/>
    <xf numFmtId="0" fontId="2" fillId="0" borderId="0" xfId="0" applyFont="1" applyBorder="1" applyAlignment="1"/>
    <xf numFmtId="0" fontId="2" fillId="0" borderId="0" xfId="0" applyFont="1" applyBorder="1" applyAlignment="1">
      <alignment horizontal="center"/>
    </xf>
    <xf numFmtId="164" fontId="2" fillId="2" borderId="0" xfId="0" applyNumberFormat="1" applyFont="1" applyFill="1" applyBorder="1" applyAlignment="1">
      <alignment horizontal="right" vertical="center"/>
    </xf>
    <xf numFmtId="164" fontId="2" fillId="2" borderId="1" xfId="0" applyNumberFormat="1" applyFont="1" applyFill="1" applyBorder="1" applyAlignment="1">
      <alignment horizontal="right" vertical="center"/>
    </xf>
    <xf numFmtId="164" fontId="2" fillId="2" borderId="2" xfId="0" applyNumberFormat="1" applyFont="1" applyFill="1" applyBorder="1" applyAlignment="1">
      <alignment horizontal="right" vertical="center"/>
    </xf>
    <xf numFmtId="4" fontId="2" fillId="2" borderId="2" xfId="0" applyNumberFormat="1" applyFont="1" applyFill="1" applyBorder="1" applyAlignment="1" applyProtection="1">
      <alignment horizontal="right" vertical="center"/>
      <protection locked="0"/>
    </xf>
    <xf numFmtId="164" fontId="2" fillId="0" borderId="2" xfId="0" applyNumberFormat="1" applyFont="1" applyFill="1" applyBorder="1" applyAlignment="1">
      <alignment horizontal="right" vertical="center"/>
    </xf>
    <xf numFmtId="4" fontId="2" fillId="0" borderId="2" xfId="0" applyNumberFormat="1" applyFont="1" applyFill="1" applyBorder="1" applyAlignment="1" applyProtection="1">
      <alignment horizontal="right" vertical="center"/>
      <protection locked="0"/>
    </xf>
    <xf numFmtId="4" fontId="2" fillId="2" borderId="2" xfId="0" applyNumberFormat="1" applyFont="1" applyFill="1" applyBorder="1" applyAlignment="1">
      <alignment horizontal="right" vertical="center"/>
    </xf>
    <xf numFmtId="4" fontId="2" fillId="2" borderId="2" xfId="0" applyNumberFormat="1" applyFont="1" applyFill="1" applyBorder="1" applyAlignment="1" applyProtection="1">
      <alignment horizontal="right" vertical="center"/>
    </xf>
    <xf numFmtId="165" fontId="2" fillId="2" borderId="2" xfId="0" applyNumberFormat="1" applyFont="1" applyFill="1" applyBorder="1" applyAlignment="1" applyProtection="1">
      <alignment horizontal="right" vertical="center"/>
      <protection locked="0"/>
    </xf>
    <xf numFmtId="164" fontId="2" fillId="2" borderId="3" xfId="0" applyNumberFormat="1" applyFont="1" applyFill="1" applyBorder="1" applyAlignment="1">
      <alignment horizontal="right" vertical="center"/>
    </xf>
    <xf numFmtId="164" fontId="2" fillId="0" borderId="3" xfId="0" applyNumberFormat="1" applyFont="1" applyFill="1" applyBorder="1" applyAlignment="1">
      <alignment horizontal="right" vertical="center"/>
    </xf>
    <xf numFmtId="165" fontId="2" fillId="0" borderId="2" xfId="0" applyNumberFormat="1" applyFont="1" applyFill="1" applyBorder="1" applyAlignment="1" applyProtection="1">
      <alignment horizontal="right" vertical="center"/>
      <protection locked="0"/>
    </xf>
    <xf numFmtId="164" fontId="2" fillId="0" borderId="1" xfId="0" applyNumberFormat="1" applyFont="1" applyFill="1" applyBorder="1" applyAlignment="1">
      <alignment horizontal="right" vertical="center"/>
    </xf>
    <xf numFmtId="0" fontId="7" fillId="2" borderId="0" xfId="0" applyFont="1" applyFill="1" applyBorder="1" applyAlignment="1">
      <alignment horizontal="center"/>
    </xf>
    <xf numFmtId="0" fontId="7" fillId="2" borderId="0" xfId="0" applyFont="1" applyFill="1" applyBorder="1" applyAlignment="1">
      <alignment horizontal="center" wrapText="1"/>
    </xf>
    <xf numFmtId="164" fontId="2" fillId="2" borderId="6" xfId="0" applyNumberFormat="1" applyFont="1" applyFill="1" applyBorder="1" applyAlignment="1">
      <alignment horizontal="right" vertical="center"/>
    </xf>
    <xf numFmtId="164" fontId="2" fillId="0" borderId="6" xfId="0" applyNumberFormat="1" applyFont="1" applyFill="1" applyBorder="1" applyAlignment="1">
      <alignment horizontal="right" vertical="center"/>
    </xf>
    <xf numFmtId="10" fontId="2" fillId="2" borderId="2" xfId="5" applyNumberFormat="1" applyFont="1" applyFill="1" applyBorder="1" applyAlignment="1">
      <alignment horizontal="right" vertical="center"/>
    </xf>
    <xf numFmtId="0" fontId="7" fillId="0" borderId="0" xfId="0" applyFont="1" applyFill="1" applyBorder="1" applyAlignment="1">
      <alignment horizontal="center"/>
    </xf>
    <xf numFmtId="0" fontId="7" fillId="0" borderId="0" xfId="0" applyFont="1" applyFill="1" applyBorder="1" applyAlignment="1">
      <alignment horizontal="center" wrapText="1"/>
    </xf>
    <xf numFmtId="4" fontId="2" fillId="0" borderId="2" xfId="0" applyNumberFormat="1" applyFont="1" applyFill="1" applyBorder="1" applyAlignment="1" applyProtection="1">
      <alignment horizontal="right" vertical="center"/>
    </xf>
    <xf numFmtId="10" fontId="2" fillId="0" borderId="2" xfId="5" applyNumberFormat="1" applyFont="1" applyFill="1" applyBorder="1" applyAlignment="1">
      <alignment horizontal="right" vertical="center"/>
    </xf>
    <xf numFmtId="10" fontId="13" fillId="10" borderId="8" xfId="6" applyNumberFormat="1"/>
    <xf numFmtId="10" fontId="2" fillId="0" borderId="2" xfId="0" applyNumberFormat="1" applyFont="1" applyFill="1" applyBorder="1" applyAlignment="1">
      <alignment horizontal="right" vertical="center"/>
    </xf>
    <xf numFmtId="10" fontId="2" fillId="2" borderId="2" xfId="0" applyNumberFormat="1" applyFont="1" applyFill="1" applyBorder="1" applyAlignment="1" applyProtection="1">
      <alignment horizontal="right" vertical="center"/>
      <protection locked="0"/>
    </xf>
    <xf numFmtId="10" fontId="2" fillId="2" borderId="2" xfId="0" applyNumberFormat="1" applyFont="1" applyFill="1" applyBorder="1" applyAlignment="1">
      <alignment horizontal="right" vertical="center"/>
    </xf>
    <xf numFmtId="10" fontId="2" fillId="0" borderId="0" xfId="5" applyNumberFormat="1" applyFont="1" applyFill="1" applyBorder="1" applyAlignment="1">
      <alignment horizontal="right" vertical="center"/>
    </xf>
    <xf numFmtId="0" fontId="2" fillId="0" borderId="0" xfId="0" applyFont="1" applyBorder="1" applyAlignment="1">
      <alignment horizontal="left"/>
    </xf>
    <xf numFmtId="168" fontId="13" fillId="0" borderId="8" xfId="7" applyNumberFormat="1" applyFont="1" applyFill="1" applyBorder="1"/>
    <xf numFmtId="0" fontId="26" fillId="0" borderId="0" xfId="0" applyFont="1"/>
    <xf numFmtId="166" fontId="0" fillId="0" borderId="0" xfId="0" applyNumberFormat="1"/>
    <xf numFmtId="166" fontId="0" fillId="0" borderId="19" xfId="0" applyNumberFormat="1" applyFont="1" applyBorder="1"/>
    <xf numFmtId="166" fontId="0" fillId="39" borderId="19" xfId="0" applyNumberFormat="1" applyFont="1" applyFill="1" applyBorder="1"/>
    <xf numFmtId="0" fontId="8" fillId="38" borderId="18" xfId="0" applyFont="1" applyFill="1" applyBorder="1" applyAlignment="1">
      <alignment horizontal="center"/>
    </xf>
    <xf numFmtId="10" fontId="0" fillId="0" borderId="19" xfId="0" applyNumberFormat="1" applyFont="1" applyBorder="1" applyAlignment="1">
      <alignment horizontal="center"/>
    </xf>
    <xf numFmtId="0" fontId="8" fillId="38" borderId="20" xfId="0" applyFont="1" applyFill="1" applyBorder="1" applyAlignment="1">
      <alignment horizontal="center"/>
    </xf>
    <xf numFmtId="0" fontId="8" fillId="38" borderId="19" xfId="0" applyFont="1" applyFill="1" applyBorder="1" applyAlignment="1">
      <alignment horizontal="center"/>
    </xf>
    <xf numFmtId="166" fontId="2" fillId="0" borderId="22" xfId="1" applyNumberFormat="1" applyFont="1" applyBorder="1"/>
    <xf numFmtId="10" fontId="0" fillId="39" borderId="19" xfId="0" applyNumberFormat="1" applyFont="1" applyFill="1" applyBorder="1" applyAlignment="1">
      <alignment horizontal="center"/>
    </xf>
    <xf numFmtId="0" fontId="0" fillId="0" borderId="0" xfId="0"/>
    <xf numFmtId="43" fontId="0" fillId="0" borderId="0" xfId="1" applyFont="1"/>
    <xf numFmtId="166" fontId="2" fillId="0" borderId="24" xfId="1" applyNumberFormat="1" applyFont="1" applyBorder="1"/>
    <xf numFmtId="166" fontId="2" fillId="0" borderId="25" xfId="1" applyNumberFormat="1" applyFont="1" applyBorder="1"/>
    <xf numFmtId="166" fontId="2" fillId="0" borderId="26" xfId="0" applyNumberFormat="1" applyFont="1" applyBorder="1"/>
    <xf numFmtId="166" fontId="2" fillId="0" borderId="27" xfId="1" applyNumberFormat="1" applyFont="1" applyBorder="1"/>
    <xf numFmtId="166" fontId="2" fillId="0" borderId="28" xfId="0" applyNumberFormat="1" applyFont="1" applyBorder="1"/>
    <xf numFmtId="166" fontId="2" fillId="0" borderId="29" xfId="0" applyNumberFormat="1" applyFont="1" applyBorder="1"/>
    <xf numFmtId="166" fontId="2" fillId="0" borderId="30" xfId="0" applyNumberFormat="1" applyFont="1" applyBorder="1"/>
    <xf numFmtId="166" fontId="2" fillId="0" borderId="31" xfId="0" applyNumberFormat="1" applyFont="1" applyBorder="1"/>
    <xf numFmtId="10" fontId="0" fillId="39" borderId="32" xfId="0" applyNumberFormat="1" applyFont="1" applyFill="1" applyBorder="1" applyAlignment="1">
      <alignment horizontal="center"/>
    </xf>
    <xf numFmtId="10" fontId="0" fillId="39" borderId="33" xfId="0" applyNumberFormat="1" applyFont="1" applyFill="1" applyBorder="1" applyAlignment="1">
      <alignment horizontal="center"/>
    </xf>
    <xf numFmtId="166" fontId="0" fillId="39" borderId="33" xfId="0" applyNumberFormat="1" applyFont="1" applyFill="1" applyBorder="1"/>
    <xf numFmtId="166" fontId="0" fillId="39" borderId="34" xfId="0" applyNumberFormat="1" applyFont="1" applyFill="1" applyBorder="1"/>
    <xf numFmtId="10" fontId="0" fillId="0" borderId="35" xfId="0" applyNumberFormat="1" applyFont="1" applyBorder="1" applyAlignment="1">
      <alignment horizontal="center"/>
    </xf>
    <xf numFmtId="166" fontId="0" fillId="0" borderId="36" xfId="0" applyNumberFormat="1" applyFont="1" applyBorder="1"/>
    <xf numFmtId="10" fontId="0" fillId="39" borderId="37" xfId="0" applyNumberFormat="1" applyFont="1" applyFill="1" applyBorder="1" applyAlignment="1">
      <alignment horizontal="center"/>
    </xf>
    <xf numFmtId="10" fontId="0" fillId="39" borderId="38" xfId="0" applyNumberFormat="1" applyFont="1" applyFill="1" applyBorder="1" applyAlignment="1">
      <alignment horizontal="center"/>
    </xf>
    <xf numFmtId="166" fontId="0" fillId="39" borderId="38" xfId="0" applyNumberFormat="1" applyFont="1" applyFill="1" applyBorder="1"/>
    <xf numFmtId="166" fontId="0" fillId="39" borderId="39" xfId="0" applyNumberFormat="1" applyFont="1" applyFill="1" applyBorder="1"/>
    <xf numFmtId="10" fontId="0" fillId="0" borderId="32" xfId="0" applyNumberFormat="1" applyFont="1" applyBorder="1" applyAlignment="1">
      <alignment horizontal="center"/>
    </xf>
    <xf numFmtId="10" fontId="0" fillId="0" borderId="33" xfId="0" applyNumberFormat="1" applyFont="1" applyBorder="1" applyAlignment="1">
      <alignment horizontal="center"/>
    </xf>
    <xf numFmtId="166" fontId="0" fillId="0" borderId="33" xfId="0" applyNumberFormat="1" applyFont="1" applyBorder="1"/>
    <xf numFmtId="166" fontId="0" fillId="0" borderId="34" xfId="0" applyNumberFormat="1" applyFont="1" applyBorder="1"/>
    <xf numFmtId="10" fontId="0" fillId="39" borderId="35" xfId="0" applyNumberFormat="1" applyFont="1" applyFill="1" applyBorder="1" applyAlignment="1">
      <alignment horizontal="center"/>
    </xf>
    <xf numFmtId="166" fontId="0" fillId="39" borderId="36" xfId="0" applyNumberFormat="1" applyFont="1" applyFill="1" applyBorder="1"/>
    <xf numFmtId="10" fontId="0" fillId="0" borderId="37" xfId="0" applyNumberFormat="1" applyFont="1" applyBorder="1" applyAlignment="1">
      <alignment horizontal="center"/>
    </xf>
    <xf numFmtId="10" fontId="0" fillId="0" borderId="38" xfId="0" applyNumberFormat="1" applyFont="1" applyBorder="1" applyAlignment="1">
      <alignment horizontal="center"/>
    </xf>
    <xf numFmtId="166" fontId="0" fillId="0" borderId="38" xfId="0" applyNumberFormat="1" applyFont="1" applyBorder="1"/>
    <xf numFmtId="166" fontId="0" fillId="0" borderId="39" xfId="0" applyNumberFormat="1" applyFont="1" applyBorder="1"/>
    <xf numFmtId="10" fontId="13" fillId="10" borderId="8" xfId="6" applyNumberFormat="1" applyAlignment="1">
      <alignment horizontal="center"/>
    </xf>
    <xf numFmtId="0" fontId="0" fillId="0" borderId="7" xfId="0" applyBorder="1"/>
    <xf numFmtId="0" fontId="28" fillId="0" borderId="0" xfId="0" applyFont="1"/>
    <xf numFmtId="0" fontId="0" fillId="0" borderId="0" xfId="0" applyBorder="1"/>
    <xf numFmtId="0" fontId="8" fillId="41" borderId="44" xfId="0" applyFont="1" applyFill="1" applyBorder="1"/>
    <xf numFmtId="0" fontId="0" fillId="0" borderId="44" xfId="0" applyFont="1" applyBorder="1"/>
    <xf numFmtId="43" fontId="0" fillId="0" borderId="21" xfId="1" applyNumberFormat="1" applyFont="1" applyBorder="1"/>
    <xf numFmtId="0" fontId="0" fillId="40" borderId="44" xfId="0" applyFont="1" applyFill="1" applyBorder="1"/>
    <xf numFmtId="43" fontId="0" fillId="40" borderId="21" xfId="1" applyNumberFormat="1" applyFont="1" applyFill="1" applyBorder="1"/>
    <xf numFmtId="0" fontId="9" fillId="0" borderId="45" xfId="0" applyFont="1" applyBorder="1"/>
    <xf numFmtId="43" fontId="9" fillId="0" borderId="46" xfId="0" applyNumberFormat="1" applyFont="1" applyBorder="1"/>
    <xf numFmtId="0" fontId="9" fillId="0" borderId="0" xfId="0" applyFont="1" applyBorder="1"/>
    <xf numFmtId="43" fontId="9" fillId="0" borderId="0" xfId="0" applyNumberFormat="1" applyFont="1" applyBorder="1"/>
    <xf numFmtId="10" fontId="0" fillId="0" borderId="0" xfId="1" applyNumberFormat="1" applyFont="1"/>
    <xf numFmtId="43" fontId="0" fillId="0" borderId="47" xfId="1" applyNumberFormat="1" applyFont="1" applyBorder="1"/>
    <xf numFmtId="43" fontId="0" fillId="40" borderId="47" xfId="1" applyNumberFormat="1" applyFont="1" applyFill="1" applyBorder="1"/>
    <xf numFmtId="0" fontId="0" fillId="0" borderId="0" xfId="0" applyAlignment="1">
      <alignment horizontal="center"/>
    </xf>
    <xf numFmtId="44" fontId="0" fillId="0" borderId="0" xfId="7" applyFont="1" applyBorder="1"/>
    <xf numFmtId="168" fontId="0" fillId="0" borderId="21" xfId="7" applyNumberFormat="1" applyFont="1" applyBorder="1"/>
    <xf numFmtId="168" fontId="0" fillId="40" borderId="21" xfId="7" applyNumberFormat="1" applyFont="1" applyFill="1" applyBorder="1"/>
    <xf numFmtId="168" fontId="9" fillId="0" borderId="46" xfId="7" applyNumberFormat="1" applyFont="1" applyBorder="1"/>
    <xf numFmtId="168" fontId="9" fillId="0" borderId="0" xfId="7" applyNumberFormat="1" applyFont="1" applyBorder="1"/>
    <xf numFmtId="168" fontId="13" fillId="10" borderId="8" xfId="6" applyNumberFormat="1"/>
    <xf numFmtId="0" fontId="3" fillId="0" borderId="0" xfId="0" applyFont="1" applyBorder="1" applyAlignment="1"/>
    <xf numFmtId="43" fontId="13" fillId="0" borderId="8" xfId="1" applyFont="1" applyFill="1" applyBorder="1"/>
    <xf numFmtId="166" fontId="13" fillId="10" borderId="8" xfId="6" applyNumberFormat="1"/>
    <xf numFmtId="10" fontId="13" fillId="0" borderId="8" xfId="6" applyNumberFormat="1" applyFill="1" applyBorder="1"/>
    <xf numFmtId="10" fontId="13" fillId="0" borderId="49" xfId="6" applyNumberFormat="1" applyFill="1" applyBorder="1"/>
    <xf numFmtId="10" fontId="13" fillId="0" borderId="50" xfId="6" applyNumberFormat="1" applyFill="1" applyBorder="1"/>
    <xf numFmtId="10" fontId="13" fillId="0" borderId="51" xfId="6" applyNumberFormat="1" applyFill="1" applyBorder="1"/>
    <xf numFmtId="10" fontId="13" fillId="0" borderId="52" xfId="6" applyNumberFormat="1" applyFill="1" applyBorder="1"/>
    <xf numFmtId="43" fontId="13" fillId="0" borderId="51" xfId="1" applyFont="1" applyFill="1" applyBorder="1"/>
    <xf numFmtId="43" fontId="13" fillId="0" borderId="52" xfId="1" applyFont="1" applyFill="1" applyBorder="1"/>
    <xf numFmtId="168" fontId="13" fillId="0" borderId="51" xfId="7" applyNumberFormat="1" applyFont="1" applyFill="1" applyBorder="1"/>
    <xf numFmtId="168" fontId="13" fillId="0" borderId="52" xfId="7" applyNumberFormat="1" applyFont="1" applyFill="1" applyBorder="1"/>
    <xf numFmtId="10" fontId="13" fillId="10" borderId="51" xfId="6" applyNumberFormat="1" applyBorder="1"/>
    <xf numFmtId="168" fontId="13" fillId="0" borderId="53" xfId="7" applyNumberFormat="1" applyFont="1" applyFill="1" applyBorder="1"/>
    <xf numFmtId="168" fontId="13" fillId="0" borderId="54" xfId="7" applyNumberFormat="1" applyFont="1" applyFill="1" applyBorder="1"/>
    <xf numFmtId="168" fontId="13" fillId="0" borderId="55" xfId="7" applyNumberFormat="1" applyFont="1" applyFill="1" applyBorder="1"/>
    <xf numFmtId="10" fontId="13" fillId="0" borderId="48" xfId="6" applyNumberFormat="1" applyFill="1" applyBorder="1"/>
    <xf numFmtId="0" fontId="8" fillId="41" borderId="40" xfId="0" applyFont="1" applyFill="1" applyBorder="1" applyAlignment="1"/>
    <xf numFmtId="0" fontId="8" fillId="41" borderId="41" xfId="0" applyFont="1" applyFill="1" applyBorder="1" applyAlignment="1"/>
    <xf numFmtId="0" fontId="9" fillId="0" borderId="0" xfId="0" applyFont="1" applyBorder="1" applyAlignment="1">
      <alignment horizontal="left"/>
    </xf>
    <xf numFmtId="164" fontId="2" fillId="0" borderId="0" xfId="0" applyNumberFormat="1" applyFont="1" applyBorder="1"/>
    <xf numFmtId="168" fontId="13" fillId="0" borderId="56" xfId="7" applyNumberFormat="1" applyFont="1" applyFill="1" applyBorder="1"/>
    <xf numFmtId="168" fontId="13" fillId="0" borderId="57" xfId="7" applyNumberFormat="1" applyFont="1" applyFill="1" applyBorder="1"/>
    <xf numFmtId="0" fontId="31" fillId="0" borderId="0" xfId="0" applyFont="1" applyAlignment="1">
      <alignment vertical="center"/>
    </xf>
    <xf numFmtId="0" fontId="30" fillId="0" borderId="0" xfId="0" applyFont="1" applyAlignment="1">
      <alignment horizontal="center" vertical="center"/>
    </xf>
    <xf numFmtId="0" fontId="30" fillId="0" borderId="7" xfId="0" applyFont="1" applyBorder="1" applyAlignment="1">
      <alignment horizontal="center" vertical="center"/>
    </xf>
    <xf numFmtId="0" fontId="31" fillId="0" borderId="0" xfId="0" applyFont="1" applyAlignment="1">
      <alignment horizontal="center" vertical="center"/>
    </xf>
    <xf numFmtId="168" fontId="31" fillId="0" borderId="0" xfId="7" applyNumberFormat="1" applyFont="1" applyAlignment="1">
      <alignment vertical="center"/>
    </xf>
    <xf numFmtId="168" fontId="31" fillId="0" borderId="0" xfId="0" applyNumberFormat="1" applyFont="1" applyAlignment="1">
      <alignment vertical="center"/>
    </xf>
    <xf numFmtId="168" fontId="13" fillId="10" borderId="52" xfId="7" applyNumberFormat="1" applyFont="1" applyFill="1" applyBorder="1"/>
    <xf numFmtId="10" fontId="31" fillId="0" borderId="0" xfId="5" applyNumberFormat="1" applyFont="1" applyAlignment="1">
      <alignment vertical="center"/>
    </xf>
    <xf numFmtId="0" fontId="30" fillId="0" borderId="0" xfId="0" applyFont="1" applyAlignment="1">
      <alignment horizontal="left" vertical="center"/>
    </xf>
    <xf numFmtId="0" fontId="31" fillId="0" borderId="0" xfId="0" applyFont="1" applyAlignment="1">
      <alignment horizontal="left" vertical="center"/>
    </xf>
    <xf numFmtId="0" fontId="31" fillId="0" borderId="23" xfId="0" applyFont="1" applyBorder="1" applyAlignment="1">
      <alignment horizontal="center" vertical="center"/>
    </xf>
    <xf numFmtId="168" fontId="31" fillId="0" borderId="23" xfId="7" applyNumberFormat="1" applyFont="1" applyBorder="1" applyAlignment="1">
      <alignment vertical="center"/>
    </xf>
    <xf numFmtId="0" fontId="31" fillId="0" borderId="0" xfId="0" applyFont="1" applyAlignment="1">
      <alignment horizontal="left" vertical="center" wrapText="1"/>
    </xf>
    <xf numFmtId="0" fontId="32" fillId="0" borderId="0" xfId="0" applyFont="1" applyAlignment="1">
      <alignment horizontal="right"/>
    </xf>
    <xf numFmtId="0" fontId="28" fillId="0" borderId="0" xfId="0" applyFont="1" applyAlignment="1">
      <alignment horizontal="left"/>
    </xf>
    <xf numFmtId="0" fontId="8" fillId="41" borderId="0" xfId="0" applyFont="1" applyFill="1" applyBorder="1" applyAlignment="1">
      <alignment horizontal="center" wrapText="1"/>
    </xf>
    <xf numFmtId="166" fontId="0" fillId="0" borderId="21" xfId="1" applyNumberFormat="1" applyFont="1" applyBorder="1"/>
    <xf numFmtId="166" fontId="0" fillId="40" borderId="21" xfId="1" applyNumberFormat="1" applyFont="1" applyFill="1" applyBorder="1"/>
    <xf numFmtId="166" fontId="9" fillId="0" borderId="46" xfId="0" applyNumberFormat="1" applyFont="1" applyBorder="1"/>
    <xf numFmtId="0" fontId="33" fillId="0" borderId="0" xfId="0" applyFont="1" applyAlignment="1">
      <alignment horizontal="left"/>
    </xf>
    <xf numFmtId="166" fontId="2" fillId="0" borderId="0" xfId="1" applyNumberFormat="1" applyFont="1" applyBorder="1"/>
    <xf numFmtId="43" fontId="2" fillId="0" borderId="0" xfId="1" applyFont="1" applyBorder="1"/>
    <xf numFmtId="168" fontId="2" fillId="0" borderId="0" xfId="7" applyNumberFormat="1" applyFont="1" applyBorder="1"/>
    <xf numFmtId="43" fontId="31" fillId="0" borderId="0" xfId="5" applyNumberFormat="1" applyFont="1" applyAlignment="1">
      <alignment vertical="center"/>
    </xf>
    <xf numFmtId="0" fontId="8" fillId="41" borderId="21" xfId="0" applyFont="1" applyFill="1" applyBorder="1" applyAlignment="1">
      <alignment horizontal="center" wrapText="1"/>
    </xf>
    <xf numFmtId="10" fontId="0" fillId="0" borderId="0" xfId="0" applyNumberFormat="1"/>
    <xf numFmtId="10" fontId="2" fillId="0" borderId="0" xfId="5" applyNumberFormat="1" applyFont="1" applyBorder="1"/>
    <xf numFmtId="166" fontId="3" fillId="0" borderId="29" xfId="0" applyNumberFormat="1" applyFont="1" applyBorder="1"/>
    <xf numFmtId="166" fontId="3" fillId="0" borderId="30" xfId="0" applyNumberFormat="1" applyFont="1" applyBorder="1"/>
    <xf numFmtId="166" fontId="3" fillId="0" borderId="26" xfId="0" applyNumberFormat="1" applyFont="1" applyBorder="1"/>
    <xf numFmtId="166" fontId="3" fillId="0" borderId="28" xfId="0" applyNumberFormat="1" applyFont="1" applyBorder="1"/>
    <xf numFmtId="166" fontId="3" fillId="0" borderId="31" xfId="0" applyNumberFormat="1" applyFont="1" applyBorder="1"/>
    <xf numFmtId="166" fontId="2" fillId="0" borderId="0" xfId="0" applyNumberFormat="1" applyFont="1" applyBorder="1"/>
    <xf numFmtId="0" fontId="30" fillId="0" borderId="0" xfId="0" applyFont="1" applyAlignment="1">
      <alignment horizontal="center" vertical="center"/>
    </xf>
    <xf numFmtId="0" fontId="30" fillId="0" borderId="7" xfId="0" applyFont="1" applyBorder="1" applyAlignment="1">
      <alignment horizontal="center" vertical="center" wrapText="1"/>
    </xf>
    <xf numFmtId="10" fontId="0" fillId="0" borderId="7" xfId="5" applyNumberFormat="1" applyFont="1" applyBorder="1"/>
    <xf numFmtId="10" fontId="9" fillId="0" borderId="46" xfId="5" applyNumberFormat="1" applyFont="1" applyBorder="1"/>
    <xf numFmtId="0" fontId="9" fillId="0" borderId="0" xfId="0" applyFont="1"/>
    <xf numFmtId="164" fontId="2" fillId="0" borderId="0" xfId="5" applyNumberFormat="1" applyFont="1" applyBorder="1"/>
    <xf numFmtId="0" fontId="36" fillId="0" borderId="0" xfId="0" applyFont="1"/>
    <xf numFmtId="10" fontId="35" fillId="0" borderId="0" xfId="5" applyNumberFormat="1" applyFont="1" applyAlignment="1">
      <alignment horizontal="center"/>
    </xf>
    <xf numFmtId="0" fontId="35" fillId="0" borderId="0" xfId="0" applyFont="1"/>
    <xf numFmtId="0" fontId="9" fillId="44" borderId="0" xfId="0" applyFont="1" applyFill="1" applyAlignment="1">
      <alignment horizontal="center"/>
    </xf>
    <xf numFmtId="0" fontId="24" fillId="0" borderId="0" xfId="0" applyFont="1" applyAlignment="1">
      <alignment horizontal="center"/>
    </xf>
    <xf numFmtId="166" fontId="24" fillId="0" borderId="0" xfId="1" applyNumberFormat="1" applyFont="1"/>
    <xf numFmtId="166" fontId="0" fillId="0" borderId="0" xfId="1" applyNumberFormat="1" applyFont="1"/>
    <xf numFmtId="10" fontId="0" fillId="0" borderId="0" xfId="0" applyNumberFormat="1" applyAlignment="1">
      <alignment horizontal="center"/>
    </xf>
    <xf numFmtId="10" fontId="0" fillId="0" borderId="0" xfId="5" applyNumberFormat="1" applyFont="1" applyAlignment="1">
      <alignment horizontal="center"/>
    </xf>
    <xf numFmtId="0" fontId="17" fillId="0" borderId="0" xfId="0" applyFont="1"/>
    <xf numFmtId="0" fontId="38" fillId="0" borderId="0" xfId="0" applyFont="1"/>
    <xf numFmtId="0" fontId="40" fillId="0" borderId="0" xfId="0" applyFont="1"/>
    <xf numFmtId="0" fontId="40" fillId="0" borderId="0" xfId="0" applyFont="1" applyAlignment="1"/>
    <xf numFmtId="0" fontId="41" fillId="0" borderId="0" xfId="0" applyFont="1"/>
    <xf numFmtId="10" fontId="41" fillId="0" borderId="0" xfId="5" applyNumberFormat="1" applyFont="1" applyAlignment="1"/>
    <xf numFmtId="10" fontId="41" fillId="0" borderId="0" xfId="5" quotePrefix="1" applyNumberFormat="1" applyFont="1" applyAlignment="1"/>
    <xf numFmtId="0" fontId="42" fillId="0" borderId="0" xfId="0" applyFont="1" applyAlignment="1">
      <alignment horizontal="right"/>
    </xf>
    <xf numFmtId="0" fontId="9" fillId="45" borderId="0" xfId="0" applyFont="1" applyFill="1" applyAlignment="1">
      <alignment horizontal="center"/>
    </xf>
    <xf numFmtId="0" fontId="9" fillId="45" borderId="0" xfId="0" applyFont="1" applyFill="1" applyAlignment="1">
      <alignment horizontal="center" wrapText="1"/>
    </xf>
    <xf numFmtId="0" fontId="9" fillId="46" borderId="0" xfId="0" applyFont="1" applyFill="1" applyAlignment="1">
      <alignment horizontal="center" wrapText="1"/>
    </xf>
    <xf numFmtId="0" fontId="9" fillId="46" borderId="0" xfId="0" applyFont="1" applyFill="1" applyAlignment="1">
      <alignment horizontal="center"/>
    </xf>
    <xf numFmtId="10" fontId="0" fillId="0" borderId="21" xfId="5" applyNumberFormat="1" applyFont="1" applyBorder="1"/>
    <xf numFmtId="10" fontId="0" fillId="40" borderId="21" xfId="5" applyNumberFormat="1" applyFont="1" applyFill="1" applyBorder="1"/>
    <xf numFmtId="0" fontId="9" fillId="0" borderId="45" xfId="0" applyFont="1" applyBorder="1" applyAlignment="1"/>
    <xf numFmtId="0" fontId="9" fillId="0" borderId="46" xfId="0" applyFont="1" applyBorder="1" applyAlignment="1"/>
    <xf numFmtId="0" fontId="0" fillId="40" borderId="42" xfId="0" applyFont="1" applyFill="1" applyBorder="1" applyAlignment="1"/>
    <xf numFmtId="0" fontId="0" fillId="40" borderId="43" xfId="0" applyFont="1" applyFill="1" applyBorder="1" applyAlignment="1"/>
    <xf numFmtId="0" fontId="0" fillId="0" borderId="40" xfId="0" applyFont="1" applyBorder="1" applyAlignment="1"/>
    <xf numFmtId="0" fontId="0" fillId="0" borderId="41" xfId="0" applyFont="1" applyBorder="1" applyAlignment="1"/>
    <xf numFmtId="0" fontId="34" fillId="0" borderId="0" xfId="0" applyFont="1" applyAlignment="1">
      <alignment horizontal="left"/>
    </xf>
    <xf numFmtId="166" fontId="43" fillId="0" borderId="0" xfId="0" applyNumberFormat="1" applyFont="1" applyBorder="1"/>
    <xf numFmtId="168" fontId="43" fillId="0" borderId="0" xfId="7" applyNumberFormat="1" applyFont="1" applyBorder="1"/>
    <xf numFmtId="0" fontId="43" fillId="0" borderId="0" xfId="0" applyFont="1" applyBorder="1" applyAlignment="1">
      <alignment horizontal="left"/>
    </xf>
    <xf numFmtId="43" fontId="43" fillId="0" borderId="0" xfId="0" applyNumberFormat="1" applyFont="1" applyBorder="1" applyAlignment="1">
      <alignment horizontal="right"/>
    </xf>
    <xf numFmtId="43" fontId="44" fillId="0" borderId="21" xfId="1" applyNumberFormat="1" applyFont="1" applyBorder="1"/>
    <xf numFmtId="43" fontId="44" fillId="40" borderId="21" xfId="1" applyNumberFormat="1" applyFont="1" applyFill="1" applyBorder="1"/>
    <xf numFmtId="43" fontId="43" fillId="0" borderId="46" xfId="0" applyNumberFormat="1" applyFont="1" applyBorder="1"/>
    <xf numFmtId="167" fontId="2" fillId="2" borderId="2" xfId="5" applyNumberFormat="1" applyFont="1" applyFill="1" applyBorder="1" applyAlignment="1">
      <alignment horizontal="right" vertical="center"/>
    </xf>
    <xf numFmtId="43" fontId="2" fillId="2" borderId="2" xfId="1" applyFont="1" applyFill="1" applyBorder="1" applyAlignment="1">
      <alignment horizontal="right" vertical="center"/>
    </xf>
    <xf numFmtId="43" fontId="2" fillId="0" borderId="2" xfId="1" applyFont="1" applyFill="1" applyBorder="1" applyAlignment="1">
      <alignment horizontal="right" vertical="center"/>
    </xf>
    <xf numFmtId="0" fontId="9" fillId="0" borderId="0" xfId="0" applyFont="1"/>
    <xf numFmtId="10" fontId="9" fillId="0" borderId="0" xfId="0" applyNumberFormat="1" applyFont="1" applyAlignment="1">
      <alignment horizontal="center"/>
    </xf>
    <xf numFmtId="166" fontId="9" fillId="0" borderId="0" xfId="1" applyNumberFormat="1" applyFont="1"/>
    <xf numFmtId="166" fontId="9" fillId="0" borderId="0" xfId="0" applyNumberFormat="1" applyFont="1"/>
    <xf numFmtId="0" fontId="9" fillId="0" borderId="0" xfId="0" applyFont="1"/>
    <xf numFmtId="0" fontId="29" fillId="48" borderId="0" xfId="0" applyFont="1" applyFill="1" applyBorder="1" applyAlignment="1">
      <alignment horizontal="center" wrapText="1"/>
    </xf>
    <xf numFmtId="0" fontId="43" fillId="48" borderId="0" xfId="0" applyFont="1" applyFill="1" applyBorder="1" applyAlignment="1">
      <alignment horizontal="center" wrapText="1"/>
    </xf>
    <xf numFmtId="0" fontId="45" fillId="0" borderId="0" xfId="0" applyFont="1" applyBorder="1"/>
    <xf numFmtId="0" fontId="9" fillId="0" borderId="0" xfId="0" applyFont="1" applyBorder="1" applyAlignment="1"/>
    <xf numFmtId="0" fontId="0" fillId="40" borderId="44" xfId="0" applyFont="1" applyFill="1" applyBorder="1" applyAlignment="1"/>
    <xf numFmtId="43" fontId="13" fillId="10" borderId="8" xfId="6" applyNumberFormat="1"/>
    <xf numFmtId="0" fontId="42" fillId="0" borderId="0" xfId="0" applyFont="1" applyAlignment="1"/>
    <xf numFmtId="0" fontId="9" fillId="0" borderId="0" xfId="0" applyFont="1" applyAlignment="1">
      <alignment wrapText="1"/>
    </xf>
    <xf numFmtId="0" fontId="9" fillId="0" borderId="0" xfId="0" applyFont="1" applyAlignment="1"/>
    <xf numFmtId="0" fontId="9" fillId="46" borderId="0" xfId="0" applyFont="1" applyFill="1" applyAlignment="1">
      <alignment horizontal="center"/>
    </xf>
    <xf numFmtId="0" fontId="9" fillId="45" borderId="0" xfId="0" applyFont="1" applyFill="1" applyAlignment="1">
      <alignment horizontal="center"/>
    </xf>
    <xf numFmtId="0" fontId="9" fillId="44" borderId="0" xfId="0" applyFont="1" applyFill="1" applyAlignment="1">
      <alignment horizontal="center"/>
    </xf>
    <xf numFmtId="0" fontId="9" fillId="44" borderId="0" xfId="0" applyFont="1" applyFill="1" applyAlignment="1">
      <alignment horizontal="center" wrapText="1"/>
    </xf>
    <xf numFmtId="0" fontId="46" fillId="0" borderId="0" xfId="0" applyFont="1"/>
    <xf numFmtId="0" fontId="47" fillId="0" borderId="0" xfId="0" applyFont="1"/>
    <xf numFmtId="0" fontId="46" fillId="0" borderId="0" xfId="0" quotePrefix="1" applyFont="1" applyAlignment="1">
      <alignment horizontal="left" indent="4"/>
    </xf>
    <xf numFmtId="0" fontId="46" fillId="0" borderId="0" xfId="0" applyFont="1" applyAlignment="1">
      <alignment horizontal="left"/>
    </xf>
    <xf numFmtId="0" fontId="46" fillId="0" borderId="0" xfId="0" applyFont="1" applyAlignment="1">
      <alignment horizontal="center"/>
    </xf>
    <xf numFmtId="0" fontId="28" fillId="0" borderId="58" xfId="0" applyFont="1" applyBorder="1"/>
    <xf numFmtId="0" fontId="0" fillId="0" borderId="58" xfId="0" applyBorder="1"/>
    <xf numFmtId="0" fontId="48" fillId="0" borderId="0" xfId="0" applyFont="1" applyAlignment="1">
      <alignment horizontal="right" vertical="center"/>
    </xf>
    <xf numFmtId="166" fontId="49" fillId="0" borderId="0" xfId="1" applyNumberFormat="1" applyFont="1"/>
    <xf numFmtId="0" fontId="49" fillId="33" borderId="0" xfId="39" applyFont="1"/>
    <xf numFmtId="0" fontId="49" fillId="18" borderId="0" xfId="24" applyFont="1" applyAlignment="1">
      <alignment horizontal="center"/>
    </xf>
    <xf numFmtId="0" fontId="49" fillId="26" borderId="0" xfId="32" applyFont="1" applyAlignment="1">
      <alignment horizontal="center"/>
    </xf>
    <xf numFmtId="0" fontId="49" fillId="30" borderId="0" xfId="36" applyFont="1" applyAlignment="1">
      <alignment horizontal="center"/>
    </xf>
    <xf numFmtId="0" fontId="49" fillId="33" borderId="0" xfId="39" applyFont="1" applyAlignment="1">
      <alignment horizontal="center"/>
    </xf>
    <xf numFmtId="0" fontId="49" fillId="0" borderId="6" xfId="0" applyFont="1" applyBorder="1" applyAlignment="1">
      <alignment horizontal="center"/>
    </xf>
    <xf numFmtId="166" fontId="49" fillId="0" borderId="6" xfId="1" applyNumberFormat="1" applyFont="1" applyBorder="1"/>
    <xf numFmtId="0" fontId="9" fillId="0" borderId="0" xfId="0" applyFont="1" applyAlignment="1">
      <alignment horizontal="right"/>
    </xf>
    <xf numFmtId="0" fontId="9" fillId="0" borderId="0" xfId="0" applyFont="1" applyAlignment="1">
      <alignment horizontal="center"/>
    </xf>
    <xf numFmtId="0" fontId="0" fillId="0" borderId="0" xfId="0" applyAlignment="1">
      <alignment horizontal="left"/>
    </xf>
    <xf numFmtId="0" fontId="9" fillId="0" borderId="0" xfId="0" applyFont="1" applyAlignment="1">
      <alignment horizontal="left"/>
    </xf>
    <xf numFmtId="168" fontId="31" fillId="0" borderId="0" xfId="7" applyNumberFormat="1" applyFont="1" applyBorder="1" applyAlignment="1">
      <alignment vertical="center"/>
    </xf>
    <xf numFmtId="0" fontId="31" fillId="0" borderId="0" xfId="0" applyFont="1" applyBorder="1" applyAlignment="1">
      <alignment horizontal="center" vertical="center" wrapText="1"/>
    </xf>
    <xf numFmtId="169" fontId="0" fillId="0" borderId="0" xfId="1" applyNumberFormat="1" applyFont="1"/>
    <xf numFmtId="43" fontId="0" fillId="0" borderId="0" xfId="0" applyNumberFormat="1"/>
    <xf numFmtId="0" fontId="9" fillId="46" borderId="0" xfId="0" applyFont="1" applyFill="1" applyAlignment="1">
      <alignment horizontal="center"/>
    </xf>
    <xf numFmtId="0" fontId="9" fillId="45" borderId="0" xfId="0" applyFont="1" applyFill="1" applyAlignment="1">
      <alignment horizontal="center"/>
    </xf>
    <xf numFmtId="0" fontId="9" fillId="44" borderId="0" xfId="0" applyFont="1" applyFill="1" applyAlignment="1">
      <alignment horizontal="center"/>
    </xf>
    <xf numFmtId="0" fontId="8" fillId="47" borderId="0" xfId="0" applyFont="1" applyFill="1" applyAlignment="1">
      <alignment horizontal="center"/>
    </xf>
    <xf numFmtId="0" fontId="9" fillId="44" borderId="0" xfId="0" applyFont="1" applyFill="1" applyAlignment="1">
      <alignment horizontal="center"/>
    </xf>
    <xf numFmtId="10" fontId="0" fillId="0" borderId="0" xfId="5" applyNumberFormat="1" applyFont="1"/>
    <xf numFmtId="43" fontId="31" fillId="0" borderId="0" xfId="1" applyFont="1" applyAlignment="1">
      <alignment vertical="center"/>
    </xf>
    <xf numFmtId="10" fontId="31" fillId="0" borderId="0" xfId="1" applyNumberFormat="1" applyFont="1" applyAlignment="1">
      <alignment vertical="center"/>
    </xf>
    <xf numFmtId="0" fontId="50" fillId="0" borderId="0" xfId="0" applyFont="1" applyAlignment="1">
      <alignment horizontal="right" vertical="center"/>
    </xf>
    <xf numFmtId="0" fontId="31" fillId="0" borderId="0" xfId="0" applyFont="1" applyAlignment="1">
      <alignment horizontal="left" vertical="center" wrapText="1"/>
    </xf>
    <xf numFmtId="10" fontId="13" fillId="0" borderId="59" xfId="6" applyNumberFormat="1" applyFill="1" applyBorder="1"/>
    <xf numFmtId="10" fontId="13" fillId="0" borderId="60" xfId="6" applyNumberFormat="1" applyFill="1" applyBorder="1"/>
    <xf numFmtId="170" fontId="0" fillId="0" borderId="0" xfId="1" applyNumberFormat="1" applyFont="1"/>
    <xf numFmtId="0" fontId="30" fillId="49" borderId="7" xfId="0" applyFont="1" applyFill="1" applyBorder="1" applyAlignment="1">
      <alignment horizontal="center" vertical="center" wrapText="1"/>
    </xf>
    <xf numFmtId="168" fontId="31" fillId="49" borderId="23" xfId="7" applyNumberFormat="1" applyFont="1" applyFill="1" applyBorder="1" applyAlignment="1">
      <alignment vertical="center"/>
    </xf>
    <xf numFmtId="0" fontId="31" fillId="49" borderId="0" xfId="0" applyFont="1" applyFill="1" applyAlignment="1">
      <alignment vertical="center"/>
    </xf>
    <xf numFmtId="168" fontId="31" fillId="49" borderId="0" xfId="7" applyNumberFormat="1" applyFont="1" applyFill="1" applyBorder="1" applyAlignment="1">
      <alignment vertical="center"/>
    </xf>
    <xf numFmtId="168" fontId="31" fillId="49" borderId="0" xfId="7" applyNumberFormat="1" applyFont="1" applyFill="1" applyAlignment="1">
      <alignment vertical="center"/>
    </xf>
    <xf numFmtId="10" fontId="31" fillId="49" borderId="0" xfId="5" applyNumberFormat="1" applyFont="1" applyFill="1" applyAlignment="1">
      <alignment vertical="center"/>
    </xf>
    <xf numFmtId="43" fontId="31" fillId="49" borderId="0" xfId="5" applyNumberFormat="1" applyFont="1" applyFill="1" applyAlignment="1">
      <alignment vertical="center"/>
    </xf>
    <xf numFmtId="168" fontId="31" fillId="0" borderId="0" xfId="7" applyNumberFormat="1" applyFont="1" applyFill="1" applyAlignment="1">
      <alignment vertical="center"/>
    </xf>
    <xf numFmtId="168" fontId="31" fillId="0" borderId="0" xfId="0" applyNumberFormat="1" applyFont="1" applyFill="1" applyAlignment="1">
      <alignment vertical="center"/>
    </xf>
    <xf numFmtId="0" fontId="13" fillId="10" borderId="8" xfId="6"/>
    <xf numFmtId="43" fontId="3" fillId="0" borderId="61" xfId="1" applyFont="1" applyBorder="1"/>
    <xf numFmtId="166" fontId="3" fillId="0" borderId="61" xfId="1" applyNumberFormat="1" applyFont="1" applyBorder="1"/>
    <xf numFmtId="164" fontId="3" fillId="0" borderId="61" xfId="0" applyNumberFormat="1" applyFont="1" applyBorder="1"/>
    <xf numFmtId="0" fontId="9" fillId="44" borderId="0" xfId="0" applyFont="1" applyFill="1" applyAlignment="1">
      <alignment horizontal="center"/>
    </xf>
    <xf numFmtId="166" fontId="0" fillId="0" borderId="0" xfId="5" applyNumberFormat="1" applyFont="1"/>
    <xf numFmtId="0" fontId="9" fillId="30" borderId="0" xfId="36" applyFont="1" applyAlignment="1">
      <alignment horizontal="center"/>
    </xf>
    <xf numFmtId="0" fontId="0" fillId="0" borderId="0" xfId="0" applyAlignment="1">
      <alignment horizontal="right"/>
    </xf>
    <xf numFmtId="0" fontId="9" fillId="44" borderId="0" xfId="0" applyFont="1" applyFill="1" applyAlignment="1">
      <alignment horizontal="center" wrapText="1"/>
    </xf>
    <xf numFmtId="10" fontId="13" fillId="10" borderId="8" xfId="5" applyNumberFormat="1" applyFont="1" applyFill="1" applyBorder="1" applyAlignment="1">
      <alignment horizontal="center"/>
    </xf>
    <xf numFmtId="164" fontId="2" fillId="0" borderId="0" xfId="1" applyNumberFormat="1" applyFont="1" applyBorder="1"/>
    <xf numFmtId="0" fontId="3" fillId="0" borderId="0" xfId="0" applyFont="1" applyBorder="1"/>
    <xf numFmtId="0" fontId="3" fillId="0" borderId="0" xfId="0" applyFont="1" applyBorder="1" applyAlignment="1">
      <alignment horizontal="left"/>
    </xf>
    <xf numFmtId="167" fontId="2" fillId="0" borderId="0" xfId="5" applyNumberFormat="1" applyFont="1" applyBorder="1" applyAlignment="1">
      <alignment horizontal="center"/>
    </xf>
    <xf numFmtId="44" fontId="13" fillId="10" borderId="8" xfId="7" applyFont="1" applyFill="1" applyBorder="1"/>
    <xf numFmtId="0" fontId="2" fillId="0" borderId="0" xfId="0" applyFont="1" applyFill="1" applyBorder="1" applyAlignment="1">
      <alignment horizontal="center" vertical="center" wrapText="1"/>
    </xf>
    <xf numFmtId="43" fontId="13" fillId="10" borderId="8" xfId="1" applyNumberFormat="1" applyFont="1" applyFill="1" applyBorder="1"/>
    <xf numFmtId="43" fontId="2" fillId="0" borderId="0" xfId="1" applyNumberFormat="1" applyFont="1" applyBorder="1"/>
    <xf numFmtId="170" fontId="0" fillId="0" borderId="0" xfId="5" applyNumberFormat="1" applyFont="1"/>
    <xf numFmtId="0" fontId="31" fillId="0" borderId="0" xfId="0" applyFont="1" applyAlignment="1">
      <alignment horizontal="left" vertical="center" wrapText="1"/>
    </xf>
    <xf numFmtId="0" fontId="9" fillId="44" borderId="0" xfId="0" applyFont="1" applyFill="1" applyAlignment="1">
      <alignment horizontal="center" wrapText="1"/>
    </xf>
    <xf numFmtId="0" fontId="9" fillId="44" borderId="0" xfId="0" applyFont="1" applyFill="1" applyAlignment="1">
      <alignment horizontal="center" wrapText="1"/>
    </xf>
    <xf numFmtId="0" fontId="1" fillId="0" borderId="0" xfId="45" applyFont="1" applyFill="1" applyBorder="1"/>
    <xf numFmtId="0" fontId="55" fillId="0" borderId="63" xfId="45" applyNumberFormat="1" applyFont="1" applyFill="1" applyBorder="1" applyAlignment="1">
      <alignment horizontal="right" wrapText="1" readingOrder="1"/>
    </xf>
    <xf numFmtId="0" fontId="57" fillId="0" borderId="0" xfId="45" applyNumberFormat="1" applyFont="1" applyFill="1" applyBorder="1" applyAlignment="1">
      <alignment vertical="top" wrapText="1" readingOrder="1"/>
    </xf>
    <xf numFmtId="171" fontId="58" fillId="0" borderId="0" xfId="45" applyNumberFormat="1" applyFont="1" applyFill="1" applyBorder="1" applyAlignment="1">
      <alignment vertical="top" wrapText="1" readingOrder="1"/>
    </xf>
    <xf numFmtId="172" fontId="58" fillId="0" borderId="0" xfId="45" applyNumberFormat="1" applyFont="1" applyFill="1" applyBorder="1" applyAlignment="1">
      <alignment vertical="top" wrapText="1" readingOrder="1"/>
    </xf>
    <xf numFmtId="0" fontId="58" fillId="0" borderId="0" xfId="45" applyNumberFormat="1" applyFont="1" applyFill="1" applyBorder="1" applyAlignment="1">
      <alignment horizontal="right" vertical="top" wrapText="1" readingOrder="1"/>
    </xf>
    <xf numFmtId="0" fontId="58" fillId="0" borderId="0" xfId="45" applyNumberFormat="1" applyFont="1" applyFill="1" applyBorder="1" applyAlignment="1">
      <alignment vertical="top" wrapText="1" readingOrder="1"/>
    </xf>
    <xf numFmtId="0" fontId="59" fillId="0" borderId="0" xfId="45" applyNumberFormat="1" applyFont="1" applyFill="1" applyBorder="1" applyAlignment="1">
      <alignment vertical="top" wrapText="1" readingOrder="1"/>
    </xf>
    <xf numFmtId="172" fontId="60" fillId="0" borderId="64" xfId="45" applyNumberFormat="1" applyFont="1" applyFill="1" applyBorder="1" applyAlignment="1">
      <alignment vertical="top" wrapText="1" readingOrder="1"/>
    </xf>
    <xf numFmtId="0" fontId="60" fillId="0" borderId="64" xfId="45" applyNumberFormat="1" applyFont="1" applyFill="1" applyBorder="1" applyAlignment="1">
      <alignment horizontal="right" vertical="top" wrapText="1" readingOrder="1"/>
    </xf>
    <xf numFmtId="172" fontId="55" fillId="0" borderId="65" xfId="45" applyNumberFormat="1" applyFont="1" applyFill="1" applyBorder="1" applyAlignment="1">
      <alignment vertical="top" wrapText="1" readingOrder="1"/>
    </xf>
    <xf numFmtId="0" fontId="55" fillId="0" borderId="65" xfId="45" applyNumberFormat="1" applyFont="1" applyFill="1" applyBorder="1" applyAlignment="1">
      <alignment horizontal="right" vertical="top" wrapText="1" readingOrder="1"/>
    </xf>
    <xf numFmtId="0" fontId="57" fillId="0" borderId="63" xfId="45" applyNumberFormat="1" applyFont="1" applyFill="1" applyBorder="1" applyAlignment="1">
      <alignment vertical="top" wrapText="1" readingOrder="1"/>
    </xf>
    <xf numFmtId="0" fontId="57" fillId="0" borderId="64" xfId="45" applyNumberFormat="1" applyFont="1" applyFill="1" applyBorder="1" applyAlignment="1">
      <alignment vertical="top" wrapText="1" readingOrder="1"/>
    </xf>
    <xf numFmtId="0" fontId="55" fillId="0" borderId="64" xfId="45" applyNumberFormat="1" applyFont="1" applyFill="1" applyBorder="1" applyAlignment="1">
      <alignment vertical="top" wrapText="1" readingOrder="1"/>
    </xf>
    <xf numFmtId="0" fontId="55" fillId="0" borderId="64" xfId="45" applyNumberFormat="1" applyFont="1" applyFill="1" applyBorder="1" applyAlignment="1">
      <alignment horizontal="right" vertical="top" wrapText="1" readingOrder="1"/>
    </xf>
    <xf numFmtId="173" fontId="1" fillId="0" borderId="0" xfId="45" applyNumberFormat="1" applyFont="1" applyFill="1" applyBorder="1"/>
    <xf numFmtId="0" fontId="62" fillId="0" borderId="0" xfId="45" applyFont="1" applyFill="1" applyBorder="1"/>
    <xf numFmtId="0" fontId="1" fillId="0" borderId="66" xfId="45" applyFont="1" applyFill="1" applyBorder="1"/>
    <xf numFmtId="0" fontId="1" fillId="0" borderId="67" xfId="45" applyFont="1" applyFill="1" applyBorder="1"/>
    <xf numFmtId="173" fontId="1" fillId="0" borderId="67" xfId="45" applyNumberFormat="1" applyFont="1" applyFill="1" applyBorder="1"/>
    <xf numFmtId="0" fontId="1" fillId="0" borderId="68" xfId="45" applyFont="1" applyFill="1" applyBorder="1"/>
    <xf numFmtId="173" fontId="1" fillId="0" borderId="68" xfId="45" applyNumberFormat="1" applyFont="1" applyFill="1" applyBorder="1"/>
    <xf numFmtId="0" fontId="61" fillId="0" borderId="22" xfId="45" applyFont="1" applyFill="1" applyBorder="1" applyAlignment="1">
      <alignment horizontal="center"/>
    </xf>
    <xf numFmtId="0" fontId="61" fillId="0" borderId="69" xfId="45" applyFont="1" applyFill="1" applyBorder="1" applyAlignment="1">
      <alignment horizontal="center"/>
    </xf>
    <xf numFmtId="173" fontId="1" fillId="0" borderId="22" xfId="45" applyNumberFormat="1" applyFont="1" applyFill="1" applyBorder="1"/>
    <xf numFmtId="173" fontId="1" fillId="0" borderId="69" xfId="45" applyNumberFormat="1" applyFont="1" applyFill="1" applyBorder="1"/>
    <xf numFmtId="0" fontId="61" fillId="0" borderId="70" xfId="45" applyFont="1" applyFill="1" applyBorder="1"/>
    <xf numFmtId="173" fontId="1" fillId="52" borderId="68" xfId="45" applyNumberFormat="1" applyFont="1" applyFill="1" applyBorder="1"/>
    <xf numFmtId="172" fontId="60" fillId="52" borderId="64" xfId="45" applyNumberFormat="1" applyFont="1" applyFill="1" applyBorder="1" applyAlignment="1">
      <alignment vertical="top" wrapText="1" readingOrder="1"/>
    </xf>
    <xf numFmtId="173" fontId="1" fillId="53" borderId="67" xfId="45" applyNumberFormat="1" applyFont="1" applyFill="1" applyBorder="1"/>
    <xf numFmtId="172" fontId="60" fillId="53" borderId="64" xfId="45" applyNumberFormat="1" applyFont="1" applyFill="1" applyBorder="1" applyAlignment="1">
      <alignment vertical="top" wrapText="1" readingOrder="1"/>
    </xf>
    <xf numFmtId="0" fontId="58" fillId="0" borderId="0" xfId="45" applyNumberFormat="1" applyFont="1" applyFill="1" applyBorder="1" applyAlignment="1">
      <alignment vertical="top" wrapText="1" readingOrder="1"/>
    </xf>
    <xf numFmtId="0" fontId="1" fillId="0" borderId="0" xfId="45" applyFont="1" applyFill="1" applyBorder="1"/>
    <xf numFmtId="0" fontId="57" fillId="0" borderId="0" xfId="45" applyNumberFormat="1" applyFont="1" applyFill="1" applyBorder="1" applyAlignment="1">
      <alignment vertical="top" wrapText="1" readingOrder="1"/>
    </xf>
    <xf numFmtId="0" fontId="63" fillId="0" borderId="0" xfId="45" applyFont="1" applyFill="1" applyBorder="1"/>
    <xf numFmtId="165" fontId="2" fillId="0" borderId="2" xfId="0" applyNumberFormat="1" applyFont="1" applyFill="1" applyBorder="1" applyAlignment="1">
      <alignment horizontal="right" vertical="center"/>
    </xf>
    <xf numFmtId="10" fontId="2" fillId="2" borderId="0" xfId="5" applyNumberFormat="1" applyFont="1" applyFill="1" applyBorder="1" applyAlignment="1">
      <alignment horizontal="right" vertical="center"/>
    </xf>
    <xf numFmtId="0" fontId="65" fillId="4" borderId="1" xfId="0" applyFont="1" applyFill="1" applyBorder="1" applyAlignment="1">
      <alignment horizontal="center" vertical="center" wrapText="1"/>
    </xf>
    <xf numFmtId="0" fontId="66" fillId="4" borderId="1" xfId="0" applyFont="1" applyFill="1" applyBorder="1" applyAlignment="1">
      <alignment vertical="center" wrapText="1"/>
    </xf>
    <xf numFmtId="0" fontId="65" fillId="0" borderId="2" xfId="0" applyFont="1" applyFill="1" applyBorder="1" applyAlignment="1">
      <alignment horizontal="center" vertical="center"/>
    </xf>
    <xf numFmtId="0" fontId="66" fillId="0" borderId="2" xfId="0" applyFont="1" applyFill="1" applyBorder="1" applyAlignment="1">
      <alignment vertical="center" wrapText="1"/>
    </xf>
    <xf numFmtId="0" fontId="65" fillId="6" borderId="2" xfId="0" applyFont="1" applyFill="1" applyBorder="1" applyAlignment="1">
      <alignment horizontal="center" vertical="center"/>
    </xf>
    <xf numFmtId="0" fontId="65" fillId="0" borderId="2" xfId="0" applyFont="1" applyFill="1" applyBorder="1" applyAlignment="1">
      <alignment horizontal="center" vertical="center" wrapText="1"/>
    </xf>
    <xf numFmtId="0" fontId="66" fillId="0" borderId="3" xfId="0" applyFont="1" applyFill="1" applyBorder="1" applyAlignment="1">
      <alignment vertical="center" wrapText="1"/>
    </xf>
    <xf numFmtId="0" fontId="66" fillId="6" borderId="2" xfId="0" applyFont="1" applyFill="1" applyBorder="1" applyAlignment="1">
      <alignment vertical="center" wrapText="1"/>
    </xf>
    <xf numFmtId="0" fontId="66" fillId="6" borderId="2" xfId="0" applyFont="1" applyFill="1" applyBorder="1" applyAlignment="1">
      <alignment vertical="center"/>
    </xf>
    <xf numFmtId="0" fontId="64" fillId="6" borderId="0" xfId="0" applyFont="1" applyFill="1" applyBorder="1" applyAlignment="1">
      <alignment horizontal="center" vertical="center"/>
    </xf>
    <xf numFmtId="0" fontId="66" fillId="6" borderId="0" xfId="0" applyFont="1" applyFill="1" applyBorder="1" applyAlignment="1">
      <alignment vertical="center" wrapText="1"/>
    </xf>
    <xf numFmtId="0" fontId="66" fillId="6" borderId="6" xfId="0" applyFont="1" applyFill="1" applyBorder="1" applyAlignment="1">
      <alignment horizontal="center" vertical="center" wrapText="1"/>
    </xf>
    <xf numFmtId="0" fontId="66" fillId="6" borderId="6" xfId="0" applyFont="1" applyFill="1" applyBorder="1" applyAlignment="1">
      <alignment vertical="center" wrapText="1"/>
    </xf>
    <xf numFmtId="0" fontId="5" fillId="55" borderId="0" xfId="0" applyFont="1" applyFill="1" applyBorder="1" applyAlignment="1">
      <alignment vertical="center"/>
    </xf>
    <xf numFmtId="0" fontId="64" fillId="54" borderId="1" xfId="0" applyFont="1" applyFill="1" applyBorder="1" applyAlignment="1">
      <alignment horizontal="center" vertical="center" wrapText="1"/>
    </xf>
    <xf numFmtId="0" fontId="64" fillId="54" borderId="1" xfId="0" applyFont="1" applyFill="1" applyBorder="1" applyAlignment="1">
      <alignment horizontal="left" vertical="center" wrapText="1"/>
    </xf>
    <xf numFmtId="164" fontId="5" fillId="54" borderId="1" xfId="0" applyNumberFormat="1" applyFont="1" applyFill="1" applyBorder="1" applyAlignment="1">
      <alignment horizontal="right" vertical="center"/>
    </xf>
    <xf numFmtId="0" fontId="64" fillId="54" borderId="2" xfId="0" applyFont="1" applyFill="1" applyBorder="1" applyAlignment="1">
      <alignment horizontal="center" vertical="center"/>
    </xf>
    <xf numFmtId="0" fontId="64" fillId="54" borderId="4" xfId="0" applyFont="1" applyFill="1" applyBorder="1" applyAlignment="1">
      <alignment horizontal="left" vertical="center" wrapText="1"/>
    </xf>
    <xf numFmtId="164" fontId="5" fillId="54" borderId="4" xfId="0" applyNumberFormat="1" applyFont="1" applyFill="1" applyBorder="1" applyAlignment="1">
      <alignment horizontal="right" vertical="center"/>
    </xf>
    <xf numFmtId="0" fontId="64" fillId="54" borderId="2" xfId="0" applyFont="1" applyFill="1" applyBorder="1" applyAlignment="1">
      <alignment horizontal="center" vertical="center" wrapText="1"/>
    </xf>
    <xf numFmtId="0" fontId="64" fillId="54" borderId="1" xfId="0" applyFont="1" applyFill="1" applyBorder="1" applyAlignment="1">
      <alignment vertical="center" wrapText="1"/>
    </xf>
    <xf numFmtId="0" fontId="64" fillId="54" borderId="0" xfId="0" applyFont="1" applyFill="1" applyBorder="1" applyAlignment="1">
      <alignment vertical="center" wrapText="1"/>
    </xf>
    <xf numFmtId="164" fontId="5" fillId="54" borderId="0" xfId="0" applyNumberFormat="1" applyFont="1" applyFill="1" applyBorder="1" applyAlignment="1">
      <alignment horizontal="right" vertical="center"/>
    </xf>
    <xf numFmtId="0" fontId="64" fillId="54" borderId="2" xfId="0" applyFont="1" applyFill="1" applyBorder="1" applyAlignment="1">
      <alignment horizontal="left" vertical="center" wrapText="1"/>
    </xf>
    <xf numFmtId="0" fontId="64" fillId="54" borderId="3" xfId="0" applyFont="1" applyFill="1" applyBorder="1" applyAlignment="1">
      <alignment horizontal="center" vertical="center" wrapText="1"/>
    </xf>
    <xf numFmtId="0" fontId="64" fillId="54" borderId="3" xfId="0" applyFont="1" applyFill="1" applyBorder="1" applyAlignment="1">
      <alignment horizontal="left" vertical="center" wrapText="1"/>
    </xf>
    <xf numFmtId="164" fontId="5" fillId="54" borderId="3" xfId="0" applyNumberFormat="1" applyFont="1" applyFill="1" applyBorder="1" applyAlignment="1">
      <alignment horizontal="right" vertical="center"/>
    </xf>
    <xf numFmtId="0" fontId="66" fillId="6" borderId="2" xfId="0" applyFont="1" applyFill="1" applyBorder="1" applyAlignment="1">
      <alignment horizontal="center" vertical="center" wrapText="1"/>
    </xf>
    <xf numFmtId="0" fontId="66" fillId="6" borderId="3" xfId="0" applyFont="1" applyFill="1" applyBorder="1" applyAlignment="1">
      <alignment horizontal="center" vertical="center" wrapText="1"/>
    </xf>
    <xf numFmtId="0" fontId="66" fillId="6" borderId="3" xfId="0" applyFont="1" applyFill="1" applyBorder="1" applyAlignment="1">
      <alignment vertical="center" wrapText="1"/>
    </xf>
    <xf numFmtId="0" fontId="66" fillId="6" borderId="1" xfId="0" applyFont="1" applyFill="1" applyBorder="1" applyAlignment="1">
      <alignment horizontal="left" vertical="center" wrapText="1"/>
    </xf>
    <xf numFmtId="0" fontId="66" fillId="6" borderId="2" xfId="0" applyFont="1" applyFill="1" applyBorder="1" applyAlignment="1">
      <alignment horizontal="left" vertical="center" wrapText="1"/>
    </xf>
    <xf numFmtId="0" fontId="66" fillId="6" borderId="0" xfId="0" applyFont="1" applyFill="1" applyBorder="1" applyAlignment="1">
      <alignment horizontal="left" vertical="center" wrapText="1"/>
    </xf>
    <xf numFmtId="0" fontId="65" fillId="6" borderId="2" xfId="0" applyFont="1" applyFill="1" applyBorder="1" applyAlignment="1">
      <alignment horizontal="center" vertical="center" wrapText="1"/>
    </xf>
    <xf numFmtId="0" fontId="66" fillId="6" borderId="1" xfId="0" applyFont="1" applyFill="1" applyBorder="1" applyAlignment="1">
      <alignment vertical="center" wrapText="1"/>
    </xf>
    <xf numFmtId="0" fontId="0" fillId="0" borderId="0" xfId="0" applyAlignment="1">
      <alignment horizontal="center" vertical="center"/>
    </xf>
    <xf numFmtId="10" fontId="0" fillId="0" borderId="0" xfId="0" applyNumberFormat="1" applyAlignment="1">
      <alignment horizontal="center" vertical="center"/>
    </xf>
    <xf numFmtId="166" fontId="0" fillId="0" borderId="0" xfId="1" applyNumberFormat="1" applyFont="1" applyAlignment="1">
      <alignment vertical="center"/>
    </xf>
    <xf numFmtId="10" fontId="0" fillId="0" borderId="0" xfId="0" applyNumberFormat="1" applyAlignment="1">
      <alignment vertical="center"/>
    </xf>
    <xf numFmtId="166" fontId="0" fillId="0" borderId="0" xfId="0" applyNumberFormat="1" applyAlignment="1">
      <alignment vertical="center"/>
    </xf>
    <xf numFmtId="0" fontId="0" fillId="0" borderId="0" xfId="0" applyAlignment="1">
      <alignment vertical="center"/>
    </xf>
    <xf numFmtId="0" fontId="24" fillId="0" borderId="0" xfId="0" applyFont="1" applyAlignment="1">
      <alignment vertical="center"/>
    </xf>
    <xf numFmtId="0" fontId="31" fillId="0" borderId="0" xfId="0" applyFont="1" applyAlignment="1">
      <alignment vertical="center" wrapText="1"/>
    </xf>
    <xf numFmtId="166" fontId="13" fillId="10" borderId="59" xfId="6" applyNumberFormat="1" applyBorder="1"/>
    <xf numFmtId="166" fontId="13" fillId="10" borderId="72" xfId="6" applyNumberFormat="1" applyBorder="1"/>
    <xf numFmtId="166" fontId="13" fillId="10" borderId="8" xfId="6" applyNumberFormat="1" applyBorder="1"/>
    <xf numFmtId="166" fontId="13" fillId="10" borderId="73" xfId="6" applyNumberFormat="1" applyBorder="1"/>
    <xf numFmtId="166" fontId="2" fillId="0" borderId="74" xfId="1" applyNumberFormat="1" applyFont="1" applyBorder="1"/>
    <xf numFmtId="166" fontId="2" fillId="0" borderId="75" xfId="1" applyNumberFormat="1" applyFont="1" applyBorder="1"/>
    <xf numFmtId="166" fontId="3" fillId="0" borderId="76" xfId="0" applyNumberFormat="1" applyFont="1" applyBorder="1"/>
    <xf numFmtId="0" fontId="0" fillId="0" borderId="0" xfId="0" applyNumberFormat="1"/>
    <xf numFmtId="0" fontId="65" fillId="6" borderId="2" xfId="0" applyFont="1" applyFill="1" applyBorder="1" applyAlignment="1">
      <alignment horizontal="center" vertical="center"/>
    </xf>
    <xf numFmtId="0" fontId="66" fillId="6" borderId="2" xfId="0" applyFont="1" applyFill="1" applyBorder="1" applyAlignment="1">
      <alignment vertical="center" wrapText="1"/>
    </xf>
    <xf numFmtId="43" fontId="2" fillId="0" borderId="1" xfId="1" applyFont="1" applyFill="1" applyBorder="1" applyAlignment="1">
      <alignment horizontal="right" vertical="center"/>
    </xf>
    <xf numFmtId="43" fontId="2" fillId="0" borderId="2" xfId="1" applyFont="1" applyFill="1" applyBorder="1" applyAlignment="1" applyProtection="1">
      <alignment horizontal="right" vertical="center"/>
      <protection locked="0"/>
    </xf>
    <xf numFmtId="43" fontId="2" fillId="0" borderId="2" xfId="1" applyFont="1" applyFill="1" applyBorder="1" applyAlignment="1" applyProtection="1">
      <alignment horizontal="right" vertical="center"/>
    </xf>
    <xf numFmtId="43" fontId="2" fillId="2" borderId="1" xfId="1" applyFont="1" applyFill="1" applyBorder="1" applyAlignment="1">
      <alignment horizontal="right" vertical="center"/>
    </xf>
    <xf numFmtId="43" fontId="2" fillId="2" borderId="2" xfId="1" applyFont="1" applyFill="1" applyBorder="1" applyAlignment="1" applyProtection="1">
      <alignment horizontal="right" vertical="center"/>
      <protection locked="0"/>
    </xf>
    <xf numFmtId="43" fontId="2" fillId="2" borderId="2" xfId="1" applyFont="1" applyFill="1" applyBorder="1" applyAlignment="1" applyProtection="1">
      <alignment horizontal="right" vertical="center"/>
    </xf>
    <xf numFmtId="168" fontId="2" fillId="2" borderId="1" xfId="7" applyNumberFormat="1" applyFont="1" applyFill="1" applyBorder="1" applyAlignment="1">
      <alignment horizontal="right" vertical="center"/>
    </xf>
    <xf numFmtId="10" fontId="5" fillId="54" borderId="1" xfId="5" applyNumberFormat="1" applyFont="1" applyFill="1" applyBorder="1" applyAlignment="1">
      <alignment horizontal="right" vertical="center"/>
    </xf>
    <xf numFmtId="166" fontId="2" fillId="2" borderId="2" xfId="1" applyNumberFormat="1" applyFont="1" applyFill="1" applyBorder="1" applyAlignment="1">
      <alignment horizontal="right" vertical="center"/>
    </xf>
    <xf numFmtId="168" fontId="2" fillId="0" borderId="1" xfId="7" applyNumberFormat="1" applyFont="1" applyFill="1" applyBorder="1" applyAlignment="1">
      <alignment horizontal="right" vertical="center"/>
    </xf>
    <xf numFmtId="10" fontId="2" fillId="0" borderId="2" xfId="0" applyNumberFormat="1" applyFont="1" applyFill="1" applyBorder="1" applyAlignment="1" applyProtection="1">
      <alignment horizontal="right" vertical="center"/>
      <protection locked="0"/>
    </xf>
    <xf numFmtId="167" fontId="2" fillId="0" borderId="2" xfId="5" applyNumberFormat="1" applyFont="1" applyFill="1" applyBorder="1" applyAlignment="1">
      <alignment horizontal="right" vertical="center"/>
    </xf>
    <xf numFmtId="10" fontId="2" fillId="2" borderId="2" xfId="5" applyNumberFormat="1" applyFont="1" applyFill="1" applyBorder="1" applyAlignment="1" applyProtection="1">
      <alignment horizontal="right" vertical="center"/>
      <protection locked="0"/>
    </xf>
    <xf numFmtId="43" fontId="28" fillId="0" borderId="7" xfId="0" applyNumberFormat="1" applyFont="1" applyBorder="1" applyAlignment="1" applyProtection="1">
      <alignment horizontal="left" vertical="center"/>
    </xf>
    <xf numFmtId="0" fontId="28" fillId="0" borderId="7" xfId="0" applyFont="1" applyBorder="1" applyAlignment="1" applyProtection="1">
      <alignment horizontal="left" vertical="center"/>
    </xf>
    <xf numFmtId="43" fontId="28" fillId="0" borderId="0" xfId="0" applyNumberFormat="1" applyFont="1" applyFill="1" applyBorder="1" applyAlignment="1" applyProtection="1"/>
    <xf numFmtId="43" fontId="28" fillId="0" borderId="0" xfId="0" applyNumberFormat="1" applyFont="1" applyBorder="1" applyProtection="1"/>
    <xf numFmtId="0" fontId="28" fillId="0" borderId="0" xfId="0" applyFont="1" applyBorder="1" applyProtection="1"/>
    <xf numFmtId="0" fontId="28" fillId="0" borderId="0" xfId="0" applyFont="1" applyProtection="1"/>
    <xf numFmtId="0" fontId="70" fillId="0" borderId="70" xfId="0" applyFont="1" applyFill="1" applyBorder="1" applyAlignment="1" applyProtection="1">
      <alignment horizontal="center" vertical="center"/>
    </xf>
    <xf numFmtId="0" fontId="70" fillId="0" borderId="66" xfId="0" applyFont="1" applyBorder="1" applyAlignment="1" applyProtection="1">
      <alignment vertical="center"/>
    </xf>
    <xf numFmtId="0" fontId="71" fillId="0" borderId="0" xfId="0" applyFont="1" applyProtection="1"/>
    <xf numFmtId="0" fontId="31" fillId="0" borderId="0" xfId="0" applyFont="1" applyFill="1" applyProtection="1"/>
    <xf numFmtId="0" fontId="31" fillId="0" borderId="0" xfId="0" applyFont="1" applyFill="1" applyAlignment="1" applyProtection="1">
      <alignment horizontal="right"/>
    </xf>
    <xf numFmtId="166" fontId="30" fillId="0" borderId="0" xfId="1" applyNumberFormat="1" applyFont="1" applyFill="1" applyBorder="1" applyAlignment="1" applyProtection="1">
      <alignment horizontal="center"/>
    </xf>
    <xf numFmtId="10" fontId="31" fillId="49" borderId="0" xfId="0" applyNumberFormat="1" applyFont="1" applyFill="1" applyBorder="1" applyAlignment="1" applyProtection="1">
      <alignment horizontal="right"/>
    </xf>
    <xf numFmtId="0" fontId="70" fillId="0" borderId="0" xfId="0" applyFont="1" applyFill="1" applyBorder="1" applyAlignment="1" applyProtection="1">
      <alignment horizontal="center" vertical="center"/>
    </xf>
    <xf numFmtId="0" fontId="70" fillId="0" borderId="0" xfId="0" applyFont="1" applyBorder="1" applyAlignment="1" applyProtection="1">
      <alignment horizontal="center" vertical="center"/>
    </xf>
    <xf numFmtId="0" fontId="70" fillId="0" borderId="0" xfId="0" applyFont="1" applyBorder="1" applyAlignment="1" applyProtection="1">
      <alignment vertical="center"/>
    </xf>
    <xf numFmtId="0" fontId="71" fillId="0" borderId="0" xfId="0" applyFont="1" applyFill="1" applyBorder="1" applyAlignment="1" applyProtection="1">
      <alignment vertical="top"/>
    </xf>
    <xf numFmtId="0" fontId="30" fillId="0" borderId="0" xfId="0" applyFont="1" applyFill="1" applyBorder="1" applyAlignment="1" applyProtection="1">
      <alignment horizontal="right" vertical="top"/>
    </xf>
    <xf numFmtId="168" fontId="72" fillId="49" borderId="0" xfId="7" applyNumberFormat="1" applyFont="1" applyFill="1" applyBorder="1" applyAlignment="1">
      <alignment horizontal="right" vertical="top"/>
    </xf>
    <xf numFmtId="0" fontId="30" fillId="0" borderId="0" xfId="0" applyFont="1" applyFill="1" applyProtection="1"/>
    <xf numFmtId="0" fontId="30" fillId="0" borderId="0" xfId="0" applyFont="1" applyProtection="1"/>
    <xf numFmtId="166" fontId="30" fillId="0" borderId="77" xfId="1" applyNumberFormat="1" applyFont="1" applyFill="1" applyBorder="1" applyAlignment="1" applyProtection="1">
      <alignment horizontal="right"/>
    </xf>
    <xf numFmtId="0" fontId="30" fillId="0" borderId="77" xfId="0" applyFont="1" applyBorder="1" applyAlignment="1" applyProtection="1">
      <alignment horizontal="right"/>
    </xf>
    <xf numFmtId="0" fontId="28" fillId="0" borderId="7" xfId="0" applyFont="1" applyFill="1" applyBorder="1" applyAlignment="1" applyProtection="1">
      <alignment horizontal="left"/>
    </xf>
    <xf numFmtId="0" fontId="28" fillId="0" borderId="7" xfId="0" applyFont="1" applyFill="1" applyBorder="1" applyAlignment="1" applyProtection="1">
      <alignment wrapText="1"/>
    </xf>
    <xf numFmtId="0" fontId="28" fillId="0" borderId="0" xfId="0" applyFont="1" applyFill="1" applyBorder="1" applyAlignment="1" applyProtection="1">
      <alignment wrapText="1"/>
    </xf>
    <xf numFmtId="166" fontId="0" fillId="0" borderId="0" xfId="1" applyNumberFormat="1" applyFont="1" applyAlignment="1" applyProtection="1">
      <alignment wrapText="1"/>
    </xf>
    <xf numFmtId="166" fontId="0" fillId="0" borderId="0" xfId="1" applyNumberFormat="1" applyFont="1" applyFill="1" applyBorder="1" applyAlignment="1" applyProtection="1">
      <alignment horizontal="center"/>
    </xf>
    <xf numFmtId="0" fontId="0" fillId="0" borderId="0" xfId="0" applyProtection="1"/>
    <xf numFmtId="0" fontId="31" fillId="0" borderId="0" xfId="0" applyFont="1" applyFill="1" applyAlignment="1" applyProtection="1">
      <alignment wrapText="1"/>
    </xf>
    <xf numFmtId="0" fontId="31" fillId="0" borderId="0" xfId="0" applyFont="1" applyAlignment="1" applyProtection="1">
      <alignment wrapText="1"/>
    </xf>
    <xf numFmtId="166" fontId="31" fillId="0" borderId="0" xfId="1" applyNumberFormat="1" applyFont="1" applyAlignment="1" applyProtection="1">
      <alignment wrapText="1"/>
    </xf>
    <xf numFmtId="0" fontId="31" fillId="0" borderId="0" xfId="0" applyFont="1" applyProtection="1"/>
    <xf numFmtId="0" fontId="31" fillId="0" borderId="0" xfId="0" applyFont="1" applyAlignment="1" applyProtection="1">
      <alignment horizontal="center" wrapText="1"/>
    </xf>
    <xf numFmtId="0" fontId="31" fillId="0" borderId="0" xfId="0" applyFont="1" applyBorder="1" applyAlignment="1" applyProtection="1">
      <alignment wrapText="1"/>
    </xf>
    <xf numFmtId="43" fontId="31" fillId="56" borderId="0" xfId="1" applyNumberFormat="1" applyFont="1" applyFill="1" applyBorder="1" applyAlignment="1" applyProtection="1">
      <alignment horizontal="center"/>
      <protection locked="0"/>
    </xf>
    <xf numFmtId="0" fontId="73" fillId="0" borderId="0" xfId="0" applyFont="1" applyAlignment="1" applyProtection="1">
      <alignment horizontal="center" wrapText="1"/>
    </xf>
    <xf numFmtId="0" fontId="74" fillId="0" borderId="0" xfId="1" applyNumberFormat="1" applyFont="1" applyFill="1" applyBorder="1" applyAlignment="1" applyProtection="1">
      <alignment horizontal="left" vertical="top"/>
    </xf>
    <xf numFmtId="43" fontId="74" fillId="0" borderId="0" xfId="1" applyFont="1" applyFill="1" applyBorder="1" applyAlignment="1" applyProtection="1">
      <alignment horizontal="left" vertical="top"/>
    </xf>
    <xf numFmtId="166" fontId="74" fillId="57" borderId="0" xfId="1" applyNumberFormat="1" applyFont="1" applyFill="1" applyBorder="1" applyAlignment="1" applyProtection="1">
      <alignment horizontal="center" vertical="top"/>
    </xf>
    <xf numFmtId="10" fontId="74" fillId="0" borderId="0" xfId="5" applyNumberFormat="1" applyFont="1" applyFill="1" applyBorder="1" applyAlignment="1" applyProtection="1">
      <alignment horizontal="right" vertical="top"/>
    </xf>
    <xf numFmtId="0" fontId="31" fillId="0" borderId="78" xfId="0" applyFont="1" applyBorder="1" applyAlignment="1" applyProtection="1">
      <alignment wrapText="1"/>
    </xf>
    <xf numFmtId="43" fontId="31" fillId="0" borderId="78" xfId="1" applyNumberFormat="1" applyFont="1" applyFill="1" applyBorder="1" applyAlignment="1" applyProtection="1">
      <alignment horizontal="center"/>
    </xf>
    <xf numFmtId="0" fontId="31" fillId="0" borderId="77" xfId="0" applyFont="1" applyBorder="1" applyAlignment="1" applyProtection="1">
      <alignment horizontal="center" wrapText="1"/>
    </xf>
    <xf numFmtId="0" fontId="31" fillId="0" borderId="77" xfId="0" applyFont="1" applyBorder="1" applyAlignment="1" applyProtection="1">
      <alignment wrapText="1"/>
    </xf>
    <xf numFmtId="43" fontId="31" fillId="0" borderId="77" xfId="1" applyNumberFormat="1" applyFont="1" applyFill="1" applyBorder="1" applyAlignment="1" applyProtection="1">
      <alignment horizontal="center"/>
    </xf>
    <xf numFmtId="0" fontId="70" fillId="0" borderId="0" xfId="0" applyFont="1" applyAlignment="1" applyProtection="1">
      <alignment horizontal="left"/>
    </xf>
    <xf numFmtId="0" fontId="0" fillId="0" borderId="0" xfId="0" applyAlignment="1" applyProtection="1">
      <alignment horizontal="center" vertical="center"/>
    </xf>
    <xf numFmtId="0" fontId="31" fillId="0" borderId="66" xfId="1" applyNumberFormat="1" applyFont="1" applyFill="1" applyBorder="1" applyAlignment="1" applyProtection="1">
      <alignment horizontal="left" indent="2"/>
    </xf>
    <xf numFmtId="0" fontId="31" fillId="0" borderId="0" xfId="1" applyNumberFormat="1" applyFont="1" applyFill="1" applyBorder="1" applyAlignment="1" applyProtection="1">
      <alignment horizontal="left"/>
    </xf>
    <xf numFmtId="0" fontId="0" fillId="57" borderId="0" xfId="0" applyFill="1" applyBorder="1" applyProtection="1"/>
    <xf numFmtId="43" fontId="31" fillId="0" borderId="0" xfId="1" applyNumberFormat="1" applyFont="1" applyFill="1" applyBorder="1" applyAlignment="1" applyProtection="1">
      <alignment wrapText="1"/>
    </xf>
    <xf numFmtId="43" fontId="31" fillId="0" borderId="0" xfId="1" applyNumberFormat="1" applyFont="1" applyFill="1" applyBorder="1" applyAlignment="1" applyProtection="1">
      <alignment horizontal="center"/>
    </xf>
    <xf numFmtId="43" fontId="31" fillId="0" borderId="0" xfId="0" applyNumberFormat="1" applyFont="1" applyBorder="1" applyProtection="1"/>
    <xf numFmtId="0" fontId="31" fillId="0" borderId="0" xfId="1" applyNumberFormat="1" applyFont="1" applyFill="1" applyBorder="1" applyAlignment="1" applyProtection="1">
      <alignment horizontal="left" indent="2"/>
    </xf>
    <xf numFmtId="0" fontId="0" fillId="57" borderId="0" xfId="0" applyFill="1" applyProtection="1"/>
    <xf numFmtId="0" fontId="31" fillId="0" borderId="79" xfId="1" applyNumberFormat="1" applyFont="1" applyFill="1" applyBorder="1" applyAlignment="1" applyProtection="1">
      <alignment horizontal="left" indent="2"/>
    </xf>
    <xf numFmtId="0" fontId="31" fillId="0" borderId="78" xfId="1" applyNumberFormat="1" applyFont="1" applyFill="1" applyBorder="1" applyAlignment="1" applyProtection="1">
      <alignment horizontal="left"/>
    </xf>
    <xf numFmtId="0" fontId="0" fillId="57" borderId="78" xfId="0" applyFill="1" applyBorder="1" applyProtection="1"/>
    <xf numFmtId="43" fontId="31" fillId="0" borderId="78" xfId="1" applyNumberFormat="1" applyFont="1" applyFill="1" applyBorder="1" applyAlignment="1" applyProtection="1">
      <alignment wrapText="1"/>
    </xf>
    <xf numFmtId="0" fontId="30" fillId="0" borderId="80" xfId="1" applyNumberFormat="1" applyFont="1" applyFill="1" applyBorder="1" applyAlignment="1" applyProtection="1">
      <alignment horizontal="left"/>
    </xf>
    <xf numFmtId="43" fontId="30" fillId="0" borderId="81" xfId="1" applyFont="1" applyFill="1" applyBorder="1" applyAlignment="1" applyProtection="1">
      <alignment horizontal="left"/>
    </xf>
    <xf numFmtId="166" fontId="31" fillId="0" borderId="81" xfId="1" applyNumberFormat="1" applyFont="1" applyFill="1" applyBorder="1" applyAlignment="1" applyProtection="1">
      <alignment horizontal="center"/>
    </xf>
    <xf numFmtId="43" fontId="30" fillId="0" borderId="81" xfId="1" applyNumberFormat="1" applyFont="1" applyFill="1" applyBorder="1" applyAlignment="1" applyProtection="1">
      <alignment horizontal="center"/>
    </xf>
    <xf numFmtId="0" fontId="73" fillId="0" borderId="0" xfId="0" applyFont="1" applyFill="1" applyBorder="1" applyAlignment="1" applyProtection="1">
      <alignment horizontal="center" vertical="center" wrapText="1"/>
    </xf>
    <xf numFmtId="166" fontId="74" fillId="0" borderId="0" xfId="1" applyNumberFormat="1" applyFont="1" applyFill="1" applyBorder="1" applyAlignment="1" applyProtection="1">
      <alignment horizontal="center" vertical="top"/>
    </xf>
    <xf numFmtId="43" fontId="74" fillId="0" borderId="0" xfId="1" applyNumberFormat="1" applyFont="1" applyFill="1" applyBorder="1" applyAlignment="1" applyProtection="1">
      <alignment horizontal="center" vertical="top"/>
    </xf>
    <xf numFmtId="0" fontId="30" fillId="0" borderId="0" xfId="1" applyNumberFormat="1" applyFont="1" applyFill="1" applyBorder="1" applyAlignment="1" applyProtection="1">
      <alignment horizontal="left"/>
    </xf>
    <xf numFmtId="43" fontId="30" fillId="0" borderId="0" xfId="1" applyFont="1" applyFill="1" applyBorder="1" applyAlignment="1" applyProtection="1">
      <alignment horizontal="left"/>
    </xf>
    <xf numFmtId="166" fontId="31" fillId="0" borderId="0" xfId="1" applyNumberFormat="1" applyFont="1" applyFill="1" applyBorder="1" applyAlignment="1" applyProtection="1">
      <alignment horizontal="center"/>
    </xf>
    <xf numFmtId="43" fontId="30" fillId="0" borderId="0" xfId="1" applyNumberFormat="1" applyFont="1" applyFill="1" applyBorder="1" applyAlignment="1" applyProtection="1">
      <alignment horizontal="center"/>
    </xf>
    <xf numFmtId="0" fontId="31" fillId="0" borderId="0" xfId="0" applyFont="1" applyFill="1" applyBorder="1" applyAlignment="1" applyProtection="1">
      <alignment vertical="center" wrapText="1"/>
    </xf>
    <xf numFmtId="0" fontId="31" fillId="0" borderId="77" xfId="0" applyFont="1" applyBorder="1" applyAlignment="1" applyProtection="1">
      <alignment horizontal="left" indent="2"/>
    </xf>
    <xf numFmtId="0" fontId="31" fillId="0" borderId="77" xfId="0" applyFont="1" applyBorder="1" applyAlignment="1" applyProtection="1">
      <alignment horizontal="left"/>
    </xf>
    <xf numFmtId="0" fontId="0" fillId="57" borderId="77" xfId="0" applyFill="1" applyBorder="1" applyProtection="1"/>
    <xf numFmtId="43" fontId="31" fillId="57" borderId="77" xfId="1" applyFont="1" applyFill="1" applyBorder="1" applyAlignment="1" applyProtection="1">
      <alignment horizontal="right"/>
    </xf>
    <xf numFmtId="0" fontId="31" fillId="0" borderId="0" xfId="0" applyFont="1" applyAlignment="1" applyProtection="1">
      <alignment horizontal="left" indent="2"/>
    </xf>
    <xf numFmtId="0" fontId="31" fillId="0" borderId="0" xfId="0" applyFont="1" applyAlignment="1" applyProtection="1">
      <alignment horizontal="left"/>
    </xf>
    <xf numFmtId="43" fontId="31" fillId="57" borderId="0" xfId="1" applyFont="1" applyFill="1" applyBorder="1" applyAlignment="1" applyProtection="1">
      <alignment horizontal="right"/>
    </xf>
    <xf numFmtId="166" fontId="31" fillId="57" borderId="0" xfId="1" applyNumberFormat="1" applyFont="1" applyFill="1" applyBorder="1" applyAlignment="1" applyProtection="1">
      <alignment horizontal="center"/>
    </xf>
    <xf numFmtId="43" fontId="31" fillId="56" borderId="78" xfId="1" applyNumberFormat="1" applyFont="1" applyFill="1" applyBorder="1" applyProtection="1">
      <protection locked="0"/>
    </xf>
    <xf numFmtId="0" fontId="31" fillId="0" borderId="82" xfId="0" applyFont="1" applyFill="1" applyBorder="1" applyAlignment="1" applyProtection="1"/>
    <xf numFmtId="0" fontId="31" fillId="0" borderId="83" xfId="0" applyFont="1" applyFill="1" applyBorder="1" applyAlignment="1" applyProtection="1"/>
    <xf numFmtId="166" fontId="31" fillId="57" borderId="83" xfId="1" applyNumberFormat="1" applyFont="1" applyFill="1" applyBorder="1" applyAlignment="1" applyProtection="1">
      <alignment horizontal="center"/>
    </xf>
    <xf numFmtId="43" fontId="31" fillId="0" borderId="83" xfId="1" applyNumberFormat="1" applyFont="1" applyFill="1" applyBorder="1" applyAlignment="1" applyProtection="1">
      <alignment horizontal="center"/>
    </xf>
    <xf numFmtId="0" fontId="30" fillId="0" borderId="84" xfId="1" applyNumberFormat="1" applyFont="1" applyFill="1" applyBorder="1" applyAlignment="1" applyProtection="1">
      <alignment horizontal="left"/>
    </xf>
    <xf numFmtId="0" fontId="70" fillId="0" borderId="77" xfId="1" applyNumberFormat="1" applyFont="1" applyFill="1" applyBorder="1" applyAlignment="1" applyProtection="1">
      <alignment horizontal="left"/>
    </xf>
    <xf numFmtId="166" fontId="31" fillId="57" borderId="77" xfId="1" applyNumberFormat="1" applyFont="1" applyFill="1" applyBorder="1" applyAlignment="1" applyProtection="1">
      <alignment horizontal="center"/>
    </xf>
    <xf numFmtId="43" fontId="30" fillId="0" borderId="77" xfId="1" applyNumberFormat="1" applyFont="1" applyFill="1" applyBorder="1" applyAlignment="1" applyProtection="1">
      <alignment horizontal="center"/>
    </xf>
    <xf numFmtId="0" fontId="74" fillId="0" borderId="23" xfId="1" applyNumberFormat="1" applyFont="1" applyFill="1" applyBorder="1" applyAlignment="1" applyProtection="1">
      <alignment horizontal="left" vertical="top"/>
    </xf>
    <xf numFmtId="43" fontId="74" fillId="0" borderId="23" xfId="1" applyFont="1" applyFill="1" applyBorder="1" applyAlignment="1" applyProtection="1">
      <alignment horizontal="left" vertical="top"/>
    </xf>
    <xf numFmtId="166" fontId="74" fillId="0" borderId="23" xfId="1" applyNumberFormat="1" applyFont="1" applyFill="1" applyBorder="1" applyAlignment="1" applyProtection="1">
      <alignment horizontal="center" vertical="top"/>
    </xf>
    <xf numFmtId="43" fontId="74" fillId="0" borderId="23" xfId="1" applyNumberFormat="1" applyFont="1" applyFill="1" applyBorder="1" applyAlignment="1" applyProtection="1">
      <alignment horizontal="center" vertical="top"/>
    </xf>
    <xf numFmtId="10" fontId="74" fillId="0" borderId="23" xfId="5" applyNumberFormat="1" applyFont="1" applyFill="1" applyBorder="1" applyAlignment="1" applyProtection="1">
      <alignment horizontal="right" vertical="top"/>
    </xf>
    <xf numFmtId="0" fontId="28" fillId="0" borderId="7" xfId="0" applyFont="1" applyFill="1" applyBorder="1" applyAlignment="1" applyProtection="1"/>
    <xf numFmtId="0" fontId="30" fillId="0" borderId="7" xfId="0" applyFont="1" applyFill="1" applyBorder="1" applyAlignment="1" applyProtection="1">
      <alignment wrapText="1"/>
    </xf>
    <xf numFmtId="0" fontId="30" fillId="0" borderId="0" xfId="0" applyFont="1" applyFill="1" applyBorder="1" applyAlignment="1" applyProtection="1">
      <alignment wrapText="1"/>
    </xf>
    <xf numFmtId="0" fontId="30" fillId="0" borderId="0" xfId="0" applyFont="1" applyFill="1" applyBorder="1" applyAlignment="1" applyProtection="1">
      <alignment horizontal="center"/>
    </xf>
    <xf numFmtId="0" fontId="31" fillId="0" borderId="79" xfId="0" applyFont="1" applyBorder="1" applyProtection="1"/>
    <xf numFmtId="43" fontId="31" fillId="57" borderId="78" xfId="1" applyFont="1" applyFill="1" applyBorder="1" applyProtection="1"/>
    <xf numFmtId="43" fontId="30" fillId="57" borderId="78" xfId="1" applyFont="1" applyFill="1" applyBorder="1" applyProtection="1"/>
    <xf numFmtId="43" fontId="31" fillId="56" borderId="78" xfId="1" applyFont="1" applyFill="1" applyBorder="1" applyProtection="1">
      <protection locked="0"/>
    </xf>
    <xf numFmtId="0" fontId="31" fillId="0" borderId="66" xfId="0" applyFont="1" applyBorder="1" applyProtection="1"/>
    <xf numFmtId="43" fontId="31" fillId="57" borderId="0" xfId="1" applyFont="1" applyFill="1" applyBorder="1" applyProtection="1"/>
    <xf numFmtId="43" fontId="30" fillId="57" borderId="0" xfId="1" applyFont="1" applyFill="1" applyBorder="1" applyProtection="1"/>
    <xf numFmtId="43" fontId="31" fillId="0" borderId="0" xfId="1" applyNumberFormat="1" applyFont="1" applyFill="1" applyBorder="1" applyProtection="1"/>
    <xf numFmtId="0" fontId="30" fillId="0" borderId="66" xfId="0" applyFont="1" applyBorder="1" applyProtection="1"/>
    <xf numFmtId="43" fontId="30" fillId="0" borderId="0" xfId="1" applyNumberFormat="1" applyFont="1" applyFill="1" applyBorder="1" applyProtection="1"/>
    <xf numFmtId="0" fontId="30" fillId="0" borderId="66" xfId="0" applyFont="1" applyBorder="1" applyAlignment="1" applyProtection="1">
      <alignment horizontal="center" vertical="center"/>
    </xf>
    <xf numFmtId="0" fontId="31" fillId="0" borderId="0" xfId="0" applyFont="1" applyBorder="1" applyProtection="1"/>
    <xf numFmtId="43" fontId="31" fillId="0" borderId="0" xfId="1" applyFont="1" applyFill="1" applyBorder="1" applyProtection="1"/>
    <xf numFmtId="43" fontId="30" fillId="0" borderId="0" xfId="1" applyFont="1" applyFill="1" applyBorder="1" applyProtection="1"/>
    <xf numFmtId="0" fontId="31" fillId="0" borderId="0" xfId="0" applyFont="1" applyBorder="1" applyAlignment="1" applyProtection="1">
      <alignment horizontal="center" vertical="center" wrapText="1"/>
    </xf>
    <xf numFmtId="0" fontId="30" fillId="0" borderId="0" xfId="0" applyFont="1" applyBorder="1" applyAlignment="1" applyProtection="1">
      <alignment horizontal="center" vertical="center"/>
    </xf>
    <xf numFmtId="0" fontId="0" fillId="0" borderId="0" xfId="0" applyFill="1" applyProtection="1"/>
    <xf numFmtId="0" fontId="9" fillId="0" borderId="0" xfId="0" applyFont="1" applyFill="1" applyProtection="1"/>
    <xf numFmtId="168" fontId="72" fillId="0" borderId="0" xfId="7" applyNumberFormat="1" applyFont="1" applyFill="1" applyBorder="1" applyAlignment="1">
      <alignment horizontal="right" vertical="top"/>
    </xf>
    <xf numFmtId="0" fontId="31" fillId="0" borderId="77" xfId="0" applyFont="1" applyFill="1" applyBorder="1" applyAlignment="1" applyProtection="1">
      <alignment wrapText="1"/>
    </xf>
    <xf numFmtId="0" fontId="31" fillId="0" borderId="77" xfId="0" applyFont="1" applyFill="1" applyBorder="1" applyProtection="1"/>
    <xf numFmtId="44" fontId="72" fillId="0" borderId="77" xfId="7" applyNumberFormat="1" applyFont="1" applyFill="1" applyBorder="1" applyAlignment="1">
      <alignment horizontal="right"/>
    </xf>
    <xf numFmtId="168" fontId="72" fillId="0" borderId="0" xfId="7" applyNumberFormat="1" applyFont="1" applyFill="1" applyBorder="1" applyAlignment="1">
      <alignment horizontal="right"/>
    </xf>
    <xf numFmtId="0" fontId="31" fillId="0" borderId="0" xfId="0" applyFont="1" applyBorder="1" applyAlignment="1" applyProtection="1">
      <alignment horizontal="left"/>
    </xf>
    <xf numFmtId="0" fontId="31" fillId="0" borderId="66" xfId="0" applyFont="1" applyFill="1" applyBorder="1" applyAlignment="1" applyProtection="1">
      <alignment horizontal="left"/>
    </xf>
    <xf numFmtId="166" fontId="30" fillId="57" borderId="0" xfId="1" applyNumberFormat="1" applyFont="1" applyFill="1" applyBorder="1" applyAlignment="1" applyProtection="1">
      <alignment horizontal="center"/>
    </xf>
    <xf numFmtId="44" fontId="72" fillId="0" borderId="78" xfId="7" applyNumberFormat="1" applyFont="1" applyFill="1" applyBorder="1" applyAlignment="1">
      <alignment horizontal="right"/>
    </xf>
    <xf numFmtId="0" fontId="31" fillId="0" borderId="66" xfId="0" applyFont="1" applyFill="1" applyBorder="1" applyAlignment="1" applyProtection="1">
      <alignment horizontal="left" wrapText="1"/>
    </xf>
    <xf numFmtId="9" fontId="2" fillId="2" borderId="2" xfId="5" applyFont="1" applyFill="1" applyBorder="1" applyAlignment="1">
      <alignment horizontal="right" vertical="center"/>
    </xf>
    <xf numFmtId="44" fontId="72" fillId="58" borderId="78" xfId="7" applyNumberFormat="1" applyFont="1" applyFill="1" applyBorder="1" applyAlignment="1">
      <alignment horizontal="right"/>
    </xf>
    <xf numFmtId="0" fontId="40" fillId="0" borderId="0" xfId="0" applyFont="1" applyAlignment="1">
      <alignment horizontal="center"/>
    </xf>
    <xf numFmtId="0" fontId="35" fillId="0" borderId="0" xfId="0" applyFont="1" applyAlignment="1">
      <alignment horizontal="center"/>
    </xf>
    <xf numFmtId="10" fontId="36" fillId="0" borderId="0" xfId="5" applyNumberFormat="1" applyFont="1" applyAlignment="1">
      <alignment horizontal="center"/>
    </xf>
    <xf numFmtId="0" fontId="9" fillId="44" borderId="0" xfId="0" applyFont="1" applyFill="1" applyAlignment="1">
      <alignment horizontal="center"/>
    </xf>
    <xf numFmtId="0" fontId="9" fillId="46" borderId="0" xfId="0" applyFont="1" applyFill="1" applyAlignment="1">
      <alignment horizontal="center"/>
    </xf>
    <xf numFmtId="0" fontId="9" fillId="45" borderId="0" xfId="0" applyFont="1" applyFill="1" applyAlignment="1">
      <alignment horizontal="center"/>
    </xf>
    <xf numFmtId="0" fontId="9" fillId="0" borderId="0" xfId="0" applyFont="1" applyAlignment="1">
      <alignment horizontal="left" wrapText="1"/>
    </xf>
    <xf numFmtId="0" fontId="24" fillId="0" borderId="0" xfId="0" applyFont="1" applyAlignment="1">
      <alignment horizontal="center"/>
    </xf>
    <xf numFmtId="0" fontId="9" fillId="44" borderId="0" xfId="0" applyFont="1" applyFill="1" applyAlignment="1">
      <alignment horizontal="center" wrapText="1"/>
    </xf>
    <xf numFmtId="0" fontId="8" fillId="47" borderId="0" xfId="0" applyFont="1" applyFill="1" applyAlignment="1">
      <alignment horizontal="center"/>
    </xf>
    <xf numFmtId="0" fontId="30" fillId="0" borderId="0" xfId="0" applyFont="1" applyAlignment="1">
      <alignment horizontal="center" vertical="center"/>
    </xf>
    <xf numFmtId="0" fontId="30" fillId="49" borderId="0" xfId="0" applyFont="1" applyFill="1" applyAlignment="1">
      <alignment horizontal="center" vertical="center"/>
    </xf>
    <xf numFmtId="0" fontId="51" fillId="43" borderId="0" xfId="0" applyFont="1" applyFill="1" applyAlignment="1">
      <alignment horizontal="center"/>
    </xf>
    <xf numFmtId="0" fontId="51" fillId="42" borderId="0" xfId="0" applyFont="1" applyFill="1" applyAlignment="1">
      <alignment horizontal="center"/>
    </xf>
    <xf numFmtId="0" fontId="51" fillId="51" borderId="0" xfId="0" applyFont="1" applyFill="1" applyAlignment="1">
      <alignment horizontal="center"/>
    </xf>
    <xf numFmtId="0" fontId="51" fillId="50" borderId="0" xfId="0" applyFont="1" applyFill="1" applyAlignment="1">
      <alignment horizontal="center"/>
    </xf>
    <xf numFmtId="0" fontId="2" fillId="0" borderId="0" xfId="0" applyFont="1" applyBorder="1" applyAlignment="1">
      <alignment horizontal="left" wrapText="1"/>
    </xf>
    <xf numFmtId="0" fontId="2" fillId="0" borderId="62" xfId="0" applyFont="1" applyBorder="1" applyAlignment="1">
      <alignment horizontal="left" wrapText="1"/>
    </xf>
    <xf numFmtId="0" fontId="5" fillId="55" borderId="1" xfId="0" applyFont="1" applyFill="1" applyBorder="1" applyAlignment="1">
      <alignment horizontal="center" vertical="center" wrapText="1"/>
    </xf>
    <xf numFmtId="0" fontId="5" fillId="55" borderId="2" xfId="0" applyFont="1" applyFill="1" applyBorder="1" applyAlignment="1">
      <alignment horizontal="center" vertical="center" wrapText="1"/>
    </xf>
    <xf numFmtId="0" fontId="5" fillId="55"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64" fillId="55" borderId="0" xfId="0" applyFont="1" applyFill="1" applyBorder="1" applyAlignment="1">
      <alignment horizontal="left" vertical="center" wrapText="1"/>
    </xf>
    <xf numFmtId="0" fontId="68" fillId="5" borderId="9" xfId="0" applyFont="1" applyFill="1" applyBorder="1" applyAlignment="1">
      <alignment horizontal="center" vertical="center" wrapText="1"/>
    </xf>
    <xf numFmtId="0" fontId="68" fillId="5" borderId="0" xfId="0" applyFont="1" applyFill="1" applyBorder="1" applyAlignment="1">
      <alignment horizontal="center" vertical="center" wrapText="1"/>
    </xf>
    <xf numFmtId="0" fontId="68" fillId="3" borderId="0" xfId="0" applyFont="1" applyFill="1" applyBorder="1" applyAlignment="1">
      <alignment horizontal="center" vertical="center" wrapText="1"/>
    </xf>
    <xf numFmtId="0" fontId="68" fillId="3" borderId="5" xfId="0" applyFont="1" applyFill="1" applyBorder="1" applyAlignment="1">
      <alignment horizontal="center" vertical="center" wrapText="1"/>
    </xf>
    <xf numFmtId="0" fontId="69" fillId="3" borderId="0" xfId="0" applyFont="1" applyFill="1" applyBorder="1" applyAlignment="1">
      <alignment horizontal="center" vertical="center" wrapText="1"/>
    </xf>
    <xf numFmtId="0" fontId="3" fillId="0" borderId="0" xfId="0" applyFont="1" applyBorder="1" applyAlignment="1">
      <alignment horizontal="left" wrapText="1"/>
    </xf>
    <xf numFmtId="0" fontId="3" fillId="0" borderId="62" xfId="0" applyFont="1" applyBorder="1" applyAlignment="1">
      <alignment horizontal="left" wrapText="1"/>
    </xf>
    <xf numFmtId="0" fontId="5" fillId="55" borderId="71" xfId="0" applyFont="1" applyFill="1" applyBorder="1" applyAlignment="1">
      <alignment horizontal="center" vertical="center" wrapText="1"/>
    </xf>
    <xf numFmtId="0" fontId="70" fillId="0" borderId="61" xfId="0" applyFont="1" applyBorder="1" applyAlignment="1" applyProtection="1">
      <alignment horizontal="center" vertical="center"/>
    </xf>
    <xf numFmtId="0" fontId="70" fillId="0" borderId="69" xfId="0" applyFont="1" applyBorder="1" applyAlignment="1" applyProtection="1">
      <alignment horizontal="center" vertical="center"/>
    </xf>
    <xf numFmtId="0" fontId="31" fillId="0" borderId="67" xfId="0" applyFont="1" applyFill="1" applyBorder="1" applyAlignment="1" applyProtection="1">
      <alignment horizontal="center" vertical="center" wrapText="1"/>
    </xf>
    <xf numFmtId="0" fontId="31" fillId="0" borderId="67" xfId="0" applyFont="1" applyBorder="1" applyAlignment="1" applyProtection="1">
      <alignment horizontal="center" vertical="center" wrapText="1"/>
    </xf>
    <xf numFmtId="0" fontId="30" fillId="0" borderId="68" xfId="0" applyFont="1" applyBorder="1" applyAlignment="1" applyProtection="1">
      <alignment horizontal="center" vertical="center"/>
    </xf>
    <xf numFmtId="0" fontId="31" fillId="0" borderId="67" xfId="0" applyFont="1" applyBorder="1" applyAlignment="1" applyProtection="1">
      <alignment horizontal="center" vertical="center"/>
    </xf>
    <xf numFmtId="0" fontId="30" fillId="0" borderId="68" xfId="0" applyFont="1" applyBorder="1" applyAlignment="1" applyProtection="1">
      <alignment horizontal="center" vertical="center" wrapText="1"/>
    </xf>
    <xf numFmtId="0" fontId="58" fillId="0" borderId="0" xfId="45" applyNumberFormat="1" applyFont="1" applyFill="1" applyBorder="1" applyAlignment="1">
      <alignment vertical="top" wrapText="1" readingOrder="1"/>
    </xf>
    <xf numFmtId="0" fontId="1" fillId="0" borderId="0" xfId="45" applyFont="1" applyFill="1" applyBorder="1"/>
    <xf numFmtId="0" fontId="57" fillId="0" borderId="0" xfId="45" applyNumberFormat="1" applyFont="1" applyFill="1" applyBorder="1" applyAlignment="1">
      <alignment vertical="top" wrapText="1" readingOrder="1"/>
    </xf>
    <xf numFmtId="0" fontId="56" fillId="0" borderId="0" xfId="45" applyNumberFormat="1" applyFont="1" applyFill="1" applyBorder="1" applyAlignment="1">
      <alignment vertical="top" wrapText="1" readingOrder="1"/>
    </xf>
    <xf numFmtId="0" fontId="53" fillId="0" borderId="63" xfId="45" applyNumberFormat="1" applyFont="1" applyFill="1" applyBorder="1" applyAlignment="1">
      <alignment horizontal="left" vertical="top" wrapText="1" readingOrder="1"/>
    </xf>
    <xf numFmtId="0" fontId="1" fillId="0" borderId="63" xfId="45" applyNumberFormat="1" applyFont="1" applyFill="1" applyBorder="1" applyAlignment="1">
      <alignment vertical="top" wrapText="1"/>
    </xf>
    <xf numFmtId="0" fontId="54" fillId="0" borderId="0" xfId="45" applyNumberFormat="1" applyFont="1" applyFill="1" applyBorder="1" applyAlignment="1">
      <alignment horizontal="left" vertical="top" wrapText="1" readingOrder="1"/>
    </xf>
    <xf numFmtId="0" fontId="55" fillId="0" borderId="63" xfId="45" applyNumberFormat="1" applyFont="1" applyFill="1" applyBorder="1" applyAlignment="1">
      <alignment wrapText="1" readingOrder="1"/>
    </xf>
    <xf numFmtId="0" fontId="49" fillId="18" borderId="0" xfId="24" applyFont="1" applyAlignment="1">
      <alignment horizontal="center"/>
    </xf>
    <xf numFmtId="0" fontId="49" fillId="26" borderId="0" xfId="32" applyFont="1" applyAlignment="1">
      <alignment horizontal="center"/>
    </xf>
    <xf numFmtId="0" fontId="49" fillId="30" borderId="0" xfId="36" applyFont="1" applyAlignment="1">
      <alignment horizontal="center"/>
    </xf>
    <xf numFmtId="0" fontId="14" fillId="5" borderId="9"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5" xfId="0" applyFont="1" applyFill="1" applyBorder="1" applyAlignment="1">
      <alignment horizontal="center" vertical="center" wrapText="1"/>
    </xf>
    <xf numFmtId="164" fontId="2" fillId="58" borderId="2" xfId="0" applyNumberFormat="1" applyFont="1" applyFill="1" applyBorder="1" applyAlignment="1">
      <alignment horizontal="right" vertical="center"/>
    </xf>
    <xf numFmtId="164" fontId="2" fillId="58" borderId="1" xfId="0" applyNumberFormat="1" applyFont="1" applyFill="1" applyBorder="1" applyAlignment="1" applyProtection="1">
      <alignment horizontal="right" vertical="center"/>
    </xf>
    <xf numFmtId="4" fontId="75" fillId="2" borderId="2" xfId="0" applyNumberFormat="1" applyFont="1" applyFill="1" applyBorder="1" applyAlignment="1">
      <alignment horizontal="right" vertical="center"/>
    </xf>
    <xf numFmtId="165" fontId="75" fillId="2" borderId="2" xfId="0" applyNumberFormat="1" applyFont="1" applyFill="1" applyBorder="1" applyAlignment="1" applyProtection="1">
      <alignment horizontal="right" vertical="center"/>
      <protection locked="0"/>
    </xf>
    <xf numFmtId="164" fontId="75" fillId="2" borderId="2" xfId="0" applyNumberFormat="1" applyFont="1" applyFill="1" applyBorder="1" applyAlignment="1">
      <alignment horizontal="right" vertical="center"/>
    </xf>
    <xf numFmtId="0" fontId="76" fillId="6" borderId="2" xfId="0" applyFont="1" applyFill="1" applyBorder="1" applyAlignment="1">
      <alignment vertical="center"/>
    </xf>
    <xf numFmtId="43" fontId="75" fillId="0" borderId="2" xfId="1" applyFont="1" applyFill="1" applyBorder="1" applyAlignment="1">
      <alignment horizontal="right" vertical="center"/>
    </xf>
    <xf numFmtId="165" fontId="75" fillId="0" borderId="2" xfId="0" applyNumberFormat="1" applyFont="1" applyFill="1" applyBorder="1" applyAlignment="1" applyProtection="1">
      <alignment horizontal="right" vertical="center"/>
      <protection locked="0"/>
    </xf>
    <xf numFmtId="164" fontId="75" fillId="0" borderId="2" xfId="0" applyNumberFormat="1" applyFont="1" applyFill="1" applyBorder="1" applyAlignment="1">
      <alignment horizontal="right" vertical="center"/>
    </xf>
    <xf numFmtId="4" fontId="75" fillId="2" borderId="2" xfId="0" applyNumberFormat="1" applyFont="1" applyFill="1" applyBorder="1" applyAlignment="1" applyProtection="1">
      <alignment horizontal="right" vertical="center"/>
    </xf>
    <xf numFmtId="170" fontId="2" fillId="0" borderId="2" xfId="1" applyNumberFormat="1" applyFont="1" applyFill="1" applyBorder="1" applyAlignment="1">
      <alignment horizontal="right" vertical="center"/>
    </xf>
    <xf numFmtId="4" fontId="75" fillId="0" borderId="2" xfId="0" applyNumberFormat="1" applyFont="1" applyFill="1" applyBorder="1" applyAlignment="1">
      <alignment horizontal="right" vertical="center"/>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8" builtinId="46" customBuiltin="1"/>
    <cellStyle name="20% - Accent6" xfId="42"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39" builtinId="47" customBuiltin="1"/>
    <cellStyle name="40% - Accent6" xfId="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0" builtinId="48" customBuiltin="1"/>
    <cellStyle name="60% - Accent6" xfId="43" builtinId="52" customBuiltin="1"/>
    <cellStyle name="Accent1" xfId="2" builtinId="29" customBuiltin="1"/>
    <cellStyle name="Accent2" xfId="26" builtinId="33" customBuiltin="1"/>
    <cellStyle name="Accent3" xfId="30" builtinId="37" customBuiltin="1"/>
    <cellStyle name="Accent4" xfId="34" builtinId="41" customBuiltin="1"/>
    <cellStyle name="Accent5" xfId="3" builtinId="45" customBuiltin="1"/>
    <cellStyle name="Accent6" xfId="41" builtinId="49" customBuiltin="1"/>
    <cellStyle name="Bad" xfId="13" builtinId="27" customBuiltin="1"/>
    <cellStyle name="Calculation" xfId="16" builtinId="22" customBuiltin="1"/>
    <cellStyle name="Check Cell" xfId="18" builtinId="23" customBuiltin="1"/>
    <cellStyle name="Comma" xfId="1" builtinId="3"/>
    <cellStyle name="Currency" xfId="7" builtinId="4"/>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6" builtinId="20" customBuiltin="1"/>
    <cellStyle name="Linked Cell" xfId="17" builtinId="24" customBuiltin="1"/>
    <cellStyle name="Neutral" xfId="14" builtinId="28" customBuiltin="1"/>
    <cellStyle name="Normal" xfId="0" builtinId="0"/>
    <cellStyle name="Normal 2" xfId="45"/>
    <cellStyle name="Note" xfId="20" builtinId="10" customBuiltin="1"/>
    <cellStyle name="Output" xfId="15" builtinId="21" customBuiltin="1"/>
    <cellStyle name="Percent" xfId="5" builtinId="5"/>
    <cellStyle name="Title 2" xfId="44"/>
    <cellStyle name="Total" xfId="22" builtinId="25" customBuiltin="1"/>
    <cellStyle name="Warning Text" xfId="19" builtinId="11" customBuiltin="1"/>
  </cellStyles>
  <dxfs count="13">
    <dxf>
      <font>
        <color theme="0"/>
      </font>
      <fill>
        <patternFill>
          <bgColor rgb="FFFF0000"/>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border>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border>
        <vertical/>
        <horizontal/>
      </border>
    </dxf>
    <dxf>
      <font>
        <color theme="0"/>
      </font>
      <fill>
        <patternFill>
          <bgColor rgb="FFFF0000"/>
        </patternFill>
      </fill>
      <border>
        <vertical/>
        <horizontal/>
      </border>
    </dxf>
    <dxf>
      <font>
        <color theme="0"/>
      </font>
      <fill>
        <patternFill>
          <bgColor rgb="FFFF0000"/>
        </patternFill>
      </fill>
      <border>
        <vertical/>
        <horizontal/>
      </border>
    </dxf>
    <dxf>
      <font>
        <color theme="0"/>
      </font>
      <fill>
        <patternFill>
          <bgColor rgb="FFFF0000"/>
        </patternFill>
      </fill>
      <border>
        <vertical/>
        <horizontal/>
      </border>
    </dxf>
    <dxf>
      <font>
        <color theme="0"/>
      </font>
      <fill>
        <patternFill>
          <bgColor rgb="FFFF0000"/>
        </patternFill>
      </fill>
      <border>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7F2"/>
      <color rgb="FF00B8B4"/>
      <color rgb="FF009999"/>
      <color rgb="FFFFFFCC"/>
      <color rgb="FFEDF7F9"/>
      <color rgb="FFF2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6.xml"/><Relationship Id="rId13" Type="http://schemas.openxmlformats.org/officeDocument/2006/relationships/worksheet" Target="worksheets/sheet7.xml"/><Relationship Id="rId18" Type="http://schemas.openxmlformats.org/officeDocument/2006/relationships/worksheet" Target="worksheets/sheet12.xml"/><Relationship Id="rId3" Type="http://schemas.openxmlformats.org/officeDocument/2006/relationships/chartsheet" Target="chartsheets/sheet2.xml"/><Relationship Id="rId21" Type="http://schemas.openxmlformats.org/officeDocument/2006/relationships/externalLink" Target="externalLinks/externalLink1.xml"/><Relationship Id="rId7" Type="http://schemas.openxmlformats.org/officeDocument/2006/relationships/chartsheet" Target="chartsheets/sheet5.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calcChain" Target="calcChain.xml"/><Relationship Id="rId2" Type="http://schemas.openxmlformats.org/officeDocument/2006/relationships/chartsheet" Target="chartsheets/sheet1.xml"/><Relationship Id="rId16" Type="http://schemas.openxmlformats.org/officeDocument/2006/relationships/worksheet" Target="worksheets/sheet10.xml"/><Relationship Id="rId20"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chartsheet" Target="chartsheets/sheet4.xml"/><Relationship Id="rId11" Type="http://schemas.openxmlformats.org/officeDocument/2006/relationships/worksheet" Target="worksheets/sheet5.xml"/><Relationship Id="rId24" Type="http://schemas.openxmlformats.org/officeDocument/2006/relationships/sharedStrings" Target="sharedStrings.xml"/><Relationship Id="rId5" Type="http://schemas.openxmlformats.org/officeDocument/2006/relationships/chartsheet" Target="chartsheets/sheet3.xml"/><Relationship Id="rId15" Type="http://schemas.openxmlformats.org/officeDocument/2006/relationships/worksheet" Target="worksheets/sheet9.xml"/><Relationship Id="rId23" Type="http://schemas.openxmlformats.org/officeDocument/2006/relationships/styles" Target="styles.xml"/><Relationship Id="rId10" Type="http://schemas.openxmlformats.org/officeDocument/2006/relationships/worksheet" Target="worksheets/sheet4.xml"/><Relationship Id="rId19" Type="http://schemas.openxmlformats.org/officeDocument/2006/relationships/worksheet" Target="worksheets/sheet13.xml"/><Relationship Id="rId4" Type="http://schemas.openxmlformats.org/officeDocument/2006/relationships/worksheet" Target="worksheets/sheet2.xml"/><Relationship Id="rId9" Type="http://schemas.openxmlformats.org/officeDocument/2006/relationships/worksheet" Target="worksheets/sheet3.xml"/><Relationship Id="rId14" Type="http://schemas.openxmlformats.org/officeDocument/2006/relationships/worksheet" Target="worksheets/sheet8.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ysClr val="windowText" lastClr="000000"/>
                </a:solidFill>
                <a:latin typeface="+mn-lt"/>
                <a:ea typeface="+mn-ea"/>
                <a:cs typeface="+mn-cs"/>
              </a:defRPr>
            </a:pPr>
            <a:r>
              <a:rPr lang="en-US" sz="1400">
                <a:solidFill>
                  <a:sysClr val="windowText" lastClr="000000"/>
                </a:solidFill>
              </a:rPr>
              <a:t>Funded FTES - Tentative Budget Vs Proposed Final Budget</a:t>
            </a:r>
          </a:p>
        </c:rich>
      </c:tx>
      <c:overlay val="0"/>
      <c:spPr>
        <a:noFill/>
        <a:ln>
          <a:noFill/>
        </a:ln>
        <a:effectLst/>
      </c:spPr>
      <c:txPr>
        <a:bodyPr rot="0" spcFirstLastPara="1" vertOverflow="ellipsis" vert="horz" wrap="square" anchor="ctr" anchorCtr="1"/>
        <a:lstStyle/>
        <a:p>
          <a:pPr>
            <a:defRPr sz="1400" b="1" i="0" u="none" strike="noStrike" kern="1200" cap="all" spc="120" normalizeH="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1"/>
          <c:order val="0"/>
          <c:tx>
            <c:strRef>
              <c:f>'FTES Summary Comparison'!$E$5</c:f>
              <c:strCache>
                <c:ptCount val="1"/>
                <c:pt idx="0">
                  <c:v>Valley's Total Funded - Final Budget</c:v>
                </c:pt>
              </c:strCache>
            </c:strRef>
          </c:tx>
          <c:spPr>
            <a:solidFill>
              <a:schemeClr val="accent1"/>
            </a:solidFill>
            <a:ln w="25400" cap="flat" cmpd="sng" algn="ctr">
              <a:solidFill>
                <a:schemeClr val="accent1"/>
              </a:solidFill>
              <a:prstDash val="solid"/>
            </a:ln>
            <a:effectLst/>
          </c:spPr>
          <c:invertIfNegative val="0"/>
          <c:cat>
            <c:strRef>
              <c:f>'FTES Summary Comparison'!$A$7:$A$13</c:f>
              <c:strCache>
                <c:ptCount val="7"/>
                <c:pt idx="0">
                  <c:v>17-18</c:v>
                </c:pt>
                <c:pt idx="1">
                  <c:v>18-19</c:v>
                </c:pt>
                <c:pt idx="2">
                  <c:v>19-20</c:v>
                </c:pt>
                <c:pt idx="3">
                  <c:v>20-21</c:v>
                </c:pt>
                <c:pt idx="4">
                  <c:v>21-22</c:v>
                </c:pt>
                <c:pt idx="5">
                  <c:v>22-23</c:v>
                </c:pt>
                <c:pt idx="6">
                  <c:v>23-24</c:v>
                </c:pt>
              </c:strCache>
            </c:strRef>
          </c:cat>
          <c:val>
            <c:numRef>
              <c:f>'FTES Summary Comparison'!$E$7:$E$13</c:f>
              <c:numCache>
                <c:formatCode>_(* #,##0_);_(* \(#,##0\);_(* "-"??_);_(@_)</c:formatCode>
                <c:ptCount val="7"/>
                <c:pt idx="0">
                  <c:v>10504</c:v>
                </c:pt>
                <c:pt idx="1">
                  <c:v>10284</c:v>
                </c:pt>
                <c:pt idx="2">
                  <c:v>10341</c:v>
                </c:pt>
                <c:pt idx="3">
                  <c:v>10548</c:v>
                </c:pt>
                <c:pt idx="4">
                  <c:v>10759</c:v>
                </c:pt>
                <c:pt idx="5">
                  <c:v>10974</c:v>
                </c:pt>
                <c:pt idx="6">
                  <c:v>11193</c:v>
                </c:pt>
              </c:numCache>
            </c:numRef>
          </c:val>
          <c:extLst>
            <c:ext xmlns:c16="http://schemas.microsoft.com/office/drawing/2014/chart" uri="{C3380CC4-5D6E-409C-BE32-E72D297353CC}">
              <c16:uniqueId val="{00000000-FA59-40B0-8EAF-198CA45B982D}"/>
            </c:ext>
          </c:extLst>
        </c:ser>
        <c:ser>
          <c:idx val="0"/>
          <c:order val="1"/>
          <c:tx>
            <c:strRef>
              <c:f>'FTES Summary Comparison'!$E$16</c:f>
              <c:strCache>
                <c:ptCount val="1"/>
                <c:pt idx="0">
                  <c:v>Crafton's Total Funded - Final Budget</c:v>
                </c:pt>
              </c:strCache>
            </c:strRef>
          </c:tx>
          <c:spPr>
            <a:solidFill>
              <a:schemeClr val="accent3"/>
            </a:solidFill>
            <a:ln w="25400" cap="flat" cmpd="sng" algn="ctr">
              <a:solidFill>
                <a:schemeClr val="accent3"/>
              </a:solidFill>
              <a:prstDash val="solid"/>
            </a:ln>
            <a:effectLst/>
          </c:spPr>
          <c:invertIfNegative val="0"/>
          <c:cat>
            <c:strRef>
              <c:f>'FTES Summary Comparison'!$A$7:$A$13</c:f>
              <c:strCache>
                <c:ptCount val="7"/>
                <c:pt idx="0">
                  <c:v>17-18</c:v>
                </c:pt>
                <c:pt idx="1">
                  <c:v>18-19</c:v>
                </c:pt>
                <c:pt idx="2">
                  <c:v>19-20</c:v>
                </c:pt>
                <c:pt idx="3">
                  <c:v>20-21</c:v>
                </c:pt>
                <c:pt idx="4">
                  <c:v>21-22</c:v>
                </c:pt>
                <c:pt idx="5">
                  <c:v>22-23</c:v>
                </c:pt>
                <c:pt idx="6">
                  <c:v>23-24</c:v>
                </c:pt>
              </c:strCache>
            </c:strRef>
          </c:cat>
          <c:val>
            <c:numRef>
              <c:f>'FTES Summary Comparison'!$E$18:$E$24</c:f>
              <c:numCache>
                <c:formatCode>_(* #,##0_);_(* \(#,##0\);_(* "-"??_);_(@_)</c:formatCode>
                <c:ptCount val="7"/>
                <c:pt idx="0">
                  <c:v>4848</c:v>
                </c:pt>
                <c:pt idx="1">
                  <c:v>4340</c:v>
                </c:pt>
                <c:pt idx="2">
                  <c:v>4458</c:v>
                </c:pt>
                <c:pt idx="3">
                  <c:v>4514</c:v>
                </c:pt>
                <c:pt idx="4">
                  <c:v>4637</c:v>
                </c:pt>
                <c:pt idx="5">
                  <c:v>4764</c:v>
                </c:pt>
                <c:pt idx="6">
                  <c:v>4894</c:v>
                </c:pt>
              </c:numCache>
            </c:numRef>
          </c:val>
          <c:extLst>
            <c:ext xmlns:c16="http://schemas.microsoft.com/office/drawing/2014/chart" uri="{C3380CC4-5D6E-409C-BE32-E72D297353CC}">
              <c16:uniqueId val="{00000001-FA59-40B0-8EAF-198CA45B982D}"/>
            </c:ext>
          </c:extLst>
        </c:ser>
        <c:dLbls>
          <c:showLegendKey val="0"/>
          <c:showVal val="0"/>
          <c:showCatName val="0"/>
          <c:showSerName val="0"/>
          <c:showPercent val="0"/>
          <c:showBubbleSize val="0"/>
        </c:dLbls>
        <c:gapWidth val="150"/>
        <c:axId val="435406328"/>
        <c:axId val="435411424"/>
      </c:barChart>
      <c:lineChart>
        <c:grouping val="standard"/>
        <c:varyColors val="0"/>
        <c:ser>
          <c:idx val="2"/>
          <c:order val="2"/>
          <c:tx>
            <c:strRef>
              <c:f>'FTES Summary Comparison'!$M$5</c:f>
              <c:strCache>
                <c:ptCount val="1"/>
                <c:pt idx="0">
                  <c:v>Valley's Total Funded - Tentative Budget</c:v>
                </c:pt>
              </c:strCache>
            </c:strRef>
          </c:tx>
          <c:spPr>
            <a:ln w="25400" cap="flat" cmpd="sng" algn="ctr">
              <a:solidFill>
                <a:schemeClr val="accent2"/>
              </a:solidFill>
              <a:prstDash val="solid"/>
              <a:round/>
            </a:ln>
            <a:effectLst/>
          </c:spPr>
          <c:marker>
            <c:symbol val="triangle"/>
            <c:size val="6"/>
            <c:spPr>
              <a:solidFill>
                <a:schemeClr val="lt1"/>
              </a:solidFill>
              <a:ln w="25400" cap="flat" cmpd="sng" algn="ctr">
                <a:solidFill>
                  <a:schemeClr val="accent2"/>
                </a:solidFill>
                <a:prstDash val="solid"/>
                <a:round/>
              </a:ln>
              <a:effectLst/>
            </c:spPr>
          </c:marker>
          <c:cat>
            <c:strRef>
              <c:f>'FTES Summary Comparison'!$A$7:$A$13</c:f>
              <c:strCache>
                <c:ptCount val="7"/>
                <c:pt idx="0">
                  <c:v>17-18</c:v>
                </c:pt>
                <c:pt idx="1">
                  <c:v>18-19</c:v>
                </c:pt>
                <c:pt idx="2">
                  <c:v>19-20</c:v>
                </c:pt>
                <c:pt idx="3">
                  <c:v>20-21</c:v>
                </c:pt>
                <c:pt idx="4">
                  <c:v>21-22</c:v>
                </c:pt>
                <c:pt idx="5">
                  <c:v>22-23</c:v>
                </c:pt>
                <c:pt idx="6">
                  <c:v>23-24</c:v>
                </c:pt>
              </c:strCache>
            </c:strRef>
          </c:cat>
          <c:val>
            <c:numRef>
              <c:f>'FTES Summary Comparison'!$M$7:$M$13</c:f>
              <c:numCache>
                <c:formatCode>_(* #,##0_);_(* \(#,##0\);_(* "-"??_);_(@_)</c:formatCode>
                <c:ptCount val="7"/>
                <c:pt idx="0">
                  <c:v>10100</c:v>
                </c:pt>
                <c:pt idx="1">
                  <c:v>10403</c:v>
                </c:pt>
                <c:pt idx="2">
                  <c:v>10715</c:v>
                </c:pt>
                <c:pt idx="3">
                  <c:v>11036</c:v>
                </c:pt>
                <c:pt idx="4">
                  <c:v>11476</c:v>
                </c:pt>
                <c:pt idx="5">
                  <c:v>11931</c:v>
                </c:pt>
                <c:pt idx="6">
                  <c:v>12404</c:v>
                </c:pt>
              </c:numCache>
            </c:numRef>
          </c:val>
          <c:smooth val="0"/>
          <c:extLst>
            <c:ext xmlns:c16="http://schemas.microsoft.com/office/drawing/2014/chart" uri="{C3380CC4-5D6E-409C-BE32-E72D297353CC}">
              <c16:uniqueId val="{00000002-FA59-40B0-8EAF-198CA45B982D}"/>
            </c:ext>
          </c:extLst>
        </c:ser>
        <c:ser>
          <c:idx val="3"/>
          <c:order val="3"/>
          <c:tx>
            <c:strRef>
              <c:f>'FTES Summary Comparison'!$M$16</c:f>
              <c:strCache>
                <c:ptCount val="1"/>
                <c:pt idx="0">
                  <c:v>Crafton's Total Funded - Tentative Budget</c:v>
                </c:pt>
              </c:strCache>
            </c:strRef>
          </c:tx>
          <c:spPr>
            <a:ln w="25400" cap="flat" cmpd="sng" algn="ctr">
              <a:solidFill>
                <a:schemeClr val="accent4"/>
              </a:solidFill>
              <a:prstDash val="solid"/>
              <a:round/>
            </a:ln>
            <a:effectLst/>
          </c:spPr>
          <c:marker>
            <c:symbol val="x"/>
            <c:size val="6"/>
            <c:spPr>
              <a:solidFill>
                <a:schemeClr val="lt1"/>
              </a:solidFill>
              <a:ln w="25400" cap="flat" cmpd="sng" algn="ctr">
                <a:solidFill>
                  <a:schemeClr val="accent4"/>
                </a:solidFill>
                <a:prstDash val="solid"/>
                <a:round/>
              </a:ln>
              <a:effectLst/>
            </c:spPr>
          </c:marker>
          <c:cat>
            <c:strRef>
              <c:f>'FTES Summary Comparison'!$A$7:$A$13</c:f>
              <c:strCache>
                <c:ptCount val="7"/>
                <c:pt idx="0">
                  <c:v>17-18</c:v>
                </c:pt>
                <c:pt idx="1">
                  <c:v>18-19</c:v>
                </c:pt>
                <c:pt idx="2">
                  <c:v>19-20</c:v>
                </c:pt>
                <c:pt idx="3">
                  <c:v>20-21</c:v>
                </c:pt>
                <c:pt idx="4">
                  <c:v>21-22</c:v>
                </c:pt>
                <c:pt idx="5">
                  <c:v>22-23</c:v>
                </c:pt>
                <c:pt idx="6">
                  <c:v>23-24</c:v>
                </c:pt>
              </c:strCache>
            </c:strRef>
          </c:cat>
          <c:val>
            <c:numRef>
              <c:f>'FTES Summary Comparison'!$M$18:$M$24</c:f>
              <c:numCache>
                <c:formatCode>_(* #,##0_);_(* \(#,##0\);_(* "-"??_);_(@_)</c:formatCode>
                <c:ptCount val="7"/>
                <c:pt idx="0">
                  <c:v>4182</c:v>
                </c:pt>
                <c:pt idx="1">
                  <c:v>4584</c:v>
                </c:pt>
                <c:pt idx="2">
                  <c:v>4866</c:v>
                </c:pt>
                <c:pt idx="3">
                  <c:v>5163</c:v>
                </c:pt>
                <c:pt idx="4">
                  <c:v>5365</c:v>
                </c:pt>
                <c:pt idx="5">
                  <c:v>5577</c:v>
                </c:pt>
                <c:pt idx="6">
                  <c:v>5798</c:v>
                </c:pt>
              </c:numCache>
            </c:numRef>
          </c:val>
          <c:smooth val="0"/>
          <c:extLst>
            <c:ext xmlns:c16="http://schemas.microsoft.com/office/drawing/2014/chart" uri="{C3380CC4-5D6E-409C-BE32-E72D297353CC}">
              <c16:uniqueId val="{00000003-FA59-40B0-8EAF-198CA45B982D}"/>
            </c:ext>
          </c:extLst>
        </c:ser>
        <c:dLbls>
          <c:showLegendKey val="0"/>
          <c:showVal val="0"/>
          <c:showCatName val="0"/>
          <c:showSerName val="0"/>
          <c:showPercent val="0"/>
          <c:showBubbleSize val="0"/>
        </c:dLbls>
        <c:marker val="1"/>
        <c:smooth val="0"/>
        <c:axId val="435406328"/>
        <c:axId val="435411424"/>
      </c:lineChart>
      <c:catAx>
        <c:axId val="4354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35411424"/>
        <c:crosses val="autoZero"/>
        <c:auto val="1"/>
        <c:lblAlgn val="ctr"/>
        <c:lblOffset val="100"/>
        <c:noMultiLvlLbl val="0"/>
      </c:catAx>
      <c:valAx>
        <c:axId val="435411424"/>
        <c:scaling>
          <c:orientation val="minMax"/>
          <c:max val="130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r>
                  <a:rPr lang="en-US">
                    <a:solidFill>
                      <a:sysClr val="windowText" lastClr="000000"/>
                    </a:solidFill>
                  </a:rPr>
                  <a:t>Number of FTES</a:t>
                </a:r>
              </a:p>
            </c:rich>
          </c:tx>
          <c:layout>
            <c:manualLayout>
              <c:xMode val="edge"/>
              <c:yMode val="edge"/>
              <c:x val="0.1912403797748993"/>
              <c:y val="0.38949036732383907"/>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632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solidFill>
                  <a:sysClr val="windowText" lastClr="000000"/>
                </a:solidFill>
              </a:rPr>
              <a:t>SBCCD - Growth Comparison</a:t>
            </a:r>
            <a:r>
              <a:rPr lang="en-US" baseline="0">
                <a:solidFill>
                  <a:sysClr val="windowText" lastClr="000000"/>
                </a:solidFill>
              </a:rPr>
              <a:t> (Tentative Budget vs. Proposed Final Budget)</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'FTES Summary Comparison'!$G$5</c:f>
              <c:strCache>
                <c:ptCount val="1"/>
                <c:pt idx="0">
                  <c:v>Valley's Growth Percent - Final Budget</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'FTES Summary Comparison'!$A$8:$A$13</c:f>
              <c:strCache>
                <c:ptCount val="6"/>
                <c:pt idx="0">
                  <c:v>18-19</c:v>
                </c:pt>
                <c:pt idx="1">
                  <c:v>19-20</c:v>
                </c:pt>
                <c:pt idx="2">
                  <c:v>20-21</c:v>
                </c:pt>
                <c:pt idx="3">
                  <c:v>21-22</c:v>
                </c:pt>
                <c:pt idx="4">
                  <c:v>22-23</c:v>
                </c:pt>
                <c:pt idx="5">
                  <c:v>23-24</c:v>
                </c:pt>
              </c:strCache>
            </c:strRef>
          </c:cat>
          <c:val>
            <c:numRef>
              <c:f>'FTES Summary Comparison'!$G$8:$G$13</c:f>
              <c:numCache>
                <c:formatCode>0.00%</c:formatCode>
                <c:ptCount val="6"/>
                <c:pt idx="0">
                  <c:v>-3.7499999999999999E-2</c:v>
                </c:pt>
                <c:pt idx="1">
                  <c:v>2.7300000000000001E-2</c:v>
                </c:pt>
                <c:pt idx="2">
                  <c:v>2.7300000000000001E-2</c:v>
                </c:pt>
                <c:pt idx="3">
                  <c:v>2.7300000000000001E-2</c:v>
                </c:pt>
                <c:pt idx="4">
                  <c:v>2.7300000000000001E-2</c:v>
                </c:pt>
                <c:pt idx="5">
                  <c:v>2.7300000000000001E-2</c:v>
                </c:pt>
              </c:numCache>
            </c:numRef>
          </c:val>
          <c:extLst>
            <c:ext xmlns:c16="http://schemas.microsoft.com/office/drawing/2014/chart" uri="{C3380CC4-5D6E-409C-BE32-E72D297353CC}">
              <c16:uniqueId val="{00000000-3248-42D7-A8DA-8B6C7251F29C}"/>
            </c:ext>
          </c:extLst>
        </c:ser>
        <c:ser>
          <c:idx val="2"/>
          <c:order val="2"/>
          <c:tx>
            <c:strRef>
              <c:f>'FTES Summary Comparison'!$G$16</c:f>
              <c:strCache>
                <c:ptCount val="1"/>
                <c:pt idx="0">
                  <c:v>Crafton's Growth Percent - Final Budget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'FTES Summary Comparison'!$A$8:$A$13</c:f>
              <c:strCache>
                <c:ptCount val="6"/>
                <c:pt idx="0">
                  <c:v>18-19</c:v>
                </c:pt>
                <c:pt idx="1">
                  <c:v>19-20</c:v>
                </c:pt>
                <c:pt idx="2">
                  <c:v>20-21</c:v>
                </c:pt>
                <c:pt idx="3">
                  <c:v>21-22</c:v>
                </c:pt>
                <c:pt idx="4">
                  <c:v>22-23</c:v>
                </c:pt>
                <c:pt idx="5">
                  <c:v>23-24</c:v>
                </c:pt>
              </c:strCache>
            </c:strRef>
          </c:cat>
          <c:val>
            <c:numRef>
              <c:f>'FTES Summary Comparison'!$G$19:$G$24</c:f>
              <c:numCache>
                <c:formatCode>0.00%</c:formatCode>
                <c:ptCount val="6"/>
                <c:pt idx="0">
                  <c:v>-5.4600000000000003E-2</c:v>
                </c:pt>
                <c:pt idx="1">
                  <c:v>2.75E-2</c:v>
                </c:pt>
                <c:pt idx="2">
                  <c:v>2.75E-2</c:v>
                </c:pt>
                <c:pt idx="3">
                  <c:v>2.75E-2</c:v>
                </c:pt>
                <c:pt idx="4">
                  <c:v>2.75E-2</c:v>
                </c:pt>
                <c:pt idx="5">
                  <c:v>2.75E-2</c:v>
                </c:pt>
              </c:numCache>
            </c:numRef>
          </c:val>
          <c:extLst>
            <c:ext xmlns:c16="http://schemas.microsoft.com/office/drawing/2014/chart" uri="{C3380CC4-5D6E-409C-BE32-E72D297353CC}">
              <c16:uniqueId val="{00000001-3248-42D7-A8DA-8B6C7251F29C}"/>
            </c:ext>
          </c:extLst>
        </c:ser>
        <c:dLbls>
          <c:showLegendKey val="0"/>
          <c:showVal val="0"/>
          <c:showCatName val="0"/>
          <c:showSerName val="0"/>
          <c:showPercent val="0"/>
          <c:showBubbleSize val="0"/>
        </c:dLbls>
        <c:gapWidth val="150"/>
        <c:axId val="435887912"/>
        <c:axId val="435885560"/>
      </c:barChart>
      <c:lineChart>
        <c:grouping val="standard"/>
        <c:varyColors val="0"/>
        <c:ser>
          <c:idx val="1"/>
          <c:order val="1"/>
          <c:tx>
            <c:strRef>
              <c:f>'FTES Summary Comparison'!$O$5</c:f>
              <c:strCache>
                <c:ptCount val="1"/>
                <c:pt idx="0">
                  <c:v>Valley's Growth Percent - Tentative Budget</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'FTES Summary Comparison'!$I$19:$I$24</c:f>
              <c:strCache>
                <c:ptCount val="6"/>
                <c:pt idx="0">
                  <c:v>18-19</c:v>
                </c:pt>
                <c:pt idx="1">
                  <c:v>19-20</c:v>
                </c:pt>
                <c:pt idx="2">
                  <c:v>20-21</c:v>
                </c:pt>
                <c:pt idx="3">
                  <c:v>21-22</c:v>
                </c:pt>
                <c:pt idx="4">
                  <c:v>22-23</c:v>
                </c:pt>
                <c:pt idx="5">
                  <c:v>23-24</c:v>
                </c:pt>
              </c:strCache>
            </c:strRef>
          </c:cat>
          <c:val>
            <c:numRef>
              <c:f>'FTES Summary Comparison'!$O$8:$O$13</c:f>
              <c:numCache>
                <c:formatCode>0.00%</c:formatCode>
                <c:ptCount val="6"/>
                <c:pt idx="0">
                  <c:v>0.03</c:v>
                </c:pt>
                <c:pt idx="1">
                  <c:v>0.03</c:v>
                </c:pt>
                <c:pt idx="2">
                  <c:v>0.03</c:v>
                </c:pt>
                <c:pt idx="3">
                  <c:v>0.04</c:v>
                </c:pt>
                <c:pt idx="4">
                  <c:v>0.04</c:v>
                </c:pt>
                <c:pt idx="5">
                  <c:v>0.04</c:v>
                </c:pt>
              </c:numCache>
            </c:numRef>
          </c:val>
          <c:smooth val="0"/>
          <c:extLst>
            <c:ext xmlns:c16="http://schemas.microsoft.com/office/drawing/2014/chart" uri="{C3380CC4-5D6E-409C-BE32-E72D297353CC}">
              <c16:uniqueId val="{00000002-3248-42D7-A8DA-8B6C7251F29C}"/>
            </c:ext>
          </c:extLst>
        </c:ser>
        <c:ser>
          <c:idx val="3"/>
          <c:order val="3"/>
          <c:tx>
            <c:strRef>
              <c:f>'FTES Summary Comparison'!$O$16</c:f>
              <c:strCache>
                <c:ptCount val="1"/>
                <c:pt idx="0">
                  <c:v>Crafton's Growth Percent - Tentative Budget</c:v>
                </c:pt>
              </c:strCache>
            </c:strRef>
          </c:tx>
          <c:spPr>
            <a:ln w="34925" cap="rnd">
              <a:solidFill>
                <a:schemeClr val="accent4"/>
              </a:solidFill>
              <a:round/>
            </a:ln>
            <a:effectLst>
              <a:outerShdw blurRad="40000" dist="23000" dir="5400000" rotWithShape="0">
                <a:srgbClr val="000000">
                  <a:alpha val="35000"/>
                </a:srgbClr>
              </a:outerShdw>
            </a:effectLst>
          </c:spPr>
          <c:marker>
            <c:symbol val="circle"/>
            <c:size val="6"/>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w="9525">
                <a:solidFill>
                  <a:schemeClr val="accent4"/>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'FTES Summary Comparison'!$I$19:$I$24</c:f>
              <c:strCache>
                <c:ptCount val="6"/>
                <c:pt idx="0">
                  <c:v>18-19</c:v>
                </c:pt>
                <c:pt idx="1">
                  <c:v>19-20</c:v>
                </c:pt>
                <c:pt idx="2">
                  <c:v>20-21</c:v>
                </c:pt>
                <c:pt idx="3">
                  <c:v>21-22</c:v>
                </c:pt>
                <c:pt idx="4">
                  <c:v>22-23</c:v>
                </c:pt>
                <c:pt idx="5">
                  <c:v>23-24</c:v>
                </c:pt>
              </c:strCache>
            </c:strRef>
          </c:cat>
          <c:val>
            <c:numRef>
              <c:f>'FTES Summary Comparison'!$O$19:$O$24</c:f>
              <c:numCache>
                <c:formatCode>0.00%</c:formatCode>
                <c:ptCount val="6"/>
                <c:pt idx="0">
                  <c:v>0.03</c:v>
                </c:pt>
                <c:pt idx="1">
                  <c:v>5.5E-2</c:v>
                </c:pt>
                <c:pt idx="2">
                  <c:v>0.04</c:v>
                </c:pt>
                <c:pt idx="3">
                  <c:v>0.04</c:v>
                </c:pt>
                <c:pt idx="4">
                  <c:v>0.04</c:v>
                </c:pt>
                <c:pt idx="5">
                  <c:v>0.04</c:v>
                </c:pt>
              </c:numCache>
            </c:numRef>
          </c:val>
          <c:smooth val="0"/>
          <c:extLst>
            <c:ext xmlns:c16="http://schemas.microsoft.com/office/drawing/2014/chart" uri="{C3380CC4-5D6E-409C-BE32-E72D297353CC}">
              <c16:uniqueId val="{00000003-3248-42D7-A8DA-8B6C7251F29C}"/>
            </c:ext>
          </c:extLst>
        </c:ser>
        <c:dLbls>
          <c:showLegendKey val="0"/>
          <c:showVal val="0"/>
          <c:showCatName val="0"/>
          <c:showSerName val="0"/>
          <c:showPercent val="0"/>
          <c:showBubbleSize val="0"/>
        </c:dLbls>
        <c:marker val="1"/>
        <c:smooth val="0"/>
        <c:axId val="435887912"/>
        <c:axId val="435885560"/>
      </c:lineChart>
      <c:catAx>
        <c:axId val="4358879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5560"/>
        <c:crosses val="autoZero"/>
        <c:auto val="1"/>
        <c:lblAlgn val="ctr"/>
        <c:lblOffset val="100"/>
        <c:noMultiLvlLbl val="0"/>
      </c:catAx>
      <c:valAx>
        <c:axId val="435885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solidFill>
                      <a:sysClr val="windowText" lastClr="000000"/>
                    </a:solidFill>
                  </a:rPr>
                  <a:t>FTES GROWTH</a:t>
                </a:r>
              </a:p>
            </c:rich>
          </c:tx>
          <c:layout>
            <c:manualLayout>
              <c:xMode val="edge"/>
              <c:yMode val="edge"/>
              <c:x val="0.18293437127661075"/>
              <c:y val="0.399957012043738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79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solidFill>
                  <a:sysClr val="windowText" lastClr="000000"/>
                </a:solidFill>
              </a:rPr>
              <a:t>SBCCD - Multi-Year Proposed Growth by College - </a:t>
            </a:r>
            <a:r>
              <a:rPr lang="en-US" baseline="0">
                <a:solidFill>
                  <a:sysClr val="windowText" lastClr="000000"/>
                </a:solidFill>
              </a:rPr>
              <a:t>Final Budget</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'FTES Summary Comparison'!$G$5</c:f>
              <c:strCache>
                <c:ptCount val="1"/>
                <c:pt idx="0">
                  <c:v>Valley's Growth Percent - Final Budget</c:v>
                </c:pt>
              </c:strCache>
            </c:strRef>
          </c:tx>
          <c:spPr>
            <a:solidFill>
              <a:schemeClr val="accent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'FTES Summary Comparison'!$A$8:$A$13</c:f>
              <c:strCache>
                <c:ptCount val="6"/>
                <c:pt idx="0">
                  <c:v>18-19</c:v>
                </c:pt>
                <c:pt idx="1">
                  <c:v>19-20</c:v>
                </c:pt>
                <c:pt idx="2">
                  <c:v>20-21</c:v>
                </c:pt>
                <c:pt idx="3">
                  <c:v>21-22</c:v>
                </c:pt>
                <c:pt idx="4">
                  <c:v>22-23</c:v>
                </c:pt>
                <c:pt idx="5">
                  <c:v>23-24</c:v>
                </c:pt>
              </c:strCache>
            </c:strRef>
          </c:cat>
          <c:val>
            <c:numRef>
              <c:f>'FTES Summary Comparison'!$G$8:$G$13</c:f>
              <c:numCache>
                <c:formatCode>0.00%</c:formatCode>
                <c:ptCount val="6"/>
                <c:pt idx="0">
                  <c:v>-3.7499999999999999E-2</c:v>
                </c:pt>
                <c:pt idx="1">
                  <c:v>2.7300000000000001E-2</c:v>
                </c:pt>
                <c:pt idx="2">
                  <c:v>2.7300000000000001E-2</c:v>
                </c:pt>
                <c:pt idx="3">
                  <c:v>2.7300000000000001E-2</c:v>
                </c:pt>
                <c:pt idx="4">
                  <c:v>2.7300000000000001E-2</c:v>
                </c:pt>
                <c:pt idx="5">
                  <c:v>2.7300000000000001E-2</c:v>
                </c:pt>
              </c:numCache>
            </c:numRef>
          </c:val>
          <c:extLst>
            <c:ext xmlns:c16="http://schemas.microsoft.com/office/drawing/2014/chart" uri="{C3380CC4-5D6E-409C-BE32-E72D297353CC}">
              <c16:uniqueId val="{00000000-D5C9-4110-9D54-DEF571FFD569}"/>
            </c:ext>
          </c:extLst>
        </c:ser>
        <c:ser>
          <c:idx val="2"/>
          <c:order val="1"/>
          <c:tx>
            <c:strRef>
              <c:f>'FTES Summary Comparison'!$G$16</c:f>
              <c:strCache>
                <c:ptCount val="1"/>
                <c:pt idx="0">
                  <c:v>Crafton's Growth Percent - Final Budget</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'FTES Summary Comparison'!$A$8:$A$13</c:f>
              <c:strCache>
                <c:ptCount val="6"/>
                <c:pt idx="0">
                  <c:v>18-19</c:v>
                </c:pt>
                <c:pt idx="1">
                  <c:v>19-20</c:v>
                </c:pt>
                <c:pt idx="2">
                  <c:v>20-21</c:v>
                </c:pt>
                <c:pt idx="3">
                  <c:v>21-22</c:v>
                </c:pt>
                <c:pt idx="4">
                  <c:v>22-23</c:v>
                </c:pt>
                <c:pt idx="5">
                  <c:v>23-24</c:v>
                </c:pt>
              </c:strCache>
            </c:strRef>
          </c:cat>
          <c:val>
            <c:numRef>
              <c:f>'FTES Summary Comparison'!$G$19:$G$24</c:f>
              <c:numCache>
                <c:formatCode>0.00%</c:formatCode>
                <c:ptCount val="6"/>
                <c:pt idx="0">
                  <c:v>-5.4600000000000003E-2</c:v>
                </c:pt>
                <c:pt idx="1">
                  <c:v>2.75E-2</c:v>
                </c:pt>
                <c:pt idx="2">
                  <c:v>2.75E-2</c:v>
                </c:pt>
                <c:pt idx="3">
                  <c:v>2.75E-2</c:v>
                </c:pt>
                <c:pt idx="4">
                  <c:v>2.75E-2</c:v>
                </c:pt>
                <c:pt idx="5">
                  <c:v>2.75E-2</c:v>
                </c:pt>
              </c:numCache>
            </c:numRef>
          </c:val>
          <c:extLst>
            <c:ext xmlns:c16="http://schemas.microsoft.com/office/drawing/2014/chart" uri="{C3380CC4-5D6E-409C-BE32-E72D297353CC}">
              <c16:uniqueId val="{00000001-D5C9-4110-9D54-DEF571FFD569}"/>
            </c:ext>
          </c:extLst>
        </c:ser>
        <c:dLbls>
          <c:showLegendKey val="0"/>
          <c:showVal val="0"/>
          <c:showCatName val="0"/>
          <c:showSerName val="0"/>
          <c:showPercent val="0"/>
          <c:showBubbleSize val="0"/>
        </c:dLbls>
        <c:gapWidth val="150"/>
        <c:axId val="435887128"/>
        <c:axId val="435883600"/>
      </c:barChart>
      <c:catAx>
        <c:axId val="435887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3600"/>
        <c:crosses val="autoZero"/>
        <c:auto val="1"/>
        <c:lblAlgn val="ctr"/>
        <c:lblOffset val="100"/>
        <c:noMultiLvlLbl val="0"/>
      </c:catAx>
      <c:valAx>
        <c:axId val="435883600"/>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solidFill>
                      <a:sysClr val="windowText" lastClr="000000"/>
                    </a:solidFill>
                  </a:rPr>
                  <a:t>FTES GROWTH</a:t>
                </a:r>
              </a:p>
            </c:rich>
          </c:tx>
          <c:layout>
            <c:manualLayout>
              <c:xMode val="edge"/>
              <c:yMode val="edge"/>
              <c:x val="0.10871307587545592"/>
              <c:y val="0.3999570575539834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71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rgbClr val="F8F7F2"/>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San Bernardino</a:t>
            </a:r>
            <a:r>
              <a:rPr lang="en-US" b="1" baseline="0"/>
              <a:t> </a:t>
            </a:r>
            <a:r>
              <a:rPr lang="en-US" b="1"/>
              <a:t>Community College District</a:t>
            </a:r>
            <a:br>
              <a:rPr lang="en-US" b="1"/>
            </a:br>
            <a:r>
              <a:rPr lang="en-US" b="1"/>
              <a:t>Enrollment Projections by Fiscal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10122746080291"/>
          <c:y val="0.10945454545454546"/>
          <c:w val="0.86525319550346191"/>
          <c:h val="0.73644174023701581"/>
        </c:manualLayout>
      </c:layout>
      <c:barChart>
        <c:barDir val="col"/>
        <c:grouping val="stacked"/>
        <c:varyColors val="0"/>
        <c:ser>
          <c:idx val="0"/>
          <c:order val="1"/>
          <c:tx>
            <c:strRef>
              <c:f>'FTES Summary Page'!$D$33</c:f>
              <c:strCache>
                <c:ptCount val="1"/>
                <c:pt idx="0">
                  <c:v>Funded</c:v>
                </c:pt>
              </c:strCache>
            </c:strRef>
          </c:tx>
          <c:spPr>
            <a:solidFill>
              <a:schemeClr val="accent1"/>
            </a:solidFill>
            <a:ln>
              <a:noFill/>
            </a:ln>
            <a:effectLst/>
          </c:spPr>
          <c:invertIfNegative val="0"/>
          <c:dPt>
            <c:idx val="164"/>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5-3455-4AE4-84DA-585414278411}"/>
              </c:ext>
            </c:extLst>
          </c:dPt>
          <c:dPt>
            <c:idx val="165"/>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5-88EE-4847-A189-EE51EBD9D58A}"/>
              </c:ext>
            </c:extLst>
          </c:dPt>
          <c:dPt>
            <c:idx val="166"/>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5-21B7-4464-BE67-03992556709F}"/>
              </c:ext>
            </c:extLst>
          </c:dPt>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Page'!$D$34:$D$41</c15:sqref>
                  </c15:fullRef>
                </c:ext>
              </c:extLst>
              <c:f>'FTES Summary Page'!$D$35:$D$41</c:f>
              <c:numCache>
                <c:formatCode>_(* #,##0_);_(* \(#,##0\);_(* "-"??_);_(@_)</c:formatCode>
                <c:ptCount val="7"/>
                <c:pt idx="0">
                  <c:v>15352</c:v>
                </c:pt>
                <c:pt idx="1">
                  <c:v>14624</c:v>
                </c:pt>
                <c:pt idx="2">
                  <c:v>14799</c:v>
                </c:pt>
                <c:pt idx="3">
                  <c:v>15062</c:v>
                </c:pt>
                <c:pt idx="4">
                  <c:v>15396</c:v>
                </c:pt>
                <c:pt idx="5">
                  <c:v>15738</c:v>
                </c:pt>
                <c:pt idx="6">
                  <c:v>16087</c:v>
                </c:pt>
              </c:numCache>
            </c:numRef>
          </c:val>
          <c:extLst>
            <c:ext xmlns:c16="http://schemas.microsoft.com/office/drawing/2014/chart" uri="{C3380CC4-5D6E-409C-BE32-E72D297353CC}">
              <c16:uniqueId val="{00000004-407B-40D7-9B82-2CAB83BF7C12}"/>
            </c:ext>
          </c:extLst>
        </c:ser>
        <c:ser>
          <c:idx val="2"/>
          <c:order val="2"/>
          <c:tx>
            <c:strRef>
              <c:f>'FTES Summary Page'!$G$33</c:f>
              <c:strCache>
                <c:ptCount val="1"/>
                <c:pt idx="0">
                  <c:v>Overcap *</c:v>
                </c:pt>
              </c:strCache>
            </c:strRef>
          </c:tx>
          <c:spPr>
            <a:solidFill>
              <a:schemeClr val="accent3"/>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Page'!$G$34:$G$41</c15:sqref>
                  </c15:fullRef>
                </c:ext>
              </c:extLst>
              <c:f>'FTES Summary Page'!$G$35:$G$41</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407B-40D7-9B82-2CAB83BF7C12}"/>
            </c:ext>
          </c:extLst>
        </c:ser>
        <c:ser>
          <c:idx val="3"/>
          <c:order val="3"/>
          <c:tx>
            <c:strRef>
              <c:f>'FTES Summary Page'!$I$33</c:f>
              <c:strCache>
                <c:ptCount val="1"/>
                <c:pt idx="0">
                  <c:v>Unfunded</c:v>
                </c:pt>
              </c:strCache>
            </c:strRef>
          </c:tx>
          <c:spPr>
            <a:solidFill>
              <a:schemeClr val="accent4"/>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Page'!$I$34:$I$41</c15:sqref>
                  </c15:fullRef>
                </c:ext>
              </c:extLst>
              <c:f>'FTES Summary Page'!$I$35:$I$41</c:f>
              <c:numCache>
                <c:formatCode>_(* #,##0_);_(* \(#,##0\);_(* "-"??_);_(@_)</c:formatCode>
                <c:ptCount val="7"/>
                <c:pt idx="0">
                  <c:v>-76</c:v>
                </c:pt>
                <c:pt idx="1">
                  <c:v>0</c:v>
                </c:pt>
                <c:pt idx="2">
                  <c:v>225</c:v>
                </c:pt>
                <c:pt idx="3">
                  <c:v>373</c:v>
                </c:pt>
                <c:pt idx="4">
                  <c:v>461</c:v>
                </c:pt>
                <c:pt idx="5">
                  <c:v>552</c:v>
                </c:pt>
                <c:pt idx="6">
                  <c:v>649</c:v>
                </c:pt>
              </c:numCache>
            </c:numRef>
          </c:val>
          <c:extLst>
            <c:ext xmlns:c16="http://schemas.microsoft.com/office/drawing/2014/chart" uri="{C3380CC4-5D6E-409C-BE32-E72D297353CC}">
              <c16:uniqueId val="{00000006-407B-40D7-9B82-2CAB83BF7C12}"/>
            </c:ext>
          </c:extLst>
        </c:ser>
        <c:dLbls>
          <c:showLegendKey val="0"/>
          <c:showVal val="0"/>
          <c:showCatName val="0"/>
          <c:showSerName val="0"/>
          <c:showPercent val="0"/>
          <c:showBubbleSize val="0"/>
        </c:dLbls>
        <c:gapWidth val="95"/>
        <c:overlap val="100"/>
        <c:axId val="435890264"/>
        <c:axId val="435885952"/>
      </c:barChart>
      <c:lineChart>
        <c:grouping val="stacked"/>
        <c:varyColors val="0"/>
        <c:ser>
          <c:idx val="1"/>
          <c:order val="0"/>
          <c:tx>
            <c:strRef>
              <c:f>'FTES Summary Page'!$C$33</c:f>
              <c:strCache>
                <c:ptCount val="1"/>
                <c:pt idx="0">
                  <c:v>Actual</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Page'!$C$34:$C$41</c15:sqref>
                  </c15:fullRef>
                </c:ext>
              </c:extLst>
              <c:f>'FTES Summary Page'!$C$35:$C$41</c:f>
              <c:numCache>
                <c:formatCode>_(* #,##0_);_(* \(#,##0\);_(* "-"??_);_(@_)</c:formatCode>
                <c:ptCount val="7"/>
                <c:pt idx="0">
                  <c:v>15276</c:v>
                </c:pt>
                <c:pt idx="1">
                  <c:v>14624</c:v>
                </c:pt>
                <c:pt idx="2">
                  <c:v>15024</c:v>
                </c:pt>
                <c:pt idx="3">
                  <c:v>15435</c:v>
                </c:pt>
                <c:pt idx="4">
                  <c:v>15857</c:v>
                </c:pt>
                <c:pt idx="5">
                  <c:v>16290</c:v>
                </c:pt>
                <c:pt idx="6">
                  <c:v>16736</c:v>
                </c:pt>
              </c:numCache>
            </c:numRef>
          </c:val>
          <c:smooth val="0"/>
          <c:extLst>
            <c:ext xmlns:c16="http://schemas.microsoft.com/office/drawing/2014/chart" uri="{C3380CC4-5D6E-409C-BE32-E72D297353CC}">
              <c16:uniqueId val="{00000007-407B-40D7-9B82-2CAB83BF7C12}"/>
            </c:ext>
          </c:extLst>
        </c:ser>
        <c:dLbls>
          <c:showLegendKey val="0"/>
          <c:showVal val="0"/>
          <c:showCatName val="0"/>
          <c:showSerName val="0"/>
          <c:showPercent val="0"/>
          <c:showBubbleSize val="0"/>
        </c:dLbls>
        <c:marker val="1"/>
        <c:smooth val="0"/>
        <c:axId val="435890264"/>
        <c:axId val="435885952"/>
      </c:lineChart>
      <c:catAx>
        <c:axId val="43589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5952"/>
        <c:crosses val="autoZero"/>
        <c:auto val="1"/>
        <c:lblAlgn val="ctr"/>
        <c:lblOffset val="100"/>
        <c:noMultiLvlLbl val="0"/>
      </c:catAx>
      <c:valAx>
        <c:axId val="435885952"/>
        <c:scaling>
          <c:orientation val="minMax"/>
          <c:max val="17900"/>
          <c:min val="13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90264"/>
        <c:crosses val="autoZero"/>
        <c:crossBetween val="between"/>
        <c:majorUnit val="500"/>
        <c:min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San Bernardino</a:t>
            </a:r>
            <a:r>
              <a:rPr lang="en-US" b="1" baseline="0"/>
              <a:t> </a:t>
            </a:r>
            <a:r>
              <a:rPr lang="en-US" b="1"/>
              <a:t>Valley College</a:t>
            </a:r>
          </a:p>
          <a:p>
            <a:pPr>
              <a:defRPr/>
            </a:pPr>
            <a:r>
              <a:rPr lang="en-US" sz="1400" b="1" i="0" u="none" strike="noStrike" baseline="0">
                <a:effectLst/>
              </a:rPr>
              <a:t>Enrollment Projections by Fiscal Year</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1"/>
          <c:tx>
            <c:strRef>
              <c:f>'FTES Summary Page'!$D$11</c:f>
              <c:strCache>
                <c:ptCount val="1"/>
                <c:pt idx="0">
                  <c:v>Funded</c:v>
                </c:pt>
              </c:strCache>
            </c:strRef>
          </c:tx>
          <c:spPr>
            <a:solidFill>
              <a:schemeClr val="accent1"/>
            </a:solidFill>
            <a:ln>
              <a:noFill/>
            </a:ln>
            <a:effectLst/>
          </c:spPr>
          <c:invertIfNegative val="0"/>
          <c:dPt>
            <c:idx val="165"/>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3-E1C6-4C4E-9038-49E72EAC3F14}"/>
              </c:ext>
            </c:extLst>
          </c:dPt>
          <c:dPt>
            <c:idx val="166"/>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3-BB04-4E1A-8FD9-181A82D531FD}"/>
              </c:ext>
            </c:extLst>
          </c:dPt>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Page'!$D$12:$D$19</c15:sqref>
                  </c15:fullRef>
                </c:ext>
              </c:extLst>
              <c:f>'FTES Summary Page'!$D$13:$D$19</c:f>
              <c:numCache>
                <c:formatCode>_(* #,##0_);_(* \(#,##0\);_(* "-"??_);_(@_)</c:formatCode>
                <c:ptCount val="7"/>
                <c:pt idx="0">
                  <c:v>10504</c:v>
                </c:pt>
                <c:pt idx="1">
                  <c:v>10284</c:v>
                </c:pt>
                <c:pt idx="2">
                  <c:v>10341</c:v>
                </c:pt>
                <c:pt idx="3">
                  <c:v>10548</c:v>
                </c:pt>
                <c:pt idx="4">
                  <c:v>10759</c:v>
                </c:pt>
                <c:pt idx="5">
                  <c:v>10974</c:v>
                </c:pt>
                <c:pt idx="6">
                  <c:v>11193</c:v>
                </c:pt>
              </c:numCache>
            </c:numRef>
          </c:val>
          <c:extLst>
            <c:ext xmlns:c16="http://schemas.microsoft.com/office/drawing/2014/chart" uri="{C3380CC4-5D6E-409C-BE32-E72D297353CC}">
              <c16:uniqueId val="{00000004-EB34-4B65-A04B-2FE78F742787}"/>
            </c:ext>
          </c:extLst>
        </c:ser>
        <c:ser>
          <c:idx val="2"/>
          <c:order val="2"/>
          <c:tx>
            <c:strRef>
              <c:f>'FTES Summary Page'!$G$11</c:f>
              <c:strCache>
                <c:ptCount val="1"/>
                <c:pt idx="0">
                  <c:v>Overcap *</c:v>
                </c:pt>
              </c:strCache>
            </c:strRef>
          </c:tx>
          <c:spPr>
            <a:solidFill>
              <a:schemeClr val="accent3"/>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Page'!$G$12:$G$19</c15:sqref>
                  </c15:fullRef>
                </c:ext>
              </c:extLst>
              <c:f>'FTES Summary Page'!$G$13:$G$19</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B34-4B65-A04B-2FE78F742787}"/>
            </c:ext>
          </c:extLst>
        </c:ser>
        <c:ser>
          <c:idx val="3"/>
          <c:order val="3"/>
          <c:tx>
            <c:strRef>
              <c:f>'FTES Summary Page'!$I$11</c:f>
              <c:strCache>
                <c:ptCount val="1"/>
                <c:pt idx="0">
                  <c:v>Unfunded</c:v>
                </c:pt>
              </c:strCache>
            </c:strRef>
          </c:tx>
          <c:spPr>
            <a:solidFill>
              <a:schemeClr val="accent4"/>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Page'!$I$12:$I$19</c15:sqref>
                  </c15:fullRef>
                </c:ext>
              </c:extLst>
              <c:f>'FTES Summary Page'!$I$13:$I$19</c:f>
              <c:numCache>
                <c:formatCode>_(* #,##0_);_(* \(#,##0\);_(* "-"??_);_(@_)</c:formatCode>
                <c:ptCount val="7"/>
                <c:pt idx="0">
                  <c:v>181</c:v>
                </c:pt>
                <c:pt idx="1">
                  <c:v>0</c:v>
                </c:pt>
                <c:pt idx="2">
                  <c:v>224</c:v>
                </c:pt>
                <c:pt idx="3">
                  <c:v>305</c:v>
                </c:pt>
                <c:pt idx="4">
                  <c:v>390</c:v>
                </c:pt>
                <c:pt idx="5">
                  <c:v>479</c:v>
                </c:pt>
                <c:pt idx="6">
                  <c:v>573</c:v>
                </c:pt>
              </c:numCache>
            </c:numRef>
          </c:val>
          <c:extLst>
            <c:ext xmlns:c16="http://schemas.microsoft.com/office/drawing/2014/chart" uri="{C3380CC4-5D6E-409C-BE32-E72D297353CC}">
              <c16:uniqueId val="{00000006-EB34-4B65-A04B-2FE78F742787}"/>
            </c:ext>
          </c:extLst>
        </c:ser>
        <c:dLbls>
          <c:showLegendKey val="0"/>
          <c:showVal val="0"/>
          <c:showCatName val="0"/>
          <c:showSerName val="0"/>
          <c:showPercent val="0"/>
          <c:showBubbleSize val="0"/>
        </c:dLbls>
        <c:gapWidth val="95"/>
        <c:overlap val="100"/>
        <c:axId val="435888696"/>
        <c:axId val="435889088"/>
      </c:barChart>
      <c:lineChart>
        <c:grouping val="stacked"/>
        <c:varyColors val="0"/>
        <c:ser>
          <c:idx val="1"/>
          <c:order val="0"/>
          <c:tx>
            <c:strRef>
              <c:f>'FTES Summary Page'!$C$11</c:f>
              <c:strCache>
                <c:ptCount val="1"/>
                <c:pt idx="0">
                  <c:v>Actual</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Page'!$C$12:$C$19</c15:sqref>
                  </c15:fullRef>
                </c:ext>
              </c:extLst>
              <c:f>'FTES Summary Page'!$C$13:$C$19</c:f>
              <c:numCache>
                <c:formatCode>_(* #,##0_);_(* \(#,##0\);_(* "-"??_);_(@_)</c:formatCode>
                <c:ptCount val="7"/>
                <c:pt idx="0">
                  <c:v>10685</c:v>
                </c:pt>
                <c:pt idx="1">
                  <c:v>10284</c:v>
                </c:pt>
                <c:pt idx="2">
                  <c:v>10565</c:v>
                </c:pt>
                <c:pt idx="3">
                  <c:v>10853</c:v>
                </c:pt>
                <c:pt idx="4">
                  <c:v>11149</c:v>
                </c:pt>
                <c:pt idx="5">
                  <c:v>11453</c:v>
                </c:pt>
                <c:pt idx="6">
                  <c:v>11766</c:v>
                </c:pt>
              </c:numCache>
            </c:numRef>
          </c:val>
          <c:smooth val="0"/>
          <c:extLst>
            <c:ext xmlns:c16="http://schemas.microsoft.com/office/drawing/2014/chart" uri="{C3380CC4-5D6E-409C-BE32-E72D297353CC}">
              <c16:uniqueId val="{00000007-EB34-4B65-A04B-2FE78F742787}"/>
            </c:ext>
          </c:extLst>
        </c:ser>
        <c:dLbls>
          <c:showLegendKey val="0"/>
          <c:showVal val="0"/>
          <c:showCatName val="0"/>
          <c:showSerName val="0"/>
          <c:showPercent val="0"/>
          <c:showBubbleSize val="0"/>
        </c:dLbls>
        <c:marker val="1"/>
        <c:smooth val="0"/>
        <c:axId val="435888696"/>
        <c:axId val="435889088"/>
      </c:lineChart>
      <c:catAx>
        <c:axId val="43588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9088"/>
        <c:crosses val="autoZero"/>
        <c:auto val="1"/>
        <c:lblAlgn val="ctr"/>
        <c:lblOffset val="100"/>
        <c:noMultiLvlLbl val="0"/>
      </c:catAx>
      <c:valAx>
        <c:axId val="435889088"/>
        <c:scaling>
          <c:orientation val="minMax"/>
          <c:max val="12400"/>
          <c:min val="8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86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Crafton Hills College</a:t>
            </a:r>
          </a:p>
          <a:p>
            <a:pPr>
              <a:defRPr/>
            </a:pPr>
            <a:r>
              <a:rPr lang="en-US" sz="1400" b="1" i="0" u="none" strike="noStrike" baseline="0">
                <a:effectLst/>
              </a:rPr>
              <a:t>Enrollment Projections by Fiscal Year</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1"/>
          <c:tx>
            <c:strRef>
              <c:f>'FTES Summary Page'!$D$22</c:f>
              <c:strCache>
                <c:ptCount val="1"/>
                <c:pt idx="0">
                  <c:v>Funded</c:v>
                </c:pt>
              </c:strCache>
            </c:strRef>
          </c:tx>
          <c:spPr>
            <a:solidFill>
              <a:schemeClr val="accent1"/>
            </a:solidFill>
            <a:ln>
              <a:noFill/>
            </a:ln>
            <a:effectLst/>
          </c:spPr>
          <c:invertIfNegative val="0"/>
          <c:dPt>
            <c:idx val="165"/>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3-A764-49DD-A947-784D01B46BDD}"/>
              </c:ext>
            </c:extLst>
          </c:dPt>
          <c:dPt>
            <c:idx val="166"/>
            <c:invertIfNegative val="0"/>
            <c:bubble3D val="0"/>
            <c:spPr>
              <a:solidFill>
                <a:schemeClr val="accent2"/>
              </a:solidFill>
              <a:ln w="25400" cap="flat" cmpd="sng" algn="ctr">
                <a:solidFill>
                  <a:schemeClr val="accent2">
                    <a:shade val="50000"/>
                  </a:schemeClr>
                </a:solidFill>
                <a:prstDash val="solid"/>
              </a:ln>
              <a:effectLst/>
            </c:spPr>
            <c:extLst>
              <c:ext xmlns:c16="http://schemas.microsoft.com/office/drawing/2014/chart" uri="{C3380CC4-5D6E-409C-BE32-E72D297353CC}">
                <c16:uniqueId val="{00000003-4E72-42B3-B4DC-E6E8F5CCE37B}"/>
              </c:ext>
            </c:extLst>
          </c:dPt>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Page'!$D$23:$D$30</c15:sqref>
                  </c15:fullRef>
                </c:ext>
              </c:extLst>
              <c:f>'FTES Summary Page'!$D$24:$D$30</c:f>
              <c:numCache>
                <c:formatCode>_(* #,##0_);_(* \(#,##0\);_(* "-"??_);_(@_)</c:formatCode>
                <c:ptCount val="7"/>
                <c:pt idx="0">
                  <c:v>4848</c:v>
                </c:pt>
                <c:pt idx="1">
                  <c:v>4340</c:v>
                </c:pt>
                <c:pt idx="2">
                  <c:v>4458</c:v>
                </c:pt>
                <c:pt idx="3">
                  <c:v>4514</c:v>
                </c:pt>
                <c:pt idx="4">
                  <c:v>4637</c:v>
                </c:pt>
                <c:pt idx="5">
                  <c:v>4764</c:v>
                </c:pt>
                <c:pt idx="6">
                  <c:v>4894</c:v>
                </c:pt>
              </c:numCache>
            </c:numRef>
          </c:val>
          <c:extLst>
            <c:ext xmlns:c16="http://schemas.microsoft.com/office/drawing/2014/chart" uri="{C3380CC4-5D6E-409C-BE32-E72D297353CC}">
              <c16:uniqueId val="{00000004-BE70-4E6C-BE81-B405BDD4467E}"/>
            </c:ext>
          </c:extLst>
        </c:ser>
        <c:ser>
          <c:idx val="2"/>
          <c:order val="2"/>
          <c:tx>
            <c:strRef>
              <c:f>'FTES Summary Page'!$G$22</c:f>
              <c:strCache>
                <c:ptCount val="1"/>
                <c:pt idx="0">
                  <c:v>Overcap *</c:v>
                </c:pt>
              </c:strCache>
            </c:strRef>
          </c:tx>
          <c:spPr>
            <a:solidFill>
              <a:schemeClr val="accent3"/>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Page'!$G$23:$G$30</c15:sqref>
                  </c15:fullRef>
                </c:ext>
              </c:extLst>
              <c:f>'FTES Summary Page'!$G$24:$G$30</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BE70-4E6C-BE81-B405BDD4467E}"/>
            </c:ext>
          </c:extLst>
        </c:ser>
        <c:ser>
          <c:idx val="3"/>
          <c:order val="3"/>
          <c:tx>
            <c:strRef>
              <c:f>'FTES Summary Page'!$I$22</c:f>
              <c:strCache>
                <c:ptCount val="1"/>
                <c:pt idx="0">
                  <c:v>Unfunded</c:v>
                </c:pt>
              </c:strCache>
            </c:strRef>
          </c:tx>
          <c:spPr>
            <a:solidFill>
              <a:schemeClr val="accent4"/>
            </a:solidFill>
            <a:ln>
              <a:noFill/>
            </a:ln>
            <a:effectLst/>
          </c:spPr>
          <c:invertIfNegative val="0"/>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Page'!$I$23:$I$30</c15:sqref>
                  </c15:fullRef>
                </c:ext>
              </c:extLst>
              <c:f>'FTES Summary Page'!$I$24:$I$30</c:f>
              <c:numCache>
                <c:formatCode>_(* #,##0_);_(* \(#,##0\);_(* "-"??_);_(@_)</c:formatCode>
                <c:ptCount val="7"/>
                <c:pt idx="0">
                  <c:v>-257</c:v>
                </c:pt>
                <c:pt idx="1">
                  <c:v>0</c:v>
                </c:pt>
                <c:pt idx="2">
                  <c:v>1</c:v>
                </c:pt>
                <c:pt idx="3">
                  <c:v>68</c:v>
                </c:pt>
                <c:pt idx="4">
                  <c:v>71</c:v>
                </c:pt>
                <c:pt idx="5">
                  <c:v>73</c:v>
                </c:pt>
                <c:pt idx="6">
                  <c:v>76</c:v>
                </c:pt>
              </c:numCache>
            </c:numRef>
          </c:val>
          <c:extLst>
            <c:ext xmlns:c16="http://schemas.microsoft.com/office/drawing/2014/chart" uri="{C3380CC4-5D6E-409C-BE32-E72D297353CC}">
              <c16:uniqueId val="{00000006-BE70-4E6C-BE81-B405BDD4467E}"/>
            </c:ext>
          </c:extLst>
        </c:ser>
        <c:dLbls>
          <c:showLegendKey val="0"/>
          <c:showVal val="0"/>
          <c:showCatName val="0"/>
          <c:showSerName val="0"/>
          <c:showPercent val="0"/>
          <c:showBubbleSize val="0"/>
        </c:dLbls>
        <c:gapWidth val="95"/>
        <c:overlap val="100"/>
        <c:axId val="435889872"/>
        <c:axId val="435883208"/>
      </c:barChart>
      <c:lineChart>
        <c:grouping val="stacked"/>
        <c:varyColors val="0"/>
        <c:ser>
          <c:idx val="1"/>
          <c:order val="0"/>
          <c:tx>
            <c:strRef>
              <c:f>'FTES Summary Page'!$C$22</c:f>
              <c:strCache>
                <c:ptCount val="1"/>
                <c:pt idx="0">
                  <c:v>Actual</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'FTES Summary Page'!$A$12:$A$19</c15:sqref>
                  </c15:fullRef>
                </c:ext>
              </c:extLst>
              <c:f>'FTES Summary Page'!$A$13:$A$19</c:f>
              <c:strCache>
                <c:ptCount val="7"/>
                <c:pt idx="0">
                  <c:v>17-18</c:v>
                </c:pt>
                <c:pt idx="1">
                  <c:v>18-19</c:v>
                </c:pt>
                <c:pt idx="2">
                  <c:v>19-20</c:v>
                </c:pt>
                <c:pt idx="3">
                  <c:v>20-21</c:v>
                </c:pt>
                <c:pt idx="4">
                  <c:v>21-22</c:v>
                </c:pt>
                <c:pt idx="5">
                  <c:v>22-23</c:v>
                </c:pt>
                <c:pt idx="6">
                  <c:v>23-24</c:v>
                </c:pt>
              </c:strCache>
            </c:strRef>
          </c:cat>
          <c:val>
            <c:numRef>
              <c:extLst>
                <c:ext xmlns:c15="http://schemas.microsoft.com/office/drawing/2012/chart" uri="{02D57815-91ED-43cb-92C2-25804820EDAC}">
                  <c15:fullRef>
                    <c15:sqref>'FTES Summary Page'!$C$23:$C$30</c15:sqref>
                  </c15:fullRef>
                </c:ext>
              </c:extLst>
              <c:f>'FTES Summary Page'!$C$24:$C$30</c:f>
              <c:numCache>
                <c:formatCode>_(* #,##0_);_(* \(#,##0\);_(* "-"??_);_(@_)</c:formatCode>
                <c:ptCount val="7"/>
                <c:pt idx="0">
                  <c:v>4591</c:v>
                </c:pt>
                <c:pt idx="1">
                  <c:v>4340</c:v>
                </c:pt>
                <c:pt idx="2">
                  <c:v>4459</c:v>
                </c:pt>
                <c:pt idx="3">
                  <c:v>4582</c:v>
                </c:pt>
                <c:pt idx="4">
                  <c:v>4708</c:v>
                </c:pt>
                <c:pt idx="5">
                  <c:v>4837</c:v>
                </c:pt>
                <c:pt idx="6">
                  <c:v>4970</c:v>
                </c:pt>
              </c:numCache>
            </c:numRef>
          </c:val>
          <c:smooth val="0"/>
          <c:extLst>
            <c:ext xmlns:c16="http://schemas.microsoft.com/office/drawing/2014/chart" uri="{C3380CC4-5D6E-409C-BE32-E72D297353CC}">
              <c16:uniqueId val="{00000007-BE70-4E6C-BE81-B405BDD4467E}"/>
            </c:ext>
          </c:extLst>
        </c:ser>
        <c:dLbls>
          <c:showLegendKey val="0"/>
          <c:showVal val="0"/>
          <c:showCatName val="0"/>
          <c:showSerName val="0"/>
          <c:showPercent val="0"/>
          <c:showBubbleSize val="0"/>
        </c:dLbls>
        <c:marker val="1"/>
        <c:smooth val="0"/>
        <c:axId val="435889872"/>
        <c:axId val="435883208"/>
      </c:lineChart>
      <c:catAx>
        <c:axId val="43588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3208"/>
        <c:crosses val="autoZero"/>
        <c:auto val="1"/>
        <c:lblAlgn val="ctr"/>
        <c:lblOffset val="100"/>
        <c:noMultiLvlLbl val="0"/>
      </c:catAx>
      <c:valAx>
        <c:axId val="435883208"/>
        <c:scaling>
          <c:orientation val="minMax"/>
          <c:max val="5800"/>
          <c:min val="3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889872"/>
        <c:crosses val="autoZero"/>
        <c:crossBetween val="between"/>
        <c:majorUnit val="200"/>
        <c:min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sheet1.xml><?xml version="1.0" encoding="utf-8"?>
<chartsheet xmlns="http://schemas.openxmlformats.org/spreadsheetml/2006/main" xmlns:r="http://schemas.openxmlformats.org/officeDocument/2006/relationships">
  <sheetPr codeName="Chart2">
    <tabColor rgb="FFFFFF00"/>
  </sheetPr>
  <sheetViews>
    <sheetView workbookViewId="0"/>
  </sheetViews>
  <pageMargins left="0.2" right="0.2" top="0.5" bottom="0.5" header="0.3" footer="0.3"/>
  <pageSetup orientation="landscape" r:id="rId1"/>
  <headerFooter>
    <oddHeader>&amp;C&amp;"-,Bold"&amp;14&amp;A</oddHeader>
  </headerFooter>
  <drawing r:id="rId2"/>
</chartsheet>
</file>

<file path=xl/chartsheets/sheet2.xml><?xml version="1.0" encoding="utf-8"?>
<chartsheet xmlns="http://schemas.openxmlformats.org/spreadsheetml/2006/main" xmlns:r="http://schemas.openxmlformats.org/officeDocument/2006/relationships">
  <sheetPr codeName="Chart3">
    <tabColor rgb="FFFFC000"/>
  </sheetPr>
  <sheetViews>
    <sheetView workbookViewId="0"/>
  </sheetViews>
  <pageMargins left="0.2" right="0.2" top="0.5" bottom="0.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codeName="Chart5">
    <tabColor rgb="FFFFC000"/>
  </sheetPr>
  <sheetViews>
    <sheetView zoomScale="70" workbookViewId="0"/>
  </sheetViews>
  <pageMargins left="0.2" right="0.2" top="0.5" bottom="0.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codeName="Chart6">
    <tabColor theme="7"/>
  </sheetPr>
  <sheetViews>
    <sheetView zoomScale="118" workbookViewId="0" zoomToFit="1"/>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codeName="Chart7">
    <tabColor theme="4"/>
  </sheetPr>
  <sheetViews>
    <sheetView zoomScale="118" workbookViewId="0" zoomToFit="1"/>
  </sheetViews>
  <pageMargins left="0.7" right="0.7" top="0.75" bottom="0.7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sheetPr codeName="Chart8">
    <tabColor theme="6"/>
  </sheetPr>
  <sheetViews>
    <sheetView zoomScale="118" workbookViewId="0" zoomToFit="1"/>
  </sheetViews>
  <pageMargins left="0.7" right="0.7" top="0.75" bottom="0.75" header="0.3" footer="0.3"/>
  <pageSetup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1_4" csCatId="accent1" phldr="1"/>
      <dgm:spPr/>
      <dgm:t>
        <a:bodyPr/>
        <a:lstStyle/>
        <a:p>
          <a:endParaRPr lang="en-US"/>
        </a:p>
      </dgm:t>
    </dgm:pt>
    <dgm:pt modelId="{E8CCAD3A-6999-49D6-9754-08C9546FC629}">
      <dgm:prSet phldrT="[Text]"/>
      <dgm:spPr/>
      <dgm:t>
        <a:bodyPr/>
        <a:lstStyle/>
        <a:p>
          <a:r>
            <a:rPr lang="en-US"/>
            <a:t>FY 14-15</a:t>
          </a:r>
          <a:br>
            <a:rPr lang="en-US"/>
          </a:br>
          <a:r>
            <a:rPr lang="en-US"/>
            <a:t>Actual FTES 14,689</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Actual FTES</a:t>
          </a:r>
          <a:br>
            <a:rPr lang="en-US"/>
          </a:br>
          <a:r>
            <a:rPr lang="en-US"/>
            <a:t>10,100</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Actual FTES</a:t>
          </a:r>
          <a:br>
            <a:rPr lang="en-US"/>
          </a:br>
          <a:r>
            <a:rPr lang="en-US"/>
            <a:t>4,589</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D1A946C0-33EB-4787-8FF9-9583CFE29B60}" srcId="{E8CCAD3A-6999-49D6-9754-08C9546FC629}" destId="{AB5E06CB-E905-4D41-A9C7-9131F04DC9CE}" srcOrd="1" destOrd="0" parTransId="{5884FD07-7F21-451D-A621-FCA5946FB9B1}" sibTransId="{65F99840-2CD2-4AAF-ADFF-868F2DBC1686}"/>
    <dgm:cxn modelId="{1F056F42-580E-47E2-B29B-EE1943C68E25}" type="presOf" srcId="{5884FD07-7F21-451D-A621-FCA5946FB9B1}" destId="{4217B007-CB58-45F8-9D91-EE7CA77AFD73}" srcOrd="0" destOrd="0" presId="urn:microsoft.com/office/officeart/2005/8/layout/orgChart1"/>
    <dgm:cxn modelId="{EE51DB02-63B5-4AE2-BA85-60B4A0FE43AC}" srcId="{E8CCAD3A-6999-49D6-9754-08C9546FC629}" destId="{29F6E1F5-0C63-42D9-AFD5-ADFCE333AE61}" srcOrd="0" destOrd="0" parTransId="{77834915-5271-40BC-B924-C00C7152C092}" sibTransId="{0F55E717-0464-4A75-9160-641A64DF4BB8}"/>
    <dgm:cxn modelId="{942D4852-706B-4649-8F3C-7B266AD65BD7}" type="presOf" srcId="{AB5E06CB-E905-4D41-A9C7-9131F04DC9CE}" destId="{76D12F87-154D-4D4C-8B48-D14EC83FB4A5}" srcOrd="0" destOrd="0" presId="urn:microsoft.com/office/officeart/2005/8/layout/orgChart1"/>
    <dgm:cxn modelId="{26ED93DD-220C-4329-B79A-045FBC656241}" type="presOf" srcId="{77834915-5271-40BC-B924-C00C7152C092}" destId="{C920F0D6-857B-4246-9E40-606D60223ABB}" srcOrd="0" destOrd="0" presId="urn:microsoft.com/office/officeart/2005/8/layout/orgChart1"/>
    <dgm:cxn modelId="{9B54F7FA-F460-48A3-9E6E-D8EDB4AF6D7A}" type="presOf" srcId="{29F6E1F5-0C63-42D9-AFD5-ADFCE333AE61}" destId="{BA0E7B03-1E33-494E-9E4F-2FB983E0EA86}" srcOrd="1" destOrd="0" presId="urn:microsoft.com/office/officeart/2005/8/layout/orgChart1"/>
    <dgm:cxn modelId="{BC305F0C-DD11-42D4-866D-A2A3FB71179D}" type="presOf" srcId="{AB5E06CB-E905-4D41-A9C7-9131F04DC9CE}" destId="{F331F064-3FFE-467B-B6F4-76EC69DA166D}" srcOrd="1" destOrd="0" presId="urn:microsoft.com/office/officeart/2005/8/layout/orgChart1"/>
    <dgm:cxn modelId="{54E86B97-AAA6-4A54-8D40-64299689C431}" type="presOf" srcId="{E8CCAD3A-6999-49D6-9754-08C9546FC629}" destId="{27153E03-22AE-4A7E-956B-1489E8B03DDC}" srcOrd="1"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1010808B-6388-499C-BFCE-183205A0C699}" type="presOf" srcId="{F41350D7-B49F-4D9D-B76A-397EF1F48859}" destId="{35FB5D63-D052-4C37-BB35-C884386B69B4}" srcOrd="0" destOrd="0" presId="urn:microsoft.com/office/officeart/2005/8/layout/orgChart1"/>
    <dgm:cxn modelId="{0C0554EE-25BD-466B-89FE-536F110AC78D}" type="presOf" srcId="{29F6E1F5-0C63-42D9-AFD5-ADFCE333AE61}" destId="{5F413E7A-418C-4C4B-95A5-C3078AA40D16}" srcOrd="0" destOrd="0" presId="urn:microsoft.com/office/officeart/2005/8/layout/orgChart1"/>
    <dgm:cxn modelId="{0E140D0E-D492-4F2E-9265-1FB90A32A1F9}" type="presOf" srcId="{E8CCAD3A-6999-49D6-9754-08C9546FC629}" destId="{24F041FE-9FC7-4776-A76E-9D7A5B7921DA}" srcOrd="0" destOrd="0" presId="urn:microsoft.com/office/officeart/2005/8/layout/orgChart1"/>
    <dgm:cxn modelId="{9571CFF4-01D5-4F51-9B8C-1FC6AEC9DA4A}" type="presParOf" srcId="{35FB5D63-D052-4C37-BB35-C884386B69B4}" destId="{2DB0B1C5-A778-4364-9F16-0B302BC31BF7}" srcOrd="0" destOrd="0" presId="urn:microsoft.com/office/officeart/2005/8/layout/orgChart1"/>
    <dgm:cxn modelId="{CFB20549-537B-4D41-A6D6-D8B8E096CEC1}" type="presParOf" srcId="{2DB0B1C5-A778-4364-9F16-0B302BC31BF7}" destId="{D5C40014-B393-4E70-8741-CE83E7EC85CB}" srcOrd="0" destOrd="0" presId="urn:microsoft.com/office/officeart/2005/8/layout/orgChart1"/>
    <dgm:cxn modelId="{8D5B4141-E07C-445E-96D6-3E8FECA9E627}" type="presParOf" srcId="{D5C40014-B393-4E70-8741-CE83E7EC85CB}" destId="{24F041FE-9FC7-4776-A76E-9D7A5B7921DA}" srcOrd="0" destOrd="0" presId="urn:microsoft.com/office/officeart/2005/8/layout/orgChart1"/>
    <dgm:cxn modelId="{E48E56AB-F640-4602-B34D-7EDF186BE654}" type="presParOf" srcId="{D5C40014-B393-4E70-8741-CE83E7EC85CB}" destId="{27153E03-22AE-4A7E-956B-1489E8B03DDC}" srcOrd="1" destOrd="0" presId="urn:microsoft.com/office/officeart/2005/8/layout/orgChart1"/>
    <dgm:cxn modelId="{63673A58-A1E1-4DEF-8797-9E0F7D74F370}" type="presParOf" srcId="{2DB0B1C5-A778-4364-9F16-0B302BC31BF7}" destId="{5ECAD1AC-4244-40AC-BC34-8C6A61CC52ED}" srcOrd="1" destOrd="0" presId="urn:microsoft.com/office/officeart/2005/8/layout/orgChart1"/>
    <dgm:cxn modelId="{D13850E0-3640-4101-9A4D-3A9AA82FFE79}" type="presParOf" srcId="{5ECAD1AC-4244-40AC-BC34-8C6A61CC52ED}" destId="{C920F0D6-857B-4246-9E40-606D60223ABB}" srcOrd="0" destOrd="0" presId="urn:microsoft.com/office/officeart/2005/8/layout/orgChart1"/>
    <dgm:cxn modelId="{B3584E0A-6B0C-4D12-95B0-AD329114E6C2}" type="presParOf" srcId="{5ECAD1AC-4244-40AC-BC34-8C6A61CC52ED}" destId="{62FC274B-019A-4985-803D-C214243D0D44}" srcOrd="1" destOrd="0" presId="urn:microsoft.com/office/officeart/2005/8/layout/orgChart1"/>
    <dgm:cxn modelId="{E2207406-9C82-44F9-AB11-A8B246A6CEDD}" type="presParOf" srcId="{62FC274B-019A-4985-803D-C214243D0D44}" destId="{A8A00537-422F-4DD4-BB92-E74530A11980}" srcOrd="0" destOrd="0" presId="urn:microsoft.com/office/officeart/2005/8/layout/orgChart1"/>
    <dgm:cxn modelId="{5506B1D5-071E-4A7F-83FA-2D5612FAF2D7}" type="presParOf" srcId="{A8A00537-422F-4DD4-BB92-E74530A11980}" destId="{5F413E7A-418C-4C4B-95A5-C3078AA40D16}" srcOrd="0" destOrd="0" presId="urn:microsoft.com/office/officeart/2005/8/layout/orgChart1"/>
    <dgm:cxn modelId="{70107856-CBD7-470A-A8DC-9235553CBA4C}" type="presParOf" srcId="{A8A00537-422F-4DD4-BB92-E74530A11980}" destId="{BA0E7B03-1E33-494E-9E4F-2FB983E0EA86}" srcOrd="1" destOrd="0" presId="urn:microsoft.com/office/officeart/2005/8/layout/orgChart1"/>
    <dgm:cxn modelId="{9192D89D-1C42-4D4A-8BEA-3B163A70690F}" type="presParOf" srcId="{62FC274B-019A-4985-803D-C214243D0D44}" destId="{0132F9DE-BC28-4CF2-BF0B-7CC143187751}" srcOrd="1" destOrd="0" presId="urn:microsoft.com/office/officeart/2005/8/layout/orgChart1"/>
    <dgm:cxn modelId="{2E5AFED7-F2C2-4348-A3ED-5E11992B2932}" type="presParOf" srcId="{62FC274B-019A-4985-803D-C214243D0D44}" destId="{E5ED30A6-EDA9-4987-9099-B10B16D7EAB2}" srcOrd="2" destOrd="0" presId="urn:microsoft.com/office/officeart/2005/8/layout/orgChart1"/>
    <dgm:cxn modelId="{02AA3AFE-8249-4F2A-B2DF-6DD30F7DE75A}" type="presParOf" srcId="{5ECAD1AC-4244-40AC-BC34-8C6A61CC52ED}" destId="{4217B007-CB58-45F8-9D91-EE7CA77AFD73}" srcOrd="2" destOrd="0" presId="urn:microsoft.com/office/officeart/2005/8/layout/orgChart1"/>
    <dgm:cxn modelId="{5544946B-A3C0-4849-890B-CE65B371B04E}" type="presParOf" srcId="{5ECAD1AC-4244-40AC-BC34-8C6A61CC52ED}" destId="{5C5576D8-2618-4B15-B0E7-90EBF73A4033}" srcOrd="3" destOrd="0" presId="urn:microsoft.com/office/officeart/2005/8/layout/orgChart1"/>
    <dgm:cxn modelId="{F6DB873B-735F-4D46-9005-2CC7A4714A6A}" type="presParOf" srcId="{5C5576D8-2618-4B15-B0E7-90EBF73A4033}" destId="{097FA788-E9F9-460D-A3C8-52FBED03C306}" srcOrd="0" destOrd="0" presId="urn:microsoft.com/office/officeart/2005/8/layout/orgChart1"/>
    <dgm:cxn modelId="{2CCB0168-E2BE-49B2-9931-39A249F5836D}" type="presParOf" srcId="{097FA788-E9F9-460D-A3C8-52FBED03C306}" destId="{76D12F87-154D-4D4C-8B48-D14EC83FB4A5}" srcOrd="0" destOrd="0" presId="urn:microsoft.com/office/officeart/2005/8/layout/orgChart1"/>
    <dgm:cxn modelId="{58ABB4CE-E495-4934-A45D-95F4F1C5C977}" type="presParOf" srcId="{097FA788-E9F9-460D-A3C8-52FBED03C306}" destId="{F331F064-3FFE-467B-B6F4-76EC69DA166D}" srcOrd="1" destOrd="0" presId="urn:microsoft.com/office/officeart/2005/8/layout/orgChart1"/>
    <dgm:cxn modelId="{7AA7AAAC-BF2B-4A22-BAB6-759605D3BAB3}" type="presParOf" srcId="{5C5576D8-2618-4B15-B0E7-90EBF73A4033}" destId="{6EA9584C-C0AB-4FE7-8D1C-BE98DDFA5920}" srcOrd="1" destOrd="0" presId="urn:microsoft.com/office/officeart/2005/8/layout/orgChart1"/>
    <dgm:cxn modelId="{DC8C211B-3F31-4709-B74C-03C4DF610826}" type="presParOf" srcId="{5C5576D8-2618-4B15-B0E7-90EBF73A4033}" destId="{BA035CBB-D9CA-4ABE-AB02-4D8D59768CCF}" srcOrd="2" destOrd="0" presId="urn:microsoft.com/office/officeart/2005/8/layout/orgChart1"/>
    <dgm:cxn modelId="{415D31E2-E1E3-4AA8-A42C-2776CBDB11AE}" type="presParOf" srcId="{2DB0B1C5-A778-4364-9F16-0B302BC31BF7}" destId="{AAC949D0-CB87-4178-B9E6-612CD8E57E87}" srcOrd="2" destOrd="0" presId="urn:microsoft.com/office/officeart/2005/8/layout/orgChart1"/>
  </dgm:cxnLst>
  <dgm:bg>
    <a:no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3_2" csCatId="accent3" phldr="1"/>
      <dgm:spPr/>
      <dgm:t>
        <a:bodyPr/>
        <a:lstStyle/>
        <a:p>
          <a:endParaRPr lang="en-US"/>
        </a:p>
      </dgm:t>
    </dgm:pt>
    <dgm:pt modelId="{E8CCAD3A-6999-49D6-9754-08C9546FC629}">
      <dgm:prSet phldrT="[Text]"/>
      <dgm:spPr/>
      <dgm:t>
        <a:bodyPr/>
        <a:lstStyle/>
        <a:p>
          <a:r>
            <a:rPr lang="en-US"/>
            <a:t>FY 14-15</a:t>
          </a:r>
          <a:br>
            <a:rPr lang="en-US"/>
          </a:br>
          <a:r>
            <a:rPr lang="en-US"/>
            <a:t>Funded FTES </a:t>
          </a:r>
          <a:br>
            <a:rPr lang="en-US"/>
          </a:br>
          <a:r>
            <a:rPr lang="en-US"/>
            <a:t>13,845</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Funded FTES</a:t>
          </a:r>
          <a:br>
            <a:rPr lang="en-US"/>
          </a:br>
          <a:r>
            <a:rPr lang="en-US"/>
            <a:t>10,100</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Funded FTES</a:t>
          </a:r>
          <a:br>
            <a:rPr lang="en-US"/>
          </a:br>
          <a:r>
            <a:rPr lang="en-US"/>
            <a:t>3,745</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989C22DD-554F-48A7-898A-148927E3384F}">
      <dgm:prSet/>
      <dgm:spPr/>
      <dgm:t>
        <a:bodyPr/>
        <a:lstStyle/>
        <a:p>
          <a:r>
            <a:rPr lang="en-US"/>
            <a:t>Crafton</a:t>
          </a:r>
          <a:br>
            <a:rPr lang="en-US"/>
          </a:br>
          <a:r>
            <a:rPr lang="en-US"/>
            <a:t>Unfunded FTES</a:t>
          </a:r>
          <a:br>
            <a:rPr lang="en-US"/>
          </a:br>
          <a:r>
            <a:rPr lang="en-US"/>
            <a:t>844</a:t>
          </a:r>
        </a:p>
      </dgm:t>
    </dgm:pt>
    <dgm:pt modelId="{88FA84CB-6F38-490B-ABD4-A88CB603C2FE}" type="parTrans" cxnId="{5290BD3F-59F2-4467-95A3-B86E25FE4651}">
      <dgm:prSet/>
      <dgm:spPr/>
      <dgm:t>
        <a:bodyPr/>
        <a:lstStyle/>
        <a:p>
          <a:endParaRPr lang="en-US"/>
        </a:p>
      </dgm:t>
    </dgm:pt>
    <dgm:pt modelId="{37F93542-F424-4853-8C9D-B52E1BFC09D8}" type="sibTrans" cxnId="{5290BD3F-59F2-4467-95A3-B86E25FE4651}">
      <dgm:prSet/>
      <dgm:spPr/>
      <dgm:t>
        <a:bodyPr/>
        <a:lstStyle/>
        <a:p>
          <a:endParaRPr lang="en-US"/>
        </a:p>
      </dgm:t>
    </dgm:pt>
    <dgm:pt modelId="{7D41733E-2B8F-432C-A62A-74CC50026BB2}">
      <dgm:prSet/>
      <dgm:spPr/>
      <dgm:t>
        <a:bodyPr/>
        <a:lstStyle/>
        <a:p>
          <a:r>
            <a:rPr lang="en-US"/>
            <a:t>Overcap FTES</a:t>
          </a:r>
          <a:br>
            <a:rPr lang="en-US"/>
          </a:br>
          <a:r>
            <a:rPr lang="en-US"/>
            <a:t>437 </a:t>
          </a:r>
          <a:br>
            <a:rPr lang="en-US"/>
          </a:br>
          <a:r>
            <a:rPr lang="en-US"/>
            <a:t>(407 Unfunded)</a:t>
          </a:r>
        </a:p>
      </dgm:t>
    </dgm:pt>
    <dgm:pt modelId="{C9AE0391-2636-4799-B887-FB0DDBCC006A}" type="parTrans" cxnId="{AD00D175-C42F-4139-A172-964F5490E331}">
      <dgm:prSet/>
      <dgm:spPr/>
      <dgm:t>
        <a:bodyPr/>
        <a:lstStyle/>
        <a:p>
          <a:endParaRPr lang="en-US"/>
        </a:p>
      </dgm:t>
    </dgm:pt>
    <dgm:pt modelId="{CB10DA6B-8565-4100-AE60-74FB88357E47}" type="sibTrans" cxnId="{AD00D175-C42F-4139-A172-964F5490E331}">
      <dgm:prSet/>
      <dgm:spPr/>
      <dgm:t>
        <a:bodyPr/>
        <a:lstStyle/>
        <a:p>
          <a:endParaRPr lang="en-US"/>
        </a:p>
      </dgm:t>
    </dgm:pt>
    <dgm:pt modelId="{AB00E433-F664-421A-905F-43577D5A8FEF}">
      <dgm:prSet/>
      <dgm:spPr/>
      <dgm:t>
        <a:bodyPr/>
        <a:lstStyle/>
        <a:p>
          <a:r>
            <a:rPr lang="en-US"/>
            <a:t>Valley</a:t>
          </a:r>
          <a:br>
            <a:rPr lang="en-US"/>
          </a:br>
          <a:r>
            <a:rPr lang="en-US"/>
            <a:t>Unfunded FTES</a:t>
          </a:r>
          <a:br>
            <a:rPr lang="en-US"/>
          </a:br>
          <a:r>
            <a:rPr lang="en-US"/>
            <a:t>0</a:t>
          </a:r>
        </a:p>
      </dgm:t>
    </dgm:pt>
    <dgm:pt modelId="{841BAD81-36F3-4417-B3FE-3D899C40B398}" type="parTrans" cxnId="{C43A99E6-D8FD-4829-A615-8F6332F2B17D}">
      <dgm:prSet/>
      <dgm:spPr/>
      <dgm:t>
        <a:bodyPr/>
        <a:lstStyle/>
        <a:p>
          <a:endParaRPr lang="en-US"/>
        </a:p>
      </dgm:t>
    </dgm:pt>
    <dgm:pt modelId="{6EEDCE3D-E134-49C4-825C-8F57A31624BE}" type="sibTrans" cxnId="{C43A99E6-D8FD-4829-A615-8F6332F2B17D}">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custLinFactNeighborY="-1236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ABA7130F-3B15-4FC0-A44C-7EE71EC4AC3B}" type="pres">
      <dgm:prSet presAssocID="{841BAD81-36F3-4417-B3FE-3D899C40B398}" presName="Name37" presStyleLbl="parChTrans1D3" presStyleIdx="0" presStyleCnt="2"/>
      <dgm:spPr/>
      <dgm:t>
        <a:bodyPr/>
        <a:lstStyle/>
        <a:p>
          <a:endParaRPr lang="en-US"/>
        </a:p>
      </dgm:t>
    </dgm:pt>
    <dgm:pt modelId="{D91BC85D-F9CE-4EB3-84CB-142A3538ED44}" type="pres">
      <dgm:prSet presAssocID="{AB00E433-F664-421A-905F-43577D5A8FEF}" presName="hierRoot2" presStyleCnt="0">
        <dgm:presLayoutVars>
          <dgm:hierBranch val="init"/>
        </dgm:presLayoutVars>
      </dgm:prSet>
      <dgm:spPr/>
      <dgm:t>
        <a:bodyPr/>
        <a:lstStyle/>
        <a:p>
          <a:endParaRPr lang="en-US"/>
        </a:p>
      </dgm:t>
    </dgm:pt>
    <dgm:pt modelId="{568C6454-E6CC-442D-B6AB-3001ADA00EE5}" type="pres">
      <dgm:prSet presAssocID="{AB00E433-F664-421A-905F-43577D5A8FEF}" presName="rootComposite" presStyleCnt="0"/>
      <dgm:spPr/>
      <dgm:t>
        <a:bodyPr/>
        <a:lstStyle/>
        <a:p>
          <a:endParaRPr lang="en-US"/>
        </a:p>
      </dgm:t>
    </dgm:pt>
    <dgm:pt modelId="{67AA07BB-CDA0-485B-AAFD-7E528A345E61}" type="pres">
      <dgm:prSet presAssocID="{AB00E433-F664-421A-905F-43577D5A8FEF}" presName="rootText" presStyleLbl="node3" presStyleIdx="0" presStyleCnt="2">
        <dgm:presLayoutVars>
          <dgm:chPref val="3"/>
        </dgm:presLayoutVars>
      </dgm:prSet>
      <dgm:spPr/>
      <dgm:t>
        <a:bodyPr/>
        <a:lstStyle/>
        <a:p>
          <a:endParaRPr lang="en-US"/>
        </a:p>
      </dgm:t>
    </dgm:pt>
    <dgm:pt modelId="{64EA1A1C-506B-45CA-8B7C-3E63DA1ACB46}" type="pres">
      <dgm:prSet presAssocID="{AB00E433-F664-421A-905F-43577D5A8FEF}" presName="rootConnector" presStyleLbl="node3" presStyleIdx="0" presStyleCnt="2"/>
      <dgm:spPr/>
      <dgm:t>
        <a:bodyPr/>
        <a:lstStyle/>
        <a:p>
          <a:endParaRPr lang="en-US"/>
        </a:p>
      </dgm:t>
    </dgm:pt>
    <dgm:pt modelId="{F810EA70-B23C-4B2B-A0C9-F46B4A4837F5}" type="pres">
      <dgm:prSet presAssocID="{AB00E433-F664-421A-905F-43577D5A8FEF}" presName="hierChild4" presStyleCnt="0"/>
      <dgm:spPr/>
      <dgm:t>
        <a:bodyPr/>
        <a:lstStyle/>
        <a:p>
          <a:endParaRPr lang="en-US"/>
        </a:p>
      </dgm:t>
    </dgm:pt>
    <dgm:pt modelId="{506ACC5C-9355-49FB-A6E8-1787647EFC5E}" type="pres">
      <dgm:prSet presAssocID="{AB00E433-F664-421A-905F-43577D5A8FEF}" presName="hierChild5"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AF31641A-99FF-4D28-8086-1D4A36BE94E5}" type="pres">
      <dgm:prSet presAssocID="{88FA84CB-6F38-490B-ABD4-A88CB603C2FE}" presName="Name37" presStyleLbl="parChTrans1D3" presStyleIdx="1" presStyleCnt="2"/>
      <dgm:spPr/>
      <dgm:t>
        <a:bodyPr/>
        <a:lstStyle/>
        <a:p>
          <a:endParaRPr lang="en-US"/>
        </a:p>
      </dgm:t>
    </dgm:pt>
    <dgm:pt modelId="{2758FA4C-A14F-4F27-B628-93147E09320E}" type="pres">
      <dgm:prSet presAssocID="{989C22DD-554F-48A7-898A-148927E3384F}" presName="hierRoot2" presStyleCnt="0">
        <dgm:presLayoutVars>
          <dgm:hierBranch val="init"/>
        </dgm:presLayoutVars>
      </dgm:prSet>
      <dgm:spPr/>
      <dgm:t>
        <a:bodyPr/>
        <a:lstStyle/>
        <a:p>
          <a:endParaRPr lang="en-US"/>
        </a:p>
      </dgm:t>
    </dgm:pt>
    <dgm:pt modelId="{0E8DA318-1C86-4E80-BDC9-E8B305E84FB9}" type="pres">
      <dgm:prSet presAssocID="{989C22DD-554F-48A7-898A-148927E3384F}" presName="rootComposite" presStyleCnt="0"/>
      <dgm:spPr/>
      <dgm:t>
        <a:bodyPr/>
        <a:lstStyle/>
        <a:p>
          <a:endParaRPr lang="en-US"/>
        </a:p>
      </dgm:t>
    </dgm:pt>
    <dgm:pt modelId="{51EB42FC-48DF-42A3-B030-D893D882025B}" type="pres">
      <dgm:prSet presAssocID="{989C22DD-554F-48A7-898A-148927E3384F}" presName="rootText" presStyleLbl="node3" presStyleIdx="1" presStyleCnt="2">
        <dgm:presLayoutVars>
          <dgm:chPref val="3"/>
        </dgm:presLayoutVars>
      </dgm:prSet>
      <dgm:spPr/>
      <dgm:t>
        <a:bodyPr/>
        <a:lstStyle/>
        <a:p>
          <a:endParaRPr lang="en-US"/>
        </a:p>
      </dgm:t>
    </dgm:pt>
    <dgm:pt modelId="{06FE20A7-6174-49F7-A0D9-020EB851EED0}" type="pres">
      <dgm:prSet presAssocID="{989C22DD-554F-48A7-898A-148927E3384F}" presName="rootConnector" presStyleLbl="node3" presStyleIdx="1" presStyleCnt="2"/>
      <dgm:spPr/>
      <dgm:t>
        <a:bodyPr/>
        <a:lstStyle/>
        <a:p>
          <a:endParaRPr lang="en-US"/>
        </a:p>
      </dgm:t>
    </dgm:pt>
    <dgm:pt modelId="{A4BF8592-FE4D-416C-A5FB-C63E46EE79D4}" type="pres">
      <dgm:prSet presAssocID="{989C22DD-554F-48A7-898A-148927E3384F}" presName="hierChild4" presStyleCnt="0"/>
      <dgm:spPr/>
      <dgm:t>
        <a:bodyPr/>
        <a:lstStyle/>
        <a:p>
          <a:endParaRPr lang="en-US"/>
        </a:p>
      </dgm:t>
    </dgm:pt>
    <dgm:pt modelId="{67C299C0-F615-4B19-9654-70FD9C07D142}" type="pres">
      <dgm:prSet presAssocID="{C9AE0391-2636-4799-B887-FB0DDBCC006A}" presName="Name37" presStyleLbl="parChTrans1D4" presStyleIdx="0" presStyleCnt="1"/>
      <dgm:spPr/>
      <dgm:t>
        <a:bodyPr/>
        <a:lstStyle/>
        <a:p>
          <a:endParaRPr lang="en-US"/>
        </a:p>
      </dgm:t>
    </dgm:pt>
    <dgm:pt modelId="{85CC2F4D-B3A9-4090-8625-FA38289C1869}" type="pres">
      <dgm:prSet presAssocID="{7D41733E-2B8F-432C-A62A-74CC50026BB2}" presName="hierRoot2" presStyleCnt="0">
        <dgm:presLayoutVars>
          <dgm:hierBranch val="init"/>
        </dgm:presLayoutVars>
      </dgm:prSet>
      <dgm:spPr/>
      <dgm:t>
        <a:bodyPr/>
        <a:lstStyle/>
        <a:p>
          <a:endParaRPr lang="en-US"/>
        </a:p>
      </dgm:t>
    </dgm:pt>
    <dgm:pt modelId="{BD72F4B5-38E2-427B-B1A0-0BBAED512450}" type="pres">
      <dgm:prSet presAssocID="{7D41733E-2B8F-432C-A62A-74CC50026BB2}" presName="rootComposite" presStyleCnt="0"/>
      <dgm:spPr/>
      <dgm:t>
        <a:bodyPr/>
        <a:lstStyle/>
        <a:p>
          <a:endParaRPr lang="en-US"/>
        </a:p>
      </dgm:t>
    </dgm:pt>
    <dgm:pt modelId="{91B925DC-DAFD-48BB-928D-688D34456D7E}" type="pres">
      <dgm:prSet presAssocID="{7D41733E-2B8F-432C-A62A-74CC50026BB2}" presName="rootText" presStyleLbl="node4" presStyleIdx="0" presStyleCnt="1">
        <dgm:presLayoutVars>
          <dgm:chPref val="3"/>
        </dgm:presLayoutVars>
      </dgm:prSet>
      <dgm:spPr/>
      <dgm:t>
        <a:bodyPr/>
        <a:lstStyle/>
        <a:p>
          <a:endParaRPr lang="en-US"/>
        </a:p>
      </dgm:t>
    </dgm:pt>
    <dgm:pt modelId="{2CB9B0B9-0AF1-49F2-85B1-1721694E67DA}" type="pres">
      <dgm:prSet presAssocID="{7D41733E-2B8F-432C-A62A-74CC50026BB2}" presName="rootConnector" presStyleLbl="node4" presStyleIdx="0" presStyleCnt="1"/>
      <dgm:spPr/>
      <dgm:t>
        <a:bodyPr/>
        <a:lstStyle/>
        <a:p>
          <a:endParaRPr lang="en-US"/>
        </a:p>
      </dgm:t>
    </dgm:pt>
    <dgm:pt modelId="{239EEC92-408E-4BB2-959C-87024BF4A161}" type="pres">
      <dgm:prSet presAssocID="{7D41733E-2B8F-432C-A62A-74CC50026BB2}" presName="hierChild4" presStyleCnt="0"/>
      <dgm:spPr/>
      <dgm:t>
        <a:bodyPr/>
        <a:lstStyle/>
        <a:p>
          <a:endParaRPr lang="en-US"/>
        </a:p>
      </dgm:t>
    </dgm:pt>
    <dgm:pt modelId="{C7BADBAF-7848-4DF1-9EE0-BE56450967CF}" type="pres">
      <dgm:prSet presAssocID="{7D41733E-2B8F-432C-A62A-74CC50026BB2}" presName="hierChild5" presStyleCnt="0"/>
      <dgm:spPr/>
      <dgm:t>
        <a:bodyPr/>
        <a:lstStyle/>
        <a:p>
          <a:endParaRPr lang="en-US"/>
        </a:p>
      </dgm:t>
    </dgm:pt>
    <dgm:pt modelId="{0C2C4A3E-4CBD-4672-92FC-86C2AC25ED07}" type="pres">
      <dgm:prSet presAssocID="{989C22DD-554F-48A7-898A-148927E3384F}" presName="hierChild5"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02E176F7-CAE4-49A2-8DA7-738AF60643F2}" type="presOf" srcId="{989C22DD-554F-48A7-898A-148927E3384F}" destId="{51EB42FC-48DF-42A3-B030-D893D882025B}" srcOrd="0" destOrd="0" presId="urn:microsoft.com/office/officeart/2005/8/layout/orgChart1"/>
    <dgm:cxn modelId="{C687835D-4753-49A1-B50F-C4E5C8068E24}" type="presOf" srcId="{841BAD81-36F3-4417-B3FE-3D899C40B398}" destId="{ABA7130F-3B15-4FC0-A44C-7EE71EC4AC3B}" srcOrd="0" destOrd="0" presId="urn:microsoft.com/office/officeart/2005/8/layout/orgChart1"/>
    <dgm:cxn modelId="{3233C6A2-7CA2-4F3B-886B-82EE01A55BCC}" type="presOf" srcId="{88FA84CB-6F38-490B-ABD4-A88CB603C2FE}" destId="{AF31641A-99FF-4D28-8086-1D4A36BE94E5}" srcOrd="0" destOrd="0" presId="urn:microsoft.com/office/officeart/2005/8/layout/orgChart1"/>
    <dgm:cxn modelId="{920000D7-B52E-4563-B00F-2639398C72E2}" type="presOf" srcId="{29F6E1F5-0C63-42D9-AFD5-ADFCE333AE61}" destId="{5F413E7A-418C-4C4B-95A5-C3078AA40D16}" srcOrd="0" destOrd="0" presId="urn:microsoft.com/office/officeart/2005/8/layout/orgChart1"/>
    <dgm:cxn modelId="{D3E54E04-BC8C-4C20-A8C7-C7E7CDA627DD}" type="presOf" srcId="{29F6E1F5-0C63-42D9-AFD5-ADFCE333AE61}" destId="{BA0E7B03-1E33-494E-9E4F-2FB983E0EA86}" srcOrd="1" destOrd="0" presId="urn:microsoft.com/office/officeart/2005/8/layout/orgChart1"/>
    <dgm:cxn modelId="{90AB6BC3-9312-408D-AD56-7FCBA413767E}" type="presOf" srcId="{7D41733E-2B8F-432C-A62A-74CC50026BB2}" destId="{2CB9B0B9-0AF1-49F2-85B1-1721694E67DA}" srcOrd="1" destOrd="0" presId="urn:microsoft.com/office/officeart/2005/8/layout/orgChart1"/>
    <dgm:cxn modelId="{5290BD3F-59F2-4467-95A3-B86E25FE4651}" srcId="{AB5E06CB-E905-4D41-A9C7-9131F04DC9CE}" destId="{989C22DD-554F-48A7-898A-148927E3384F}" srcOrd="0" destOrd="0" parTransId="{88FA84CB-6F38-490B-ABD4-A88CB603C2FE}" sibTransId="{37F93542-F424-4853-8C9D-B52E1BFC09D8}"/>
    <dgm:cxn modelId="{D19B1213-E488-4011-9978-077B71BFAF79}" type="presOf" srcId="{AB00E433-F664-421A-905F-43577D5A8FEF}" destId="{67AA07BB-CDA0-485B-AAFD-7E528A345E61}" srcOrd="0" destOrd="0" presId="urn:microsoft.com/office/officeart/2005/8/layout/orgChart1"/>
    <dgm:cxn modelId="{C43A99E6-D8FD-4829-A615-8F6332F2B17D}" srcId="{29F6E1F5-0C63-42D9-AFD5-ADFCE333AE61}" destId="{AB00E433-F664-421A-905F-43577D5A8FEF}" srcOrd="0" destOrd="0" parTransId="{841BAD81-36F3-4417-B3FE-3D899C40B398}" sibTransId="{6EEDCE3D-E134-49C4-825C-8F57A31624BE}"/>
    <dgm:cxn modelId="{E03B7170-E72E-4F64-8C67-1A01849E76BB}" type="presOf" srcId="{AB5E06CB-E905-4D41-A9C7-9131F04DC9CE}" destId="{F331F064-3FFE-467B-B6F4-76EC69DA166D}" srcOrd="1" destOrd="0" presId="urn:microsoft.com/office/officeart/2005/8/layout/orgChart1"/>
    <dgm:cxn modelId="{EE51DB02-63B5-4AE2-BA85-60B4A0FE43AC}" srcId="{E8CCAD3A-6999-49D6-9754-08C9546FC629}" destId="{29F6E1F5-0C63-42D9-AFD5-ADFCE333AE61}" srcOrd="0" destOrd="0" parTransId="{77834915-5271-40BC-B924-C00C7152C092}" sibTransId="{0F55E717-0464-4A75-9160-641A64DF4BB8}"/>
    <dgm:cxn modelId="{9BCDFB9D-713E-4A68-8811-CB6F8F2DD1BB}" type="presOf" srcId="{77834915-5271-40BC-B924-C00C7152C092}" destId="{C920F0D6-857B-4246-9E40-606D60223ABB}" srcOrd="0" destOrd="0" presId="urn:microsoft.com/office/officeart/2005/8/layout/orgChart1"/>
    <dgm:cxn modelId="{AD00D175-C42F-4139-A172-964F5490E331}" srcId="{989C22DD-554F-48A7-898A-148927E3384F}" destId="{7D41733E-2B8F-432C-A62A-74CC50026BB2}" srcOrd="0" destOrd="0" parTransId="{C9AE0391-2636-4799-B887-FB0DDBCC006A}" sibTransId="{CB10DA6B-8565-4100-AE60-74FB88357E47}"/>
    <dgm:cxn modelId="{3DC28D54-2755-438F-9535-783B4C376C82}" type="presOf" srcId="{E8CCAD3A-6999-49D6-9754-08C9546FC629}" destId="{27153E03-22AE-4A7E-956B-1489E8B03DDC}" srcOrd="1"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6A0E88DB-42E4-44A9-87EF-0CA71E489F0C}" type="presOf" srcId="{AB5E06CB-E905-4D41-A9C7-9131F04DC9CE}" destId="{76D12F87-154D-4D4C-8B48-D14EC83FB4A5}" srcOrd="0" destOrd="0" presId="urn:microsoft.com/office/officeart/2005/8/layout/orgChart1"/>
    <dgm:cxn modelId="{16E09D50-EB24-469B-B112-A6BDBBB4F831}" type="presOf" srcId="{989C22DD-554F-48A7-898A-148927E3384F}" destId="{06FE20A7-6174-49F7-A0D9-020EB851EED0}" srcOrd="1" destOrd="0" presId="urn:microsoft.com/office/officeart/2005/8/layout/orgChart1"/>
    <dgm:cxn modelId="{E0BEDC69-23E8-422A-9466-C60506512A95}" type="presOf" srcId="{5884FD07-7F21-451D-A621-FCA5946FB9B1}" destId="{4217B007-CB58-45F8-9D91-EE7CA77AFD73}" srcOrd="0" destOrd="0" presId="urn:microsoft.com/office/officeart/2005/8/layout/orgChart1"/>
    <dgm:cxn modelId="{9783B203-D68E-4D67-8A0B-4916A2A9B55A}" type="presOf" srcId="{C9AE0391-2636-4799-B887-FB0DDBCC006A}" destId="{67C299C0-F615-4B19-9654-70FD9C07D142}" srcOrd="0" destOrd="0" presId="urn:microsoft.com/office/officeart/2005/8/layout/orgChart1"/>
    <dgm:cxn modelId="{BEFB24DE-F261-4ED7-8B9C-6B56C490CB6A}" type="presOf" srcId="{F41350D7-B49F-4D9D-B76A-397EF1F48859}" destId="{35FB5D63-D052-4C37-BB35-C884386B69B4}" srcOrd="0" destOrd="0" presId="urn:microsoft.com/office/officeart/2005/8/layout/orgChart1"/>
    <dgm:cxn modelId="{001B71A6-A989-4B96-8EA5-92EC0190595A}" type="presOf" srcId="{7D41733E-2B8F-432C-A62A-74CC50026BB2}" destId="{91B925DC-DAFD-48BB-928D-688D34456D7E}" srcOrd="0" destOrd="0" presId="urn:microsoft.com/office/officeart/2005/8/layout/orgChart1"/>
    <dgm:cxn modelId="{8A2493BC-3D5F-446B-B756-2B2B5326F114}" type="presOf" srcId="{AB00E433-F664-421A-905F-43577D5A8FEF}" destId="{64EA1A1C-506B-45CA-8B7C-3E63DA1ACB46}" srcOrd="1" destOrd="0" presId="urn:microsoft.com/office/officeart/2005/8/layout/orgChart1"/>
    <dgm:cxn modelId="{2D5D71C9-8246-4970-95FF-8F255DF91313}" type="presOf" srcId="{E8CCAD3A-6999-49D6-9754-08C9546FC629}" destId="{24F041FE-9FC7-4776-A76E-9D7A5B7921DA}" srcOrd="0" destOrd="0" presId="urn:microsoft.com/office/officeart/2005/8/layout/orgChart1"/>
    <dgm:cxn modelId="{D1A946C0-33EB-4787-8FF9-9583CFE29B60}" srcId="{E8CCAD3A-6999-49D6-9754-08C9546FC629}" destId="{AB5E06CB-E905-4D41-A9C7-9131F04DC9CE}" srcOrd="1" destOrd="0" parTransId="{5884FD07-7F21-451D-A621-FCA5946FB9B1}" sibTransId="{65F99840-2CD2-4AAF-ADFF-868F2DBC1686}"/>
    <dgm:cxn modelId="{296333A2-A302-4268-B42C-AEF336B8DEA3}" type="presParOf" srcId="{35FB5D63-D052-4C37-BB35-C884386B69B4}" destId="{2DB0B1C5-A778-4364-9F16-0B302BC31BF7}" srcOrd="0" destOrd="0" presId="urn:microsoft.com/office/officeart/2005/8/layout/orgChart1"/>
    <dgm:cxn modelId="{E8526E4E-3F57-4BCB-9B49-9BE2698D787F}" type="presParOf" srcId="{2DB0B1C5-A778-4364-9F16-0B302BC31BF7}" destId="{D5C40014-B393-4E70-8741-CE83E7EC85CB}" srcOrd="0" destOrd="0" presId="urn:microsoft.com/office/officeart/2005/8/layout/orgChart1"/>
    <dgm:cxn modelId="{EF795895-EAAE-45B7-B70C-0B62B2040EDB}" type="presParOf" srcId="{D5C40014-B393-4E70-8741-CE83E7EC85CB}" destId="{24F041FE-9FC7-4776-A76E-9D7A5B7921DA}" srcOrd="0" destOrd="0" presId="urn:microsoft.com/office/officeart/2005/8/layout/orgChart1"/>
    <dgm:cxn modelId="{002EBBB9-0326-45BB-B354-F3E7A34B5806}" type="presParOf" srcId="{D5C40014-B393-4E70-8741-CE83E7EC85CB}" destId="{27153E03-22AE-4A7E-956B-1489E8B03DDC}" srcOrd="1" destOrd="0" presId="urn:microsoft.com/office/officeart/2005/8/layout/orgChart1"/>
    <dgm:cxn modelId="{1CA947A2-9DAD-430E-BAF2-D1F343610A5F}" type="presParOf" srcId="{2DB0B1C5-A778-4364-9F16-0B302BC31BF7}" destId="{5ECAD1AC-4244-40AC-BC34-8C6A61CC52ED}" srcOrd="1" destOrd="0" presId="urn:microsoft.com/office/officeart/2005/8/layout/orgChart1"/>
    <dgm:cxn modelId="{73282959-1E08-4513-A3BB-34A260344958}" type="presParOf" srcId="{5ECAD1AC-4244-40AC-BC34-8C6A61CC52ED}" destId="{C920F0D6-857B-4246-9E40-606D60223ABB}" srcOrd="0" destOrd="0" presId="urn:microsoft.com/office/officeart/2005/8/layout/orgChart1"/>
    <dgm:cxn modelId="{C435EBE8-1F0E-4C0C-B0F6-8B326D553D57}" type="presParOf" srcId="{5ECAD1AC-4244-40AC-BC34-8C6A61CC52ED}" destId="{62FC274B-019A-4985-803D-C214243D0D44}" srcOrd="1" destOrd="0" presId="urn:microsoft.com/office/officeart/2005/8/layout/orgChart1"/>
    <dgm:cxn modelId="{53AA4D26-C4A4-477A-A647-C5562245545E}" type="presParOf" srcId="{62FC274B-019A-4985-803D-C214243D0D44}" destId="{A8A00537-422F-4DD4-BB92-E74530A11980}" srcOrd="0" destOrd="0" presId="urn:microsoft.com/office/officeart/2005/8/layout/orgChart1"/>
    <dgm:cxn modelId="{B5BE0982-0E4E-47BE-9A4F-870EB0560B4D}" type="presParOf" srcId="{A8A00537-422F-4DD4-BB92-E74530A11980}" destId="{5F413E7A-418C-4C4B-95A5-C3078AA40D16}" srcOrd="0" destOrd="0" presId="urn:microsoft.com/office/officeart/2005/8/layout/orgChart1"/>
    <dgm:cxn modelId="{37B9D35D-F396-4A54-98C8-EB5475D66AA4}" type="presParOf" srcId="{A8A00537-422F-4DD4-BB92-E74530A11980}" destId="{BA0E7B03-1E33-494E-9E4F-2FB983E0EA86}" srcOrd="1" destOrd="0" presId="urn:microsoft.com/office/officeart/2005/8/layout/orgChart1"/>
    <dgm:cxn modelId="{EBC32E95-E5DE-4A24-8B09-3471066E275C}" type="presParOf" srcId="{62FC274B-019A-4985-803D-C214243D0D44}" destId="{0132F9DE-BC28-4CF2-BF0B-7CC143187751}" srcOrd="1" destOrd="0" presId="urn:microsoft.com/office/officeart/2005/8/layout/orgChart1"/>
    <dgm:cxn modelId="{8ED3F1DA-CC17-41B0-BB06-9867D9D0D215}" type="presParOf" srcId="{0132F9DE-BC28-4CF2-BF0B-7CC143187751}" destId="{ABA7130F-3B15-4FC0-A44C-7EE71EC4AC3B}" srcOrd="0" destOrd="0" presId="urn:microsoft.com/office/officeart/2005/8/layout/orgChart1"/>
    <dgm:cxn modelId="{13FAF54C-FE01-4CE9-8700-CE368801E18F}" type="presParOf" srcId="{0132F9DE-BC28-4CF2-BF0B-7CC143187751}" destId="{D91BC85D-F9CE-4EB3-84CB-142A3538ED44}" srcOrd="1" destOrd="0" presId="urn:microsoft.com/office/officeart/2005/8/layout/orgChart1"/>
    <dgm:cxn modelId="{8BFFC6A4-A678-4077-98FB-E8DFC579DDCA}" type="presParOf" srcId="{D91BC85D-F9CE-4EB3-84CB-142A3538ED44}" destId="{568C6454-E6CC-442D-B6AB-3001ADA00EE5}" srcOrd="0" destOrd="0" presId="urn:microsoft.com/office/officeart/2005/8/layout/orgChart1"/>
    <dgm:cxn modelId="{4AFC0737-FCE9-4466-A2FA-5E16AEC3D4CE}" type="presParOf" srcId="{568C6454-E6CC-442D-B6AB-3001ADA00EE5}" destId="{67AA07BB-CDA0-485B-AAFD-7E528A345E61}" srcOrd="0" destOrd="0" presId="urn:microsoft.com/office/officeart/2005/8/layout/orgChart1"/>
    <dgm:cxn modelId="{5EAC047A-1A7E-4D52-A3DB-F41BB76776D7}" type="presParOf" srcId="{568C6454-E6CC-442D-B6AB-3001ADA00EE5}" destId="{64EA1A1C-506B-45CA-8B7C-3E63DA1ACB46}" srcOrd="1" destOrd="0" presId="urn:microsoft.com/office/officeart/2005/8/layout/orgChart1"/>
    <dgm:cxn modelId="{0AF7D6BD-34BB-42ED-8819-767AFAFD70F0}" type="presParOf" srcId="{D91BC85D-F9CE-4EB3-84CB-142A3538ED44}" destId="{F810EA70-B23C-4B2B-A0C9-F46B4A4837F5}" srcOrd="1" destOrd="0" presId="urn:microsoft.com/office/officeart/2005/8/layout/orgChart1"/>
    <dgm:cxn modelId="{916691D9-010E-4C14-99A5-578D10F745D8}" type="presParOf" srcId="{D91BC85D-F9CE-4EB3-84CB-142A3538ED44}" destId="{506ACC5C-9355-49FB-A6E8-1787647EFC5E}" srcOrd="2" destOrd="0" presId="urn:microsoft.com/office/officeart/2005/8/layout/orgChart1"/>
    <dgm:cxn modelId="{B0BA7795-998E-404F-9B00-6C4A040E9D65}" type="presParOf" srcId="{62FC274B-019A-4985-803D-C214243D0D44}" destId="{E5ED30A6-EDA9-4987-9099-B10B16D7EAB2}" srcOrd="2" destOrd="0" presId="urn:microsoft.com/office/officeart/2005/8/layout/orgChart1"/>
    <dgm:cxn modelId="{2669BC0A-873D-4327-8139-1C640F742FFF}" type="presParOf" srcId="{5ECAD1AC-4244-40AC-BC34-8C6A61CC52ED}" destId="{4217B007-CB58-45F8-9D91-EE7CA77AFD73}" srcOrd="2" destOrd="0" presId="urn:microsoft.com/office/officeart/2005/8/layout/orgChart1"/>
    <dgm:cxn modelId="{B5321DD0-4E23-4E33-9FE3-980C04C92F98}" type="presParOf" srcId="{5ECAD1AC-4244-40AC-BC34-8C6A61CC52ED}" destId="{5C5576D8-2618-4B15-B0E7-90EBF73A4033}" srcOrd="3" destOrd="0" presId="urn:microsoft.com/office/officeart/2005/8/layout/orgChart1"/>
    <dgm:cxn modelId="{A1E80690-E891-4D39-B292-EBF2D2CE052A}" type="presParOf" srcId="{5C5576D8-2618-4B15-B0E7-90EBF73A4033}" destId="{097FA788-E9F9-460D-A3C8-52FBED03C306}" srcOrd="0" destOrd="0" presId="urn:microsoft.com/office/officeart/2005/8/layout/orgChart1"/>
    <dgm:cxn modelId="{1F32D402-3564-4811-9B3E-B1C64AE313B0}" type="presParOf" srcId="{097FA788-E9F9-460D-A3C8-52FBED03C306}" destId="{76D12F87-154D-4D4C-8B48-D14EC83FB4A5}" srcOrd="0" destOrd="0" presId="urn:microsoft.com/office/officeart/2005/8/layout/orgChart1"/>
    <dgm:cxn modelId="{0E8223C1-F0E2-46E1-9BE7-711C663A29DB}" type="presParOf" srcId="{097FA788-E9F9-460D-A3C8-52FBED03C306}" destId="{F331F064-3FFE-467B-B6F4-76EC69DA166D}" srcOrd="1" destOrd="0" presId="urn:microsoft.com/office/officeart/2005/8/layout/orgChart1"/>
    <dgm:cxn modelId="{19E52045-6413-4245-9CF2-5B4DBFBD3AC4}" type="presParOf" srcId="{5C5576D8-2618-4B15-B0E7-90EBF73A4033}" destId="{6EA9584C-C0AB-4FE7-8D1C-BE98DDFA5920}" srcOrd="1" destOrd="0" presId="urn:microsoft.com/office/officeart/2005/8/layout/orgChart1"/>
    <dgm:cxn modelId="{C3F389A5-5A0F-4F46-85A6-09E9A9530FFD}" type="presParOf" srcId="{6EA9584C-C0AB-4FE7-8D1C-BE98DDFA5920}" destId="{AF31641A-99FF-4D28-8086-1D4A36BE94E5}" srcOrd="0" destOrd="0" presId="urn:microsoft.com/office/officeart/2005/8/layout/orgChart1"/>
    <dgm:cxn modelId="{5F9064F1-98E2-42E5-97D4-7044547ECEB7}" type="presParOf" srcId="{6EA9584C-C0AB-4FE7-8D1C-BE98DDFA5920}" destId="{2758FA4C-A14F-4F27-B628-93147E09320E}" srcOrd="1" destOrd="0" presId="urn:microsoft.com/office/officeart/2005/8/layout/orgChart1"/>
    <dgm:cxn modelId="{7765EFB1-8E9B-4472-AF9E-D752D84A7852}" type="presParOf" srcId="{2758FA4C-A14F-4F27-B628-93147E09320E}" destId="{0E8DA318-1C86-4E80-BDC9-E8B305E84FB9}" srcOrd="0" destOrd="0" presId="urn:microsoft.com/office/officeart/2005/8/layout/orgChart1"/>
    <dgm:cxn modelId="{1EBF89CD-9250-4A5F-A2C9-4C3A563A15EE}" type="presParOf" srcId="{0E8DA318-1C86-4E80-BDC9-E8B305E84FB9}" destId="{51EB42FC-48DF-42A3-B030-D893D882025B}" srcOrd="0" destOrd="0" presId="urn:microsoft.com/office/officeart/2005/8/layout/orgChart1"/>
    <dgm:cxn modelId="{7DFDE0C5-8A7F-4F7E-9D03-E02835AC2BD6}" type="presParOf" srcId="{0E8DA318-1C86-4E80-BDC9-E8B305E84FB9}" destId="{06FE20A7-6174-49F7-A0D9-020EB851EED0}" srcOrd="1" destOrd="0" presId="urn:microsoft.com/office/officeart/2005/8/layout/orgChart1"/>
    <dgm:cxn modelId="{D77A32E1-F7EA-4758-8F47-097B345B8745}" type="presParOf" srcId="{2758FA4C-A14F-4F27-B628-93147E09320E}" destId="{A4BF8592-FE4D-416C-A5FB-C63E46EE79D4}" srcOrd="1" destOrd="0" presId="urn:microsoft.com/office/officeart/2005/8/layout/orgChart1"/>
    <dgm:cxn modelId="{44DB7236-CF3A-4A60-AFF6-6C9C07772435}" type="presParOf" srcId="{A4BF8592-FE4D-416C-A5FB-C63E46EE79D4}" destId="{67C299C0-F615-4B19-9654-70FD9C07D142}" srcOrd="0" destOrd="0" presId="urn:microsoft.com/office/officeart/2005/8/layout/orgChart1"/>
    <dgm:cxn modelId="{F51E12C3-A5E1-4886-9AAF-AF2AD075B48E}" type="presParOf" srcId="{A4BF8592-FE4D-416C-A5FB-C63E46EE79D4}" destId="{85CC2F4D-B3A9-4090-8625-FA38289C1869}" srcOrd="1" destOrd="0" presId="urn:microsoft.com/office/officeart/2005/8/layout/orgChart1"/>
    <dgm:cxn modelId="{92F1D4B1-2516-4BA6-98FE-60396407CC57}" type="presParOf" srcId="{85CC2F4D-B3A9-4090-8625-FA38289C1869}" destId="{BD72F4B5-38E2-427B-B1A0-0BBAED512450}" srcOrd="0" destOrd="0" presId="urn:microsoft.com/office/officeart/2005/8/layout/orgChart1"/>
    <dgm:cxn modelId="{E14DBF79-2DC2-4D5C-AC24-34F71C293413}" type="presParOf" srcId="{BD72F4B5-38E2-427B-B1A0-0BBAED512450}" destId="{91B925DC-DAFD-48BB-928D-688D34456D7E}" srcOrd="0" destOrd="0" presId="urn:microsoft.com/office/officeart/2005/8/layout/orgChart1"/>
    <dgm:cxn modelId="{9EEBEC5C-2CB4-411C-9A45-BA67EF61E06B}" type="presParOf" srcId="{BD72F4B5-38E2-427B-B1A0-0BBAED512450}" destId="{2CB9B0B9-0AF1-49F2-85B1-1721694E67DA}" srcOrd="1" destOrd="0" presId="urn:microsoft.com/office/officeart/2005/8/layout/orgChart1"/>
    <dgm:cxn modelId="{0C11B02E-D87E-41B9-8A4C-D7D70FAB2077}" type="presParOf" srcId="{85CC2F4D-B3A9-4090-8625-FA38289C1869}" destId="{239EEC92-408E-4BB2-959C-87024BF4A161}" srcOrd="1" destOrd="0" presId="urn:microsoft.com/office/officeart/2005/8/layout/orgChart1"/>
    <dgm:cxn modelId="{3AD8696F-483E-40D7-B5FE-14937394B5D2}" type="presParOf" srcId="{85CC2F4D-B3A9-4090-8625-FA38289C1869}" destId="{C7BADBAF-7848-4DF1-9EE0-BE56450967CF}" srcOrd="2" destOrd="0" presId="urn:microsoft.com/office/officeart/2005/8/layout/orgChart1"/>
    <dgm:cxn modelId="{357B0D19-A74F-4B5F-9CC1-33DD3CDF3E21}" type="presParOf" srcId="{2758FA4C-A14F-4F27-B628-93147E09320E}" destId="{0C2C4A3E-4CBD-4672-92FC-86C2AC25ED07}" srcOrd="2" destOrd="0" presId="urn:microsoft.com/office/officeart/2005/8/layout/orgChart1"/>
    <dgm:cxn modelId="{FC9B9C62-710C-4E34-833B-5C611E34DC50}" type="presParOf" srcId="{5C5576D8-2618-4B15-B0E7-90EBF73A4033}" destId="{BA035CBB-D9CA-4ABE-AB02-4D8D59768CCF}" srcOrd="2" destOrd="0" presId="urn:microsoft.com/office/officeart/2005/8/layout/orgChart1"/>
    <dgm:cxn modelId="{DB20A691-BE2F-4127-B0A5-7450FB1D6C37}" type="presParOf" srcId="{2DB0B1C5-A778-4364-9F16-0B302BC31BF7}" destId="{AAC949D0-CB87-4178-B9E6-612CD8E57E87}" srcOrd="2" destOrd="0" presId="urn:microsoft.com/office/officeart/2005/8/layout/orgChart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3_2" csCatId="accent3" phldr="1"/>
      <dgm:spPr/>
      <dgm:t>
        <a:bodyPr/>
        <a:lstStyle/>
        <a:p>
          <a:endParaRPr lang="en-US"/>
        </a:p>
      </dgm:t>
    </dgm:pt>
    <dgm:pt modelId="{E8CCAD3A-6999-49D6-9754-08C9546FC629}">
      <dgm:prSet phldrT="[Text]"/>
      <dgm:spPr/>
      <dgm:t>
        <a:bodyPr/>
        <a:lstStyle/>
        <a:p>
          <a:r>
            <a:rPr lang="en-US"/>
            <a:t>FY 15-16</a:t>
          </a:r>
          <a:br>
            <a:rPr lang="en-US"/>
          </a:br>
          <a:r>
            <a:rPr lang="en-US"/>
            <a:t>Funded FTES </a:t>
          </a:r>
          <a:br>
            <a:rPr lang="en-US"/>
          </a:br>
          <a:r>
            <a:rPr lang="en-US"/>
            <a:t>14,568</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Funded FTES</a:t>
          </a:r>
          <a:br>
            <a:rPr lang="en-US"/>
          </a:br>
          <a:r>
            <a:rPr lang="en-US"/>
            <a:t>10,302</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Funded FTES</a:t>
          </a:r>
          <a:br>
            <a:rPr lang="en-US"/>
          </a:br>
          <a:r>
            <a:rPr lang="en-US"/>
            <a:t>4,266</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989C22DD-554F-48A7-898A-148927E3384F}">
      <dgm:prSet/>
      <dgm:spPr/>
      <dgm:t>
        <a:bodyPr/>
        <a:lstStyle/>
        <a:p>
          <a:r>
            <a:rPr lang="en-US"/>
            <a:t>Crafton</a:t>
          </a:r>
          <a:br>
            <a:rPr lang="en-US"/>
          </a:br>
          <a:r>
            <a:rPr lang="en-US"/>
            <a:t>Unfunded FTES</a:t>
          </a:r>
          <a:br>
            <a:rPr lang="en-US"/>
          </a:br>
          <a:r>
            <a:rPr lang="en-US"/>
            <a:t>461</a:t>
          </a:r>
        </a:p>
      </dgm:t>
    </dgm:pt>
    <dgm:pt modelId="{88FA84CB-6F38-490B-ABD4-A88CB603C2FE}" type="parTrans" cxnId="{5290BD3F-59F2-4467-95A3-B86E25FE4651}">
      <dgm:prSet/>
      <dgm:spPr/>
      <dgm:t>
        <a:bodyPr/>
        <a:lstStyle/>
        <a:p>
          <a:endParaRPr lang="en-US"/>
        </a:p>
      </dgm:t>
    </dgm:pt>
    <dgm:pt modelId="{37F93542-F424-4853-8C9D-B52E1BFC09D8}" type="sibTrans" cxnId="{5290BD3F-59F2-4467-95A3-B86E25FE4651}">
      <dgm:prSet/>
      <dgm:spPr/>
      <dgm:t>
        <a:bodyPr/>
        <a:lstStyle/>
        <a:p>
          <a:endParaRPr lang="en-US"/>
        </a:p>
      </dgm:t>
    </dgm:pt>
    <dgm:pt modelId="{7D41733E-2B8F-432C-A62A-74CC50026BB2}">
      <dgm:prSet/>
      <dgm:spPr/>
      <dgm:t>
        <a:bodyPr/>
        <a:lstStyle/>
        <a:p>
          <a:r>
            <a:rPr lang="en-US"/>
            <a:t>Overcap FTES</a:t>
          </a:r>
          <a:br>
            <a:rPr lang="en-US"/>
          </a:br>
          <a:r>
            <a:rPr lang="en-US"/>
            <a:t>277</a:t>
          </a:r>
          <a:br>
            <a:rPr lang="en-US"/>
          </a:br>
          <a:r>
            <a:rPr lang="en-US"/>
            <a:t>(184 Unfunded)</a:t>
          </a:r>
        </a:p>
      </dgm:t>
    </dgm:pt>
    <dgm:pt modelId="{C9AE0391-2636-4799-B887-FB0DDBCC006A}" type="parTrans" cxnId="{AD00D175-C42F-4139-A172-964F5490E331}">
      <dgm:prSet/>
      <dgm:spPr/>
      <dgm:t>
        <a:bodyPr/>
        <a:lstStyle/>
        <a:p>
          <a:endParaRPr lang="en-US"/>
        </a:p>
      </dgm:t>
    </dgm:pt>
    <dgm:pt modelId="{CB10DA6B-8565-4100-AE60-74FB88357E47}" type="sibTrans" cxnId="{AD00D175-C42F-4139-A172-964F5490E331}">
      <dgm:prSet/>
      <dgm:spPr/>
      <dgm:t>
        <a:bodyPr/>
        <a:lstStyle/>
        <a:p>
          <a:endParaRPr lang="en-US"/>
        </a:p>
      </dgm:t>
    </dgm:pt>
    <dgm:pt modelId="{DD5C4356-717F-4220-9C9A-F70B5390A75C}">
      <dgm:prSet/>
      <dgm:spPr/>
      <dgm:t>
        <a:bodyPr/>
        <a:lstStyle/>
        <a:p>
          <a:r>
            <a:rPr lang="en-US"/>
            <a:t>Valley</a:t>
          </a:r>
          <a:br>
            <a:rPr lang="en-US"/>
          </a:br>
          <a:r>
            <a:rPr lang="en-US"/>
            <a:t>Unfunded FTES</a:t>
          </a:r>
          <a:br>
            <a:rPr lang="en-US"/>
          </a:br>
          <a:r>
            <a:rPr lang="en-US"/>
            <a:t>0</a:t>
          </a:r>
        </a:p>
      </dgm:t>
    </dgm:pt>
    <dgm:pt modelId="{7CB8513C-1D29-4F3F-91FA-7E1270D7D17A}" type="parTrans" cxnId="{1E794DB0-3BF7-44A3-91EF-B1C6F2A84121}">
      <dgm:prSet/>
      <dgm:spPr/>
      <dgm:t>
        <a:bodyPr/>
        <a:lstStyle/>
        <a:p>
          <a:endParaRPr lang="en-US"/>
        </a:p>
      </dgm:t>
    </dgm:pt>
    <dgm:pt modelId="{75FAEAF3-6651-43F8-96B7-2498DECC3764}" type="sibTrans" cxnId="{1E794DB0-3BF7-44A3-91EF-B1C6F2A84121}">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B85A3314-0F9F-4C25-BE5E-D47EFAC3BD9D}" type="pres">
      <dgm:prSet presAssocID="{7CB8513C-1D29-4F3F-91FA-7E1270D7D17A}" presName="Name37" presStyleLbl="parChTrans1D3" presStyleIdx="0" presStyleCnt="2"/>
      <dgm:spPr/>
      <dgm:t>
        <a:bodyPr/>
        <a:lstStyle/>
        <a:p>
          <a:endParaRPr lang="en-US"/>
        </a:p>
      </dgm:t>
    </dgm:pt>
    <dgm:pt modelId="{4B6917AC-ACB3-44FC-9CDB-1DE98656CB2B}" type="pres">
      <dgm:prSet presAssocID="{DD5C4356-717F-4220-9C9A-F70B5390A75C}" presName="hierRoot2" presStyleCnt="0">
        <dgm:presLayoutVars>
          <dgm:hierBranch val="init"/>
        </dgm:presLayoutVars>
      </dgm:prSet>
      <dgm:spPr/>
      <dgm:t>
        <a:bodyPr/>
        <a:lstStyle/>
        <a:p>
          <a:endParaRPr lang="en-US"/>
        </a:p>
      </dgm:t>
    </dgm:pt>
    <dgm:pt modelId="{9FE5FD6F-21C3-45EE-861C-8B7527A0FF73}" type="pres">
      <dgm:prSet presAssocID="{DD5C4356-717F-4220-9C9A-F70B5390A75C}" presName="rootComposite" presStyleCnt="0"/>
      <dgm:spPr/>
      <dgm:t>
        <a:bodyPr/>
        <a:lstStyle/>
        <a:p>
          <a:endParaRPr lang="en-US"/>
        </a:p>
      </dgm:t>
    </dgm:pt>
    <dgm:pt modelId="{CE46E30C-927A-4935-8134-988AD56D3D3F}" type="pres">
      <dgm:prSet presAssocID="{DD5C4356-717F-4220-9C9A-F70B5390A75C}" presName="rootText" presStyleLbl="node3" presStyleIdx="0" presStyleCnt="2">
        <dgm:presLayoutVars>
          <dgm:chPref val="3"/>
        </dgm:presLayoutVars>
      </dgm:prSet>
      <dgm:spPr/>
      <dgm:t>
        <a:bodyPr/>
        <a:lstStyle/>
        <a:p>
          <a:endParaRPr lang="en-US"/>
        </a:p>
      </dgm:t>
    </dgm:pt>
    <dgm:pt modelId="{5A74BECA-3FB4-47C4-8933-4480694FB014}" type="pres">
      <dgm:prSet presAssocID="{DD5C4356-717F-4220-9C9A-F70B5390A75C}" presName="rootConnector" presStyleLbl="node3" presStyleIdx="0" presStyleCnt="2"/>
      <dgm:spPr/>
      <dgm:t>
        <a:bodyPr/>
        <a:lstStyle/>
        <a:p>
          <a:endParaRPr lang="en-US"/>
        </a:p>
      </dgm:t>
    </dgm:pt>
    <dgm:pt modelId="{E31486E1-E58E-4F62-8509-1C0177595FD4}" type="pres">
      <dgm:prSet presAssocID="{DD5C4356-717F-4220-9C9A-F70B5390A75C}" presName="hierChild4" presStyleCnt="0"/>
      <dgm:spPr/>
      <dgm:t>
        <a:bodyPr/>
        <a:lstStyle/>
        <a:p>
          <a:endParaRPr lang="en-US"/>
        </a:p>
      </dgm:t>
    </dgm:pt>
    <dgm:pt modelId="{AF814E27-35A7-4654-A297-971CDDEC59E5}" type="pres">
      <dgm:prSet presAssocID="{DD5C4356-717F-4220-9C9A-F70B5390A75C}" presName="hierChild5"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AF31641A-99FF-4D28-8086-1D4A36BE94E5}" type="pres">
      <dgm:prSet presAssocID="{88FA84CB-6F38-490B-ABD4-A88CB603C2FE}" presName="Name37" presStyleLbl="parChTrans1D3" presStyleIdx="1" presStyleCnt="2"/>
      <dgm:spPr/>
      <dgm:t>
        <a:bodyPr/>
        <a:lstStyle/>
        <a:p>
          <a:endParaRPr lang="en-US"/>
        </a:p>
      </dgm:t>
    </dgm:pt>
    <dgm:pt modelId="{2758FA4C-A14F-4F27-B628-93147E09320E}" type="pres">
      <dgm:prSet presAssocID="{989C22DD-554F-48A7-898A-148927E3384F}" presName="hierRoot2" presStyleCnt="0">
        <dgm:presLayoutVars>
          <dgm:hierBranch val="init"/>
        </dgm:presLayoutVars>
      </dgm:prSet>
      <dgm:spPr/>
      <dgm:t>
        <a:bodyPr/>
        <a:lstStyle/>
        <a:p>
          <a:endParaRPr lang="en-US"/>
        </a:p>
      </dgm:t>
    </dgm:pt>
    <dgm:pt modelId="{0E8DA318-1C86-4E80-BDC9-E8B305E84FB9}" type="pres">
      <dgm:prSet presAssocID="{989C22DD-554F-48A7-898A-148927E3384F}" presName="rootComposite" presStyleCnt="0"/>
      <dgm:spPr/>
      <dgm:t>
        <a:bodyPr/>
        <a:lstStyle/>
        <a:p>
          <a:endParaRPr lang="en-US"/>
        </a:p>
      </dgm:t>
    </dgm:pt>
    <dgm:pt modelId="{51EB42FC-48DF-42A3-B030-D893D882025B}" type="pres">
      <dgm:prSet presAssocID="{989C22DD-554F-48A7-898A-148927E3384F}" presName="rootText" presStyleLbl="node3" presStyleIdx="1" presStyleCnt="2">
        <dgm:presLayoutVars>
          <dgm:chPref val="3"/>
        </dgm:presLayoutVars>
      </dgm:prSet>
      <dgm:spPr/>
      <dgm:t>
        <a:bodyPr/>
        <a:lstStyle/>
        <a:p>
          <a:endParaRPr lang="en-US"/>
        </a:p>
      </dgm:t>
    </dgm:pt>
    <dgm:pt modelId="{06FE20A7-6174-49F7-A0D9-020EB851EED0}" type="pres">
      <dgm:prSet presAssocID="{989C22DD-554F-48A7-898A-148927E3384F}" presName="rootConnector" presStyleLbl="node3" presStyleIdx="1" presStyleCnt="2"/>
      <dgm:spPr/>
      <dgm:t>
        <a:bodyPr/>
        <a:lstStyle/>
        <a:p>
          <a:endParaRPr lang="en-US"/>
        </a:p>
      </dgm:t>
    </dgm:pt>
    <dgm:pt modelId="{A4BF8592-FE4D-416C-A5FB-C63E46EE79D4}" type="pres">
      <dgm:prSet presAssocID="{989C22DD-554F-48A7-898A-148927E3384F}" presName="hierChild4" presStyleCnt="0"/>
      <dgm:spPr/>
      <dgm:t>
        <a:bodyPr/>
        <a:lstStyle/>
        <a:p>
          <a:endParaRPr lang="en-US"/>
        </a:p>
      </dgm:t>
    </dgm:pt>
    <dgm:pt modelId="{67C299C0-F615-4B19-9654-70FD9C07D142}" type="pres">
      <dgm:prSet presAssocID="{C9AE0391-2636-4799-B887-FB0DDBCC006A}" presName="Name37" presStyleLbl="parChTrans1D4" presStyleIdx="0" presStyleCnt="1"/>
      <dgm:spPr/>
      <dgm:t>
        <a:bodyPr/>
        <a:lstStyle/>
        <a:p>
          <a:endParaRPr lang="en-US"/>
        </a:p>
      </dgm:t>
    </dgm:pt>
    <dgm:pt modelId="{85CC2F4D-B3A9-4090-8625-FA38289C1869}" type="pres">
      <dgm:prSet presAssocID="{7D41733E-2B8F-432C-A62A-74CC50026BB2}" presName="hierRoot2" presStyleCnt="0">
        <dgm:presLayoutVars>
          <dgm:hierBranch val="init"/>
        </dgm:presLayoutVars>
      </dgm:prSet>
      <dgm:spPr/>
      <dgm:t>
        <a:bodyPr/>
        <a:lstStyle/>
        <a:p>
          <a:endParaRPr lang="en-US"/>
        </a:p>
      </dgm:t>
    </dgm:pt>
    <dgm:pt modelId="{BD72F4B5-38E2-427B-B1A0-0BBAED512450}" type="pres">
      <dgm:prSet presAssocID="{7D41733E-2B8F-432C-A62A-74CC50026BB2}" presName="rootComposite" presStyleCnt="0"/>
      <dgm:spPr/>
      <dgm:t>
        <a:bodyPr/>
        <a:lstStyle/>
        <a:p>
          <a:endParaRPr lang="en-US"/>
        </a:p>
      </dgm:t>
    </dgm:pt>
    <dgm:pt modelId="{91B925DC-DAFD-48BB-928D-688D34456D7E}" type="pres">
      <dgm:prSet presAssocID="{7D41733E-2B8F-432C-A62A-74CC50026BB2}" presName="rootText" presStyleLbl="node4" presStyleIdx="0" presStyleCnt="1">
        <dgm:presLayoutVars>
          <dgm:chPref val="3"/>
        </dgm:presLayoutVars>
      </dgm:prSet>
      <dgm:spPr/>
      <dgm:t>
        <a:bodyPr/>
        <a:lstStyle/>
        <a:p>
          <a:endParaRPr lang="en-US"/>
        </a:p>
      </dgm:t>
    </dgm:pt>
    <dgm:pt modelId="{2CB9B0B9-0AF1-49F2-85B1-1721694E67DA}" type="pres">
      <dgm:prSet presAssocID="{7D41733E-2B8F-432C-A62A-74CC50026BB2}" presName="rootConnector" presStyleLbl="node4" presStyleIdx="0" presStyleCnt="1"/>
      <dgm:spPr/>
      <dgm:t>
        <a:bodyPr/>
        <a:lstStyle/>
        <a:p>
          <a:endParaRPr lang="en-US"/>
        </a:p>
      </dgm:t>
    </dgm:pt>
    <dgm:pt modelId="{239EEC92-408E-4BB2-959C-87024BF4A161}" type="pres">
      <dgm:prSet presAssocID="{7D41733E-2B8F-432C-A62A-74CC50026BB2}" presName="hierChild4" presStyleCnt="0"/>
      <dgm:spPr/>
      <dgm:t>
        <a:bodyPr/>
        <a:lstStyle/>
        <a:p>
          <a:endParaRPr lang="en-US"/>
        </a:p>
      </dgm:t>
    </dgm:pt>
    <dgm:pt modelId="{C7BADBAF-7848-4DF1-9EE0-BE56450967CF}" type="pres">
      <dgm:prSet presAssocID="{7D41733E-2B8F-432C-A62A-74CC50026BB2}" presName="hierChild5" presStyleCnt="0"/>
      <dgm:spPr/>
      <dgm:t>
        <a:bodyPr/>
        <a:lstStyle/>
        <a:p>
          <a:endParaRPr lang="en-US"/>
        </a:p>
      </dgm:t>
    </dgm:pt>
    <dgm:pt modelId="{0C2C4A3E-4CBD-4672-92FC-86C2AC25ED07}" type="pres">
      <dgm:prSet presAssocID="{989C22DD-554F-48A7-898A-148927E3384F}" presName="hierChild5"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AEE5A24C-2A51-49D4-AFCA-D4F6ECB43047}" type="presOf" srcId="{AB5E06CB-E905-4D41-A9C7-9131F04DC9CE}" destId="{F331F064-3FFE-467B-B6F4-76EC69DA166D}" srcOrd="1" destOrd="0" presId="urn:microsoft.com/office/officeart/2005/8/layout/orgChart1"/>
    <dgm:cxn modelId="{1BF7CF99-8B5D-4A8C-893B-2EC2B3A1E930}" type="presOf" srcId="{989C22DD-554F-48A7-898A-148927E3384F}" destId="{51EB42FC-48DF-42A3-B030-D893D882025B}" srcOrd="0" destOrd="0" presId="urn:microsoft.com/office/officeart/2005/8/layout/orgChart1"/>
    <dgm:cxn modelId="{4C9A07A9-22BD-4301-82AD-1971071A6B39}" type="presOf" srcId="{C9AE0391-2636-4799-B887-FB0DDBCC006A}" destId="{67C299C0-F615-4B19-9654-70FD9C07D142}" srcOrd="0" destOrd="0" presId="urn:microsoft.com/office/officeart/2005/8/layout/orgChart1"/>
    <dgm:cxn modelId="{DE0BBF7E-A96A-4849-A839-08687208556C}" type="presOf" srcId="{7CB8513C-1D29-4F3F-91FA-7E1270D7D17A}" destId="{B85A3314-0F9F-4C25-BE5E-D47EFAC3BD9D}" srcOrd="0" destOrd="0" presId="urn:microsoft.com/office/officeart/2005/8/layout/orgChart1"/>
    <dgm:cxn modelId="{CF16AC0B-280F-43F5-B55B-015B31086502}" type="presOf" srcId="{DD5C4356-717F-4220-9C9A-F70B5390A75C}" destId="{CE46E30C-927A-4935-8134-988AD56D3D3F}" srcOrd="0" destOrd="0" presId="urn:microsoft.com/office/officeart/2005/8/layout/orgChart1"/>
    <dgm:cxn modelId="{551011D2-DE61-48EC-A9F5-390BC919C14F}" type="presOf" srcId="{AB5E06CB-E905-4D41-A9C7-9131F04DC9CE}" destId="{76D12F87-154D-4D4C-8B48-D14EC83FB4A5}" srcOrd="0" destOrd="0" presId="urn:microsoft.com/office/officeart/2005/8/layout/orgChart1"/>
    <dgm:cxn modelId="{E6AFD4C1-D09F-4696-A20D-9ECC79351752}" type="presOf" srcId="{E8CCAD3A-6999-49D6-9754-08C9546FC629}" destId="{27153E03-22AE-4A7E-956B-1489E8B03DDC}" srcOrd="1" destOrd="0" presId="urn:microsoft.com/office/officeart/2005/8/layout/orgChart1"/>
    <dgm:cxn modelId="{5290BD3F-59F2-4467-95A3-B86E25FE4651}" srcId="{AB5E06CB-E905-4D41-A9C7-9131F04DC9CE}" destId="{989C22DD-554F-48A7-898A-148927E3384F}" srcOrd="0" destOrd="0" parTransId="{88FA84CB-6F38-490B-ABD4-A88CB603C2FE}" sibTransId="{37F93542-F424-4853-8C9D-B52E1BFC09D8}"/>
    <dgm:cxn modelId="{64574FE7-7C16-4C33-A39A-693A2584C5F2}" type="presOf" srcId="{29F6E1F5-0C63-42D9-AFD5-ADFCE333AE61}" destId="{BA0E7B03-1E33-494E-9E4F-2FB983E0EA86}" srcOrd="1" destOrd="0" presId="urn:microsoft.com/office/officeart/2005/8/layout/orgChart1"/>
    <dgm:cxn modelId="{D66D43AF-C139-4F69-8548-B4C1869D3468}" type="presOf" srcId="{5884FD07-7F21-451D-A621-FCA5946FB9B1}" destId="{4217B007-CB58-45F8-9D91-EE7CA77AFD73}" srcOrd="0" destOrd="0" presId="urn:microsoft.com/office/officeart/2005/8/layout/orgChart1"/>
    <dgm:cxn modelId="{EE51DB02-63B5-4AE2-BA85-60B4A0FE43AC}" srcId="{E8CCAD3A-6999-49D6-9754-08C9546FC629}" destId="{29F6E1F5-0C63-42D9-AFD5-ADFCE333AE61}" srcOrd="0" destOrd="0" parTransId="{77834915-5271-40BC-B924-C00C7152C092}" sibTransId="{0F55E717-0464-4A75-9160-641A64DF4BB8}"/>
    <dgm:cxn modelId="{9345B235-78E3-4812-A98C-6D98BB1A13E8}" type="presOf" srcId="{7D41733E-2B8F-432C-A62A-74CC50026BB2}" destId="{2CB9B0B9-0AF1-49F2-85B1-1721694E67DA}" srcOrd="1" destOrd="0" presId="urn:microsoft.com/office/officeart/2005/8/layout/orgChart1"/>
    <dgm:cxn modelId="{AD00D175-C42F-4139-A172-964F5490E331}" srcId="{989C22DD-554F-48A7-898A-148927E3384F}" destId="{7D41733E-2B8F-432C-A62A-74CC50026BB2}" srcOrd="0" destOrd="0" parTransId="{C9AE0391-2636-4799-B887-FB0DDBCC006A}" sibTransId="{CB10DA6B-8565-4100-AE60-74FB88357E47}"/>
    <dgm:cxn modelId="{9AEBA617-876B-4CF2-8CFA-4DE3D06126CE}" type="presOf" srcId="{29F6E1F5-0C63-42D9-AFD5-ADFCE333AE61}" destId="{5F413E7A-418C-4C4B-95A5-C3078AA40D16}" srcOrd="0"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20AABA75-C914-4B31-AF1E-B50041E50022}" type="presOf" srcId="{7D41733E-2B8F-432C-A62A-74CC50026BB2}" destId="{91B925DC-DAFD-48BB-928D-688D34456D7E}" srcOrd="0" destOrd="0" presId="urn:microsoft.com/office/officeart/2005/8/layout/orgChart1"/>
    <dgm:cxn modelId="{5D48AE17-A25B-4C35-80BD-CBE6A2291535}" type="presOf" srcId="{88FA84CB-6F38-490B-ABD4-A88CB603C2FE}" destId="{AF31641A-99FF-4D28-8086-1D4A36BE94E5}" srcOrd="0" destOrd="0" presId="urn:microsoft.com/office/officeart/2005/8/layout/orgChart1"/>
    <dgm:cxn modelId="{1E794DB0-3BF7-44A3-91EF-B1C6F2A84121}" srcId="{29F6E1F5-0C63-42D9-AFD5-ADFCE333AE61}" destId="{DD5C4356-717F-4220-9C9A-F70B5390A75C}" srcOrd="0" destOrd="0" parTransId="{7CB8513C-1D29-4F3F-91FA-7E1270D7D17A}" sibTransId="{75FAEAF3-6651-43F8-96B7-2498DECC3764}"/>
    <dgm:cxn modelId="{99062DED-CAFC-4575-B983-7637F636CD99}" type="presOf" srcId="{989C22DD-554F-48A7-898A-148927E3384F}" destId="{06FE20A7-6174-49F7-A0D9-020EB851EED0}" srcOrd="1" destOrd="0" presId="urn:microsoft.com/office/officeart/2005/8/layout/orgChart1"/>
    <dgm:cxn modelId="{28763F4B-13C9-4505-B780-FF21A749FBCF}" type="presOf" srcId="{E8CCAD3A-6999-49D6-9754-08C9546FC629}" destId="{24F041FE-9FC7-4776-A76E-9D7A5B7921DA}" srcOrd="0" destOrd="0" presId="urn:microsoft.com/office/officeart/2005/8/layout/orgChart1"/>
    <dgm:cxn modelId="{15140E1C-1018-40EC-A44C-7EF8C0E6D640}" type="presOf" srcId="{F41350D7-B49F-4D9D-B76A-397EF1F48859}" destId="{35FB5D63-D052-4C37-BB35-C884386B69B4}" srcOrd="0" destOrd="0" presId="urn:microsoft.com/office/officeart/2005/8/layout/orgChart1"/>
    <dgm:cxn modelId="{D1A946C0-33EB-4787-8FF9-9583CFE29B60}" srcId="{E8CCAD3A-6999-49D6-9754-08C9546FC629}" destId="{AB5E06CB-E905-4D41-A9C7-9131F04DC9CE}" srcOrd="1" destOrd="0" parTransId="{5884FD07-7F21-451D-A621-FCA5946FB9B1}" sibTransId="{65F99840-2CD2-4AAF-ADFF-868F2DBC1686}"/>
    <dgm:cxn modelId="{690A6954-0D6D-447F-9DC4-DF2DA271009D}" type="presOf" srcId="{77834915-5271-40BC-B924-C00C7152C092}" destId="{C920F0D6-857B-4246-9E40-606D60223ABB}" srcOrd="0" destOrd="0" presId="urn:microsoft.com/office/officeart/2005/8/layout/orgChart1"/>
    <dgm:cxn modelId="{7B21FD3F-ADDF-4514-BEF2-39351837A246}" type="presOf" srcId="{DD5C4356-717F-4220-9C9A-F70B5390A75C}" destId="{5A74BECA-3FB4-47C4-8933-4480694FB014}" srcOrd="1" destOrd="0" presId="urn:microsoft.com/office/officeart/2005/8/layout/orgChart1"/>
    <dgm:cxn modelId="{44BBC373-528C-436A-83E6-515F130A8F6F}" type="presParOf" srcId="{35FB5D63-D052-4C37-BB35-C884386B69B4}" destId="{2DB0B1C5-A778-4364-9F16-0B302BC31BF7}" srcOrd="0" destOrd="0" presId="urn:microsoft.com/office/officeart/2005/8/layout/orgChart1"/>
    <dgm:cxn modelId="{8143829D-83E0-47D2-A93F-8CA7D291E31A}" type="presParOf" srcId="{2DB0B1C5-A778-4364-9F16-0B302BC31BF7}" destId="{D5C40014-B393-4E70-8741-CE83E7EC85CB}" srcOrd="0" destOrd="0" presId="urn:microsoft.com/office/officeart/2005/8/layout/orgChart1"/>
    <dgm:cxn modelId="{76AF3027-9586-4241-B835-715893C828F5}" type="presParOf" srcId="{D5C40014-B393-4E70-8741-CE83E7EC85CB}" destId="{24F041FE-9FC7-4776-A76E-9D7A5B7921DA}" srcOrd="0" destOrd="0" presId="urn:microsoft.com/office/officeart/2005/8/layout/orgChart1"/>
    <dgm:cxn modelId="{E42A461B-EDBC-4BF5-AB6A-35EB583205BC}" type="presParOf" srcId="{D5C40014-B393-4E70-8741-CE83E7EC85CB}" destId="{27153E03-22AE-4A7E-956B-1489E8B03DDC}" srcOrd="1" destOrd="0" presId="urn:microsoft.com/office/officeart/2005/8/layout/orgChart1"/>
    <dgm:cxn modelId="{814D792E-D943-4E51-A96F-1E0A3C29B407}" type="presParOf" srcId="{2DB0B1C5-A778-4364-9F16-0B302BC31BF7}" destId="{5ECAD1AC-4244-40AC-BC34-8C6A61CC52ED}" srcOrd="1" destOrd="0" presId="urn:microsoft.com/office/officeart/2005/8/layout/orgChart1"/>
    <dgm:cxn modelId="{D7E97D4A-1647-4B62-9F47-121499EE252E}" type="presParOf" srcId="{5ECAD1AC-4244-40AC-BC34-8C6A61CC52ED}" destId="{C920F0D6-857B-4246-9E40-606D60223ABB}" srcOrd="0" destOrd="0" presId="urn:microsoft.com/office/officeart/2005/8/layout/orgChart1"/>
    <dgm:cxn modelId="{03FAF23C-5FC1-4AF2-BFB8-0D5C3F7DACFD}" type="presParOf" srcId="{5ECAD1AC-4244-40AC-BC34-8C6A61CC52ED}" destId="{62FC274B-019A-4985-803D-C214243D0D44}" srcOrd="1" destOrd="0" presId="urn:microsoft.com/office/officeart/2005/8/layout/orgChart1"/>
    <dgm:cxn modelId="{780EDB46-F47F-4619-90AF-830AADCA4F71}" type="presParOf" srcId="{62FC274B-019A-4985-803D-C214243D0D44}" destId="{A8A00537-422F-4DD4-BB92-E74530A11980}" srcOrd="0" destOrd="0" presId="urn:microsoft.com/office/officeart/2005/8/layout/orgChart1"/>
    <dgm:cxn modelId="{ECD42962-DA5D-4196-9C1E-A004FAFFC4FD}" type="presParOf" srcId="{A8A00537-422F-4DD4-BB92-E74530A11980}" destId="{5F413E7A-418C-4C4B-95A5-C3078AA40D16}" srcOrd="0" destOrd="0" presId="urn:microsoft.com/office/officeart/2005/8/layout/orgChart1"/>
    <dgm:cxn modelId="{4F9347EC-98DA-4BE3-92BE-BF71C86D8758}" type="presParOf" srcId="{A8A00537-422F-4DD4-BB92-E74530A11980}" destId="{BA0E7B03-1E33-494E-9E4F-2FB983E0EA86}" srcOrd="1" destOrd="0" presId="urn:microsoft.com/office/officeart/2005/8/layout/orgChart1"/>
    <dgm:cxn modelId="{2CFE144A-0600-423B-A671-5987ADE27D30}" type="presParOf" srcId="{62FC274B-019A-4985-803D-C214243D0D44}" destId="{0132F9DE-BC28-4CF2-BF0B-7CC143187751}" srcOrd="1" destOrd="0" presId="urn:microsoft.com/office/officeart/2005/8/layout/orgChart1"/>
    <dgm:cxn modelId="{65171574-B84F-4DF7-9490-9D51C00E069E}" type="presParOf" srcId="{0132F9DE-BC28-4CF2-BF0B-7CC143187751}" destId="{B85A3314-0F9F-4C25-BE5E-D47EFAC3BD9D}" srcOrd="0" destOrd="0" presId="urn:microsoft.com/office/officeart/2005/8/layout/orgChart1"/>
    <dgm:cxn modelId="{7AE12281-D183-4156-A0C2-1555C79E5D01}" type="presParOf" srcId="{0132F9DE-BC28-4CF2-BF0B-7CC143187751}" destId="{4B6917AC-ACB3-44FC-9CDB-1DE98656CB2B}" srcOrd="1" destOrd="0" presId="urn:microsoft.com/office/officeart/2005/8/layout/orgChart1"/>
    <dgm:cxn modelId="{10F257DA-9288-4930-A418-8AFBCE4FE365}" type="presParOf" srcId="{4B6917AC-ACB3-44FC-9CDB-1DE98656CB2B}" destId="{9FE5FD6F-21C3-45EE-861C-8B7527A0FF73}" srcOrd="0" destOrd="0" presId="urn:microsoft.com/office/officeart/2005/8/layout/orgChart1"/>
    <dgm:cxn modelId="{E18DE3FE-8248-4F01-B793-8E486E1B5D9B}" type="presParOf" srcId="{9FE5FD6F-21C3-45EE-861C-8B7527A0FF73}" destId="{CE46E30C-927A-4935-8134-988AD56D3D3F}" srcOrd="0" destOrd="0" presId="urn:microsoft.com/office/officeart/2005/8/layout/orgChart1"/>
    <dgm:cxn modelId="{38BF94C0-FB42-49C8-95D6-673F79F3F449}" type="presParOf" srcId="{9FE5FD6F-21C3-45EE-861C-8B7527A0FF73}" destId="{5A74BECA-3FB4-47C4-8933-4480694FB014}" srcOrd="1" destOrd="0" presId="urn:microsoft.com/office/officeart/2005/8/layout/orgChart1"/>
    <dgm:cxn modelId="{2FB7EE25-2B0C-4127-A4E1-B614F83DCE91}" type="presParOf" srcId="{4B6917AC-ACB3-44FC-9CDB-1DE98656CB2B}" destId="{E31486E1-E58E-4F62-8509-1C0177595FD4}" srcOrd="1" destOrd="0" presId="urn:microsoft.com/office/officeart/2005/8/layout/orgChart1"/>
    <dgm:cxn modelId="{FA6B23BF-EC10-457F-A83D-49F504F5E8BB}" type="presParOf" srcId="{4B6917AC-ACB3-44FC-9CDB-1DE98656CB2B}" destId="{AF814E27-35A7-4654-A297-971CDDEC59E5}" srcOrd="2" destOrd="0" presId="urn:microsoft.com/office/officeart/2005/8/layout/orgChart1"/>
    <dgm:cxn modelId="{0EFD5420-302E-42B1-8A6D-C920F1E9871A}" type="presParOf" srcId="{62FC274B-019A-4985-803D-C214243D0D44}" destId="{E5ED30A6-EDA9-4987-9099-B10B16D7EAB2}" srcOrd="2" destOrd="0" presId="urn:microsoft.com/office/officeart/2005/8/layout/orgChart1"/>
    <dgm:cxn modelId="{AF591765-5CE1-4B3F-9BEF-1F20E7602D23}" type="presParOf" srcId="{5ECAD1AC-4244-40AC-BC34-8C6A61CC52ED}" destId="{4217B007-CB58-45F8-9D91-EE7CA77AFD73}" srcOrd="2" destOrd="0" presId="urn:microsoft.com/office/officeart/2005/8/layout/orgChart1"/>
    <dgm:cxn modelId="{13CB337C-C463-405D-B0F0-32DB763C20FB}" type="presParOf" srcId="{5ECAD1AC-4244-40AC-BC34-8C6A61CC52ED}" destId="{5C5576D8-2618-4B15-B0E7-90EBF73A4033}" srcOrd="3" destOrd="0" presId="urn:microsoft.com/office/officeart/2005/8/layout/orgChart1"/>
    <dgm:cxn modelId="{E328B29B-8914-454B-9118-1C064E0D707A}" type="presParOf" srcId="{5C5576D8-2618-4B15-B0E7-90EBF73A4033}" destId="{097FA788-E9F9-460D-A3C8-52FBED03C306}" srcOrd="0" destOrd="0" presId="urn:microsoft.com/office/officeart/2005/8/layout/orgChart1"/>
    <dgm:cxn modelId="{B2BA2823-C232-4A0B-ADA2-D56045C123B4}" type="presParOf" srcId="{097FA788-E9F9-460D-A3C8-52FBED03C306}" destId="{76D12F87-154D-4D4C-8B48-D14EC83FB4A5}" srcOrd="0" destOrd="0" presId="urn:microsoft.com/office/officeart/2005/8/layout/orgChart1"/>
    <dgm:cxn modelId="{E506C670-D0DA-4D30-B6EA-2686145FFF5C}" type="presParOf" srcId="{097FA788-E9F9-460D-A3C8-52FBED03C306}" destId="{F331F064-3FFE-467B-B6F4-76EC69DA166D}" srcOrd="1" destOrd="0" presId="urn:microsoft.com/office/officeart/2005/8/layout/orgChart1"/>
    <dgm:cxn modelId="{01C69B57-B9BB-4868-909D-3B42164ADDE2}" type="presParOf" srcId="{5C5576D8-2618-4B15-B0E7-90EBF73A4033}" destId="{6EA9584C-C0AB-4FE7-8D1C-BE98DDFA5920}" srcOrd="1" destOrd="0" presId="urn:microsoft.com/office/officeart/2005/8/layout/orgChart1"/>
    <dgm:cxn modelId="{E470A95F-E220-47E2-8D85-D124EE27D6AD}" type="presParOf" srcId="{6EA9584C-C0AB-4FE7-8D1C-BE98DDFA5920}" destId="{AF31641A-99FF-4D28-8086-1D4A36BE94E5}" srcOrd="0" destOrd="0" presId="urn:microsoft.com/office/officeart/2005/8/layout/orgChart1"/>
    <dgm:cxn modelId="{FD5D79E2-F8E5-4054-AC8A-3141B51DA1D4}" type="presParOf" srcId="{6EA9584C-C0AB-4FE7-8D1C-BE98DDFA5920}" destId="{2758FA4C-A14F-4F27-B628-93147E09320E}" srcOrd="1" destOrd="0" presId="urn:microsoft.com/office/officeart/2005/8/layout/orgChart1"/>
    <dgm:cxn modelId="{1F3FB002-5835-48FD-8222-E78D136EA997}" type="presParOf" srcId="{2758FA4C-A14F-4F27-B628-93147E09320E}" destId="{0E8DA318-1C86-4E80-BDC9-E8B305E84FB9}" srcOrd="0" destOrd="0" presId="urn:microsoft.com/office/officeart/2005/8/layout/orgChart1"/>
    <dgm:cxn modelId="{5E07D10B-703F-41E2-B2BD-008811ACA31E}" type="presParOf" srcId="{0E8DA318-1C86-4E80-BDC9-E8B305E84FB9}" destId="{51EB42FC-48DF-42A3-B030-D893D882025B}" srcOrd="0" destOrd="0" presId="urn:microsoft.com/office/officeart/2005/8/layout/orgChart1"/>
    <dgm:cxn modelId="{C32FDBC6-4DC6-4C3B-B8DA-CD3A367D2005}" type="presParOf" srcId="{0E8DA318-1C86-4E80-BDC9-E8B305E84FB9}" destId="{06FE20A7-6174-49F7-A0D9-020EB851EED0}" srcOrd="1" destOrd="0" presId="urn:microsoft.com/office/officeart/2005/8/layout/orgChart1"/>
    <dgm:cxn modelId="{1914BF26-45CC-4414-8B2F-5C09EE6CFFB3}" type="presParOf" srcId="{2758FA4C-A14F-4F27-B628-93147E09320E}" destId="{A4BF8592-FE4D-416C-A5FB-C63E46EE79D4}" srcOrd="1" destOrd="0" presId="urn:microsoft.com/office/officeart/2005/8/layout/orgChart1"/>
    <dgm:cxn modelId="{085A5E4A-8D5D-4ADB-879F-9F5FB492C94C}" type="presParOf" srcId="{A4BF8592-FE4D-416C-A5FB-C63E46EE79D4}" destId="{67C299C0-F615-4B19-9654-70FD9C07D142}" srcOrd="0" destOrd="0" presId="urn:microsoft.com/office/officeart/2005/8/layout/orgChart1"/>
    <dgm:cxn modelId="{14731FAA-C782-44C0-B4D7-EC9B6D9535C0}" type="presParOf" srcId="{A4BF8592-FE4D-416C-A5FB-C63E46EE79D4}" destId="{85CC2F4D-B3A9-4090-8625-FA38289C1869}" srcOrd="1" destOrd="0" presId="urn:microsoft.com/office/officeart/2005/8/layout/orgChart1"/>
    <dgm:cxn modelId="{EE3041C4-598B-44B2-8186-02EA78F718C0}" type="presParOf" srcId="{85CC2F4D-B3A9-4090-8625-FA38289C1869}" destId="{BD72F4B5-38E2-427B-B1A0-0BBAED512450}" srcOrd="0" destOrd="0" presId="urn:microsoft.com/office/officeart/2005/8/layout/orgChart1"/>
    <dgm:cxn modelId="{FE4EB3F4-B151-4627-9817-33FD89015E11}" type="presParOf" srcId="{BD72F4B5-38E2-427B-B1A0-0BBAED512450}" destId="{91B925DC-DAFD-48BB-928D-688D34456D7E}" srcOrd="0" destOrd="0" presId="urn:microsoft.com/office/officeart/2005/8/layout/orgChart1"/>
    <dgm:cxn modelId="{ABE892D0-2606-4BD5-85C8-EB38527D1B74}" type="presParOf" srcId="{BD72F4B5-38E2-427B-B1A0-0BBAED512450}" destId="{2CB9B0B9-0AF1-49F2-85B1-1721694E67DA}" srcOrd="1" destOrd="0" presId="urn:microsoft.com/office/officeart/2005/8/layout/orgChart1"/>
    <dgm:cxn modelId="{5DE2BC1B-F514-4A4F-9F79-EFDE2945A1EB}" type="presParOf" srcId="{85CC2F4D-B3A9-4090-8625-FA38289C1869}" destId="{239EEC92-408E-4BB2-959C-87024BF4A161}" srcOrd="1" destOrd="0" presId="urn:microsoft.com/office/officeart/2005/8/layout/orgChart1"/>
    <dgm:cxn modelId="{1D5D1948-5DA6-4F91-AC15-0DCCF1BF26BD}" type="presParOf" srcId="{85CC2F4D-B3A9-4090-8625-FA38289C1869}" destId="{C7BADBAF-7848-4DF1-9EE0-BE56450967CF}" srcOrd="2" destOrd="0" presId="urn:microsoft.com/office/officeart/2005/8/layout/orgChart1"/>
    <dgm:cxn modelId="{E69BFB0B-8B5D-48CB-A31C-BB3DD490294C}" type="presParOf" srcId="{2758FA4C-A14F-4F27-B628-93147E09320E}" destId="{0C2C4A3E-4CBD-4672-92FC-86C2AC25ED07}" srcOrd="2" destOrd="0" presId="urn:microsoft.com/office/officeart/2005/8/layout/orgChart1"/>
    <dgm:cxn modelId="{94423AA7-BD29-421B-A831-58FEA6B775B2}" type="presParOf" srcId="{5C5576D8-2618-4B15-B0E7-90EBF73A4033}" destId="{BA035CBB-D9CA-4ABE-AB02-4D8D59768CCF}" srcOrd="2" destOrd="0" presId="urn:microsoft.com/office/officeart/2005/8/layout/orgChart1"/>
    <dgm:cxn modelId="{B659386B-4202-4227-BD5C-14B893ADA545}" type="presParOf" srcId="{2DB0B1C5-A778-4364-9F16-0B302BC31BF7}" destId="{AAC949D0-CB87-4178-B9E6-612CD8E57E87}" srcOrd="2" destOrd="0" presId="urn:microsoft.com/office/officeart/2005/8/layout/orgChart1"/>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1_4" csCatId="accent1" phldr="1"/>
      <dgm:spPr/>
      <dgm:t>
        <a:bodyPr/>
        <a:lstStyle/>
        <a:p>
          <a:endParaRPr lang="en-US"/>
        </a:p>
      </dgm:t>
    </dgm:pt>
    <dgm:pt modelId="{E8CCAD3A-6999-49D6-9754-08C9546FC629}">
      <dgm:prSet phldrT="[Text]"/>
      <dgm:spPr/>
      <dgm:t>
        <a:bodyPr/>
        <a:lstStyle/>
        <a:p>
          <a:r>
            <a:rPr lang="en-US"/>
            <a:t>FY 15-16</a:t>
          </a:r>
          <a:br>
            <a:rPr lang="en-US"/>
          </a:br>
          <a:r>
            <a:rPr lang="en-US"/>
            <a:t>Actual FTES 15,029</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Actual FTES</a:t>
          </a:r>
          <a:br>
            <a:rPr lang="en-US"/>
          </a:br>
          <a:r>
            <a:rPr lang="en-US"/>
            <a:t>10,302</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Actual FTES</a:t>
          </a:r>
          <a:br>
            <a:rPr lang="en-US"/>
          </a:br>
          <a:r>
            <a:rPr lang="en-US"/>
            <a:t>4,727</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EE51DB02-63B5-4AE2-BA85-60B4A0FE43AC}" srcId="{E8CCAD3A-6999-49D6-9754-08C9546FC629}" destId="{29F6E1F5-0C63-42D9-AFD5-ADFCE333AE61}" srcOrd="0" destOrd="0" parTransId="{77834915-5271-40BC-B924-C00C7152C092}" sibTransId="{0F55E717-0464-4A75-9160-641A64DF4BB8}"/>
    <dgm:cxn modelId="{D1A946C0-33EB-4787-8FF9-9583CFE29B60}" srcId="{E8CCAD3A-6999-49D6-9754-08C9546FC629}" destId="{AB5E06CB-E905-4D41-A9C7-9131F04DC9CE}" srcOrd="1" destOrd="0" parTransId="{5884FD07-7F21-451D-A621-FCA5946FB9B1}" sibTransId="{65F99840-2CD2-4AAF-ADFF-868F2DBC1686}"/>
    <dgm:cxn modelId="{FFC82ECE-63E6-4100-8A20-6868F2D28C5C}" type="presOf" srcId="{77834915-5271-40BC-B924-C00C7152C092}" destId="{C920F0D6-857B-4246-9E40-606D60223ABB}" srcOrd="0" destOrd="0" presId="urn:microsoft.com/office/officeart/2005/8/layout/orgChart1"/>
    <dgm:cxn modelId="{DD800408-02EC-46EC-999A-2D020DDC7256}" type="presOf" srcId="{5884FD07-7F21-451D-A621-FCA5946FB9B1}" destId="{4217B007-CB58-45F8-9D91-EE7CA77AFD73}" srcOrd="0" destOrd="0" presId="urn:microsoft.com/office/officeart/2005/8/layout/orgChart1"/>
    <dgm:cxn modelId="{B2AD7E8E-51E3-4F67-8E01-A28C8977F868}" type="presOf" srcId="{AB5E06CB-E905-4D41-A9C7-9131F04DC9CE}" destId="{76D12F87-154D-4D4C-8B48-D14EC83FB4A5}" srcOrd="0" destOrd="0" presId="urn:microsoft.com/office/officeart/2005/8/layout/orgChart1"/>
    <dgm:cxn modelId="{8CB1CE1E-5065-4973-9F0E-7FC2BBBEAE91}" type="presOf" srcId="{F41350D7-B49F-4D9D-B76A-397EF1F48859}" destId="{35FB5D63-D052-4C37-BB35-C884386B69B4}" srcOrd="0"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342CA97C-F93D-4EA8-9A62-133BA6FA03ED}" type="presOf" srcId="{29F6E1F5-0C63-42D9-AFD5-ADFCE333AE61}" destId="{BA0E7B03-1E33-494E-9E4F-2FB983E0EA86}" srcOrd="1" destOrd="0" presId="urn:microsoft.com/office/officeart/2005/8/layout/orgChart1"/>
    <dgm:cxn modelId="{C8A8A071-5411-4480-9F15-8FCAC2AC87ED}" type="presOf" srcId="{E8CCAD3A-6999-49D6-9754-08C9546FC629}" destId="{24F041FE-9FC7-4776-A76E-9D7A5B7921DA}" srcOrd="0" destOrd="0" presId="urn:microsoft.com/office/officeart/2005/8/layout/orgChart1"/>
    <dgm:cxn modelId="{DC62AD84-8A1E-4952-BDB3-17207171E031}" type="presOf" srcId="{29F6E1F5-0C63-42D9-AFD5-ADFCE333AE61}" destId="{5F413E7A-418C-4C4B-95A5-C3078AA40D16}" srcOrd="0" destOrd="0" presId="urn:microsoft.com/office/officeart/2005/8/layout/orgChart1"/>
    <dgm:cxn modelId="{75A9B132-2E01-41E0-AA10-5BBED0038D38}" type="presOf" srcId="{AB5E06CB-E905-4D41-A9C7-9131F04DC9CE}" destId="{F331F064-3FFE-467B-B6F4-76EC69DA166D}" srcOrd="1" destOrd="0" presId="urn:microsoft.com/office/officeart/2005/8/layout/orgChart1"/>
    <dgm:cxn modelId="{7B394CF4-FF99-4DC7-9108-9FCFD2C0B1E1}" type="presOf" srcId="{E8CCAD3A-6999-49D6-9754-08C9546FC629}" destId="{27153E03-22AE-4A7E-956B-1489E8B03DDC}" srcOrd="1" destOrd="0" presId="urn:microsoft.com/office/officeart/2005/8/layout/orgChart1"/>
    <dgm:cxn modelId="{9719C0F9-9702-40A9-9D21-0B32EA2F18C5}" type="presParOf" srcId="{35FB5D63-D052-4C37-BB35-C884386B69B4}" destId="{2DB0B1C5-A778-4364-9F16-0B302BC31BF7}" srcOrd="0" destOrd="0" presId="urn:microsoft.com/office/officeart/2005/8/layout/orgChart1"/>
    <dgm:cxn modelId="{852557F6-34AD-4939-806C-383C2047B9C5}" type="presParOf" srcId="{2DB0B1C5-A778-4364-9F16-0B302BC31BF7}" destId="{D5C40014-B393-4E70-8741-CE83E7EC85CB}" srcOrd="0" destOrd="0" presId="urn:microsoft.com/office/officeart/2005/8/layout/orgChart1"/>
    <dgm:cxn modelId="{A66B0219-EC9F-4DB9-8FBA-5613233AB829}" type="presParOf" srcId="{D5C40014-B393-4E70-8741-CE83E7EC85CB}" destId="{24F041FE-9FC7-4776-A76E-9D7A5B7921DA}" srcOrd="0" destOrd="0" presId="urn:microsoft.com/office/officeart/2005/8/layout/orgChart1"/>
    <dgm:cxn modelId="{AFE5E317-33BC-4F99-9108-1C6B5142FB54}" type="presParOf" srcId="{D5C40014-B393-4E70-8741-CE83E7EC85CB}" destId="{27153E03-22AE-4A7E-956B-1489E8B03DDC}" srcOrd="1" destOrd="0" presId="urn:microsoft.com/office/officeart/2005/8/layout/orgChart1"/>
    <dgm:cxn modelId="{66244FE9-FA47-455A-A031-213F506661F3}" type="presParOf" srcId="{2DB0B1C5-A778-4364-9F16-0B302BC31BF7}" destId="{5ECAD1AC-4244-40AC-BC34-8C6A61CC52ED}" srcOrd="1" destOrd="0" presId="urn:microsoft.com/office/officeart/2005/8/layout/orgChart1"/>
    <dgm:cxn modelId="{7C65954E-B609-4F3C-A388-4FFDA16D43BF}" type="presParOf" srcId="{5ECAD1AC-4244-40AC-BC34-8C6A61CC52ED}" destId="{C920F0D6-857B-4246-9E40-606D60223ABB}" srcOrd="0" destOrd="0" presId="urn:microsoft.com/office/officeart/2005/8/layout/orgChart1"/>
    <dgm:cxn modelId="{F732F5A5-B2A3-4334-B259-C42805906EF5}" type="presParOf" srcId="{5ECAD1AC-4244-40AC-BC34-8C6A61CC52ED}" destId="{62FC274B-019A-4985-803D-C214243D0D44}" srcOrd="1" destOrd="0" presId="urn:microsoft.com/office/officeart/2005/8/layout/orgChart1"/>
    <dgm:cxn modelId="{4F62C90F-E0EE-4C2D-9BBE-A5DFA4EA99F5}" type="presParOf" srcId="{62FC274B-019A-4985-803D-C214243D0D44}" destId="{A8A00537-422F-4DD4-BB92-E74530A11980}" srcOrd="0" destOrd="0" presId="urn:microsoft.com/office/officeart/2005/8/layout/orgChart1"/>
    <dgm:cxn modelId="{680E195F-356F-45B2-81D1-2EBB48393360}" type="presParOf" srcId="{A8A00537-422F-4DD4-BB92-E74530A11980}" destId="{5F413E7A-418C-4C4B-95A5-C3078AA40D16}" srcOrd="0" destOrd="0" presId="urn:microsoft.com/office/officeart/2005/8/layout/orgChart1"/>
    <dgm:cxn modelId="{58C2398B-7FFF-4CB7-AB60-710369CDCE2A}" type="presParOf" srcId="{A8A00537-422F-4DD4-BB92-E74530A11980}" destId="{BA0E7B03-1E33-494E-9E4F-2FB983E0EA86}" srcOrd="1" destOrd="0" presId="urn:microsoft.com/office/officeart/2005/8/layout/orgChart1"/>
    <dgm:cxn modelId="{79890965-AC06-4E77-9CCD-DA398A93213C}" type="presParOf" srcId="{62FC274B-019A-4985-803D-C214243D0D44}" destId="{0132F9DE-BC28-4CF2-BF0B-7CC143187751}" srcOrd="1" destOrd="0" presId="urn:microsoft.com/office/officeart/2005/8/layout/orgChart1"/>
    <dgm:cxn modelId="{0A5E50C3-308B-4504-AFE0-6E8D994DC26C}" type="presParOf" srcId="{62FC274B-019A-4985-803D-C214243D0D44}" destId="{E5ED30A6-EDA9-4987-9099-B10B16D7EAB2}" srcOrd="2" destOrd="0" presId="urn:microsoft.com/office/officeart/2005/8/layout/orgChart1"/>
    <dgm:cxn modelId="{7470618A-65BE-474C-8756-919B30E8DAE2}" type="presParOf" srcId="{5ECAD1AC-4244-40AC-BC34-8C6A61CC52ED}" destId="{4217B007-CB58-45F8-9D91-EE7CA77AFD73}" srcOrd="2" destOrd="0" presId="urn:microsoft.com/office/officeart/2005/8/layout/orgChart1"/>
    <dgm:cxn modelId="{97B5635A-E090-4211-B67C-11D6D051CFFC}" type="presParOf" srcId="{5ECAD1AC-4244-40AC-BC34-8C6A61CC52ED}" destId="{5C5576D8-2618-4B15-B0E7-90EBF73A4033}" srcOrd="3" destOrd="0" presId="urn:microsoft.com/office/officeart/2005/8/layout/orgChart1"/>
    <dgm:cxn modelId="{848C40D3-DB1E-4287-873F-E9A0C8E3E1CE}" type="presParOf" srcId="{5C5576D8-2618-4B15-B0E7-90EBF73A4033}" destId="{097FA788-E9F9-460D-A3C8-52FBED03C306}" srcOrd="0" destOrd="0" presId="urn:microsoft.com/office/officeart/2005/8/layout/orgChart1"/>
    <dgm:cxn modelId="{D9B7A747-30C3-4C47-8489-860858627B2E}" type="presParOf" srcId="{097FA788-E9F9-460D-A3C8-52FBED03C306}" destId="{76D12F87-154D-4D4C-8B48-D14EC83FB4A5}" srcOrd="0" destOrd="0" presId="urn:microsoft.com/office/officeart/2005/8/layout/orgChart1"/>
    <dgm:cxn modelId="{09DA91DB-FFB2-45FC-8A58-2084845A5AE7}" type="presParOf" srcId="{097FA788-E9F9-460D-A3C8-52FBED03C306}" destId="{F331F064-3FFE-467B-B6F4-76EC69DA166D}" srcOrd="1" destOrd="0" presId="urn:microsoft.com/office/officeart/2005/8/layout/orgChart1"/>
    <dgm:cxn modelId="{15ACDC57-5B65-4F2F-AB9B-239588041198}" type="presParOf" srcId="{5C5576D8-2618-4B15-B0E7-90EBF73A4033}" destId="{6EA9584C-C0AB-4FE7-8D1C-BE98DDFA5920}" srcOrd="1" destOrd="0" presId="urn:microsoft.com/office/officeart/2005/8/layout/orgChart1"/>
    <dgm:cxn modelId="{29163FF1-75EF-4A11-89B7-507A9F5F2B8A}" type="presParOf" srcId="{5C5576D8-2618-4B15-B0E7-90EBF73A4033}" destId="{BA035CBB-D9CA-4ABE-AB02-4D8D59768CCF}" srcOrd="2" destOrd="0" presId="urn:microsoft.com/office/officeart/2005/8/layout/orgChart1"/>
    <dgm:cxn modelId="{2BBDF750-27DA-4DCA-ACE9-DAC8D46A60A8}" type="presParOf" srcId="{2DB0B1C5-A778-4364-9F16-0B302BC31BF7}" destId="{AAC949D0-CB87-4178-B9E6-612CD8E57E87}" srcOrd="2" destOrd="0" presId="urn:microsoft.com/office/officeart/2005/8/layout/orgChart1"/>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3_2" csCatId="accent3" phldr="1"/>
      <dgm:spPr/>
      <dgm:t>
        <a:bodyPr/>
        <a:lstStyle/>
        <a:p>
          <a:endParaRPr lang="en-US"/>
        </a:p>
      </dgm:t>
    </dgm:pt>
    <dgm:pt modelId="{E8CCAD3A-6999-49D6-9754-08C9546FC629}">
      <dgm:prSet phldrT="[Text]"/>
      <dgm:spPr/>
      <dgm:t>
        <a:bodyPr/>
        <a:lstStyle/>
        <a:p>
          <a:r>
            <a:rPr lang="en-US"/>
            <a:t>FY 16-17</a:t>
          </a:r>
          <a:br>
            <a:rPr lang="en-US"/>
          </a:br>
          <a:r>
            <a:rPr lang="en-US"/>
            <a:t>Funded FTES </a:t>
          </a:r>
          <a:br>
            <a:rPr lang="en-US"/>
          </a:br>
          <a:r>
            <a:rPr lang="en-US"/>
            <a:t>15,142</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Funded FTES</a:t>
          </a:r>
          <a:br>
            <a:rPr lang="en-US"/>
          </a:br>
          <a:r>
            <a:rPr lang="en-US"/>
            <a:t>10,508</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Funded FTES</a:t>
          </a:r>
          <a:br>
            <a:rPr lang="en-US"/>
          </a:br>
          <a:r>
            <a:rPr lang="en-US"/>
            <a:t>4,634</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989C22DD-554F-48A7-898A-148927E3384F}">
      <dgm:prSet/>
      <dgm:spPr/>
      <dgm:t>
        <a:bodyPr/>
        <a:lstStyle/>
        <a:p>
          <a:r>
            <a:rPr lang="en-US"/>
            <a:t>Crafton</a:t>
          </a:r>
          <a:br>
            <a:rPr lang="en-US"/>
          </a:br>
          <a:r>
            <a:rPr lang="en-US"/>
            <a:t>Unfunded FTES</a:t>
          </a:r>
          <a:br>
            <a:rPr lang="en-US"/>
          </a:br>
          <a:r>
            <a:rPr lang="en-US"/>
            <a:t>353</a:t>
          </a:r>
        </a:p>
      </dgm:t>
    </dgm:pt>
    <dgm:pt modelId="{88FA84CB-6F38-490B-ABD4-A88CB603C2FE}" type="parTrans" cxnId="{5290BD3F-59F2-4467-95A3-B86E25FE4651}">
      <dgm:prSet/>
      <dgm:spPr/>
      <dgm:t>
        <a:bodyPr/>
        <a:lstStyle/>
        <a:p>
          <a:endParaRPr lang="en-US"/>
        </a:p>
      </dgm:t>
    </dgm:pt>
    <dgm:pt modelId="{37F93542-F424-4853-8C9D-B52E1BFC09D8}" type="sibTrans" cxnId="{5290BD3F-59F2-4467-95A3-B86E25FE4651}">
      <dgm:prSet/>
      <dgm:spPr/>
      <dgm:t>
        <a:bodyPr/>
        <a:lstStyle/>
        <a:p>
          <a:endParaRPr lang="en-US"/>
        </a:p>
      </dgm:t>
    </dgm:pt>
    <dgm:pt modelId="{7D41733E-2B8F-432C-A62A-74CC50026BB2}">
      <dgm:prSet/>
      <dgm:spPr/>
      <dgm:t>
        <a:bodyPr/>
        <a:lstStyle/>
        <a:p>
          <a:r>
            <a:rPr lang="en-US"/>
            <a:t>Overcap FTES</a:t>
          </a:r>
          <a:br>
            <a:rPr lang="en-US"/>
          </a:br>
          <a:r>
            <a:rPr lang="en-US"/>
            <a:t>188</a:t>
          </a:r>
          <a:br>
            <a:rPr lang="en-US"/>
          </a:br>
          <a:r>
            <a:rPr lang="en-US"/>
            <a:t>(165 Unfunded)</a:t>
          </a:r>
        </a:p>
      </dgm:t>
    </dgm:pt>
    <dgm:pt modelId="{C9AE0391-2636-4799-B887-FB0DDBCC006A}" type="parTrans" cxnId="{AD00D175-C42F-4139-A172-964F5490E331}">
      <dgm:prSet/>
      <dgm:spPr/>
      <dgm:t>
        <a:bodyPr/>
        <a:lstStyle/>
        <a:p>
          <a:endParaRPr lang="en-US"/>
        </a:p>
      </dgm:t>
    </dgm:pt>
    <dgm:pt modelId="{CB10DA6B-8565-4100-AE60-74FB88357E47}" type="sibTrans" cxnId="{AD00D175-C42F-4139-A172-964F5490E331}">
      <dgm:prSet/>
      <dgm:spPr/>
      <dgm:t>
        <a:bodyPr/>
        <a:lstStyle/>
        <a:p>
          <a:endParaRPr lang="en-US"/>
        </a:p>
      </dgm:t>
    </dgm:pt>
    <dgm:pt modelId="{DD5C4356-717F-4220-9C9A-F70B5390A75C}">
      <dgm:prSet/>
      <dgm:spPr/>
      <dgm:t>
        <a:bodyPr/>
        <a:lstStyle/>
        <a:p>
          <a:r>
            <a:rPr lang="en-US"/>
            <a:t>Valley</a:t>
          </a:r>
          <a:br>
            <a:rPr lang="en-US"/>
          </a:br>
          <a:r>
            <a:rPr lang="en-US"/>
            <a:t>Unfunded FTES</a:t>
          </a:r>
          <a:br>
            <a:rPr lang="en-US"/>
          </a:br>
          <a:r>
            <a:rPr lang="en-US"/>
            <a:t>103</a:t>
          </a:r>
        </a:p>
      </dgm:t>
    </dgm:pt>
    <dgm:pt modelId="{7CB8513C-1D29-4F3F-91FA-7E1270D7D17A}" type="parTrans" cxnId="{1E794DB0-3BF7-44A3-91EF-B1C6F2A84121}">
      <dgm:prSet/>
      <dgm:spPr/>
      <dgm:t>
        <a:bodyPr/>
        <a:lstStyle/>
        <a:p>
          <a:endParaRPr lang="en-US"/>
        </a:p>
      </dgm:t>
    </dgm:pt>
    <dgm:pt modelId="{75FAEAF3-6651-43F8-96B7-2498DECC3764}" type="sibTrans" cxnId="{1E794DB0-3BF7-44A3-91EF-B1C6F2A84121}">
      <dgm:prSet/>
      <dgm:spPr/>
      <dgm:t>
        <a:bodyPr/>
        <a:lstStyle/>
        <a:p>
          <a:endParaRPr lang="en-US"/>
        </a:p>
      </dgm:t>
    </dgm:pt>
    <dgm:pt modelId="{F83D1995-1D9F-4B2D-92F8-6F049D746CFB}">
      <dgm:prSet/>
      <dgm:spPr/>
      <dgm:t>
        <a:bodyPr/>
        <a:lstStyle/>
        <a:p>
          <a:r>
            <a:rPr lang="en-US"/>
            <a:t>Ovecap FTES</a:t>
          </a:r>
          <a:br>
            <a:rPr lang="en-US"/>
          </a:br>
          <a:r>
            <a:rPr lang="en-US"/>
            <a:t>103 </a:t>
          </a:r>
          <a:br>
            <a:rPr lang="en-US"/>
          </a:br>
          <a:r>
            <a:rPr lang="en-US"/>
            <a:t>(0 Unfunded)</a:t>
          </a:r>
        </a:p>
      </dgm:t>
    </dgm:pt>
    <dgm:pt modelId="{CC308CB8-C068-4FD2-9740-4C8590F8D711}" type="parTrans" cxnId="{0D489434-43A1-4595-896D-80CC95C83BB2}">
      <dgm:prSet/>
      <dgm:spPr/>
      <dgm:t>
        <a:bodyPr/>
        <a:lstStyle/>
        <a:p>
          <a:endParaRPr lang="en-US"/>
        </a:p>
      </dgm:t>
    </dgm:pt>
    <dgm:pt modelId="{B9460807-3F72-497E-BFF1-7D37D7045826}" type="sibTrans" cxnId="{0D489434-43A1-4595-896D-80CC95C83BB2}">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B85A3314-0F9F-4C25-BE5E-D47EFAC3BD9D}" type="pres">
      <dgm:prSet presAssocID="{7CB8513C-1D29-4F3F-91FA-7E1270D7D17A}" presName="Name37" presStyleLbl="parChTrans1D3" presStyleIdx="0" presStyleCnt="2"/>
      <dgm:spPr/>
      <dgm:t>
        <a:bodyPr/>
        <a:lstStyle/>
        <a:p>
          <a:endParaRPr lang="en-US"/>
        </a:p>
      </dgm:t>
    </dgm:pt>
    <dgm:pt modelId="{4B6917AC-ACB3-44FC-9CDB-1DE98656CB2B}" type="pres">
      <dgm:prSet presAssocID="{DD5C4356-717F-4220-9C9A-F70B5390A75C}" presName="hierRoot2" presStyleCnt="0">
        <dgm:presLayoutVars>
          <dgm:hierBranch val="init"/>
        </dgm:presLayoutVars>
      </dgm:prSet>
      <dgm:spPr/>
      <dgm:t>
        <a:bodyPr/>
        <a:lstStyle/>
        <a:p>
          <a:endParaRPr lang="en-US"/>
        </a:p>
      </dgm:t>
    </dgm:pt>
    <dgm:pt modelId="{9FE5FD6F-21C3-45EE-861C-8B7527A0FF73}" type="pres">
      <dgm:prSet presAssocID="{DD5C4356-717F-4220-9C9A-F70B5390A75C}" presName="rootComposite" presStyleCnt="0"/>
      <dgm:spPr/>
      <dgm:t>
        <a:bodyPr/>
        <a:lstStyle/>
        <a:p>
          <a:endParaRPr lang="en-US"/>
        </a:p>
      </dgm:t>
    </dgm:pt>
    <dgm:pt modelId="{CE46E30C-927A-4935-8134-988AD56D3D3F}" type="pres">
      <dgm:prSet presAssocID="{DD5C4356-717F-4220-9C9A-F70B5390A75C}" presName="rootText" presStyleLbl="node3" presStyleIdx="0" presStyleCnt="2">
        <dgm:presLayoutVars>
          <dgm:chPref val="3"/>
        </dgm:presLayoutVars>
      </dgm:prSet>
      <dgm:spPr/>
      <dgm:t>
        <a:bodyPr/>
        <a:lstStyle/>
        <a:p>
          <a:endParaRPr lang="en-US"/>
        </a:p>
      </dgm:t>
    </dgm:pt>
    <dgm:pt modelId="{5A74BECA-3FB4-47C4-8933-4480694FB014}" type="pres">
      <dgm:prSet presAssocID="{DD5C4356-717F-4220-9C9A-F70B5390A75C}" presName="rootConnector" presStyleLbl="node3" presStyleIdx="0" presStyleCnt="2"/>
      <dgm:spPr/>
      <dgm:t>
        <a:bodyPr/>
        <a:lstStyle/>
        <a:p>
          <a:endParaRPr lang="en-US"/>
        </a:p>
      </dgm:t>
    </dgm:pt>
    <dgm:pt modelId="{E31486E1-E58E-4F62-8509-1C0177595FD4}" type="pres">
      <dgm:prSet presAssocID="{DD5C4356-717F-4220-9C9A-F70B5390A75C}" presName="hierChild4" presStyleCnt="0"/>
      <dgm:spPr/>
      <dgm:t>
        <a:bodyPr/>
        <a:lstStyle/>
        <a:p>
          <a:endParaRPr lang="en-US"/>
        </a:p>
      </dgm:t>
    </dgm:pt>
    <dgm:pt modelId="{FBC71A53-B1DF-4D15-98A0-126B740AEA0A}" type="pres">
      <dgm:prSet presAssocID="{CC308CB8-C068-4FD2-9740-4C8590F8D711}" presName="Name37" presStyleLbl="parChTrans1D4" presStyleIdx="0" presStyleCnt="2"/>
      <dgm:spPr/>
      <dgm:t>
        <a:bodyPr/>
        <a:lstStyle/>
        <a:p>
          <a:endParaRPr lang="en-US"/>
        </a:p>
      </dgm:t>
    </dgm:pt>
    <dgm:pt modelId="{ACBD7C6B-3FB4-465C-ACE7-C96CF4496B07}" type="pres">
      <dgm:prSet presAssocID="{F83D1995-1D9F-4B2D-92F8-6F049D746CFB}" presName="hierRoot2" presStyleCnt="0">
        <dgm:presLayoutVars>
          <dgm:hierBranch val="init"/>
        </dgm:presLayoutVars>
      </dgm:prSet>
      <dgm:spPr/>
    </dgm:pt>
    <dgm:pt modelId="{6503F472-4C65-4A2E-82DD-B90FC833A09D}" type="pres">
      <dgm:prSet presAssocID="{F83D1995-1D9F-4B2D-92F8-6F049D746CFB}" presName="rootComposite" presStyleCnt="0"/>
      <dgm:spPr/>
    </dgm:pt>
    <dgm:pt modelId="{D4332143-AF1A-4122-8216-7FCE48F6228A}" type="pres">
      <dgm:prSet presAssocID="{F83D1995-1D9F-4B2D-92F8-6F049D746CFB}" presName="rootText" presStyleLbl="node4" presStyleIdx="0" presStyleCnt="2">
        <dgm:presLayoutVars>
          <dgm:chPref val="3"/>
        </dgm:presLayoutVars>
      </dgm:prSet>
      <dgm:spPr/>
      <dgm:t>
        <a:bodyPr/>
        <a:lstStyle/>
        <a:p>
          <a:endParaRPr lang="en-US"/>
        </a:p>
      </dgm:t>
    </dgm:pt>
    <dgm:pt modelId="{DDA9498C-D703-4A26-BED4-979DE67BCE42}" type="pres">
      <dgm:prSet presAssocID="{F83D1995-1D9F-4B2D-92F8-6F049D746CFB}" presName="rootConnector" presStyleLbl="node4" presStyleIdx="0" presStyleCnt="2"/>
      <dgm:spPr/>
      <dgm:t>
        <a:bodyPr/>
        <a:lstStyle/>
        <a:p>
          <a:endParaRPr lang="en-US"/>
        </a:p>
      </dgm:t>
    </dgm:pt>
    <dgm:pt modelId="{0F644318-1617-4CA9-9BE5-5A6EFCA664E9}" type="pres">
      <dgm:prSet presAssocID="{F83D1995-1D9F-4B2D-92F8-6F049D746CFB}" presName="hierChild4" presStyleCnt="0"/>
      <dgm:spPr/>
    </dgm:pt>
    <dgm:pt modelId="{AB919A3D-A5D8-490D-A4C4-BB52C9B5C4B4}" type="pres">
      <dgm:prSet presAssocID="{F83D1995-1D9F-4B2D-92F8-6F049D746CFB}" presName="hierChild5" presStyleCnt="0"/>
      <dgm:spPr/>
    </dgm:pt>
    <dgm:pt modelId="{AF814E27-35A7-4654-A297-971CDDEC59E5}" type="pres">
      <dgm:prSet presAssocID="{DD5C4356-717F-4220-9C9A-F70B5390A75C}" presName="hierChild5"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AF31641A-99FF-4D28-8086-1D4A36BE94E5}" type="pres">
      <dgm:prSet presAssocID="{88FA84CB-6F38-490B-ABD4-A88CB603C2FE}" presName="Name37" presStyleLbl="parChTrans1D3" presStyleIdx="1" presStyleCnt="2"/>
      <dgm:spPr/>
      <dgm:t>
        <a:bodyPr/>
        <a:lstStyle/>
        <a:p>
          <a:endParaRPr lang="en-US"/>
        </a:p>
      </dgm:t>
    </dgm:pt>
    <dgm:pt modelId="{2758FA4C-A14F-4F27-B628-93147E09320E}" type="pres">
      <dgm:prSet presAssocID="{989C22DD-554F-48A7-898A-148927E3384F}" presName="hierRoot2" presStyleCnt="0">
        <dgm:presLayoutVars>
          <dgm:hierBranch val="init"/>
        </dgm:presLayoutVars>
      </dgm:prSet>
      <dgm:spPr/>
      <dgm:t>
        <a:bodyPr/>
        <a:lstStyle/>
        <a:p>
          <a:endParaRPr lang="en-US"/>
        </a:p>
      </dgm:t>
    </dgm:pt>
    <dgm:pt modelId="{0E8DA318-1C86-4E80-BDC9-E8B305E84FB9}" type="pres">
      <dgm:prSet presAssocID="{989C22DD-554F-48A7-898A-148927E3384F}" presName="rootComposite" presStyleCnt="0"/>
      <dgm:spPr/>
      <dgm:t>
        <a:bodyPr/>
        <a:lstStyle/>
        <a:p>
          <a:endParaRPr lang="en-US"/>
        </a:p>
      </dgm:t>
    </dgm:pt>
    <dgm:pt modelId="{51EB42FC-48DF-42A3-B030-D893D882025B}" type="pres">
      <dgm:prSet presAssocID="{989C22DD-554F-48A7-898A-148927E3384F}" presName="rootText" presStyleLbl="node3" presStyleIdx="1" presStyleCnt="2">
        <dgm:presLayoutVars>
          <dgm:chPref val="3"/>
        </dgm:presLayoutVars>
      </dgm:prSet>
      <dgm:spPr/>
      <dgm:t>
        <a:bodyPr/>
        <a:lstStyle/>
        <a:p>
          <a:endParaRPr lang="en-US"/>
        </a:p>
      </dgm:t>
    </dgm:pt>
    <dgm:pt modelId="{06FE20A7-6174-49F7-A0D9-020EB851EED0}" type="pres">
      <dgm:prSet presAssocID="{989C22DD-554F-48A7-898A-148927E3384F}" presName="rootConnector" presStyleLbl="node3" presStyleIdx="1" presStyleCnt="2"/>
      <dgm:spPr/>
      <dgm:t>
        <a:bodyPr/>
        <a:lstStyle/>
        <a:p>
          <a:endParaRPr lang="en-US"/>
        </a:p>
      </dgm:t>
    </dgm:pt>
    <dgm:pt modelId="{A4BF8592-FE4D-416C-A5FB-C63E46EE79D4}" type="pres">
      <dgm:prSet presAssocID="{989C22DD-554F-48A7-898A-148927E3384F}" presName="hierChild4" presStyleCnt="0"/>
      <dgm:spPr/>
      <dgm:t>
        <a:bodyPr/>
        <a:lstStyle/>
        <a:p>
          <a:endParaRPr lang="en-US"/>
        </a:p>
      </dgm:t>
    </dgm:pt>
    <dgm:pt modelId="{67C299C0-F615-4B19-9654-70FD9C07D142}" type="pres">
      <dgm:prSet presAssocID="{C9AE0391-2636-4799-B887-FB0DDBCC006A}" presName="Name37" presStyleLbl="parChTrans1D4" presStyleIdx="1" presStyleCnt="2"/>
      <dgm:spPr/>
      <dgm:t>
        <a:bodyPr/>
        <a:lstStyle/>
        <a:p>
          <a:endParaRPr lang="en-US"/>
        </a:p>
      </dgm:t>
    </dgm:pt>
    <dgm:pt modelId="{85CC2F4D-B3A9-4090-8625-FA38289C1869}" type="pres">
      <dgm:prSet presAssocID="{7D41733E-2B8F-432C-A62A-74CC50026BB2}" presName="hierRoot2" presStyleCnt="0">
        <dgm:presLayoutVars>
          <dgm:hierBranch val="init"/>
        </dgm:presLayoutVars>
      </dgm:prSet>
      <dgm:spPr/>
      <dgm:t>
        <a:bodyPr/>
        <a:lstStyle/>
        <a:p>
          <a:endParaRPr lang="en-US"/>
        </a:p>
      </dgm:t>
    </dgm:pt>
    <dgm:pt modelId="{BD72F4B5-38E2-427B-B1A0-0BBAED512450}" type="pres">
      <dgm:prSet presAssocID="{7D41733E-2B8F-432C-A62A-74CC50026BB2}" presName="rootComposite" presStyleCnt="0"/>
      <dgm:spPr/>
      <dgm:t>
        <a:bodyPr/>
        <a:lstStyle/>
        <a:p>
          <a:endParaRPr lang="en-US"/>
        </a:p>
      </dgm:t>
    </dgm:pt>
    <dgm:pt modelId="{91B925DC-DAFD-48BB-928D-688D34456D7E}" type="pres">
      <dgm:prSet presAssocID="{7D41733E-2B8F-432C-A62A-74CC50026BB2}" presName="rootText" presStyleLbl="node4" presStyleIdx="1" presStyleCnt="2">
        <dgm:presLayoutVars>
          <dgm:chPref val="3"/>
        </dgm:presLayoutVars>
      </dgm:prSet>
      <dgm:spPr/>
      <dgm:t>
        <a:bodyPr/>
        <a:lstStyle/>
        <a:p>
          <a:endParaRPr lang="en-US"/>
        </a:p>
      </dgm:t>
    </dgm:pt>
    <dgm:pt modelId="{2CB9B0B9-0AF1-49F2-85B1-1721694E67DA}" type="pres">
      <dgm:prSet presAssocID="{7D41733E-2B8F-432C-A62A-74CC50026BB2}" presName="rootConnector" presStyleLbl="node4" presStyleIdx="1" presStyleCnt="2"/>
      <dgm:spPr/>
      <dgm:t>
        <a:bodyPr/>
        <a:lstStyle/>
        <a:p>
          <a:endParaRPr lang="en-US"/>
        </a:p>
      </dgm:t>
    </dgm:pt>
    <dgm:pt modelId="{239EEC92-408E-4BB2-959C-87024BF4A161}" type="pres">
      <dgm:prSet presAssocID="{7D41733E-2B8F-432C-A62A-74CC50026BB2}" presName="hierChild4" presStyleCnt="0"/>
      <dgm:spPr/>
      <dgm:t>
        <a:bodyPr/>
        <a:lstStyle/>
        <a:p>
          <a:endParaRPr lang="en-US"/>
        </a:p>
      </dgm:t>
    </dgm:pt>
    <dgm:pt modelId="{C7BADBAF-7848-4DF1-9EE0-BE56450967CF}" type="pres">
      <dgm:prSet presAssocID="{7D41733E-2B8F-432C-A62A-74CC50026BB2}" presName="hierChild5" presStyleCnt="0"/>
      <dgm:spPr/>
      <dgm:t>
        <a:bodyPr/>
        <a:lstStyle/>
        <a:p>
          <a:endParaRPr lang="en-US"/>
        </a:p>
      </dgm:t>
    </dgm:pt>
    <dgm:pt modelId="{0C2C4A3E-4CBD-4672-92FC-86C2AC25ED07}" type="pres">
      <dgm:prSet presAssocID="{989C22DD-554F-48A7-898A-148927E3384F}" presName="hierChild5"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1E794DB0-3BF7-44A3-91EF-B1C6F2A84121}" srcId="{29F6E1F5-0C63-42D9-AFD5-ADFCE333AE61}" destId="{DD5C4356-717F-4220-9C9A-F70B5390A75C}" srcOrd="0" destOrd="0" parTransId="{7CB8513C-1D29-4F3F-91FA-7E1270D7D17A}" sibTransId="{75FAEAF3-6651-43F8-96B7-2498DECC3764}"/>
    <dgm:cxn modelId="{646403E5-A219-428A-8207-04B8ABF67748}" type="presOf" srcId="{DD5C4356-717F-4220-9C9A-F70B5390A75C}" destId="{CE46E30C-927A-4935-8134-988AD56D3D3F}" srcOrd="0" destOrd="0" presId="urn:microsoft.com/office/officeart/2005/8/layout/orgChart1"/>
    <dgm:cxn modelId="{1BC3E2A0-9BB8-46D4-B86A-5355BF1B1E9E}" type="presOf" srcId="{5884FD07-7F21-451D-A621-FCA5946FB9B1}" destId="{4217B007-CB58-45F8-9D91-EE7CA77AFD73}" srcOrd="0" destOrd="0" presId="urn:microsoft.com/office/officeart/2005/8/layout/orgChart1"/>
    <dgm:cxn modelId="{DAD4970F-2313-4995-AC2F-DBAE44606371}" type="presOf" srcId="{E8CCAD3A-6999-49D6-9754-08C9546FC629}" destId="{24F041FE-9FC7-4776-A76E-9D7A5B7921DA}" srcOrd="0" destOrd="0" presId="urn:microsoft.com/office/officeart/2005/8/layout/orgChart1"/>
    <dgm:cxn modelId="{EE51DB02-63B5-4AE2-BA85-60B4A0FE43AC}" srcId="{E8CCAD3A-6999-49D6-9754-08C9546FC629}" destId="{29F6E1F5-0C63-42D9-AFD5-ADFCE333AE61}" srcOrd="0" destOrd="0" parTransId="{77834915-5271-40BC-B924-C00C7152C092}" sibTransId="{0F55E717-0464-4A75-9160-641A64DF4BB8}"/>
    <dgm:cxn modelId="{4A513396-0934-41DF-8D42-7204A9D1CD00}" type="presOf" srcId="{AB5E06CB-E905-4D41-A9C7-9131F04DC9CE}" destId="{76D12F87-154D-4D4C-8B48-D14EC83FB4A5}" srcOrd="0" destOrd="0" presId="urn:microsoft.com/office/officeart/2005/8/layout/orgChart1"/>
    <dgm:cxn modelId="{D65C1588-2AE1-442F-905E-D1D65B73EEE5}" type="presOf" srcId="{77834915-5271-40BC-B924-C00C7152C092}" destId="{C920F0D6-857B-4246-9E40-606D60223ABB}" srcOrd="0" destOrd="0" presId="urn:microsoft.com/office/officeart/2005/8/layout/orgChart1"/>
    <dgm:cxn modelId="{E1DD6185-7AA6-4F17-8762-32686F92A632}" type="presOf" srcId="{DD5C4356-717F-4220-9C9A-F70B5390A75C}" destId="{5A74BECA-3FB4-47C4-8933-4480694FB014}" srcOrd="1" destOrd="0" presId="urn:microsoft.com/office/officeart/2005/8/layout/orgChart1"/>
    <dgm:cxn modelId="{AD00D175-C42F-4139-A172-964F5490E331}" srcId="{989C22DD-554F-48A7-898A-148927E3384F}" destId="{7D41733E-2B8F-432C-A62A-74CC50026BB2}" srcOrd="0" destOrd="0" parTransId="{C9AE0391-2636-4799-B887-FB0DDBCC006A}" sibTransId="{CB10DA6B-8565-4100-AE60-74FB88357E47}"/>
    <dgm:cxn modelId="{491E13ED-5AE6-45DA-84CD-B1F56A60F5AA}" type="presOf" srcId="{989C22DD-554F-48A7-898A-148927E3384F}" destId="{06FE20A7-6174-49F7-A0D9-020EB851EED0}" srcOrd="1" destOrd="0" presId="urn:microsoft.com/office/officeart/2005/8/layout/orgChart1"/>
    <dgm:cxn modelId="{1ACDCDA5-EFFF-4DA7-94CE-FB819DE8AF5E}" type="presOf" srcId="{7D41733E-2B8F-432C-A62A-74CC50026BB2}" destId="{91B925DC-DAFD-48BB-928D-688D34456D7E}" srcOrd="0" destOrd="0" presId="urn:microsoft.com/office/officeart/2005/8/layout/orgChart1"/>
    <dgm:cxn modelId="{C5E40C58-2F5E-405E-9236-CB9E0B4EE24E}" type="presOf" srcId="{F41350D7-B49F-4D9D-B76A-397EF1F48859}" destId="{35FB5D63-D052-4C37-BB35-C884386B69B4}" srcOrd="0" destOrd="0" presId="urn:microsoft.com/office/officeart/2005/8/layout/orgChart1"/>
    <dgm:cxn modelId="{D1A946C0-33EB-4787-8FF9-9583CFE29B60}" srcId="{E8CCAD3A-6999-49D6-9754-08C9546FC629}" destId="{AB5E06CB-E905-4D41-A9C7-9131F04DC9CE}" srcOrd="1" destOrd="0" parTransId="{5884FD07-7F21-451D-A621-FCA5946FB9B1}" sibTransId="{65F99840-2CD2-4AAF-ADFF-868F2DBC1686}"/>
    <dgm:cxn modelId="{596AF074-BFBF-4EC0-B3E7-55C4EDEE40B3}" type="presOf" srcId="{F83D1995-1D9F-4B2D-92F8-6F049D746CFB}" destId="{D4332143-AF1A-4122-8216-7FCE48F6228A}" srcOrd="0" destOrd="0" presId="urn:microsoft.com/office/officeart/2005/8/layout/orgChart1"/>
    <dgm:cxn modelId="{7FE5B487-EF5F-4D15-9322-A967BA12AF6F}" type="presOf" srcId="{29F6E1F5-0C63-42D9-AFD5-ADFCE333AE61}" destId="{BA0E7B03-1E33-494E-9E4F-2FB983E0EA86}" srcOrd="1" destOrd="0" presId="urn:microsoft.com/office/officeart/2005/8/layout/orgChart1"/>
    <dgm:cxn modelId="{03AE5307-5BC0-49BD-855C-732D076A1249}" type="presOf" srcId="{29F6E1F5-0C63-42D9-AFD5-ADFCE333AE61}" destId="{5F413E7A-418C-4C4B-95A5-C3078AA40D16}" srcOrd="0" destOrd="0" presId="urn:microsoft.com/office/officeart/2005/8/layout/orgChart1"/>
    <dgm:cxn modelId="{B69874ED-2273-45B1-9FC8-2D8101669D98}" type="presOf" srcId="{E8CCAD3A-6999-49D6-9754-08C9546FC629}" destId="{27153E03-22AE-4A7E-956B-1489E8B03DDC}" srcOrd="1" destOrd="0" presId="urn:microsoft.com/office/officeart/2005/8/layout/orgChart1"/>
    <dgm:cxn modelId="{5290BD3F-59F2-4467-95A3-B86E25FE4651}" srcId="{AB5E06CB-E905-4D41-A9C7-9131F04DC9CE}" destId="{989C22DD-554F-48A7-898A-148927E3384F}" srcOrd="0" destOrd="0" parTransId="{88FA84CB-6F38-490B-ABD4-A88CB603C2FE}" sibTransId="{37F93542-F424-4853-8C9D-B52E1BFC09D8}"/>
    <dgm:cxn modelId="{49C873E5-FD94-48F7-92D5-B1D943346166}" type="presOf" srcId="{7D41733E-2B8F-432C-A62A-74CC50026BB2}" destId="{2CB9B0B9-0AF1-49F2-85B1-1721694E67DA}" srcOrd="1"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F82E3ED5-32DD-4DC0-8F63-BCAA34B34A61}" type="presOf" srcId="{AB5E06CB-E905-4D41-A9C7-9131F04DC9CE}" destId="{F331F064-3FFE-467B-B6F4-76EC69DA166D}" srcOrd="1" destOrd="0" presId="urn:microsoft.com/office/officeart/2005/8/layout/orgChart1"/>
    <dgm:cxn modelId="{AA7789E9-2B5D-475C-9862-9EE33C1AF4A5}" type="presOf" srcId="{C9AE0391-2636-4799-B887-FB0DDBCC006A}" destId="{67C299C0-F615-4B19-9654-70FD9C07D142}" srcOrd="0" destOrd="0" presId="urn:microsoft.com/office/officeart/2005/8/layout/orgChart1"/>
    <dgm:cxn modelId="{AB1208A5-E622-4EE6-89C4-B9BA0C5A4F05}" type="presOf" srcId="{88FA84CB-6F38-490B-ABD4-A88CB603C2FE}" destId="{AF31641A-99FF-4D28-8086-1D4A36BE94E5}" srcOrd="0" destOrd="0" presId="urn:microsoft.com/office/officeart/2005/8/layout/orgChart1"/>
    <dgm:cxn modelId="{83AEA82C-7960-49AD-B6BC-27D588830D1D}" type="presOf" srcId="{CC308CB8-C068-4FD2-9740-4C8590F8D711}" destId="{FBC71A53-B1DF-4D15-98A0-126B740AEA0A}" srcOrd="0" destOrd="0" presId="urn:microsoft.com/office/officeart/2005/8/layout/orgChart1"/>
    <dgm:cxn modelId="{73193252-0D98-4F50-B59E-8D8C665297E4}" type="presOf" srcId="{989C22DD-554F-48A7-898A-148927E3384F}" destId="{51EB42FC-48DF-42A3-B030-D893D882025B}" srcOrd="0" destOrd="0" presId="urn:microsoft.com/office/officeart/2005/8/layout/orgChart1"/>
    <dgm:cxn modelId="{0D489434-43A1-4595-896D-80CC95C83BB2}" srcId="{DD5C4356-717F-4220-9C9A-F70B5390A75C}" destId="{F83D1995-1D9F-4B2D-92F8-6F049D746CFB}" srcOrd="0" destOrd="0" parTransId="{CC308CB8-C068-4FD2-9740-4C8590F8D711}" sibTransId="{B9460807-3F72-497E-BFF1-7D37D7045826}"/>
    <dgm:cxn modelId="{33BA7DA2-4259-497D-9F77-955398BE9FCB}" type="presOf" srcId="{7CB8513C-1D29-4F3F-91FA-7E1270D7D17A}" destId="{B85A3314-0F9F-4C25-BE5E-D47EFAC3BD9D}" srcOrd="0" destOrd="0" presId="urn:microsoft.com/office/officeart/2005/8/layout/orgChart1"/>
    <dgm:cxn modelId="{78AF04D5-601A-437F-BE21-EFD2DE87C268}" type="presOf" srcId="{F83D1995-1D9F-4B2D-92F8-6F049D746CFB}" destId="{DDA9498C-D703-4A26-BED4-979DE67BCE42}" srcOrd="1" destOrd="0" presId="urn:microsoft.com/office/officeart/2005/8/layout/orgChart1"/>
    <dgm:cxn modelId="{A184242B-B32C-4043-8419-40A407C2826C}" type="presParOf" srcId="{35FB5D63-D052-4C37-BB35-C884386B69B4}" destId="{2DB0B1C5-A778-4364-9F16-0B302BC31BF7}" srcOrd="0" destOrd="0" presId="urn:microsoft.com/office/officeart/2005/8/layout/orgChart1"/>
    <dgm:cxn modelId="{C48C764B-85D5-433B-B10D-9AE3076C2DB0}" type="presParOf" srcId="{2DB0B1C5-A778-4364-9F16-0B302BC31BF7}" destId="{D5C40014-B393-4E70-8741-CE83E7EC85CB}" srcOrd="0" destOrd="0" presId="urn:microsoft.com/office/officeart/2005/8/layout/orgChart1"/>
    <dgm:cxn modelId="{FF891146-0FFA-4313-842C-DF9C4D7CDF86}" type="presParOf" srcId="{D5C40014-B393-4E70-8741-CE83E7EC85CB}" destId="{24F041FE-9FC7-4776-A76E-9D7A5B7921DA}" srcOrd="0" destOrd="0" presId="urn:microsoft.com/office/officeart/2005/8/layout/orgChart1"/>
    <dgm:cxn modelId="{0C370CAC-CF02-428B-89E0-81F1031627DA}" type="presParOf" srcId="{D5C40014-B393-4E70-8741-CE83E7EC85CB}" destId="{27153E03-22AE-4A7E-956B-1489E8B03DDC}" srcOrd="1" destOrd="0" presId="urn:microsoft.com/office/officeart/2005/8/layout/orgChart1"/>
    <dgm:cxn modelId="{109C4065-52ED-4702-A97F-045EF3244035}" type="presParOf" srcId="{2DB0B1C5-A778-4364-9F16-0B302BC31BF7}" destId="{5ECAD1AC-4244-40AC-BC34-8C6A61CC52ED}" srcOrd="1" destOrd="0" presId="urn:microsoft.com/office/officeart/2005/8/layout/orgChart1"/>
    <dgm:cxn modelId="{F2CC6177-A412-4E36-B353-115CEB5073C3}" type="presParOf" srcId="{5ECAD1AC-4244-40AC-BC34-8C6A61CC52ED}" destId="{C920F0D6-857B-4246-9E40-606D60223ABB}" srcOrd="0" destOrd="0" presId="urn:microsoft.com/office/officeart/2005/8/layout/orgChart1"/>
    <dgm:cxn modelId="{8878272B-D2A3-4C4B-B1B3-E6DC2FC0B3F7}" type="presParOf" srcId="{5ECAD1AC-4244-40AC-BC34-8C6A61CC52ED}" destId="{62FC274B-019A-4985-803D-C214243D0D44}" srcOrd="1" destOrd="0" presId="urn:microsoft.com/office/officeart/2005/8/layout/orgChart1"/>
    <dgm:cxn modelId="{658598E6-F00B-4730-AEBF-D3F333E3B392}" type="presParOf" srcId="{62FC274B-019A-4985-803D-C214243D0D44}" destId="{A8A00537-422F-4DD4-BB92-E74530A11980}" srcOrd="0" destOrd="0" presId="urn:microsoft.com/office/officeart/2005/8/layout/orgChart1"/>
    <dgm:cxn modelId="{DF8510B1-5CF7-427A-AC47-49B34AAD244C}" type="presParOf" srcId="{A8A00537-422F-4DD4-BB92-E74530A11980}" destId="{5F413E7A-418C-4C4B-95A5-C3078AA40D16}" srcOrd="0" destOrd="0" presId="urn:microsoft.com/office/officeart/2005/8/layout/orgChart1"/>
    <dgm:cxn modelId="{A9828ADC-6A50-4069-AF6C-A24578504561}" type="presParOf" srcId="{A8A00537-422F-4DD4-BB92-E74530A11980}" destId="{BA0E7B03-1E33-494E-9E4F-2FB983E0EA86}" srcOrd="1" destOrd="0" presId="urn:microsoft.com/office/officeart/2005/8/layout/orgChart1"/>
    <dgm:cxn modelId="{7E05623D-B970-4BB0-8E04-E0D251CEE101}" type="presParOf" srcId="{62FC274B-019A-4985-803D-C214243D0D44}" destId="{0132F9DE-BC28-4CF2-BF0B-7CC143187751}" srcOrd="1" destOrd="0" presId="urn:microsoft.com/office/officeart/2005/8/layout/orgChart1"/>
    <dgm:cxn modelId="{497579A6-8AD6-4190-8375-2CC38FB9DDD6}" type="presParOf" srcId="{0132F9DE-BC28-4CF2-BF0B-7CC143187751}" destId="{B85A3314-0F9F-4C25-BE5E-D47EFAC3BD9D}" srcOrd="0" destOrd="0" presId="urn:microsoft.com/office/officeart/2005/8/layout/orgChart1"/>
    <dgm:cxn modelId="{2CE1FBBA-021F-4BD9-8235-8E21897CB476}" type="presParOf" srcId="{0132F9DE-BC28-4CF2-BF0B-7CC143187751}" destId="{4B6917AC-ACB3-44FC-9CDB-1DE98656CB2B}" srcOrd="1" destOrd="0" presId="urn:microsoft.com/office/officeart/2005/8/layout/orgChart1"/>
    <dgm:cxn modelId="{8AEE71F4-E98C-45BF-A098-1901B624612E}" type="presParOf" srcId="{4B6917AC-ACB3-44FC-9CDB-1DE98656CB2B}" destId="{9FE5FD6F-21C3-45EE-861C-8B7527A0FF73}" srcOrd="0" destOrd="0" presId="urn:microsoft.com/office/officeart/2005/8/layout/orgChart1"/>
    <dgm:cxn modelId="{39B6A13C-1B4B-41F5-94C1-B18C1A6C19DE}" type="presParOf" srcId="{9FE5FD6F-21C3-45EE-861C-8B7527A0FF73}" destId="{CE46E30C-927A-4935-8134-988AD56D3D3F}" srcOrd="0" destOrd="0" presId="urn:microsoft.com/office/officeart/2005/8/layout/orgChart1"/>
    <dgm:cxn modelId="{6D59FC46-11BA-4A20-8B1F-60B37A1CC242}" type="presParOf" srcId="{9FE5FD6F-21C3-45EE-861C-8B7527A0FF73}" destId="{5A74BECA-3FB4-47C4-8933-4480694FB014}" srcOrd="1" destOrd="0" presId="urn:microsoft.com/office/officeart/2005/8/layout/orgChart1"/>
    <dgm:cxn modelId="{D3E4EBCE-D416-4D54-9047-4C936059B1A0}" type="presParOf" srcId="{4B6917AC-ACB3-44FC-9CDB-1DE98656CB2B}" destId="{E31486E1-E58E-4F62-8509-1C0177595FD4}" srcOrd="1" destOrd="0" presId="urn:microsoft.com/office/officeart/2005/8/layout/orgChart1"/>
    <dgm:cxn modelId="{B09E1F92-5C1E-4B35-9DC0-4A1B54AFBE53}" type="presParOf" srcId="{E31486E1-E58E-4F62-8509-1C0177595FD4}" destId="{FBC71A53-B1DF-4D15-98A0-126B740AEA0A}" srcOrd="0" destOrd="0" presId="urn:microsoft.com/office/officeart/2005/8/layout/orgChart1"/>
    <dgm:cxn modelId="{8A243DBE-8C5C-494B-8105-7483730A29E2}" type="presParOf" srcId="{E31486E1-E58E-4F62-8509-1C0177595FD4}" destId="{ACBD7C6B-3FB4-465C-ACE7-C96CF4496B07}" srcOrd="1" destOrd="0" presId="urn:microsoft.com/office/officeart/2005/8/layout/orgChart1"/>
    <dgm:cxn modelId="{DF6AD68C-1C71-4A75-9673-8A29E5335DC8}" type="presParOf" srcId="{ACBD7C6B-3FB4-465C-ACE7-C96CF4496B07}" destId="{6503F472-4C65-4A2E-82DD-B90FC833A09D}" srcOrd="0" destOrd="0" presId="urn:microsoft.com/office/officeart/2005/8/layout/orgChart1"/>
    <dgm:cxn modelId="{8F375ACD-6715-487A-B0F4-8AB059809CEC}" type="presParOf" srcId="{6503F472-4C65-4A2E-82DD-B90FC833A09D}" destId="{D4332143-AF1A-4122-8216-7FCE48F6228A}" srcOrd="0" destOrd="0" presId="urn:microsoft.com/office/officeart/2005/8/layout/orgChart1"/>
    <dgm:cxn modelId="{8426E2DD-440A-45AA-A10C-EDCADEA9C994}" type="presParOf" srcId="{6503F472-4C65-4A2E-82DD-B90FC833A09D}" destId="{DDA9498C-D703-4A26-BED4-979DE67BCE42}" srcOrd="1" destOrd="0" presId="urn:microsoft.com/office/officeart/2005/8/layout/orgChart1"/>
    <dgm:cxn modelId="{50A87EF5-3B6F-46D1-A0CB-F6D2C05E5441}" type="presParOf" srcId="{ACBD7C6B-3FB4-465C-ACE7-C96CF4496B07}" destId="{0F644318-1617-4CA9-9BE5-5A6EFCA664E9}" srcOrd="1" destOrd="0" presId="urn:microsoft.com/office/officeart/2005/8/layout/orgChart1"/>
    <dgm:cxn modelId="{6CDB4AD7-C73B-4D2E-84E2-263329662748}" type="presParOf" srcId="{ACBD7C6B-3FB4-465C-ACE7-C96CF4496B07}" destId="{AB919A3D-A5D8-490D-A4C4-BB52C9B5C4B4}" srcOrd="2" destOrd="0" presId="urn:microsoft.com/office/officeart/2005/8/layout/orgChart1"/>
    <dgm:cxn modelId="{9EE563DF-1763-422B-9625-FA0CC3D50677}" type="presParOf" srcId="{4B6917AC-ACB3-44FC-9CDB-1DE98656CB2B}" destId="{AF814E27-35A7-4654-A297-971CDDEC59E5}" srcOrd="2" destOrd="0" presId="urn:microsoft.com/office/officeart/2005/8/layout/orgChart1"/>
    <dgm:cxn modelId="{F9A37F5B-898A-46E5-BFDE-07CF4150B6A0}" type="presParOf" srcId="{62FC274B-019A-4985-803D-C214243D0D44}" destId="{E5ED30A6-EDA9-4987-9099-B10B16D7EAB2}" srcOrd="2" destOrd="0" presId="urn:microsoft.com/office/officeart/2005/8/layout/orgChart1"/>
    <dgm:cxn modelId="{D566263E-47B2-4CA8-B8E0-CBAA8883C9A9}" type="presParOf" srcId="{5ECAD1AC-4244-40AC-BC34-8C6A61CC52ED}" destId="{4217B007-CB58-45F8-9D91-EE7CA77AFD73}" srcOrd="2" destOrd="0" presId="urn:microsoft.com/office/officeart/2005/8/layout/orgChart1"/>
    <dgm:cxn modelId="{6DF415B9-D67B-46C7-BF07-5A6E2B5A9DBA}" type="presParOf" srcId="{5ECAD1AC-4244-40AC-BC34-8C6A61CC52ED}" destId="{5C5576D8-2618-4B15-B0E7-90EBF73A4033}" srcOrd="3" destOrd="0" presId="urn:microsoft.com/office/officeart/2005/8/layout/orgChart1"/>
    <dgm:cxn modelId="{EB6FC55F-D809-4AC3-9444-61788C0FD991}" type="presParOf" srcId="{5C5576D8-2618-4B15-B0E7-90EBF73A4033}" destId="{097FA788-E9F9-460D-A3C8-52FBED03C306}" srcOrd="0" destOrd="0" presId="urn:microsoft.com/office/officeart/2005/8/layout/orgChart1"/>
    <dgm:cxn modelId="{872F7C59-A3C1-4C97-8E15-B9068F558EAE}" type="presParOf" srcId="{097FA788-E9F9-460D-A3C8-52FBED03C306}" destId="{76D12F87-154D-4D4C-8B48-D14EC83FB4A5}" srcOrd="0" destOrd="0" presId="urn:microsoft.com/office/officeart/2005/8/layout/orgChart1"/>
    <dgm:cxn modelId="{BDBEE6F1-071B-4C51-8858-42088C1F82A5}" type="presParOf" srcId="{097FA788-E9F9-460D-A3C8-52FBED03C306}" destId="{F331F064-3FFE-467B-B6F4-76EC69DA166D}" srcOrd="1" destOrd="0" presId="urn:microsoft.com/office/officeart/2005/8/layout/orgChart1"/>
    <dgm:cxn modelId="{A0964805-13B4-48E1-A66A-89316D6CDB42}" type="presParOf" srcId="{5C5576D8-2618-4B15-B0E7-90EBF73A4033}" destId="{6EA9584C-C0AB-4FE7-8D1C-BE98DDFA5920}" srcOrd="1" destOrd="0" presId="urn:microsoft.com/office/officeart/2005/8/layout/orgChart1"/>
    <dgm:cxn modelId="{5EFC45A4-BB99-446C-81E4-9DC0452E5F02}" type="presParOf" srcId="{6EA9584C-C0AB-4FE7-8D1C-BE98DDFA5920}" destId="{AF31641A-99FF-4D28-8086-1D4A36BE94E5}" srcOrd="0" destOrd="0" presId="urn:microsoft.com/office/officeart/2005/8/layout/orgChart1"/>
    <dgm:cxn modelId="{4D4B2767-EEDB-46B5-9443-CB28E23A7B82}" type="presParOf" srcId="{6EA9584C-C0AB-4FE7-8D1C-BE98DDFA5920}" destId="{2758FA4C-A14F-4F27-B628-93147E09320E}" srcOrd="1" destOrd="0" presId="urn:microsoft.com/office/officeart/2005/8/layout/orgChart1"/>
    <dgm:cxn modelId="{CC3E1C50-7E0A-4D6A-A9D3-6E4F35EC9F35}" type="presParOf" srcId="{2758FA4C-A14F-4F27-B628-93147E09320E}" destId="{0E8DA318-1C86-4E80-BDC9-E8B305E84FB9}" srcOrd="0" destOrd="0" presId="urn:microsoft.com/office/officeart/2005/8/layout/orgChart1"/>
    <dgm:cxn modelId="{820356EC-0694-4509-AC50-2218E11D8FF7}" type="presParOf" srcId="{0E8DA318-1C86-4E80-BDC9-E8B305E84FB9}" destId="{51EB42FC-48DF-42A3-B030-D893D882025B}" srcOrd="0" destOrd="0" presId="urn:microsoft.com/office/officeart/2005/8/layout/orgChart1"/>
    <dgm:cxn modelId="{58BAFE5B-AFC6-4F71-B8DC-1EDE0CB7C40D}" type="presParOf" srcId="{0E8DA318-1C86-4E80-BDC9-E8B305E84FB9}" destId="{06FE20A7-6174-49F7-A0D9-020EB851EED0}" srcOrd="1" destOrd="0" presId="urn:microsoft.com/office/officeart/2005/8/layout/orgChart1"/>
    <dgm:cxn modelId="{D6380468-420B-4E36-AD2F-970F661E2084}" type="presParOf" srcId="{2758FA4C-A14F-4F27-B628-93147E09320E}" destId="{A4BF8592-FE4D-416C-A5FB-C63E46EE79D4}" srcOrd="1" destOrd="0" presId="urn:microsoft.com/office/officeart/2005/8/layout/orgChart1"/>
    <dgm:cxn modelId="{2D7FAFC9-4ECA-473B-A5BB-0DCC5D77CA58}" type="presParOf" srcId="{A4BF8592-FE4D-416C-A5FB-C63E46EE79D4}" destId="{67C299C0-F615-4B19-9654-70FD9C07D142}" srcOrd="0" destOrd="0" presId="urn:microsoft.com/office/officeart/2005/8/layout/orgChart1"/>
    <dgm:cxn modelId="{A6B2D452-1FB9-4E36-A267-53652B3D082D}" type="presParOf" srcId="{A4BF8592-FE4D-416C-A5FB-C63E46EE79D4}" destId="{85CC2F4D-B3A9-4090-8625-FA38289C1869}" srcOrd="1" destOrd="0" presId="urn:microsoft.com/office/officeart/2005/8/layout/orgChart1"/>
    <dgm:cxn modelId="{8E9F975D-0AA0-4DBC-B96E-A3415F55330F}" type="presParOf" srcId="{85CC2F4D-B3A9-4090-8625-FA38289C1869}" destId="{BD72F4B5-38E2-427B-B1A0-0BBAED512450}" srcOrd="0" destOrd="0" presId="urn:microsoft.com/office/officeart/2005/8/layout/orgChart1"/>
    <dgm:cxn modelId="{8B9E31AD-133B-48F4-94DF-854B00A1AC5C}" type="presParOf" srcId="{BD72F4B5-38E2-427B-B1A0-0BBAED512450}" destId="{91B925DC-DAFD-48BB-928D-688D34456D7E}" srcOrd="0" destOrd="0" presId="urn:microsoft.com/office/officeart/2005/8/layout/orgChart1"/>
    <dgm:cxn modelId="{19043A50-30C6-40F8-B6C5-0D37271940F6}" type="presParOf" srcId="{BD72F4B5-38E2-427B-B1A0-0BBAED512450}" destId="{2CB9B0B9-0AF1-49F2-85B1-1721694E67DA}" srcOrd="1" destOrd="0" presId="urn:microsoft.com/office/officeart/2005/8/layout/orgChart1"/>
    <dgm:cxn modelId="{5039EE9C-BCE2-4D33-B05D-D64A62E8CBD5}" type="presParOf" srcId="{85CC2F4D-B3A9-4090-8625-FA38289C1869}" destId="{239EEC92-408E-4BB2-959C-87024BF4A161}" srcOrd="1" destOrd="0" presId="urn:microsoft.com/office/officeart/2005/8/layout/orgChart1"/>
    <dgm:cxn modelId="{E1E4FD7B-EFAE-437C-83BB-B11FF6890E3A}" type="presParOf" srcId="{85CC2F4D-B3A9-4090-8625-FA38289C1869}" destId="{C7BADBAF-7848-4DF1-9EE0-BE56450967CF}" srcOrd="2" destOrd="0" presId="urn:microsoft.com/office/officeart/2005/8/layout/orgChart1"/>
    <dgm:cxn modelId="{AACEBEE5-F19C-4923-A024-9934EEE1DA7C}" type="presParOf" srcId="{2758FA4C-A14F-4F27-B628-93147E09320E}" destId="{0C2C4A3E-4CBD-4672-92FC-86C2AC25ED07}" srcOrd="2" destOrd="0" presId="urn:microsoft.com/office/officeart/2005/8/layout/orgChart1"/>
    <dgm:cxn modelId="{A3492702-748E-4825-86BA-E7704DCB31AC}" type="presParOf" srcId="{5C5576D8-2618-4B15-B0E7-90EBF73A4033}" destId="{BA035CBB-D9CA-4ABE-AB02-4D8D59768CCF}" srcOrd="2" destOrd="0" presId="urn:microsoft.com/office/officeart/2005/8/layout/orgChart1"/>
    <dgm:cxn modelId="{47FB9B59-226D-4D17-BB10-FE9BDF64781F}" type="presParOf" srcId="{2DB0B1C5-A778-4364-9F16-0B302BC31BF7}" destId="{AAC949D0-CB87-4178-B9E6-612CD8E57E87}" srcOrd="2" destOrd="0" presId="urn:microsoft.com/office/officeart/2005/8/layout/orgChart1"/>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41350D7-B49F-4D9D-B76A-397EF1F48859}" type="doc">
      <dgm:prSet loTypeId="urn:microsoft.com/office/officeart/2005/8/layout/orgChart1" loCatId="hierarchy" qsTypeId="urn:microsoft.com/office/officeart/2005/8/quickstyle/simple1" qsCatId="simple" csTypeId="urn:microsoft.com/office/officeart/2005/8/colors/accent1_4" csCatId="accent1" phldr="1"/>
      <dgm:spPr/>
      <dgm:t>
        <a:bodyPr/>
        <a:lstStyle/>
        <a:p>
          <a:endParaRPr lang="en-US"/>
        </a:p>
      </dgm:t>
    </dgm:pt>
    <dgm:pt modelId="{E8CCAD3A-6999-49D6-9754-08C9546FC629}">
      <dgm:prSet phldrT="[Text]"/>
      <dgm:spPr/>
      <dgm:t>
        <a:bodyPr/>
        <a:lstStyle/>
        <a:p>
          <a:r>
            <a:rPr lang="en-US"/>
            <a:t>FY 16-17</a:t>
          </a:r>
          <a:br>
            <a:rPr lang="en-US"/>
          </a:br>
          <a:r>
            <a:rPr lang="en-US"/>
            <a:t>Actual FTES 15,598</a:t>
          </a:r>
        </a:p>
      </dgm:t>
    </dgm:pt>
    <dgm:pt modelId="{BEB4DD4F-4868-4357-BB83-EF034B4C334C}" type="parTrans" cxnId="{15FCB81B-72D4-40C8-84AC-1B1BC973F188}">
      <dgm:prSet/>
      <dgm:spPr/>
      <dgm:t>
        <a:bodyPr/>
        <a:lstStyle/>
        <a:p>
          <a:endParaRPr lang="en-US"/>
        </a:p>
      </dgm:t>
    </dgm:pt>
    <dgm:pt modelId="{D620C66F-10A8-4794-A751-B97F327AE844}" type="sibTrans" cxnId="{15FCB81B-72D4-40C8-84AC-1B1BC973F188}">
      <dgm:prSet/>
      <dgm:spPr/>
      <dgm:t>
        <a:bodyPr/>
        <a:lstStyle/>
        <a:p>
          <a:endParaRPr lang="en-US"/>
        </a:p>
      </dgm:t>
    </dgm:pt>
    <dgm:pt modelId="{29F6E1F5-0C63-42D9-AFD5-ADFCE333AE61}">
      <dgm:prSet phldrT="[Text]"/>
      <dgm:spPr/>
      <dgm:t>
        <a:bodyPr/>
        <a:lstStyle/>
        <a:p>
          <a:r>
            <a:rPr lang="en-US"/>
            <a:t>Valley</a:t>
          </a:r>
          <a:br>
            <a:rPr lang="en-US"/>
          </a:br>
          <a:r>
            <a:rPr lang="en-US"/>
            <a:t>Actual FTES</a:t>
          </a:r>
          <a:br>
            <a:rPr lang="en-US"/>
          </a:br>
          <a:r>
            <a:rPr lang="en-US"/>
            <a:t>10,611</a:t>
          </a:r>
        </a:p>
      </dgm:t>
    </dgm:pt>
    <dgm:pt modelId="{77834915-5271-40BC-B924-C00C7152C092}" type="parTrans" cxnId="{EE51DB02-63B5-4AE2-BA85-60B4A0FE43AC}">
      <dgm:prSet/>
      <dgm:spPr/>
      <dgm:t>
        <a:bodyPr/>
        <a:lstStyle/>
        <a:p>
          <a:endParaRPr lang="en-US"/>
        </a:p>
      </dgm:t>
    </dgm:pt>
    <dgm:pt modelId="{0F55E717-0464-4A75-9160-641A64DF4BB8}" type="sibTrans" cxnId="{EE51DB02-63B5-4AE2-BA85-60B4A0FE43AC}">
      <dgm:prSet/>
      <dgm:spPr/>
      <dgm:t>
        <a:bodyPr/>
        <a:lstStyle/>
        <a:p>
          <a:endParaRPr lang="en-US"/>
        </a:p>
      </dgm:t>
    </dgm:pt>
    <dgm:pt modelId="{AB5E06CB-E905-4D41-A9C7-9131F04DC9CE}">
      <dgm:prSet phldrT="[Text]"/>
      <dgm:spPr/>
      <dgm:t>
        <a:bodyPr/>
        <a:lstStyle/>
        <a:p>
          <a:r>
            <a:rPr lang="en-US"/>
            <a:t>Crafton</a:t>
          </a:r>
          <a:br>
            <a:rPr lang="en-US"/>
          </a:br>
          <a:r>
            <a:rPr lang="en-US"/>
            <a:t>Actual FTES</a:t>
          </a:r>
          <a:br>
            <a:rPr lang="en-US"/>
          </a:br>
          <a:r>
            <a:rPr lang="en-US"/>
            <a:t>4,987</a:t>
          </a:r>
        </a:p>
      </dgm:t>
    </dgm:pt>
    <dgm:pt modelId="{5884FD07-7F21-451D-A621-FCA5946FB9B1}" type="parTrans" cxnId="{D1A946C0-33EB-4787-8FF9-9583CFE29B60}">
      <dgm:prSet/>
      <dgm:spPr/>
      <dgm:t>
        <a:bodyPr/>
        <a:lstStyle/>
        <a:p>
          <a:endParaRPr lang="en-US"/>
        </a:p>
      </dgm:t>
    </dgm:pt>
    <dgm:pt modelId="{65F99840-2CD2-4AAF-ADFF-868F2DBC1686}" type="sibTrans" cxnId="{D1A946C0-33EB-4787-8FF9-9583CFE29B60}">
      <dgm:prSet/>
      <dgm:spPr/>
      <dgm:t>
        <a:bodyPr/>
        <a:lstStyle/>
        <a:p>
          <a:endParaRPr lang="en-US"/>
        </a:p>
      </dgm:t>
    </dgm:pt>
    <dgm:pt modelId="{35FB5D63-D052-4C37-BB35-C884386B69B4}" type="pres">
      <dgm:prSet presAssocID="{F41350D7-B49F-4D9D-B76A-397EF1F48859}" presName="hierChild1" presStyleCnt="0">
        <dgm:presLayoutVars>
          <dgm:orgChart val="1"/>
          <dgm:chPref val="1"/>
          <dgm:dir/>
          <dgm:animOne val="branch"/>
          <dgm:animLvl val="lvl"/>
          <dgm:resizeHandles/>
        </dgm:presLayoutVars>
      </dgm:prSet>
      <dgm:spPr/>
      <dgm:t>
        <a:bodyPr/>
        <a:lstStyle/>
        <a:p>
          <a:endParaRPr lang="en-US"/>
        </a:p>
      </dgm:t>
    </dgm:pt>
    <dgm:pt modelId="{2DB0B1C5-A778-4364-9F16-0B302BC31BF7}" type="pres">
      <dgm:prSet presAssocID="{E8CCAD3A-6999-49D6-9754-08C9546FC629}" presName="hierRoot1" presStyleCnt="0">
        <dgm:presLayoutVars>
          <dgm:hierBranch val="init"/>
        </dgm:presLayoutVars>
      </dgm:prSet>
      <dgm:spPr/>
      <dgm:t>
        <a:bodyPr/>
        <a:lstStyle/>
        <a:p>
          <a:endParaRPr lang="en-US"/>
        </a:p>
      </dgm:t>
    </dgm:pt>
    <dgm:pt modelId="{D5C40014-B393-4E70-8741-CE83E7EC85CB}" type="pres">
      <dgm:prSet presAssocID="{E8CCAD3A-6999-49D6-9754-08C9546FC629}" presName="rootComposite1" presStyleCnt="0"/>
      <dgm:spPr/>
      <dgm:t>
        <a:bodyPr/>
        <a:lstStyle/>
        <a:p>
          <a:endParaRPr lang="en-US"/>
        </a:p>
      </dgm:t>
    </dgm:pt>
    <dgm:pt modelId="{24F041FE-9FC7-4776-A76E-9D7A5B7921DA}" type="pres">
      <dgm:prSet presAssocID="{E8CCAD3A-6999-49D6-9754-08C9546FC629}" presName="rootText1" presStyleLbl="node0" presStyleIdx="0" presStyleCnt="1">
        <dgm:presLayoutVars>
          <dgm:chPref val="3"/>
        </dgm:presLayoutVars>
      </dgm:prSet>
      <dgm:spPr/>
      <dgm:t>
        <a:bodyPr/>
        <a:lstStyle/>
        <a:p>
          <a:endParaRPr lang="en-US"/>
        </a:p>
      </dgm:t>
    </dgm:pt>
    <dgm:pt modelId="{27153E03-22AE-4A7E-956B-1489E8B03DDC}" type="pres">
      <dgm:prSet presAssocID="{E8CCAD3A-6999-49D6-9754-08C9546FC629}" presName="rootConnector1" presStyleLbl="node1" presStyleIdx="0" presStyleCnt="0"/>
      <dgm:spPr/>
      <dgm:t>
        <a:bodyPr/>
        <a:lstStyle/>
        <a:p>
          <a:endParaRPr lang="en-US"/>
        </a:p>
      </dgm:t>
    </dgm:pt>
    <dgm:pt modelId="{5ECAD1AC-4244-40AC-BC34-8C6A61CC52ED}" type="pres">
      <dgm:prSet presAssocID="{E8CCAD3A-6999-49D6-9754-08C9546FC629}" presName="hierChild2" presStyleCnt="0"/>
      <dgm:spPr/>
      <dgm:t>
        <a:bodyPr/>
        <a:lstStyle/>
        <a:p>
          <a:endParaRPr lang="en-US"/>
        </a:p>
      </dgm:t>
    </dgm:pt>
    <dgm:pt modelId="{C920F0D6-857B-4246-9E40-606D60223ABB}" type="pres">
      <dgm:prSet presAssocID="{77834915-5271-40BC-B924-C00C7152C092}" presName="Name37" presStyleLbl="parChTrans1D2" presStyleIdx="0" presStyleCnt="2"/>
      <dgm:spPr/>
      <dgm:t>
        <a:bodyPr/>
        <a:lstStyle/>
        <a:p>
          <a:endParaRPr lang="en-US"/>
        </a:p>
      </dgm:t>
    </dgm:pt>
    <dgm:pt modelId="{62FC274B-019A-4985-803D-C214243D0D44}" type="pres">
      <dgm:prSet presAssocID="{29F6E1F5-0C63-42D9-AFD5-ADFCE333AE61}" presName="hierRoot2" presStyleCnt="0">
        <dgm:presLayoutVars>
          <dgm:hierBranch val="init"/>
        </dgm:presLayoutVars>
      </dgm:prSet>
      <dgm:spPr/>
      <dgm:t>
        <a:bodyPr/>
        <a:lstStyle/>
        <a:p>
          <a:endParaRPr lang="en-US"/>
        </a:p>
      </dgm:t>
    </dgm:pt>
    <dgm:pt modelId="{A8A00537-422F-4DD4-BB92-E74530A11980}" type="pres">
      <dgm:prSet presAssocID="{29F6E1F5-0C63-42D9-AFD5-ADFCE333AE61}" presName="rootComposite" presStyleCnt="0"/>
      <dgm:spPr/>
      <dgm:t>
        <a:bodyPr/>
        <a:lstStyle/>
        <a:p>
          <a:endParaRPr lang="en-US"/>
        </a:p>
      </dgm:t>
    </dgm:pt>
    <dgm:pt modelId="{5F413E7A-418C-4C4B-95A5-C3078AA40D16}" type="pres">
      <dgm:prSet presAssocID="{29F6E1F5-0C63-42D9-AFD5-ADFCE333AE61}" presName="rootText" presStyleLbl="node2" presStyleIdx="0" presStyleCnt="2">
        <dgm:presLayoutVars>
          <dgm:chPref val="3"/>
        </dgm:presLayoutVars>
      </dgm:prSet>
      <dgm:spPr/>
      <dgm:t>
        <a:bodyPr/>
        <a:lstStyle/>
        <a:p>
          <a:endParaRPr lang="en-US"/>
        </a:p>
      </dgm:t>
    </dgm:pt>
    <dgm:pt modelId="{BA0E7B03-1E33-494E-9E4F-2FB983E0EA86}" type="pres">
      <dgm:prSet presAssocID="{29F6E1F5-0C63-42D9-AFD5-ADFCE333AE61}" presName="rootConnector" presStyleLbl="node2" presStyleIdx="0" presStyleCnt="2"/>
      <dgm:spPr/>
      <dgm:t>
        <a:bodyPr/>
        <a:lstStyle/>
        <a:p>
          <a:endParaRPr lang="en-US"/>
        </a:p>
      </dgm:t>
    </dgm:pt>
    <dgm:pt modelId="{0132F9DE-BC28-4CF2-BF0B-7CC143187751}" type="pres">
      <dgm:prSet presAssocID="{29F6E1F5-0C63-42D9-AFD5-ADFCE333AE61}" presName="hierChild4" presStyleCnt="0"/>
      <dgm:spPr/>
      <dgm:t>
        <a:bodyPr/>
        <a:lstStyle/>
        <a:p>
          <a:endParaRPr lang="en-US"/>
        </a:p>
      </dgm:t>
    </dgm:pt>
    <dgm:pt modelId="{E5ED30A6-EDA9-4987-9099-B10B16D7EAB2}" type="pres">
      <dgm:prSet presAssocID="{29F6E1F5-0C63-42D9-AFD5-ADFCE333AE61}" presName="hierChild5" presStyleCnt="0"/>
      <dgm:spPr/>
      <dgm:t>
        <a:bodyPr/>
        <a:lstStyle/>
        <a:p>
          <a:endParaRPr lang="en-US"/>
        </a:p>
      </dgm:t>
    </dgm:pt>
    <dgm:pt modelId="{4217B007-CB58-45F8-9D91-EE7CA77AFD73}" type="pres">
      <dgm:prSet presAssocID="{5884FD07-7F21-451D-A621-FCA5946FB9B1}" presName="Name37" presStyleLbl="parChTrans1D2" presStyleIdx="1" presStyleCnt="2"/>
      <dgm:spPr/>
      <dgm:t>
        <a:bodyPr/>
        <a:lstStyle/>
        <a:p>
          <a:endParaRPr lang="en-US"/>
        </a:p>
      </dgm:t>
    </dgm:pt>
    <dgm:pt modelId="{5C5576D8-2618-4B15-B0E7-90EBF73A4033}" type="pres">
      <dgm:prSet presAssocID="{AB5E06CB-E905-4D41-A9C7-9131F04DC9CE}" presName="hierRoot2" presStyleCnt="0">
        <dgm:presLayoutVars>
          <dgm:hierBranch val="init"/>
        </dgm:presLayoutVars>
      </dgm:prSet>
      <dgm:spPr/>
      <dgm:t>
        <a:bodyPr/>
        <a:lstStyle/>
        <a:p>
          <a:endParaRPr lang="en-US"/>
        </a:p>
      </dgm:t>
    </dgm:pt>
    <dgm:pt modelId="{097FA788-E9F9-460D-A3C8-52FBED03C306}" type="pres">
      <dgm:prSet presAssocID="{AB5E06CB-E905-4D41-A9C7-9131F04DC9CE}" presName="rootComposite" presStyleCnt="0"/>
      <dgm:spPr/>
      <dgm:t>
        <a:bodyPr/>
        <a:lstStyle/>
        <a:p>
          <a:endParaRPr lang="en-US"/>
        </a:p>
      </dgm:t>
    </dgm:pt>
    <dgm:pt modelId="{76D12F87-154D-4D4C-8B48-D14EC83FB4A5}" type="pres">
      <dgm:prSet presAssocID="{AB5E06CB-E905-4D41-A9C7-9131F04DC9CE}" presName="rootText" presStyleLbl="node2" presStyleIdx="1" presStyleCnt="2">
        <dgm:presLayoutVars>
          <dgm:chPref val="3"/>
        </dgm:presLayoutVars>
      </dgm:prSet>
      <dgm:spPr/>
      <dgm:t>
        <a:bodyPr/>
        <a:lstStyle/>
        <a:p>
          <a:endParaRPr lang="en-US"/>
        </a:p>
      </dgm:t>
    </dgm:pt>
    <dgm:pt modelId="{F331F064-3FFE-467B-B6F4-76EC69DA166D}" type="pres">
      <dgm:prSet presAssocID="{AB5E06CB-E905-4D41-A9C7-9131F04DC9CE}" presName="rootConnector" presStyleLbl="node2" presStyleIdx="1" presStyleCnt="2"/>
      <dgm:spPr/>
      <dgm:t>
        <a:bodyPr/>
        <a:lstStyle/>
        <a:p>
          <a:endParaRPr lang="en-US"/>
        </a:p>
      </dgm:t>
    </dgm:pt>
    <dgm:pt modelId="{6EA9584C-C0AB-4FE7-8D1C-BE98DDFA5920}" type="pres">
      <dgm:prSet presAssocID="{AB5E06CB-E905-4D41-A9C7-9131F04DC9CE}" presName="hierChild4" presStyleCnt="0"/>
      <dgm:spPr/>
      <dgm:t>
        <a:bodyPr/>
        <a:lstStyle/>
        <a:p>
          <a:endParaRPr lang="en-US"/>
        </a:p>
      </dgm:t>
    </dgm:pt>
    <dgm:pt modelId="{BA035CBB-D9CA-4ABE-AB02-4D8D59768CCF}" type="pres">
      <dgm:prSet presAssocID="{AB5E06CB-E905-4D41-A9C7-9131F04DC9CE}" presName="hierChild5" presStyleCnt="0"/>
      <dgm:spPr/>
      <dgm:t>
        <a:bodyPr/>
        <a:lstStyle/>
        <a:p>
          <a:endParaRPr lang="en-US"/>
        </a:p>
      </dgm:t>
    </dgm:pt>
    <dgm:pt modelId="{AAC949D0-CB87-4178-B9E6-612CD8E57E87}" type="pres">
      <dgm:prSet presAssocID="{E8CCAD3A-6999-49D6-9754-08C9546FC629}" presName="hierChild3" presStyleCnt="0"/>
      <dgm:spPr/>
      <dgm:t>
        <a:bodyPr/>
        <a:lstStyle/>
        <a:p>
          <a:endParaRPr lang="en-US"/>
        </a:p>
      </dgm:t>
    </dgm:pt>
  </dgm:ptLst>
  <dgm:cxnLst>
    <dgm:cxn modelId="{D1A946C0-33EB-4787-8FF9-9583CFE29B60}" srcId="{E8CCAD3A-6999-49D6-9754-08C9546FC629}" destId="{AB5E06CB-E905-4D41-A9C7-9131F04DC9CE}" srcOrd="1" destOrd="0" parTransId="{5884FD07-7F21-451D-A621-FCA5946FB9B1}" sibTransId="{65F99840-2CD2-4AAF-ADFF-868F2DBC1686}"/>
    <dgm:cxn modelId="{C9DC5D90-5B10-4AF1-81A5-E287D596C887}" type="presOf" srcId="{F41350D7-B49F-4D9D-B76A-397EF1F48859}" destId="{35FB5D63-D052-4C37-BB35-C884386B69B4}" srcOrd="0" destOrd="0" presId="urn:microsoft.com/office/officeart/2005/8/layout/orgChart1"/>
    <dgm:cxn modelId="{EE51DB02-63B5-4AE2-BA85-60B4A0FE43AC}" srcId="{E8CCAD3A-6999-49D6-9754-08C9546FC629}" destId="{29F6E1F5-0C63-42D9-AFD5-ADFCE333AE61}" srcOrd="0" destOrd="0" parTransId="{77834915-5271-40BC-B924-C00C7152C092}" sibTransId="{0F55E717-0464-4A75-9160-641A64DF4BB8}"/>
    <dgm:cxn modelId="{F4715F72-A1E4-4356-AA48-9B2A54754BA4}" type="presOf" srcId="{AB5E06CB-E905-4D41-A9C7-9131F04DC9CE}" destId="{F331F064-3FFE-467B-B6F4-76EC69DA166D}" srcOrd="1" destOrd="0" presId="urn:microsoft.com/office/officeart/2005/8/layout/orgChart1"/>
    <dgm:cxn modelId="{2CA96143-6302-432E-B52A-2E38652CCC68}" type="presOf" srcId="{5884FD07-7F21-451D-A621-FCA5946FB9B1}" destId="{4217B007-CB58-45F8-9D91-EE7CA77AFD73}" srcOrd="0" destOrd="0" presId="urn:microsoft.com/office/officeart/2005/8/layout/orgChart1"/>
    <dgm:cxn modelId="{5C03A22A-8E72-4977-838C-6F98B8E799F7}" type="presOf" srcId="{E8CCAD3A-6999-49D6-9754-08C9546FC629}" destId="{24F041FE-9FC7-4776-A76E-9D7A5B7921DA}" srcOrd="0" destOrd="0" presId="urn:microsoft.com/office/officeart/2005/8/layout/orgChart1"/>
    <dgm:cxn modelId="{15FCB81B-72D4-40C8-84AC-1B1BC973F188}" srcId="{F41350D7-B49F-4D9D-B76A-397EF1F48859}" destId="{E8CCAD3A-6999-49D6-9754-08C9546FC629}" srcOrd="0" destOrd="0" parTransId="{BEB4DD4F-4868-4357-BB83-EF034B4C334C}" sibTransId="{D620C66F-10A8-4794-A751-B97F327AE844}"/>
    <dgm:cxn modelId="{F614DF7E-AE64-41D1-AB03-FFBB554E0B68}" type="presOf" srcId="{E8CCAD3A-6999-49D6-9754-08C9546FC629}" destId="{27153E03-22AE-4A7E-956B-1489E8B03DDC}" srcOrd="1" destOrd="0" presId="urn:microsoft.com/office/officeart/2005/8/layout/orgChart1"/>
    <dgm:cxn modelId="{B7A32364-0B44-4F06-98B0-1F51E688F517}" type="presOf" srcId="{29F6E1F5-0C63-42D9-AFD5-ADFCE333AE61}" destId="{BA0E7B03-1E33-494E-9E4F-2FB983E0EA86}" srcOrd="1" destOrd="0" presId="urn:microsoft.com/office/officeart/2005/8/layout/orgChart1"/>
    <dgm:cxn modelId="{2F1F4FBE-BBA8-4EB0-880F-B0B963C2BC01}" type="presOf" srcId="{77834915-5271-40BC-B924-C00C7152C092}" destId="{C920F0D6-857B-4246-9E40-606D60223ABB}" srcOrd="0" destOrd="0" presId="urn:microsoft.com/office/officeart/2005/8/layout/orgChart1"/>
    <dgm:cxn modelId="{71A6B44F-B87A-4A99-B1C1-7843CF3EAAB7}" type="presOf" srcId="{29F6E1F5-0C63-42D9-AFD5-ADFCE333AE61}" destId="{5F413E7A-418C-4C4B-95A5-C3078AA40D16}" srcOrd="0" destOrd="0" presId="urn:microsoft.com/office/officeart/2005/8/layout/orgChart1"/>
    <dgm:cxn modelId="{EB026A3D-24EA-4A82-B564-29333262B9BB}" type="presOf" srcId="{AB5E06CB-E905-4D41-A9C7-9131F04DC9CE}" destId="{76D12F87-154D-4D4C-8B48-D14EC83FB4A5}" srcOrd="0" destOrd="0" presId="urn:microsoft.com/office/officeart/2005/8/layout/orgChart1"/>
    <dgm:cxn modelId="{73F52594-0CF9-4077-BE86-6EEDC4C70AD4}" type="presParOf" srcId="{35FB5D63-D052-4C37-BB35-C884386B69B4}" destId="{2DB0B1C5-A778-4364-9F16-0B302BC31BF7}" srcOrd="0" destOrd="0" presId="urn:microsoft.com/office/officeart/2005/8/layout/orgChart1"/>
    <dgm:cxn modelId="{F1C1685F-234C-49E7-BB6C-83BE0885E6A0}" type="presParOf" srcId="{2DB0B1C5-A778-4364-9F16-0B302BC31BF7}" destId="{D5C40014-B393-4E70-8741-CE83E7EC85CB}" srcOrd="0" destOrd="0" presId="urn:microsoft.com/office/officeart/2005/8/layout/orgChart1"/>
    <dgm:cxn modelId="{D84C85AD-0A43-4F81-AE8C-E059BD0429DE}" type="presParOf" srcId="{D5C40014-B393-4E70-8741-CE83E7EC85CB}" destId="{24F041FE-9FC7-4776-A76E-9D7A5B7921DA}" srcOrd="0" destOrd="0" presId="urn:microsoft.com/office/officeart/2005/8/layout/orgChart1"/>
    <dgm:cxn modelId="{E8C04E84-B62A-4E24-9473-73240D7B592F}" type="presParOf" srcId="{D5C40014-B393-4E70-8741-CE83E7EC85CB}" destId="{27153E03-22AE-4A7E-956B-1489E8B03DDC}" srcOrd="1" destOrd="0" presId="urn:microsoft.com/office/officeart/2005/8/layout/orgChart1"/>
    <dgm:cxn modelId="{641B4036-6C44-4247-839B-1F6BA75AA69C}" type="presParOf" srcId="{2DB0B1C5-A778-4364-9F16-0B302BC31BF7}" destId="{5ECAD1AC-4244-40AC-BC34-8C6A61CC52ED}" srcOrd="1" destOrd="0" presId="urn:microsoft.com/office/officeart/2005/8/layout/orgChart1"/>
    <dgm:cxn modelId="{FE78859D-E310-4DFE-A7E3-EA4DA7785F4A}" type="presParOf" srcId="{5ECAD1AC-4244-40AC-BC34-8C6A61CC52ED}" destId="{C920F0D6-857B-4246-9E40-606D60223ABB}" srcOrd="0" destOrd="0" presId="urn:microsoft.com/office/officeart/2005/8/layout/orgChart1"/>
    <dgm:cxn modelId="{99075E85-BB5D-4FBF-A87C-6B860B1A9BC3}" type="presParOf" srcId="{5ECAD1AC-4244-40AC-BC34-8C6A61CC52ED}" destId="{62FC274B-019A-4985-803D-C214243D0D44}" srcOrd="1" destOrd="0" presId="urn:microsoft.com/office/officeart/2005/8/layout/orgChart1"/>
    <dgm:cxn modelId="{646173E6-14F8-4443-A1E9-BD907DF520D4}" type="presParOf" srcId="{62FC274B-019A-4985-803D-C214243D0D44}" destId="{A8A00537-422F-4DD4-BB92-E74530A11980}" srcOrd="0" destOrd="0" presId="urn:microsoft.com/office/officeart/2005/8/layout/orgChart1"/>
    <dgm:cxn modelId="{72DD73CE-0E9E-4999-B448-E4AA36323367}" type="presParOf" srcId="{A8A00537-422F-4DD4-BB92-E74530A11980}" destId="{5F413E7A-418C-4C4B-95A5-C3078AA40D16}" srcOrd="0" destOrd="0" presId="urn:microsoft.com/office/officeart/2005/8/layout/orgChart1"/>
    <dgm:cxn modelId="{702083F2-5BAD-48BE-AA6F-3038D2F04363}" type="presParOf" srcId="{A8A00537-422F-4DD4-BB92-E74530A11980}" destId="{BA0E7B03-1E33-494E-9E4F-2FB983E0EA86}" srcOrd="1" destOrd="0" presId="urn:microsoft.com/office/officeart/2005/8/layout/orgChart1"/>
    <dgm:cxn modelId="{821EC400-CB66-4D1E-B0F4-D228A7E29E1A}" type="presParOf" srcId="{62FC274B-019A-4985-803D-C214243D0D44}" destId="{0132F9DE-BC28-4CF2-BF0B-7CC143187751}" srcOrd="1" destOrd="0" presId="urn:microsoft.com/office/officeart/2005/8/layout/orgChart1"/>
    <dgm:cxn modelId="{CDE08F54-0590-4C4C-92EA-BE70CFC2B7C9}" type="presParOf" srcId="{62FC274B-019A-4985-803D-C214243D0D44}" destId="{E5ED30A6-EDA9-4987-9099-B10B16D7EAB2}" srcOrd="2" destOrd="0" presId="urn:microsoft.com/office/officeart/2005/8/layout/orgChart1"/>
    <dgm:cxn modelId="{7AA10422-2FB8-45E7-851B-D4FA4577DC19}" type="presParOf" srcId="{5ECAD1AC-4244-40AC-BC34-8C6A61CC52ED}" destId="{4217B007-CB58-45F8-9D91-EE7CA77AFD73}" srcOrd="2" destOrd="0" presId="urn:microsoft.com/office/officeart/2005/8/layout/orgChart1"/>
    <dgm:cxn modelId="{1AA8DE1F-A890-4779-8CD0-55DCF4B4ECB2}" type="presParOf" srcId="{5ECAD1AC-4244-40AC-BC34-8C6A61CC52ED}" destId="{5C5576D8-2618-4B15-B0E7-90EBF73A4033}" srcOrd="3" destOrd="0" presId="urn:microsoft.com/office/officeart/2005/8/layout/orgChart1"/>
    <dgm:cxn modelId="{8D93FD9B-8D45-4FAD-8278-A06E36C28F8B}" type="presParOf" srcId="{5C5576D8-2618-4B15-B0E7-90EBF73A4033}" destId="{097FA788-E9F9-460D-A3C8-52FBED03C306}" srcOrd="0" destOrd="0" presId="urn:microsoft.com/office/officeart/2005/8/layout/orgChart1"/>
    <dgm:cxn modelId="{10456BD8-62A0-4C40-9CD3-138331855DB7}" type="presParOf" srcId="{097FA788-E9F9-460D-A3C8-52FBED03C306}" destId="{76D12F87-154D-4D4C-8B48-D14EC83FB4A5}" srcOrd="0" destOrd="0" presId="urn:microsoft.com/office/officeart/2005/8/layout/orgChart1"/>
    <dgm:cxn modelId="{72A143C7-B3D5-4AAB-B7EF-FB1FDDD24706}" type="presParOf" srcId="{097FA788-E9F9-460D-A3C8-52FBED03C306}" destId="{F331F064-3FFE-467B-B6F4-76EC69DA166D}" srcOrd="1" destOrd="0" presId="urn:microsoft.com/office/officeart/2005/8/layout/orgChart1"/>
    <dgm:cxn modelId="{37EDADD4-1ECB-4DDC-9F4D-49B05A3208AB}" type="presParOf" srcId="{5C5576D8-2618-4B15-B0E7-90EBF73A4033}" destId="{6EA9584C-C0AB-4FE7-8D1C-BE98DDFA5920}" srcOrd="1" destOrd="0" presId="urn:microsoft.com/office/officeart/2005/8/layout/orgChart1"/>
    <dgm:cxn modelId="{9AA5DB03-EDDD-41EF-BB69-B5B6911B2BC2}" type="presParOf" srcId="{5C5576D8-2618-4B15-B0E7-90EBF73A4033}" destId="{BA035CBB-D9CA-4ABE-AB02-4D8D59768CCF}" srcOrd="2" destOrd="0" presId="urn:microsoft.com/office/officeart/2005/8/layout/orgChart1"/>
    <dgm:cxn modelId="{6ADF90D1-D778-4DDE-8777-5788215BDC6C}" type="presParOf" srcId="{2DB0B1C5-A778-4364-9F16-0B302BC31BF7}" destId="{AAC949D0-CB87-4178-B9E6-612CD8E57E87}" srcOrd="2" destOrd="0" presId="urn:microsoft.com/office/officeart/2005/8/layout/orgChart1"/>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217B007-CB58-45F8-9D91-EE7CA77AFD73}">
      <dsp:nvSpPr>
        <dsp:cNvPr id="0" name=""/>
        <dsp:cNvSpPr/>
      </dsp:nvSpPr>
      <dsp:spPr>
        <a:xfrm>
          <a:off x="1499235" y="993151"/>
          <a:ext cx="820452" cy="284785"/>
        </a:xfrm>
        <a:custGeom>
          <a:avLst/>
          <a:gdLst/>
          <a:ahLst/>
          <a:cxnLst/>
          <a:rect l="0" t="0" r="0" b="0"/>
          <a:pathLst>
            <a:path>
              <a:moveTo>
                <a:pt x="0" y="0"/>
              </a:moveTo>
              <a:lnTo>
                <a:pt x="0" y="142392"/>
              </a:lnTo>
              <a:lnTo>
                <a:pt x="820452" y="142392"/>
              </a:lnTo>
              <a:lnTo>
                <a:pt x="820452" y="284785"/>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678782" y="993151"/>
          <a:ext cx="820452" cy="284785"/>
        </a:xfrm>
        <a:custGeom>
          <a:avLst/>
          <a:gdLst/>
          <a:ahLst/>
          <a:cxnLst/>
          <a:rect l="0" t="0" r="0" b="0"/>
          <a:pathLst>
            <a:path>
              <a:moveTo>
                <a:pt x="820452" y="0"/>
              </a:moveTo>
              <a:lnTo>
                <a:pt x="820452" y="142392"/>
              </a:lnTo>
              <a:lnTo>
                <a:pt x="0" y="142392"/>
              </a:lnTo>
              <a:lnTo>
                <a:pt x="0" y="284785"/>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821175" y="315091"/>
          <a:ext cx="1356120" cy="678060"/>
        </a:xfrm>
        <a:prstGeom prst="rect">
          <a:avLst/>
        </a:prstGeom>
        <a:solidFill>
          <a:schemeClr val="accent1">
            <a:shade val="6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FY 14-15</a:t>
          </a:r>
          <a:br>
            <a:rPr lang="en-US" sz="1500" kern="1200"/>
          </a:br>
          <a:r>
            <a:rPr lang="en-US" sz="1500" kern="1200"/>
            <a:t>Actual FTES 14,689</a:t>
          </a:r>
        </a:p>
      </dsp:txBody>
      <dsp:txXfrm>
        <a:off x="821175" y="315091"/>
        <a:ext cx="1356120" cy="678060"/>
      </dsp:txXfrm>
    </dsp:sp>
    <dsp:sp modelId="{5F413E7A-418C-4C4B-95A5-C3078AA40D16}">
      <dsp:nvSpPr>
        <dsp:cNvPr id="0" name=""/>
        <dsp:cNvSpPr/>
      </dsp:nvSpPr>
      <dsp:spPr>
        <a:xfrm>
          <a:off x="722" y="1277936"/>
          <a:ext cx="1356120" cy="678060"/>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Valley</a:t>
          </a:r>
          <a:br>
            <a:rPr lang="en-US" sz="1500" kern="1200"/>
          </a:br>
          <a:r>
            <a:rPr lang="en-US" sz="1500" kern="1200"/>
            <a:t>Actual FTES</a:t>
          </a:r>
          <a:br>
            <a:rPr lang="en-US" sz="1500" kern="1200"/>
          </a:br>
          <a:r>
            <a:rPr lang="en-US" sz="1500" kern="1200"/>
            <a:t>10,100</a:t>
          </a:r>
        </a:p>
      </dsp:txBody>
      <dsp:txXfrm>
        <a:off x="722" y="1277936"/>
        <a:ext cx="1356120" cy="678060"/>
      </dsp:txXfrm>
    </dsp:sp>
    <dsp:sp modelId="{76D12F87-154D-4D4C-8B48-D14EC83FB4A5}">
      <dsp:nvSpPr>
        <dsp:cNvPr id="0" name=""/>
        <dsp:cNvSpPr/>
      </dsp:nvSpPr>
      <dsp:spPr>
        <a:xfrm>
          <a:off x="1641628" y="1277936"/>
          <a:ext cx="1356120" cy="678060"/>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Crafton</a:t>
          </a:r>
          <a:br>
            <a:rPr lang="en-US" sz="1500" kern="1200"/>
          </a:br>
          <a:r>
            <a:rPr lang="en-US" sz="1500" kern="1200"/>
            <a:t>Actual FTES</a:t>
          </a:r>
          <a:br>
            <a:rPr lang="en-US" sz="1500" kern="1200"/>
          </a:br>
          <a:r>
            <a:rPr lang="en-US" sz="1500" kern="1200"/>
            <a:t>4,589</a:t>
          </a:r>
        </a:p>
      </dsp:txBody>
      <dsp:txXfrm>
        <a:off x="1641628" y="1277936"/>
        <a:ext cx="1356120" cy="67806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7C299C0-F615-4B19-9654-70FD9C07D142}">
      <dsp:nvSpPr>
        <dsp:cNvPr id="0" name=""/>
        <dsp:cNvSpPr/>
      </dsp:nvSpPr>
      <dsp:spPr>
        <a:xfrm>
          <a:off x="2028465" y="2621973"/>
          <a:ext cx="194883" cy="597642"/>
        </a:xfrm>
        <a:custGeom>
          <a:avLst/>
          <a:gdLst/>
          <a:ahLst/>
          <a:cxnLst/>
          <a:rect l="0" t="0" r="0" b="0"/>
          <a:pathLst>
            <a:path>
              <a:moveTo>
                <a:pt x="0" y="0"/>
              </a:moveTo>
              <a:lnTo>
                <a:pt x="0" y="597642"/>
              </a:lnTo>
              <a:lnTo>
                <a:pt x="194883" y="597642"/>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F31641A-99FF-4D28-8086-1D4A36BE94E5}">
      <dsp:nvSpPr>
        <dsp:cNvPr id="0" name=""/>
        <dsp:cNvSpPr/>
      </dsp:nvSpPr>
      <dsp:spPr>
        <a:xfrm>
          <a:off x="2502434" y="1699525"/>
          <a:ext cx="91440" cy="272836"/>
        </a:xfrm>
        <a:custGeom>
          <a:avLst/>
          <a:gdLst/>
          <a:ahLst/>
          <a:cxnLst/>
          <a:rect l="0" t="0" r="0" b="0"/>
          <a:pathLst>
            <a:path>
              <a:moveTo>
                <a:pt x="45720" y="0"/>
              </a:moveTo>
              <a:lnTo>
                <a:pt x="45720" y="272836"/>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217B007-CB58-45F8-9D91-EE7CA77AFD73}">
      <dsp:nvSpPr>
        <dsp:cNvPr id="0" name=""/>
        <dsp:cNvSpPr/>
      </dsp:nvSpPr>
      <dsp:spPr>
        <a:xfrm>
          <a:off x="1599722" y="696778"/>
          <a:ext cx="948432" cy="353135"/>
        </a:xfrm>
        <a:custGeom>
          <a:avLst/>
          <a:gdLst/>
          <a:ahLst/>
          <a:cxnLst/>
          <a:rect l="0" t="0" r="0" b="0"/>
          <a:pathLst>
            <a:path>
              <a:moveTo>
                <a:pt x="0" y="0"/>
              </a:moveTo>
              <a:lnTo>
                <a:pt x="0" y="216716"/>
              </a:lnTo>
              <a:lnTo>
                <a:pt x="948432" y="216716"/>
              </a:lnTo>
              <a:lnTo>
                <a:pt x="948432" y="353135"/>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BA7130F-3B15-4FC0-A44C-7EE71EC4AC3B}">
      <dsp:nvSpPr>
        <dsp:cNvPr id="0" name=""/>
        <dsp:cNvSpPr/>
      </dsp:nvSpPr>
      <dsp:spPr>
        <a:xfrm>
          <a:off x="131600" y="1699525"/>
          <a:ext cx="194883" cy="597642"/>
        </a:xfrm>
        <a:custGeom>
          <a:avLst/>
          <a:gdLst/>
          <a:ahLst/>
          <a:cxnLst/>
          <a:rect l="0" t="0" r="0" b="0"/>
          <a:pathLst>
            <a:path>
              <a:moveTo>
                <a:pt x="0" y="0"/>
              </a:moveTo>
              <a:lnTo>
                <a:pt x="0" y="597642"/>
              </a:lnTo>
              <a:lnTo>
                <a:pt x="194883" y="597642"/>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651289" y="696778"/>
          <a:ext cx="948432" cy="353135"/>
        </a:xfrm>
        <a:custGeom>
          <a:avLst/>
          <a:gdLst/>
          <a:ahLst/>
          <a:cxnLst/>
          <a:rect l="0" t="0" r="0" b="0"/>
          <a:pathLst>
            <a:path>
              <a:moveTo>
                <a:pt x="948432" y="0"/>
              </a:moveTo>
              <a:lnTo>
                <a:pt x="948432" y="216716"/>
              </a:lnTo>
              <a:lnTo>
                <a:pt x="0" y="216716"/>
              </a:lnTo>
              <a:lnTo>
                <a:pt x="0" y="353135"/>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950110" y="47167"/>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FY 14-15</a:t>
          </a:r>
          <a:br>
            <a:rPr lang="en-US" sz="1500" kern="1200"/>
          </a:br>
          <a:r>
            <a:rPr lang="en-US" sz="1500" kern="1200"/>
            <a:t>Funded FTES </a:t>
          </a:r>
          <a:br>
            <a:rPr lang="en-US" sz="1500" kern="1200"/>
          </a:br>
          <a:r>
            <a:rPr lang="en-US" sz="1500" kern="1200"/>
            <a:t>13,845</a:t>
          </a:r>
        </a:p>
      </dsp:txBody>
      <dsp:txXfrm>
        <a:off x="950110" y="47167"/>
        <a:ext cx="1299223" cy="649611"/>
      </dsp:txXfrm>
    </dsp:sp>
    <dsp:sp modelId="{5F413E7A-418C-4C4B-95A5-C3078AA40D16}">
      <dsp:nvSpPr>
        <dsp:cNvPr id="0" name=""/>
        <dsp:cNvSpPr/>
      </dsp:nvSpPr>
      <dsp:spPr>
        <a:xfrm>
          <a:off x="1677" y="1049914"/>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Valley</a:t>
          </a:r>
          <a:br>
            <a:rPr lang="en-US" sz="1500" kern="1200"/>
          </a:br>
          <a:r>
            <a:rPr lang="en-US" sz="1500" kern="1200"/>
            <a:t>Funded FTES</a:t>
          </a:r>
          <a:br>
            <a:rPr lang="en-US" sz="1500" kern="1200"/>
          </a:br>
          <a:r>
            <a:rPr lang="en-US" sz="1500" kern="1200"/>
            <a:t>10,100</a:t>
          </a:r>
        </a:p>
      </dsp:txBody>
      <dsp:txXfrm>
        <a:off x="1677" y="1049914"/>
        <a:ext cx="1299223" cy="649611"/>
      </dsp:txXfrm>
    </dsp:sp>
    <dsp:sp modelId="{67AA07BB-CDA0-485B-AAFD-7E528A345E61}">
      <dsp:nvSpPr>
        <dsp:cNvPr id="0" name=""/>
        <dsp:cNvSpPr/>
      </dsp:nvSpPr>
      <dsp:spPr>
        <a:xfrm>
          <a:off x="326483" y="1972362"/>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Valley</a:t>
          </a:r>
          <a:br>
            <a:rPr lang="en-US" sz="1500" kern="1200"/>
          </a:br>
          <a:r>
            <a:rPr lang="en-US" sz="1500" kern="1200"/>
            <a:t>Unfunded FTES</a:t>
          </a:r>
          <a:br>
            <a:rPr lang="en-US" sz="1500" kern="1200"/>
          </a:br>
          <a:r>
            <a:rPr lang="en-US" sz="1500" kern="1200"/>
            <a:t>0</a:t>
          </a:r>
        </a:p>
      </dsp:txBody>
      <dsp:txXfrm>
        <a:off x="326483" y="1972362"/>
        <a:ext cx="1299223" cy="649611"/>
      </dsp:txXfrm>
    </dsp:sp>
    <dsp:sp modelId="{76D12F87-154D-4D4C-8B48-D14EC83FB4A5}">
      <dsp:nvSpPr>
        <dsp:cNvPr id="0" name=""/>
        <dsp:cNvSpPr/>
      </dsp:nvSpPr>
      <dsp:spPr>
        <a:xfrm>
          <a:off x="1898543" y="1049914"/>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Crafton</a:t>
          </a:r>
          <a:br>
            <a:rPr lang="en-US" sz="1500" kern="1200"/>
          </a:br>
          <a:r>
            <a:rPr lang="en-US" sz="1500" kern="1200"/>
            <a:t>Funded FTES</a:t>
          </a:r>
          <a:br>
            <a:rPr lang="en-US" sz="1500" kern="1200"/>
          </a:br>
          <a:r>
            <a:rPr lang="en-US" sz="1500" kern="1200"/>
            <a:t>3,745</a:t>
          </a:r>
        </a:p>
      </dsp:txBody>
      <dsp:txXfrm>
        <a:off x="1898543" y="1049914"/>
        <a:ext cx="1299223" cy="649611"/>
      </dsp:txXfrm>
    </dsp:sp>
    <dsp:sp modelId="{51EB42FC-48DF-42A3-B030-D893D882025B}">
      <dsp:nvSpPr>
        <dsp:cNvPr id="0" name=""/>
        <dsp:cNvSpPr/>
      </dsp:nvSpPr>
      <dsp:spPr>
        <a:xfrm>
          <a:off x="1898543" y="1972362"/>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Crafton</a:t>
          </a:r>
          <a:br>
            <a:rPr lang="en-US" sz="1500" kern="1200"/>
          </a:br>
          <a:r>
            <a:rPr lang="en-US" sz="1500" kern="1200"/>
            <a:t>Unfunded FTES</a:t>
          </a:r>
          <a:br>
            <a:rPr lang="en-US" sz="1500" kern="1200"/>
          </a:br>
          <a:r>
            <a:rPr lang="en-US" sz="1500" kern="1200"/>
            <a:t>844</a:t>
          </a:r>
        </a:p>
      </dsp:txBody>
      <dsp:txXfrm>
        <a:off x="1898543" y="1972362"/>
        <a:ext cx="1299223" cy="649611"/>
      </dsp:txXfrm>
    </dsp:sp>
    <dsp:sp modelId="{91B925DC-DAFD-48BB-928D-688D34456D7E}">
      <dsp:nvSpPr>
        <dsp:cNvPr id="0" name=""/>
        <dsp:cNvSpPr/>
      </dsp:nvSpPr>
      <dsp:spPr>
        <a:xfrm>
          <a:off x="2223349" y="2894810"/>
          <a:ext cx="1299223" cy="649611"/>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Overcap FTES</a:t>
          </a:r>
          <a:br>
            <a:rPr lang="en-US" sz="1500" kern="1200"/>
          </a:br>
          <a:r>
            <a:rPr lang="en-US" sz="1500" kern="1200"/>
            <a:t>437 </a:t>
          </a:r>
          <a:br>
            <a:rPr lang="en-US" sz="1500" kern="1200"/>
          </a:br>
          <a:r>
            <a:rPr lang="en-US" sz="1500" kern="1200"/>
            <a:t>(407 Unfunded)</a:t>
          </a:r>
        </a:p>
      </dsp:txBody>
      <dsp:txXfrm>
        <a:off x="2223349" y="2894810"/>
        <a:ext cx="1299223" cy="64961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7C299C0-F615-4B19-9654-70FD9C07D142}">
      <dsp:nvSpPr>
        <dsp:cNvPr id="0" name=""/>
        <dsp:cNvSpPr/>
      </dsp:nvSpPr>
      <dsp:spPr>
        <a:xfrm>
          <a:off x="2002808" y="2612888"/>
          <a:ext cx="192418" cy="590083"/>
        </a:xfrm>
        <a:custGeom>
          <a:avLst/>
          <a:gdLst/>
          <a:ahLst/>
          <a:cxnLst/>
          <a:rect l="0" t="0" r="0" b="0"/>
          <a:pathLst>
            <a:path>
              <a:moveTo>
                <a:pt x="0" y="0"/>
              </a:moveTo>
              <a:lnTo>
                <a:pt x="0" y="590083"/>
              </a:lnTo>
              <a:lnTo>
                <a:pt x="192418" y="590083"/>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F31641A-99FF-4D28-8086-1D4A36BE94E5}">
      <dsp:nvSpPr>
        <dsp:cNvPr id="0" name=""/>
        <dsp:cNvSpPr/>
      </dsp:nvSpPr>
      <dsp:spPr>
        <a:xfrm>
          <a:off x="2470204" y="1702108"/>
          <a:ext cx="91440" cy="269385"/>
        </a:xfrm>
        <a:custGeom>
          <a:avLst/>
          <a:gdLst/>
          <a:ahLst/>
          <a:cxnLst/>
          <a:rect l="0" t="0" r="0" b="0"/>
          <a:pathLst>
            <a:path>
              <a:moveTo>
                <a:pt x="45720" y="0"/>
              </a:moveTo>
              <a:lnTo>
                <a:pt x="45720" y="269385"/>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217B007-CB58-45F8-9D91-EE7CA77AFD73}">
      <dsp:nvSpPr>
        <dsp:cNvPr id="0" name=""/>
        <dsp:cNvSpPr/>
      </dsp:nvSpPr>
      <dsp:spPr>
        <a:xfrm>
          <a:off x="1579487" y="791327"/>
          <a:ext cx="936436" cy="269385"/>
        </a:xfrm>
        <a:custGeom>
          <a:avLst/>
          <a:gdLst/>
          <a:ahLst/>
          <a:cxnLst/>
          <a:rect l="0" t="0" r="0" b="0"/>
          <a:pathLst>
            <a:path>
              <a:moveTo>
                <a:pt x="0" y="0"/>
              </a:moveTo>
              <a:lnTo>
                <a:pt x="0" y="134692"/>
              </a:lnTo>
              <a:lnTo>
                <a:pt x="936436" y="134692"/>
              </a:lnTo>
              <a:lnTo>
                <a:pt x="936436" y="269385"/>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85A3314-0F9F-4C25-BE5E-D47EFAC3BD9D}">
      <dsp:nvSpPr>
        <dsp:cNvPr id="0" name=""/>
        <dsp:cNvSpPr/>
      </dsp:nvSpPr>
      <dsp:spPr>
        <a:xfrm>
          <a:off x="129935" y="1702108"/>
          <a:ext cx="192418" cy="590083"/>
        </a:xfrm>
        <a:custGeom>
          <a:avLst/>
          <a:gdLst/>
          <a:ahLst/>
          <a:cxnLst/>
          <a:rect l="0" t="0" r="0" b="0"/>
          <a:pathLst>
            <a:path>
              <a:moveTo>
                <a:pt x="0" y="0"/>
              </a:moveTo>
              <a:lnTo>
                <a:pt x="0" y="590083"/>
              </a:lnTo>
              <a:lnTo>
                <a:pt x="192418" y="590083"/>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643051" y="791327"/>
          <a:ext cx="936436" cy="269385"/>
        </a:xfrm>
        <a:custGeom>
          <a:avLst/>
          <a:gdLst/>
          <a:ahLst/>
          <a:cxnLst/>
          <a:rect l="0" t="0" r="0" b="0"/>
          <a:pathLst>
            <a:path>
              <a:moveTo>
                <a:pt x="936436" y="0"/>
              </a:moveTo>
              <a:lnTo>
                <a:pt x="936436" y="134692"/>
              </a:lnTo>
              <a:lnTo>
                <a:pt x="0" y="134692"/>
              </a:lnTo>
              <a:lnTo>
                <a:pt x="0" y="269385"/>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938092" y="149932"/>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FY 15-16</a:t>
          </a:r>
          <a:br>
            <a:rPr lang="en-US" sz="1400" kern="1200"/>
          </a:br>
          <a:r>
            <a:rPr lang="en-US" sz="1400" kern="1200"/>
            <a:t>Funded FTES </a:t>
          </a:r>
          <a:br>
            <a:rPr lang="en-US" sz="1400" kern="1200"/>
          </a:br>
          <a:r>
            <a:rPr lang="en-US" sz="1400" kern="1200"/>
            <a:t>14,568</a:t>
          </a:r>
        </a:p>
      </dsp:txBody>
      <dsp:txXfrm>
        <a:off x="938092" y="149932"/>
        <a:ext cx="1282789" cy="641394"/>
      </dsp:txXfrm>
    </dsp:sp>
    <dsp:sp modelId="{5F413E7A-418C-4C4B-95A5-C3078AA40D16}">
      <dsp:nvSpPr>
        <dsp:cNvPr id="0" name=""/>
        <dsp:cNvSpPr/>
      </dsp:nvSpPr>
      <dsp:spPr>
        <a:xfrm>
          <a:off x="1656" y="1060713"/>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Valley</a:t>
          </a:r>
          <a:br>
            <a:rPr lang="en-US" sz="1400" kern="1200"/>
          </a:br>
          <a:r>
            <a:rPr lang="en-US" sz="1400" kern="1200"/>
            <a:t>Funded FTES</a:t>
          </a:r>
          <a:br>
            <a:rPr lang="en-US" sz="1400" kern="1200"/>
          </a:br>
          <a:r>
            <a:rPr lang="en-US" sz="1400" kern="1200"/>
            <a:t>10,302</a:t>
          </a:r>
        </a:p>
      </dsp:txBody>
      <dsp:txXfrm>
        <a:off x="1656" y="1060713"/>
        <a:ext cx="1282789" cy="641394"/>
      </dsp:txXfrm>
    </dsp:sp>
    <dsp:sp modelId="{CE46E30C-927A-4935-8134-988AD56D3D3F}">
      <dsp:nvSpPr>
        <dsp:cNvPr id="0" name=""/>
        <dsp:cNvSpPr/>
      </dsp:nvSpPr>
      <dsp:spPr>
        <a:xfrm>
          <a:off x="322353" y="1971493"/>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Valley</a:t>
          </a:r>
          <a:br>
            <a:rPr lang="en-US" sz="1400" kern="1200"/>
          </a:br>
          <a:r>
            <a:rPr lang="en-US" sz="1400" kern="1200"/>
            <a:t>Unfunded FTES</a:t>
          </a:r>
          <a:br>
            <a:rPr lang="en-US" sz="1400" kern="1200"/>
          </a:br>
          <a:r>
            <a:rPr lang="en-US" sz="1400" kern="1200"/>
            <a:t>0</a:t>
          </a:r>
        </a:p>
      </dsp:txBody>
      <dsp:txXfrm>
        <a:off x="322353" y="1971493"/>
        <a:ext cx="1282789" cy="641394"/>
      </dsp:txXfrm>
    </dsp:sp>
    <dsp:sp modelId="{76D12F87-154D-4D4C-8B48-D14EC83FB4A5}">
      <dsp:nvSpPr>
        <dsp:cNvPr id="0" name=""/>
        <dsp:cNvSpPr/>
      </dsp:nvSpPr>
      <dsp:spPr>
        <a:xfrm>
          <a:off x="1874529" y="1060713"/>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Crafton</a:t>
          </a:r>
          <a:br>
            <a:rPr lang="en-US" sz="1400" kern="1200"/>
          </a:br>
          <a:r>
            <a:rPr lang="en-US" sz="1400" kern="1200"/>
            <a:t>Funded FTES</a:t>
          </a:r>
          <a:br>
            <a:rPr lang="en-US" sz="1400" kern="1200"/>
          </a:br>
          <a:r>
            <a:rPr lang="en-US" sz="1400" kern="1200"/>
            <a:t>4,266</a:t>
          </a:r>
        </a:p>
      </dsp:txBody>
      <dsp:txXfrm>
        <a:off x="1874529" y="1060713"/>
        <a:ext cx="1282789" cy="641394"/>
      </dsp:txXfrm>
    </dsp:sp>
    <dsp:sp modelId="{51EB42FC-48DF-42A3-B030-D893D882025B}">
      <dsp:nvSpPr>
        <dsp:cNvPr id="0" name=""/>
        <dsp:cNvSpPr/>
      </dsp:nvSpPr>
      <dsp:spPr>
        <a:xfrm>
          <a:off x="1874529" y="1971493"/>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Crafton</a:t>
          </a:r>
          <a:br>
            <a:rPr lang="en-US" sz="1400" kern="1200"/>
          </a:br>
          <a:r>
            <a:rPr lang="en-US" sz="1400" kern="1200"/>
            <a:t>Unfunded FTES</a:t>
          </a:r>
          <a:br>
            <a:rPr lang="en-US" sz="1400" kern="1200"/>
          </a:br>
          <a:r>
            <a:rPr lang="en-US" sz="1400" kern="1200"/>
            <a:t>461</a:t>
          </a:r>
        </a:p>
      </dsp:txBody>
      <dsp:txXfrm>
        <a:off x="1874529" y="1971493"/>
        <a:ext cx="1282789" cy="641394"/>
      </dsp:txXfrm>
    </dsp:sp>
    <dsp:sp modelId="{91B925DC-DAFD-48BB-928D-688D34456D7E}">
      <dsp:nvSpPr>
        <dsp:cNvPr id="0" name=""/>
        <dsp:cNvSpPr/>
      </dsp:nvSpPr>
      <dsp:spPr>
        <a:xfrm>
          <a:off x="2195226" y="2882274"/>
          <a:ext cx="1282789" cy="641394"/>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n-US" sz="1400" kern="1200"/>
            <a:t>Overcap FTES</a:t>
          </a:r>
          <a:br>
            <a:rPr lang="en-US" sz="1400" kern="1200"/>
          </a:br>
          <a:r>
            <a:rPr lang="en-US" sz="1400" kern="1200"/>
            <a:t>277</a:t>
          </a:r>
          <a:br>
            <a:rPr lang="en-US" sz="1400" kern="1200"/>
          </a:br>
          <a:r>
            <a:rPr lang="en-US" sz="1400" kern="1200"/>
            <a:t>(184 Unfunded)</a:t>
          </a:r>
        </a:p>
      </dsp:txBody>
      <dsp:txXfrm>
        <a:off x="2195226" y="2882274"/>
        <a:ext cx="1282789" cy="641394"/>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217B007-CB58-45F8-9D91-EE7CA77AFD73}">
      <dsp:nvSpPr>
        <dsp:cNvPr id="0" name=""/>
        <dsp:cNvSpPr/>
      </dsp:nvSpPr>
      <dsp:spPr>
        <a:xfrm>
          <a:off x="1499997" y="993677"/>
          <a:ext cx="820869" cy="284929"/>
        </a:xfrm>
        <a:custGeom>
          <a:avLst/>
          <a:gdLst/>
          <a:ahLst/>
          <a:cxnLst/>
          <a:rect l="0" t="0" r="0" b="0"/>
          <a:pathLst>
            <a:path>
              <a:moveTo>
                <a:pt x="0" y="0"/>
              </a:moveTo>
              <a:lnTo>
                <a:pt x="0" y="142464"/>
              </a:lnTo>
              <a:lnTo>
                <a:pt x="820869" y="142464"/>
              </a:lnTo>
              <a:lnTo>
                <a:pt x="820869" y="284929"/>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679127" y="993677"/>
          <a:ext cx="820869" cy="284929"/>
        </a:xfrm>
        <a:custGeom>
          <a:avLst/>
          <a:gdLst/>
          <a:ahLst/>
          <a:cxnLst/>
          <a:rect l="0" t="0" r="0" b="0"/>
          <a:pathLst>
            <a:path>
              <a:moveTo>
                <a:pt x="820869" y="0"/>
              </a:moveTo>
              <a:lnTo>
                <a:pt x="820869" y="142464"/>
              </a:lnTo>
              <a:lnTo>
                <a:pt x="0" y="142464"/>
              </a:lnTo>
              <a:lnTo>
                <a:pt x="0" y="284929"/>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821592" y="315272"/>
          <a:ext cx="1356808" cy="678404"/>
        </a:xfrm>
        <a:prstGeom prst="rect">
          <a:avLst/>
        </a:prstGeom>
        <a:solidFill>
          <a:schemeClr val="accent1">
            <a:shade val="6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FY 15-16</a:t>
          </a:r>
          <a:br>
            <a:rPr lang="en-US" sz="1500" kern="1200"/>
          </a:br>
          <a:r>
            <a:rPr lang="en-US" sz="1500" kern="1200"/>
            <a:t>Actual FTES 15,029</a:t>
          </a:r>
        </a:p>
      </dsp:txBody>
      <dsp:txXfrm>
        <a:off x="821592" y="315272"/>
        <a:ext cx="1356808" cy="678404"/>
      </dsp:txXfrm>
    </dsp:sp>
    <dsp:sp modelId="{5F413E7A-418C-4C4B-95A5-C3078AA40D16}">
      <dsp:nvSpPr>
        <dsp:cNvPr id="0" name=""/>
        <dsp:cNvSpPr/>
      </dsp:nvSpPr>
      <dsp:spPr>
        <a:xfrm>
          <a:off x="723" y="1278606"/>
          <a:ext cx="1356808" cy="678404"/>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Valley</a:t>
          </a:r>
          <a:br>
            <a:rPr lang="en-US" sz="1500" kern="1200"/>
          </a:br>
          <a:r>
            <a:rPr lang="en-US" sz="1500" kern="1200"/>
            <a:t>Actual FTES</a:t>
          </a:r>
          <a:br>
            <a:rPr lang="en-US" sz="1500" kern="1200"/>
          </a:br>
          <a:r>
            <a:rPr lang="en-US" sz="1500" kern="1200"/>
            <a:t>10,302</a:t>
          </a:r>
        </a:p>
      </dsp:txBody>
      <dsp:txXfrm>
        <a:off x="723" y="1278606"/>
        <a:ext cx="1356808" cy="678404"/>
      </dsp:txXfrm>
    </dsp:sp>
    <dsp:sp modelId="{76D12F87-154D-4D4C-8B48-D14EC83FB4A5}">
      <dsp:nvSpPr>
        <dsp:cNvPr id="0" name=""/>
        <dsp:cNvSpPr/>
      </dsp:nvSpPr>
      <dsp:spPr>
        <a:xfrm>
          <a:off x="1642461" y="1278606"/>
          <a:ext cx="1356808" cy="678404"/>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Crafton</a:t>
          </a:r>
          <a:br>
            <a:rPr lang="en-US" sz="1500" kern="1200"/>
          </a:br>
          <a:r>
            <a:rPr lang="en-US" sz="1500" kern="1200"/>
            <a:t>Actual FTES</a:t>
          </a:r>
          <a:br>
            <a:rPr lang="en-US" sz="1500" kern="1200"/>
          </a:br>
          <a:r>
            <a:rPr lang="en-US" sz="1500" kern="1200"/>
            <a:t>4,727</a:t>
          </a:r>
        </a:p>
      </dsp:txBody>
      <dsp:txXfrm>
        <a:off x="1642461" y="1278606"/>
        <a:ext cx="1356808" cy="678404"/>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7C299C0-F615-4B19-9654-70FD9C07D142}">
      <dsp:nvSpPr>
        <dsp:cNvPr id="0" name=""/>
        <dsp:cNvSpPr/>
      </dsp:nvSpPr>
      <dsp:spPr>
        <a:xfrm>
          <a:off x="1851464" y="2680989"/>
          <a:ext cx="209302" cy="641862"/>
        </a:xfrm>
        <a:custGeom>
          <a:avLst/>
          <a:gdLst/>
          <a:ahLst/>
          <a:cxnLst/>
          <a:rect l="0" t="0" r="0" b="0"/>
          <a:pathLst>
            <a:path>
              <a:moveTo>
                <a:pt x="0" y="0"/>
              </a:moveTo>
              <a:lnTo>
                <a:pt x="0" y="641862"/>
              </a:lnTo>
              <a:lnTo>
                <a:pt x="209302" y="641862"/>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F31641A-99FF-4D28-8086-1D4A36BE94E5}">
      <dsp:nvSpPr>
        <dsp:cNvPr id="0" name=""/>
        <dsp:cNvSpPr/>
      </dsp:nvSpPr>
      <dsp:spPr>
        <a:xfrm>
          <a:off x="2363885" y="1690289"/>
          <a:ext cx="91440" cy="293023"/>
        </a:xfrm>
        <a:custGeom>
          <a:avLst/>
          <a:gdLst/>
          <a:ahLst/>
          <a:cxnLst/>
          <a:rect l="0" t="0" r="0" b="0"/>
          <a:pathLst>
            <a:path>
              <a:moveTo>
                <a:pt x="45720" y="0"/>
              </a:moveTo>
              <a:lnTo>
                <a:pt x="45720" y="293023"/>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217B007-CB58-45F8-9D91-EE7CA77AFD73}">
      <dsp:nvSpPr>
        <dsp:cNvPr id="0" name=""/>
        <dsp:cNvSpPr/>
      </dsp:nvSpPr>
      <dsp:spPr>
        <a:xfrm>
          <a:off x="1565417" y="699588"/>
          <a:ext cx="844188" cy="293023"/>
        </a:xfrm>
        <a:custGeom>
          <a:avLst/>
          <a:gdLst/>
          <a:ahLst/>
          <a:cxnLst/>
          <a:rect l="0" t="0" r="0" b="0"/>
          <a:pathLst>
            <a:path>
              <a:moveTo>
                <a:pt x="0" y="0"/>
              </a:moveTo>
              <a:lnTo>
                <a:pt x="0" y="146511"/>
              </a:lnTo>
              <a:lnTo>
                <a:pt x="844188" y="146511"/>
              </a:lnTo>
              <a:lnTo>
                <a:pt x="844188" y="293023"/>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C71A53-B1DF-4D15-98A0-126B740AEA0A}">
      <dsp:nvSpPr>
        <dsp:cNvPr id="0" name=""/>
        <dsp:cNvSpPr/>
      </dsp:nvSpPr>
      <dsp:spPr>
        <a:xfrm>
          <a:off x="163088" y="2680989"/>
          <a:ext cx="209302" cy="641862"/>
        </a:xfrm>
        <a:custGeom>
          <a:avLst/>
          <a:gdLst/>
          <a:ahLst/>
          <a:cxnLst/>
          <a:rect l="0" t="0" r="0" b="0"/>
          <a:pathLst>
            <a:path>
              <a:moveTo>
                <a:pt x="0" y="0"/>
              </a:moveTo>
              <a:lnTo>
                <a:pt x="0" y="641862"/>
              </a:lnTo>
              <a:lnTo>
                <a:pt x="209302" y="641862"/>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85A3314-0F9F-4C25-BE5E-D47EFAC3BD9D}">
      <dsp:nvSpPr>
        <dsp:cNvPr id="0" name=""/>
        <dsp:cNvSpPr/>
      </dsp:nvSpPr>
      <dsp:spPr>
        <a:xfrm>
          <a:off x="675509" y="1690289"/>
          <a:ext cx="91440" cy="293023"/>
        </a:xfrm>
        <a:custGeom>
          <a:avLst/>
          <a:gdLst/>
          <a:ahLst/>
          <a:cxnLst/>
          <a:rect l="0" t="0" r="0" b="0"/>
          <a:pathLst>
            <a:path>
              <a:moveTo>
                <a:pt x="45720" y="0"/>
              </a:moveTo>
              <a:lnTo>
                <a:pt x="45720" y="293023"/>
              </a:lnTo>
            </a:path>
          </a:pathLst>
        </a:custGeom>
        <a:noFill/>
        <a:ln w="25400" cap="flat" cmpd="sng" algn="ctr">
          <a:solidFill>
            <a:schemeClr val="accent3">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721229" y="699588"/>
          <a:ext cx="844188" cy="293023"/>
        </a:xfrm>
        <a:custGeom>
          <a:avLst/>
          <a:gdLst/>
          <a:ahLst/>
          <a:cxnLst/>
          <a:rect l="0" t="0" r="0" b="0"/>
          <a:pathLst>
            <a:path>
              <a:moveTo>
                <a:pt x="844188" y="0"/>
              </a:moveTo>
              <a:lnTo>
                <a:pt x="844188" y="146511"/>
              </a:lnTo>
              <a:lnTo>
                <a:pt x="0" y="146511"/>
              </a:lnTo>
              <a:lnTo>
                <a:pt x="0" y="293023"/>
              </a:lnTo>
            </a:path>
          </a:pathLst>
        </a:custGeom>
        <a:noFill/>
        <a:ln w="25400" cap="flat" cmpd="sng" algn="ctr">
          <a:solidFill>
            <a:schemeClr val="accent3">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867741" y="1912"/>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FY 16-17</a:t>
          </a:r>
          <a:br>
            <a:rPr lang="en-US" sz="1600" kern="1200"/>
          </a:br>
          <a:r>
            <a:rPr lang="en-US" sz="1600" kern="1200"/>
            <a:t>Funded FTES </a:t>
          </a:r>
          <a:br>
            <a:rPr lang="en-US" sz="1600" kern="1200"/>
          </a:br>
          <a:r>
            <a:rPr lang="en-US" sz="1600" kern="1200"/>
            <a:t>15,142</a:t>
          </a:r>
        </a:p>
      </dsp:txBody>
      <dsp:txXfrm>
        <a:off x="867741" y="1912"/>
        <a:ext cx="1395352" cy="697676"/>
      </dsp:txXfrm>
    </dsp:sp>
    <dsp:sp modelId="{5F413E7A-418C-4C4B-95A5-C3078AA40D16}">
      <dsp:nvSpPr>
        <dsp:cNvPr id="0" name=""/>
        <dsp:cNvSpPr/>
      </dsp:nvSpPr>
      <dsp:spPr>
        <a:xfrm>
          <a:off x="23553" y="992612"/>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Valley</a:t>
          </a:r>
          <a:br>
            <a:rPr lang="en-US" sz="1600" kern="1200"/>
          </a:br>
          <a:r>
            <a:rPr lang="en-US" sz="1600" kern="1200"/>
            <a:t>Funded FTES</a:t>
          </a:r>
          <a:br>
            <a:rPr lang="en-US" sz="1600" kern="1200"/>
          </a:br>
          <a:r>
            <a:rPr lang="en-US" sz="1600" kern="1200"/>
            <a:t>10,508</a:t>
          </a:r>
        </a:p>
      </dsp:txBody>
      <dsp:txXfrm>
        <a:off x="23553" y="992612"/>
        <a:ext cx="1395352" cy="697676"/>
      </dsp:txXfrm>
    </dsp:sp>
    <dsp:sp modelId="{CE46E30C-927A-4935-8134-988AD56D3D3F}">
      <dsp:nvSpPr>
        <dsp:cNvPr id="0" name=""/>
        <dsp:cNvSpPr/>
      </dsp:nvSpPr>
      <dsp:spPr>
        <a:xfrm>
          <a:off x="23553" y="1983312"/>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Valley</a:t>
          </a:r>
          <a:br>
            <a:rPr lang="en-US" sz="1600" kern="1200"/>
          </a:br>
          <a:r>
            <a:rPr lang="en-US" sz="1600" kern="1200"/>
            <a:t>Unfunded FTES</a:t>
          </a:r>
          <a:br>
            <a:rPr lang="en-US" sz="1600" kern="1200"/>
          </a:br>
          <a:r>
            <a:rPr lang="en-US" sz="1600" kern="1200"/>
            <a:t>103</a:t>
          </a:r>
        </a:p>
      </dsp:txBody>
      <dsp:txXfrm>
        <a:off x="23553" y="1983312"/>
        <a:ext cx="1395352" cy="697676"/>
      </dsp:txXfrm>
    </dsp:sp>
    <dsp:sp modelId="{D4332143-AF1A-4122-8216-7FCE48F6228A}">
      <dsp:nvSpPr>
        <dsp:cNvPr id="0" name=""/>
        <dsp:cNvSpPr/>
      </dsp:nvSpPr>
      <dsp:spPr>
        <a:xfrm>
          <a:off x="372391" y="2974013"/>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Ovecap FTES</a:t>
          </a:r>
          <a:br>
            <a:rPr lang="en-US" sz="1600" kern="1200"/>
          </a:br>
          <a:r>
            <a:rPr lang="en-US" sz="1600" kern="1200"/>
            <a:t>103 </a:t>
          </a:r>
          <a:br>
            <a:rPr lang="en-US" sz="1600" kern="1200"/>
          </a:br>
          <a:r>
            <a:rPr lang="en-US" sz="1600" kern="1200"/>
            <a:t>(0 Unfunded)</a:t>
          </a:r>
        </a:p>
      </dsp:txBody>
      <dsp:txXfrm>
        <a:off x="372391" y="2974013"/>
        <a:ext cx="1395352" cy="697676"/>
      </dsp:txXfrm>
    </dsp:sp>
    <dsp:sp modelId="{76D12F87-154D-4D4C-8B48-D14EC83FB4A5}">
      <dsp:nvSpPr>
        <dsp:cNvPr id="0" name=""/>
        <dsp:cNvSpPr/>
      </dsp:nvSpPr>
      <dsp:spPr>
        <a:xfrm>
          <a:off x="1711929" y="992612"/>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Crafton</a:t>
          </a:r>
          <a:br>
            <a:rPr lang="en-US" sz="1600" kern="1200"/>
          </a:br>
          <a:r>
            <a:rPr lang="en-US" sz="1600" kern="1200"/>
            <a:t>Funded FTES</a:t>
          </a:r>
          <a:br>
            <a:rPr lang="en-US" sz="1600" kern="1200"/>
          </a:br>
          <a:r>
            <a:rPr lang="en-US" sz="1600" kern="1200"/>
            <a:t>4,634</a:t>
          </a:r>
        </a:p>
      </dsp:txBody>
      <dsp:txXfrm>
        <a:off x="1711929" y="992612"/>
        <a:ext cx="1395352" cy="697676"/>
      </dsp:txXfrm>
    </dsp:sp>
    <dsp:sp modelId="{51EB42FC-48DF-42A3-B030-D893D882025B}">
      <dsp:nvSpPr>
        <dsp:cNvPr id="0" name=""/>
        <dsp:cNvSpPr/>
      </dsp:nvSpPr>
      <dsp:spPr>
        <a:xfrm>
          <a:off x="1711929" y="1983312"/>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Crafton</a:t>
          </a:r>
          <a:br>
            <a:rPr lang="en-US" sz="1600" kern="1200"/>
          </a:br>
          <a:r>
            <a:rPr lang="en-US" sz="1600" kern="1200"/>
            <a:t>Unfunded FTES</a:t>
          </a:r>
          <a:br>
            <a:rPr lang="en-US" sz="1600" kern="1200"/>
          </a:br>
          <a:r>
            <a:rPr lang="en-US" sz="1600" kern="1200"/>
            <a:t>353</a:t>
          </a:r>
        </a:p>
      </dsp:txBody>
      <dsp:txXfrm>
        <a:off x="1711929" y="1983312"/>
        <a:ext cx="1395352" cy="697676"/>
      </dsp:txXfrm>
    </dsp:sp>
    <dsp:sp modelId="{91B925DC-DAFD-48BB-928D-688D34456D7E}">
      <dsp:nvSpPr>
        <dsp:cNvPr id="0" name=""/>
        <dsp:cNvSpPr/>
      </dsp:nvSpPr>
      <dsp:spPr>
        <a:xfrm>
          <a:off x="2060767" y="2974013"/>
          <a:ext cx="1395352" cy="697676"/>
        </a:xfrm>
        <a:prstGeom prst="rect">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US" sz="1600" kern="1200"/>
            <a:t>Overcap FTES</a:t>
          </a:r>
          <a:br>
            <a:rPr lang="en-US" sz="1600" kern="1200"/>
          </a:br>
          <a:r>
            <a:rPr lang="en-US" sz="1600" kern="1200"/>
            <a:t>188</a:t>
          </a:r>
          <a:br>
            <a:rPr lang="en-US" sz="1600" kern="1200"/>
          </a:br>
          <a:r>
            <a:rPr lang="en-US" sz="1600" kern="1200"/>
            <a:t>(165 Unfunded)</a:t>
          </a:r>
        </a:p>
      </dsp:txBody>
      <dsp:txXfrm>
        <a:off x="2060767" y="2974013"/>
        <a:ext cx="1395352" cy="697676"/>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217B007-CB58-45F8-9D91-EE7CA77AFD73}">
      <dsp:nvSpPr>
        <dsp:cNvPr id="0" name=""/>
        <dsp:cNvSpPr/>
      </dsp:nvSpPr>
      <dsp:spPr>
        <a:xfrm>
          <a:off x="1499997" y="993677"/>
          <a:ext cx="820869" cy="284929"/>
        </a:xfrm>
        <a:custGeom>
          <a:avLst/>
          <a:gdLst/>
          <a:ahLst/>
          <a:cxnLst/>
          <a:rect l="0" t="0" r="0" b="0"/>
          <a:pathLst>
            <a:path>
              <a:moveTo>
                <a:pt x="0" y="0"/>
              </a:moveTo>
              <a:lnTo>
                <a:pt x="0" y="142464"/>
              </a:lnTo>
              <a:lnTo>
                <a:pt x="820869" y="142464"/>
              </a:lnTo>
              <a:lnTo>
                <a:pt x="820869" y="284929"/>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920F0D6-857B-4246-9E40-606D60223ABB}">
      <dsp:nvSpPr>
        <dsp:cNvPr id="0" name=""/>
        <dsp:cNvSpPr/>
      </dsp:nvSpPr>
      <dsp:spPr>
        <a:xfrm>
          <a:off x="679127" y="993677"/>
          <a:ext cx="820869" cy="284929"/>
        </a:xfrm>
        <a:custGeom>
          <a:avLst/>
          <a:gdLst/>
          <a:ahLst/>
          <a:cxnLst/>
          <a:rect l="0" t="0" r="0" b="0"/>
          <a:pathLst>
            <a:path>
              <a:moveTo>
                <a:pt x="820869" y="0"/>
              </a:moveTo>
              <a:lnTo>
                <a:pt x="820869" y="142464"/>
              </a:lnTo>
              <a:lnTo>
                <a:pt x="0" y="142464"/>
              </a:lnTo>
              <a:lnTo>
                <a:pt x="0" y="284929"/>
              </a:lnTo>
            </a:path>
          </a:pathLst>
        </a:custGeom>
        <a:noFill/>
        <a:ln w="25400" cap="flat" cmpd="sng" algn="ctr">
          <a:solidFill>
            <a:schemeClr val="accent1">
              <a:tint val="9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24F041FE-9FC7-4776-A76E-9D7A5B7921DA}">
      <dsp:nvSpPr>
        <dsp:cNvPr id="0" name=""/>
        <dsp:cNvSpPr/>
      </dsp:nvSpPr>
      <dsp:spPr>
        <a:xfrm>
          <a:off x="821592" y="315272"/>
          <a:ext cx="1356808" cy="678404"/>
        </a:xfrm>
        <a:prstGeom prst="rect">
          <a:avLst/>
        </a:prstGeom>
        <a:solidFill>
          <a:schemeClr val="accent1">
            <a:shade val="6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FY 16-17</a:t>
          </a:r>
          <a:br>
            <a:rPr lang="en-US" sz="1500" kern="1200"/>
          </a:br>
          <a:r>
            <a:rPr lang="en-US" sz="1500" kern="1200"/>
            <a:t>Actual FTES 15,598</a:t>
          </a:r>
        </a:p>
      </dsp:txBody>
      <dsp:txXfrm>
        <a:off x="821592" y="315272"/>
        <a:ext cx="1356808" cy="678404"/>
      </dsp:txXfrm>
    </dsp:sp>
    <dsp:sp modelId="{5F413E7A-418C-4C4B-95A5-C3078AA40D16}">
      <dsp:nvSpPr>
        <dsp:cNvPr id="0" name=""/>
        <dsp:cNvSpPr/>
      </dsp:nvSpPr>
      <dsp:spPr>
        <a:xfrm>
          <a:off x="723" y="1278606"/>
          <a:ext cx="1356808" cy="678404"/>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Valley</a:t>
          </a:r>
          <a:br>
            <a:rPr lang="en-US" sz="1500" kern="1200"/>
          </a:br>
          <a:r>
            <a:rPr lang="en-US" sz="1500" kern="1200"/>
            <a:t>Actual FTES</a:t>
          </a:r>
          <a:br>
            <a:rPr lang="en-US" sz="1500" kern="1200"/>
          </a:br>
          <a:r>
            <a:rPr lang="en-US" sz="1500" kern="1200"/>
            <a:t>10,611</a:t>
          </a:r>
        </a:p>
      </dsp:txBody>
      <dsp:txXfrm>
        <a:off x="723" y="1278606"/>
        <a:ext cx="1356808" cy="678404"/>
      </dsp:txXfrm>
    </dsp:sp>
    <dsp:sp modelId="{76D12F87-154D-4D4C-8B48-D14EC83FB4A5}">
      <dsp:nvSpPr>
        <dsp:cNvPr id="0" name=""/>
        <dsp:cNvSpPr/>
      </dsp:nvSpPr>
      <dsp:spPr>
        <a:xfrm>
          <a:off x="1642461" y="1278606"/>
          <a:ext cx="1356808" cy="678404"/>
        </a:xfrm>
        <a:prstGeom prst="rect">
          <a:avLst/>
        </a:prstGeom>
        <a:solidFill>
          <a:schemeClr val="accent1">
            <a:shade val="80000"/>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lvl="0" algn="ctr" defTabSz="666750">
            <a:lnSpc>
              <a:spcPct val="90000"/>
            </a:lnSpc>
            <a:spcBef>
              <a:spcPct val="0"/>
            </a:spcBef>
            <a:spcAft>
              <a:spcPct val="35000"/>
            </a:spcAft>
          </a:pPr>
          <a:r>
            <a:rPr lang="en-US" sz="1500" kern="1200"/>
            <a:t>Crafton</a:t>
          </a:r>
          <a:br>
            <a:rPr lang="en-US" sz="1500" kern="1200"/>
          </a:br>
          <a:r>
            <a:rPr lang="en-US" sz="1500" kern="1200"/>
            <a:t>Actual FTES</a:t>
          </a:r>
          <a:br>
            <a:rPr lang="en-US" sz="1500" kern="1200"/>
          </a:br>
          <a:r>
            <a:rPr lang="en-US" sz="1500" kern="1200"/>
            <a:t>4,987</a:t>
          </a:r>
        </a:p>
      </dsp:txBody>
      <dsp:txXfrm>
        <a:off x="1642461" y="1278606"/>
        <a:ext cx="1356808" cy="678404"/>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 Type="http://schemas.openxmlformats.org/officeDocument/2006/relationships/diagramQuickStyle" Target="../diagrams/quickStyle1.xml"/><Relationship Id="rId21" Type="http://schemas.openxmlformats.org/officeDocument/2006/relationships/diagramData" Target="../diagrams/data5.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29" Type="http://schemas.openxmlformats.org/officeDocument/2006/relationships/diagramColors" Target="../diagrams/colors6.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24" Type="http://schemas.openxmlformats.org/officeDocument/2006/relationships/diagramColors" Target="../diagrams/colors5.xml"/><Relationship Id="rId5" Type="http://schemas.microsoft.com/office/2007/relationships/diagramDrawing" Target="../diagrams/drawing1.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638178</xdr:colOff>
      <xdr:row>5</xdr:row>
      <xdr:rowOff>42864</xdr:rowOff>
    </xdr:from>
    <xdr:to>
      <xdr:col>5</xdr:col>
      <xdr:colOff>645799</xdr:colOff>
      <xdr:row>17</xdr:row>
      <xdr:rowOff>27952</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190501</xdr:colOff>
      <xdr:row>22</xdr:row>
      <xdr:rowOff>44053</xdr:rowOff>
    </xdr:from>
    <xdr:to>
      <xdr:col>6</xdr:col>
      <xdr:colOff>114301</xdr:colOff>
      <xdr:row>41</xdr:row>
      <xdr:rowOff>96441</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7</xdr:col>
      <xdr:colOff>466727</xdr:colOff>
      <xdr:row>22</xdr:row>
      <xdr:rowOff>34529</xdr:rowOff>
    </xdr:from>
    <xdr:to>
      <xdr:col>13</xdr:col>
      <xdr:colOff>117350</xdr:colOff>
      <xdr:row>41</xdr:row>
      <xdr:rowOff>88631</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885827</xdr:colOff>
      <xdr:row>5</xdr:row>
      <xdr:rowOff>23812</xdr:rowOff>
    </xdr:from>
    <xdr:to>
      <xdr:col>12</xdr:col>
      <xdr:colOff>618746</xdr:colOff>
      <xdr:row>17</xdr:row>
      <xdr:rowOff>10096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6</xdr:col>
      <xdr:colOff>66674</xdr:colOff>
      <xdr:row>12</xdr:row>
      <xdr:rowOff>104775</xdr:rowOff>
    </xdr:from>
    <xdr:to>
      <xdr:col>7</xdr:col>
      <xdr:colOff>809625</xdr:colOff>
      <xdr:row>12</xdr:row>
      <xdr:rowOff>104775</xdr:rowOff>
    </xdr:to>
    <xdr:cxnSp macro="">
      <xdr:nvCxnSpPr>
        <xdr:cNvPr id="6" name="Straight Arrow Connector 5"/>
        <xdr:cNvCxnSpPr/>
      </xdr:nvCxnSpPr>
      <xdr:spPr>
        <a:xfrm>
          <a:off x="4181474" y="2400300"/>
          <a:ext cx="1695451"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oneCellAnchor>
    <xdr:from>
      <xdr:col>6</xdr:col>
      <xdr:colOff>314325</xdr:colOff>
      <xdr:row>10</xdr:row>
      <xdr:rowOff>180975</xdr:rowOff>
    </xdr:from>
    <xdr:ext cx="184731" cy="264560"/>
    <xdr:sp macro="" textlink="">
      <xdr:nvSpPr>
        <xdr:cNvPr id="7" name="TextBox 6"/>
        <xdr:cNvSpPr txBox="1"/>
      </xdr:nvSpPr>
      <xdr:spPr>
        <a:xfrm>
          <a:off x="4429125" y="21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5</xdr:col>
      <xdr:colOff>531019</xdr:colOff>
      <xdr:row>28</xdr:row>
      <xdr:rowOff>19050</xdr:rowOff>
    </xdr:from>
    <xdr:to>
      <xdr:col>7</xdr:col>
      <xdr:colOff>426640</xdr:colOff>
      <xdr:row>28</xdr:row>
      <xdr:rowOff>19844</xdr:rowOff>
    </xdr:to>
    <xdr:cxnSp macro="">
      <xdr:nvCxnSpPr>
        <xdr:cNvPr id="8" name="Straight Arrow Connector 7"/>
        <xdr:cNvCxnSpPr/>
      </xdr:nvCxnSpPr>
      <xdr:spPr>
        <a:xfrm>
          <a:off x="3507582" y="5396706"/>
          <a:ext cx="1324371" cy="794"/>
        </a:xfrm>
        <a:prstGeom prst="straightConnector1">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450056</xdr:colOff>
      <xdr:row>35</xdr:row>
      <xdr:rowOff>9922</xdr:rowOff>
    </xdr:from>
    <xdr:to>
      <xdr:col>7</xdr:col>
      <xdr:colOff>722471</xdr:colOff>
      <xdr:row>35</xdr:row>
      <xdr:rowOff>19447</xdr:rowOff>
    </xdr:to>
    <xdr:cxnSp macro="">
      <xdr:nvCxnSpPr>
        <xdr:cNvPr id="9" name="Straight Arrow Connector 8"/>
        <xdr:cNvCxnSpPr/>
      </xdr:nvCxnSpPr>
      <xdr:spPr>
        <a:xfrm>
          <a:off x="3426619" y="6707188"/>
          <a:ext cx="1701165" cy="9525"/>
        </a:xfrm>
        <a:prstGeom prst="straightConnector1">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0</xdr:col>
      <xdr:colOff>28575</xdr:colOff>
      <xdr:row>18</xdr:row>
      <xdr:rowOff>57150</xdr:rowOff>
    </xdr:from>
    <xdr:to>
      <xdr:col>20</xdr:col>
      <xdr:colOff>9525</xdr:colOff>
      <xdr:row>18</xdr:row>
      <xdr:rowOff>104775</xdr:rowOff>
    </xdr:to>
    <xdr:cxnSp macro="">
      <xdr:nvCxnSpPr>
        <xdr:cNvPr id="10" name="Straight Connector 9"/>
        <xdr:cNvCxnSpPr/>
      </xdr:nvCxnSpPr>
      <xdr:spPr>
        <a:xfrm flipV="1">
          <a:off x="28575" y="3438525"/>
          <a:ext cx="14763750" cy="47625"/>
        </a:xfrm>
        <a:prstGeom prst="line">
          <a:avLst/>
        </a:prstGeom>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1038225</xdr:colOff>
      <xdr:row>3</xdr:row>
      <xdr:rowOff>19050</xdr:rowOff>
    </xdr:from>
    <xdr:to>
      <xdr:col>6</xdr:col>
      <xdr:colOff>1038225</xdr:colOff>
      <xdr:row>43</xdr:row>
      <xdr:rowOff>0</xdr:rowOff>
    </xdr:to>
    <xdr:cxnSp macro="">
      <xdr:nvCxnSpPr>
        <xdr:cNvPr id="11" name="Straight Connector 10"/>
        <xdr:cNvCxnSpPr/>
      </xdr:nvCxnSpPr>
      <xdr:spPr>
        <a:xfrm>
          <a:off x="5076825" y="666750"/>
          <a:ext cx="0" cy="7286625"/>
        </a:xfrm>
        <a:prstGeom prst="line">
          <a:avLst/>
        </a:prstGeom>
        <a:ln>
          <a:prstDash val="dash"/>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6</xdr:col>
      <xdr:colOff>314325</xdr:colOff>
      <xdr:row>12</xdr:row>
      <xdr:rowOff>180975</xdr:rowOff>
    </xdr:from>
    <xdr:ext cx="184731" cy="264560"/>
    <xdr:sp macro="" textlink="">
      <xdr:nvSpPr>
        <xdr:cNvPr id="12" name="TextBox 11"/>
        <xdr:cNvSpPr txBox="1"/>
      </xdr:nvSpPr>
      <xdr:spPr>
        <a:xfrm>
          <a:off x="4429125" y="21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466727</xdr:colOff>
      <xdr:row>22</xdr:row>
      <xdr:rowOff>34529</xdr:rowOff>
    </xdr:from>
    <xdr:to>
      <xdr:col>20</xdr:col>
      <xdr:colOff>117350</xdr:colOff>
      <xdr:row>41</xdr:row>
      <xdr:rowOff>88631</xdr:rowOff>
    </xdr:to>
    <xdr:graphicFrame macro="">
      <xdr:nvGraphicFramePr>
        <xdr:cNvPr id="13" name="Diagram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14</xdr:col>
      <xdr:colOff>885827</xdr:colOff>
      <xdr:row>5</xdr:row>
      <xdr:rowOff>23812</xdr:rowOff>
    </xdr:from>
    <xdr:to>
      <xdr:col>19</xdr:col>
      <xdr:colOff>618746</xdr:colOff>
      <xdr:row>17</xdr:row>
      <xdr:rowOff>10096</xdr:rowOff>
    </xdr:to>
    <xdr:graphicFrame macro="">
      <xdr:nvGraphicFramePr>
        <xdr:cNvPr id="14" name="Diagram 1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13</xdr:col>
      <xdr:colOff>66674</xdr:colOff>
      <xdr:row>12</xdr:row>
      <xdr:rowOff>104775</xdr:rowOff>
    </xdr:from>
    <xdr:to>
      <xdr:col>14</xdr:col>
      <xdr:colOff>809625</xdr:colOff>
      <xdr:row>12</xdr:row>
      <xdr:rowOff>104775</xdr:rowOff>
    </xdr:to>
    <xdr:cxnSp macro="">
      <xdr:nvCxnSpPr>
        <xdr:cNvPr id="15" name="Straight Arrow Connector 14"/>
        <xdr:cNvCxnSpPr/>
      </xdr:nvCxnSpPr>
      <xdr:spPr>
        <a:xfrm>
          <a:off x="4181474" y="2400300"/>
          <a:ext cx="1695451"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9525</xdr:colOff>
      <xdr:row>3</xdr:row>
      <xdr:rowOff>47625</xdr:rowOff>
    </xdr:from>
    <xdr:to>
      <xdr:col>14</xdr:col>
      <xdr:colOff>9525</xdr:colOff>
      <xdr:row>43</xdr:row>
      <xdr:rowOff>0</xdr:rowOff>
    </xdr:to>
    <xdr:cxnSp macro="">
      <xdr:nvCxnSpPr>
        <xdr:cNvPr id="16" name="Straight Connector 15"/>
        <xdr:cNvCxnSpPr/>
      </xdr:nvCxnSpPr>
      <xdr:spPr>
        <a:xfrm>
          <a:off x="10410825" y="695325"/>
          <a:ext cx="0" cy="7277100"/>
        </a:xfrm>
        <a:prstGeom prst="line">
          <a:avLst/>
        </a:prstGeom>
        <a:ln>
          <a:prstDash val="dash"/>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13</xdr:col>
      <xdr:colOff>314325</xdr:colOff>
      <xdr:row>10</xdr:row>
      <xdr:rowOff>180975</xdr:rowOff>
    </xdr:from>
    <xdr:ext cx="184731" cy="264560"/>
    <xdr:sp macro="" textlink="">
      <xdr:nvSpPr>
        <xdr:cNvPr id="17" name="TextBox 16"/>
        <xdr:cNvSpPr txBox="1"/>
      </xdr:nvSpPr>
      <xdr:spPr>
        <a:xfrm>
          <a:off x="4429125" y="211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13</xdr:col>
      <xdr:colOff>314325</xdr:colOff>
      <xdr:row>12</xdr:row>
      <xdr:rowOff>180975</xdr:rowOff>
    </xdr:from>
    <xdr:ext cx="184731" cy="264560"/>
    <xdr:sp macro="" textlink="">
      <xdr:nvSpPr>
        <xdr:cNvPr id="18" name="TextBox 17"/>
        <xdr:cNvSpPr txBox="1"/>
      </xdr:nvSpPr>
      <xdr:spPr>
        <a:xfrm>
          <a:off x="442912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12</xdr:col>
      <xdr:colOff>521099</xdr:colOff>
      <xdr:row>27</xdr:row>
      <xdr:rowOff>88503</xdr:rowOff>
    </xdr:from>
    <xdr:to>
      <xdr:col>14</xdr:col>
      <xdr:colOff>446487</xdr:colOff>
      <xdr:row>27</xdr:row>
      <xdr:rowOff>99219</xdr:rowOff>
    </xdr:to>
    <xdr:cxnSp macro="">
      <xdr:nvCxnSpPr>
        <xdr:cNvPr id="19" name="Straight Arrow Connector 18"/>
        <xdr:cNvCxnSpPr/>
      </xdr:nvCxnSpPr>
      <xdr:spPr>
        <a:xfrm>
          <a:off x="8141099" y="5277644"/>
          <a:ext cx="1354138" cy="10716"/>
        </a:xfrm>
        <a:prstGeom prst="straightConnector1">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12</xdr:col>
      <xdr:colOff>390525</xdr:colOff>
      <xdr:row>35</xdr:row>
      <xdr:rowOff>0</xdr:rowOff>
    </xdr:from>
    <xdr:to>
      <xdr:col>14</xdr:col>
      <xdr:colOff>662940</xdr:colOff>
      <xdr:row>35</xdr:row>
      <xdr:rowOff>9525</xdr:rowOff>
    </xdr:to>
    <xdr:cxnSp macro="">
      <xdr:nvCxnSpPr>
        <xdr:cNvPr id="20" name="Straight Arrow Connector 19"/>
        <xdr:cNvCxnSpPr/>
      </xdr:nvCxnSpPr>
      <xdr:spPr>
        <a:xfrm>
          <a:off x="3819525" y="6486525"/>
          <a:ext cx="1910715" cy="9525"/>
        </a:xfrm>
        <a:prstGeom prst="straightConnector1">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0.3654</cdr:x>
      <cdr:y>0.09358</cdr:y>
    </cdr:from>
    <cdr:to>
      <cdr:x>0.3654</cdr:x>
      <cdr:y>1</cdr:y>
    </cdr:to>
    <cdr:cxnSp macro="">
      <cdr:nvCxnSpPr>
        <cdr:cNvPr id="2" name="Straight Connector 1"/>
        <cdr:cNvCxnSpPr/>
      </cdr:nvCxnSpPr>
      <cdr:spPr>
        <a:xfrm xmlns:a="http://schemas.openxmlformats.org/drawingml/2006/main">
          <a:off x="3167169" y="587575"/>
          <a:ext cx="0" cy="569098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0.1881</cdr:x>
      <cdr:y>0.10506</cdr:y>
    </cdr:from>
    <cdr:to>
      <cdr:x>0.26382</cdr:x>
      <cdr:y>0.15095</cdr:y>
    </cdr:to>
    <cdr:sp macro="" textlink="">
      <cdr:nvSpPr>
        <cdr:cNvPr id="3" name="TextBox 2"/>
        <cdr:cNvSpPr txBox="1"/>
      </cdr:nvSpPr>
      <cdr:spPr>
        <a:xfrm xmlns:a="http://schemas.openxmlformats.org/drawingml/2006/main">
          <a:off x="1630362" y="659613"/>
          <a:ext cx="656344" cy="28815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wrap="none" rtlCol="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t>Actuals</a:t>
          </a:r>
        </a:p>
      </cdr:txBody>
    </cdr:sp>
  </cdr:relSizeAnchor>
  <cdr:relSizeAnchor xmlns:cdr="http://schemas.openxmlformats.org/drawingml/2006/chartDrawing">
    <cdr:from>
      <cdr:x>0.5975</cdr:x>
      <cdr:y>0.10168</cdr:y>
    </cdr:from>
    <cdr:to>
      <cdr:x>0.68399</cdr:x>
      <cdr:y>0.14757</cdr:y>
    </cdr:to>
    <cdr:sp macro="" textlink="">
      <cdr:nvSpPr>
        <cdr:cNvPr id="4" name="TextBox 1"/>
        <cdr:cNvSpPr txBox="1"/>
      </cdr:nvSpPr>
      <cdr:spPr>
        <a:xfrm xmlns:a="http://schemas.openxmlformats.org/drawingml/2006/main">
          <a:off x="5178998" y="638375"/>
          <a:ext cx="749620" cy="288151"/>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none" rtlCol="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t>Projections</a:t>
          </a:r>
        </a:p>
      </cdr:txBody>
    </cdr:sp>
  </cdr:relSizeAnchor>
  <cdr:relSizeAnchor xmlns:cdr="http://schemas.openxmlformats.org/drawingml/2006/chartDrawing">
    <cdr:from>
      <cdr:x>0.1737</cdr:x>
      <cdr:y>0.40242</cdr:y>
    </cdr:from>
    <cdr:to>
      <cdr:x>0.23169</cdr:x>
      <cdr:y>0.44727</cdr:y>
    </cdr:to>
    <cdr:sp macro="" textlink="">
      <cdr:nvSpPr>
        <cdr:cNvPr id="17" name="TextBox 1"/>
        <cdr:cNvSpPr txBox="1"/>
      </cdr:nvSpPr>
      <cdr:spPr>
        <a:xfrm xmlns:a="http://schemas.openxmlformats.org/drawingml/2006/main">
          <a:off x="1506220" y="252984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11.45%</a:t>
          </a:r>
        </a:p>
      </cdr:txBody>
    </cdr:sp>
  </cdr:relSizeAnchor>
  <cdr:relSizeAnchor xmlns:cdr="http://schemas.openxmlformats.org/drawingml/2006/chartDrawing">
    <cdr:from>
      <cdr:x>0.32718</cdr:x>
      <cdr:y>0.29778</cdr:y>
    </cdr:from>
    <cdr:to>
      <cdr:x>0.38518</cdr:x>
      <cdr:y>0.34263</cdr:y>
    </cdr:to>
    <cdr:sp macro="" textlink="">
      <cdr:nvSpPr>
        <cdr:cNvPr id="18" name="TextBox 1"/>
        <cdr:cNvSpPr txBox="1"/>
      </cdr:nvSpPr>
      <cdr:spPr>
        <a:xfrm xmlns:a="http://schemas.openxmlformats.org/drawingml/2006/main">
          <a:off x="2837180" y="187198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3.73%</a:t>
          </a:r>
        </a:p>
      </cdr:txBody>
    </cdr:sp>
  </cdr:relSizeAnchor>
  <cdr:relSizeAnchor xmlns:cdr="http://schemas.openxmlformats.org/drawingml/2006/chartDrawing">
    <cdr:from>
      <cdr:x>0.44493</cdr:x>
      <cdr:y>0.25657</cdr:y>
    </cdr:from>
    <cdr:to>
      <cdr:x>0.50293</cdr:x>
      <cdr:y>0.30141</cdr:y>
    </cdr:to>
    <cdr:sp macro="" textlink="">
      <cdr:nvSpPr>
        <cdr:cNvPr id="19" name="TextBox 1"/>
        <cdr:cNvSpPr txBox="1"/>
      </cdr:nvSpPr>
      <cdr:spPr>
        <a:xfrm xmlns:a="http://schemas.openxmlformats.org/drawingml/2006/main">
          <a:off x="3858260" y="161290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0.57586</cdr:x>
      <cdr:y>0.21172</cdr:y>
    </cdr:from>
    <cdr:to>
      <cdr:x>0.63386</cdr:x>
      <cdr:y>0.25657</cdr:y>
    </cdr:to>
    <cdr:sp macro="" textlink="">
      <cdr:nvSpPr>
        <cdr:cNvPr id="20" name="TextBox 1"/>
        <cdr:cNvSpPr txBox="1"/>
      </cdr:nvSpPr>
      <cdr:spPr>
        <a:xfrm xmlns:a="http://schemas.openxmlformats.org/drawingml/2006/main">
          <a:off x="4993640" y="133096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0.69801</cdr:x>
      <cdr:y>0.17172</cdr:y>
    </cdr:from>
    <cdr:to>
      <cdr:x>0.756</cdr:x>
      <cdr:y>0.21657</cdr:y>
    </cdr:to>
    <cdr:sp macro="" textlink="">
      <cdr:nvSpPr>
        <cdr:cNvPr id="21" name="TextBox 1"/>
        <cdr:cNvSpPr txBox="1"/>
      </cdr:nvSpPr>
      <cdr:spPr>
        <a:xfrm xmlns:a="http://schemas.openxmlformats.org/drawingml/2006/main">
          <a:off x="6052820" y="107950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0.81927</cdr:x>
      <cdr:y>0.12566</cdr:y>
    </cdr:from>
    <cdr:to>
      <cdr:x>0.87727</cdr:x>
      <cdr:y>0.17051</cdr:y>
    </cdr:to>
    <cdr:sp macro="" textlink="">
      <cdr:nvSpPr>
        <cdr:cNvPr id="22" name="TextBox 1"/>
        <cdr:cNvSpPr txBox="1"/>
      </cdr:nvSpPr>
      <cdr:spPr>
        <a:xfrm xmlns:a="http://schemas.openxmlformats.org/drawingml/2006/main">
          <a:off x="7104380" y="78994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342900</xdr:colOff>
      <xdr:row>15</xdr:row>
      <xdr:rowOff>9525</xdr:rowOff>
    </xdr:from>
    <xdr:to>
      <xdr:col>1</xdr:col>
      <xdr:colOff>497417</xdr:colOff>
      <xdr:row>55</xdr:row>
      <xdr:rowOff>84666</xdr:rowOff>
    </xdr:to>
    <xdr:sp macro="" textlink="">
      <xdr:nvSpPr>
        <xdr:cNvPr id="2" name="Down Arrow 1"/>
        <xdr:cNvSpPr/>
      </xdr:nvSpPr>
      <xdr:spPr>
        <a:xfrm>
          <a:off x="1171575" y="13201650"/>
          <a:ext cx="154517" cy="769514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21166</xdr:colOff>
      <xdr:row>18</xdr:row>
      <xdr:rowOff>169331</xdr:rowOff>
    </xdr:from>
    <xdr:to>
      <xdr:col>8</xdr:col>
      <xdr:colOff>0</xdr:colOff>
      <xdr:row>51</xdr:row>
      <xdr:rowOff>169331</xdr:rowOff>
    </xdr:to>
    <xdr:grpSp>
      <xdr:nvGrpSpPr>
        <xdr:cNvPr id="3" name="Group 2"/>
        <xdr:cNvGrpSpPr/>
      </xdr:nvGrpSpPr>
      <xdr:grpSpPr>
        <a:xfrm>
          <a:off x="6336241" y="3693581"/>
          <a:ext cx="588434" cy="6286500"/>
          <a:chOff x="11948057" y="3382961"/>
          <a:chExt cx="733422" cy="6080655"/>
        </a:xfrm>
      </xdr:grpSpPr>
      <xdr:sp macro="" textlink="">
        <xdr:nvSpPr>
          <xdr:cNvPr id="4" name="Curved Up Arrow 3"/>
          <xdr:cNvSpPr/>
        </xdr:nvSpPr>
        <xdr:spPr>
          <a:xfrm rot="16200000">
            <a:off x="9162523" y="6168495"/>
            <a:ext cx="6080655" cy="509587"/>
          </a:xfrm>
          <a:prstGeom prst="curvedUpArrow">
            <a:avLst>
              <a:gd name="adj1" fmla="val 25000"/>
              <a:gd name="adj2" fmla="val 38695"/>
              <a:gd name="adj3" fmla="val 193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 name="TextBox 4"/>
          <xdr:cNvSpPr txBox="1"/>
        </xdr:nvSpPr>
        <xdr:spPr>
          <a:xfrm rot="5400000">
            <a:off x="10630164" y="6729680"/>
            <a:ext cx="382640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lumMod val="50000"/>
                  </a:schemeClr>
                </a:solidFill>
              </a:rPr>
              <a:t>Prior Year  Total Funded + FY</a:t>
            </a:r>
            <a:r>
              <a:rPr lang="en-US" sz="1100" baseline="0">
                <a:solidFill>
                  <a:schemeClr val="accent1">
                    <a:lumMod val="50000"/>
                  </a:schemeClr>
                </a:solidFill>
              </a:rPr>
              <a:t> </a:t>
            </a:r>
            <a:r>
              <a:rPr lang="en-US" sz="1100">
                <a:solidFill>
                  <a:schemeClr val="accent1">
                    <a:lumMod val="50000"/>
                  </a:schemeClr>
                </a:solidFill>
              </a:rPr>
              <a:t>State's Growth</a:t>
            </a:r>
          </a:p>
        </xdr:txBody>
      </xdr:sp>
    </xdr:grpSp>
    <xdr:clientData/>
  </xdr:twoCellAnchor>
  <xdr:twoCellAnchor>
    <xdr:from>
      <xdr:col>1</xdr:col>
      <xdr:colOff>364066</xdr:colOff>
      <xdr:row>60</xdr:row>
      <xdr:rowOff>127012</xdr:rowOff>
    </xdr:from>
    <xdr:to>
      <xdr:col>1</xdr:col>
      <xdr:colOff>518584</xdr:colOff>
      <xdr:row>68</xdr:row>
      <xdr:rowOff>169346</xdr:rowOff>
    </xdr:to>
    <xdr:sp macro="" textlink="">
      <xdr:nvSpPr>
        <xdr:cNvPr id="6" name="Down Arrow 5"/>
        <xdr:cNvSpPr/>
      </xdr:nvSpPr>
      <xdr:spPr>
        <a:xfrm>
          <a:off x="1192741" y="21891637"/>
          <a:ext cx="154518" cy="156633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582150" cy="6734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582150" cy="6734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565821" cy="67219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9364" cy="62800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0.36865</cdr:x>
      <cdr:y>0.09427</cdr:y>
    </cdr:from>
    <cdr:to>
      <cdr:x>0.36865</cdr:x>
      <cdr:y>1</cdr:y>
    </cdr:to>
    <cdr:cxnSp macro="">
      <cdr:nvCxnSpPr>
        <cdr:cNvPr id="2" name="Straight Connector 1"/>
        <cdr:cNvCxnSpPr/>
      </cdr:nvCxnSpPr>
      <cdr:spPr>
        <a:xfrm xmlns:a="http://schemas.openxmlformats.org/drawingml/2006/main">
          <a:off x="3196749" y="592628"/>
          <a:ext cx="0" cy="5693872"/>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0.18961</cdr:x>
      <cdr:y>0.10573</cdr:y>
    </cdr:from>
    <cdr:to>
      <cdr:x>0.26532</cdr:x>
      <cdr:y>0.15159</cdr:y>
    </cdr:to>
    <cdr:sp macro="" textlink="">
      <cdr:nvSpPr>
        <cdr:cNvPr id="3" name="TextBox 2"/>
        <cdr:cNvSpPr txBox="1"/>
      </cdr:nvSpPr>
      <cdr:spPr>
        <a:xfrm xmlns:a="http://schemas.openxmlformats.org/drawingml/2006/main">
          <a:off x="1643636" y="664348"/>
          <a:ext cx="656344" cy="28815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wrap="none" rtlCol="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t>Actuals</a:t>
          </a:r>
        </a:p>
      </cdr:txBody>
    </cdr:sp>
  </cdr:relSizeAnchor>
  <cdr:relSizeAnchor xmlns:cdr="http://schemas.openxmlformats.org/drawingml/2006/chartDrawing">
    <cdr:from>
      <cdr:x>0.59898</cdr:x>
      <cdr:y>0.10235</cdr:y>
    </cdr:from>
    <cdr:to>
      <cdr:x>0.68545</cdr:x>
      <cdr:y>0.14821</cdr:y>
    </cdr:to>
    <cdr:sp macro="" textlink="">
      <cdr:nvSpPr>
        <cdr:cNvPr id="4" name="TextBox 1"/>
        <cdr:cNvSpPr txBox="1"/>
      </cdr:nvSpPr>
      <cdr:spPr>
        <a:xfrm xmlns:a="http://schemas.openxmlformats.org/drawingml/2006/main">
          <a:off x="5192272" y="643110"/>
          <a:ext cx="749620" cy="288151"/>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none" rtlCol="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sz="1100"/>
            <a:t>Projections</a:t>
          </a:r>
        </a:p>
      </cdr:txBody>
    </cdr:sp>
  </cdr:relSizeAnchor>
  <cdr:relSizeAnchor xmlns:cdr="http://schemas.openxmlformats.org/drawingml/2006/chartDrawing">
    <cdr:from>
      <cdr:x>0.15114</cdr:x>
      <cdr:y>0.56</cdr:y>
    </cdr:from>
    <cdr:to>
      <cdr:x>0.20387</cdr:x>
      <cdr:y>0.59152</cdr:y>
    </cdr:to>
    <cdr:sp macro="" textlink="">
      <cdr:nvSpPr>
        <cdr:cNvPr id="5" name="TextBox 4"/>
        <cdr:cNvSpPr txBox="1"/>
      </cdr:nvSpPr>
      <cdr:spPr>
        <a:xfrm xmlns:a="http://schemas.openxmlformats.org/drawingml/2006/main">
          <a:off x="1310640" y="3520440"/>
          <a:ext cx="457200" cy="198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0.18717</cdr:x>
      <cdr:y>0.52364</cdr:y>
    </cdr:from>
    <cdr:to>
      <cdr:x>0.24517</cdr:x>
      <cdr:y>0.56848</cdr:y>
    </cdr:to>
    <cdr:sp macro="" textlink="">
      <cdr:nvSpPr>
        <cdr:cNvPr id="6" name="TextBox 5"/>
        <cdr:cNvSpPr txBox="1"/>
      </cdr:nvSpPr>
      <cdr:spPr>
        <a:xfrm xmlns:a="http://schemas.openxmlformats.org/drawingml/2006/main">
          <a:off x="1623060" y="3291840"/>
          <a:ext cx="502920" cy="2819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6.12%</a:t>
          </a:r>
        </a:p>
      </cdr:txBody>
    </cdr:sp>
  </cdr:relSizeAnchor>
  <cdr:relSizeAnchor xmlns:cdr="http://schemas.openxmlformats.org/drawingml/2006/chartDrawing">
    <cdr:from>
      <cdr:x>0.31605</cdr:x>
      <cdr:y>0.42869</cdr:y>
    </cdr:from>
    <cdr:to>
      <cdr:x>0.37405</cdr:x>
      <cdr:y>0.47354</cdr:y>
    </cdr:to>
    <cdr:sp macro="" textlink="">
      <cdr:nvSpPr>
        <cdr:cNvPr id="7" name="TextBox 1"/>
        <cdr:cNvSpPr txBox="1"/>
      </cdr:nvSpPr>
      <cdr:spPr>
        <a:xfrm xmlns:a="http://schemas.openxmlformats.org/drawingml/2006/main">
          <a:off x="2740660" y="269494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2.55%</a:t>
          </a:r>
        </a:p>
      </cdr:txBody>
    </cdr:sp>
  </cdr:relSizeAnchor>
  <cdr:relSizeAnchor xmlns:cdr="http://schemas.openxmlformats.org/drawingml/2006/chartDrawing">
    <cdr:from>
      <cdr:x>0.44347</cdr:x>
      <cdr:y>0.35717</cdr:y>
    </cdr:from>
    <cdr:to>
      <cdr:x>0.50146</cdr:x>
      <cdr:y>0.40202</cdr:y>
    </cdr:to>
    <cdr:sp macro="" textlink="">
      <cdr:nvSpPr>
        <cdr:cNvPr id="8" name="TextBox 1"/>
        <cdr:cNvSpPr txBox="1"/>
      </cdr:nvSpPr>
      <cdr:spPr>
        <a:xfrm xmlns:a="http://schemas.openxmlformats.org/drawingml/2006/main">
          <a:off x="3845560" y="224536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0.5621</cdr:x>
      <cdr:y>0.28929</cdr:y>
    </cdr:from>
    <cdr:to>
      <cdr:x>0.62009</cdr:x>
      <cdr:y>0.33414</cdr:y>
    </cdr:to>
    <cdr:sp macro="" textlink="">
      <cdr:nvSpPr>
        <cdr:cNvPr id="9" name="TextBox 1"/>
        <cdr:cNvSpPr txBox="1"/>
      </cdr:nvSpPr>
      <cdr:spPr>
        <a:xfrm xmlns:a="http://schemas.openxmlformats.org/drawingml/2006/main">
          <a:off x="4874260" y="181864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0.68864</cdr:x>
      <cdr:y>0.21778</cdr:y>
    </cdr:from>
    <cdr:to>
      <cdr:x>0.74663</cdr:x>
      <cdr:y>0.26263</cdr:y>
    </cdr:to>
    <cdr:sp macro="" textlink="">
      <cdr:nvSpPr>
        <cdr:cNvPr id="10" name="TextBox 1"/>
        <cdr:cNvSpPr txBox="1"/>
      </cdr:nvSpPr>
      <cdr:spPr>
        <a:xfrm xmlns:a="http://schemas.openxmlformats.org/drawingml/2006/main">
          <a:off x="5971540" y="136906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0.8222</cdr:x>
      <cdr:y>0.1402</cdr:y>
    </cdr:from>
    <cdr:to>
      <cdr:x>0.8802</cdr:x>
      <cdr:y>0.18505</cdr:y>
    </cdr:to>
    <cdr:sp macro="" textlink="">
      <cdr:nvSpPr>
        <cdr:cNvPr id="11" name="TextBox 1"/>
        <cdr:cNvSpPr txBox="1"/>
      </cdr:nvSpPr>
      <cdr:spPr>
        <a:xfrm xmlns:a="http://schemas.openxmlformats.org/drawingml/2006/main">
          <a:off x="7129780" y="88138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9364" cy="62800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0.36565</cdr:x>
      <cdr:y>0.09427</cdr:y>
    </cdr:from>
    <cdr:to>
      <cdr:x>0.36565</cdr:x>
      <cdr:y>1</cdr:y>
    </cdr:to>
    <cdr:cxnSp macro="">
      <cdr:nvCxnSpPr>
        <cdr:cNvPr id="3" name="Straight Connector 2"/>
        <cdr:cNvCxnSpPr/>
      </cdr:nvCxnSpPr>
      <cdr:spPr>
        <a:xfrm xmlns:a="http://schemas.openxmlformats.org/drawingml/2006/main">
          <a:off x="3169664" y="592311"/>
          <a:ext cx="0" cy="5690988"/>
        </a:xfrm>
        <a:prstGeom xmlns:a="http://schemas.openxmlformats.org/drawingml/2006/main" prst="line">
          <a:avLst/>
        </a:prstGeom>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0.18837</cdr:x>
      <cdr:y>0.14268</cdr:y>
    </cdr:from>
    <cdr:to>
      <cdr:x>0.26408</cdr:x>
      <cdr:y>0.18854</cdr:y>
    </cdr:to>
    <cdr:sp macro="" textlink="">
      <cdr:nvSpPr>
        <cdr:cNvPr id="5" name="TextBox 4"/>
        <cdr:cNvSpPr txBox="1"/>
      </cdr:nvSpPr>
      <cdr:spPr>
        <a:xfrm xmlns:a="http://schemas.openxmlformats.org/drawingml/2006/main">
          <a:off x="1632857" y="896471"/>
          <a:ext cx="656344" cy="288151"/>
        </a:xfrm>
        <a:prstGeom xmlns:a="http://schemas.openxmlformats.org/drawingml/2006/main" prst="rect">
          <a:avLst/>
        </a:prstGeom>
      </cdr:spPr>
      <cdr:style>
        <a:lnRef xmlns:a="http://schemas.openxmlformats.org/drawingml/2006/main" idx="2">
          <a:schemeClr val="accent2">
            <a:shade val="50000"/>
          </a:schemeClr>
        </a:lnRef>
        <a:fillRef xmlns:a="http://schemas.openxmlformats.org/drawingml/2006/main" idx="1">
          <a:schemeClr val="accent2"/>
        </a:fillRef>
        <a:effectRef xmlns:a="http://schemas.openxmlformats.org/drawingml/2006/main" idx="0">
          <a:schemeClr val="accent2"/>
        </a:effectRef>
        <a:fontRef xmlns:a="http://schemas.openxmlformats.org/drawingml/2006/main" idx="minor">
          <a:schemeClr val="lt1"/>
        </a:fontRef>
      </cdr:style>
      <cdr:txBody>
        <a:bodyPr xmlns:a="http://schemas.openxmlformats.org/drawingml/2006/main" vertOverflow="clip" wrap="none" rtlCol="0"/>
        <a:lstStyle xmlns:a="http://schemas.openxmlformats.org/drawingml/2006/main"/>
        <a:p xmlns:a="http://schemas.openxmlformats.org/drawingml/2006/main">
          <a:pPr algn="ctr"/>
          <a:r>
            <a:rPr lang="en-US" sz="1100"/>
            <a:t>Actuals</a:t>
          </a:r>
        </a:p>
      </cdr:txBody>
    </cdr:sp>
  </cdr:relSizeAnchor>
  <cdr:relSizeAnchor xmlns:cdr="http://schemas.openxmlformats.org/drawingml/2006/chartDrawing">
    <cdr:from>
      <cdr:x>0.59773</cdr:x>
      <cdr:y>0.1393</cdr:y>
    </cdr:from>
    <cdr:to>
      <cdr:x>0.68421</cdr:x>
      <cdr:y>0.18515</cdr:y>
    </cdr:to>
    <cdr:sp macro="" textlink="">
      <cdr:nvSpPr>
        <cdr:cNvPr id="6" name="TextBox 1"/>
        <cdr:cNvSpPr txBox="1"/>
      </cdr:nvSpPr>
      <cdr:spPr>
        <a:xfrm xmlns:a="http://schemas.openxmlformats.org/drawingml/2006/main">
          <a:off x="5181493" y="875233"/>
          <a:ext cx="749620" cy="288151"/>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t>Projections</a:t>
          </a:r>
        </a:p>
      </cdr:txBody>
    </cdr:sp>
  </cdr:relSizeAnchor>
  <cdr:relSizeAnchor xmlns:cdr="http://schemas.openxmlformats.org/drawingml/2006/chartDrawing">
    <cdr:from>
      <cdr:x>0.19654</cdr:x>
      <cdr:y>0.42061</cdr:y>
    </cdr:from>
    <cdr:to>
      <cdr:x>0.25454</cdr:x>
      <cdr:y>0.46545</cdr:y>
    </cdr:to>
    <cdr:sp macro="" textlink="">
      <cdr:nvSpPr>
        <cdr:cNvPr id="13" name="TextBox 1"/>
        <cdr:cNvSpPr txBox="1"/>
      </cdr:nvSpPr>
      <cdr:spPr>
        <a:xfrm xmlns:a="http://schemas.openxmlformats.org/drawingml/2006/main">
          <a:off x="1704340" y="264414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3.83%</a:t>
          </a:r>
        </a:p>
      </cdr:txBody>
    </cdr:sp>
  </cdr:relSizeAnchor>
  <cdr:relSizeAnchor xmlns:cdr="http://schemas.openxmlformats.org/drawingml/2006/chartDrawing">
    <cdr:from>
      <cdr:x>0.32894</cdr:x>
      <cdr:y>0.36929</cdr:y>
    </cdr:from>
    <cdr:to>
      <cdr:x>0.38694</cdr:x>
      <cdr:y>0.41414</cdr:y>
    </cdr:to>
    <cdr:sp macro="" textlink="">
      <cdr:nvSpPr>
        <cdr:cNvPr id="14" name="TextBox 1"/>
        <cdr:cNvSpPr txBox="1"/>
      </cdr:nvSpPr>
      <cdr:spPr>
        <a:xfrm xmlns:a="http://schemas.openxmlformats.org/drawingml/2006/main">
          <a:off x="2852420" y="232156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2.00%</a:t>
          </a:r>
        </a:p>
      </cdr:txBody>
    </cdr:sp>
  </cdr:relSizeAnchor>
  <cdr:relSizeAnchor xmlns:cdr="http://schemas.openxmlformats.org/drawingml/2006/chartDrawing">
    <cdr:from>
      <cdr:x>0.44669</cdr:x>
      <cdr:y>0.32808</cdr:y>
    </cdr:from>
    <cdr:to>
      <cdr:x>0.50469</cdr:x>
      <cdr:y>0.37293</cdr:y>
    </cdr:to>
    <cdr:sp macro="" textlink="">
      <cdr:nvSpPr>
        <cdr:cNvPr id="15" name="TextBox 1"/>
        <cdr:cNvSpPr txBox="1"/>
      </cdr:nvSpPr>
      <cdr:spPr>
        <a:xfrm xmlns:a="http://schemas.openxmlformats.org/drawingml/2006/main">
          <a:off x="3873500" y="206248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0.57411</cdr:x>
      <cdr:y>0.26747</cdr:y>
    </cdr:from>
    <cdr:to>
      <cdr:x>0.6321</cdr:x>
      <cdr:y>0.31232</cdr:y>
    </cdr:to>
    <cdr:sp macro="" textlink="">
      <cdr:nvSpPr>
        <cdr:cNvPr id="16" name="TextBox 1"/>
        <cdr:cNvSpPr txBox="1"/>
      </cdr:nvSpPr>
      <cdr:spPr>
        <a:xfrm xmlns:a="http://schemas.openxmlformats.org/drawingml/2006/main">
          <a:off x="4978400" y="168148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0.70064</cdr:x>
      <cdr:y>0.21293</cdr:y>
    </cdr:from>
    <cdr:to>
      <cdr:x>0.75864</cdr:x>
      <cdr:y>0.25778</cdr:y>
    </cdr:to>
    <cdr:sp macro="" textlink="">
      <cdr:nvSpPr>
        <cdr:cNvPr id="17" name="TextBox 1"/>
        <cdr:cNvSpPr txBox="1"/>
      </cdr:nvSpPr>
      <cdr:spPr>
        <a:xfrm xmlns:a="http://schemas.openxmlformats.org/drawingml/2006/main">
          <a:off x="6075680" y="133858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dr:relSizeAnchor xmlns:cdr="http://schemas.openxmlformats.org/drawingml/2006/chartDrawing">
    <cdr:from>
      <cdr:x>0.81488</cdr:x>
      <cdr:y>0.15354</cdr:y>
    </cdr:from>
    <cdr:to>
      <cdr:x>0.87288</cdr:x>
      <cdr:y>0.19838</cdr:y>
    </cdr:to>
    <cdr:sp macro="" textlink="">
      <cdr:nvSpPr>
        <cdr:cNvPr id="18" name="TextBox 1"/>
        <cdr:cNvSpPr txBox="1"/>
      </cdr:nvSpPr>
      <cdr:spPr>
        <a:xfrm xmlns:a="http://schemas.openxmlformats.org/drawingml/2006/main">
          <a:off x="7066280" y="965200"/>
          <a:ext cx="502920" cy="281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3.00%</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69364" cy="62800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ccounting\Budget\FY20\SCFF%20Worksheet%201214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Data Dictionary"/>
      <sheetName val="District List"/>
      <sheetName val="Dev Notes"/>
      <sheetName val="Instructions"/>
      <sheetName val="Assumptions"/>
      <sheetName val="Growth Rate Data"/>
      <sheetName val="FTES Rates"/>
      <sheetName val="FTES Data Input"/>
      <sheetName val="1516 Final 320"/>
      <sheetName val="FTES Data Source"/>
      <sheetName val="CCCCO 11-21-2018"/>
      <sheetName val="Growth"/>
      <sheetName val="Decline"/>
      <sheetName val="Supp. &amp; Success Data Input"/>
      <sheetName val="Supplemental Data"/>
      <sheetName val="Student Success Data"/>
      <sheetName val="Basic Allocation"/>
      <sheetName val="Sim Var 1 - Cabrillo"/>
      <sheetName val="1718 Basic Allocation"/>
      <sheetName val="Sim Var 2- Mendo"/>
      <sheetName val="Calculator"/>
      <sheetName val="17-18 TCR Data"/>
      <sheetName val="Basic Allocation Data"/>
      <sheetName val="Summary"/>
      <sheetName val="Charts"/>
      <sheetName val="Local 1"/>
      <sheetName val="Local 2"/>
      <sheetName val="Local 3"/>
    </sheetNames>
    <sheetDataSet>
      <sheetData sheetId="0"/>
      <sheetData sheetId="1"/>
      <sheetData sheetId="2"/>
      <sheetData sheetId="3"/>
      <sheetData sheetId="4">
        <row r="3">
          <cell r="B3" t="str">
            <v xml:space="preserve">District Code: </v>
          </cell>
          <cell r="C3">
            <v>980</v>
          </cell>
          <cell r="D3" t="str">
            <v>San Bernardino</v>
          </cell>
        </row>
        <row r="7">
          <cell r="D7" t="str">
            <v>Growth Target</v>
          </cell>
          <cell r="H7"/>
          <cell r="I7">
            <v>0</v>
          </cell>
          <cell r="J7">
            <v>0</v>
          </cell>
        </row>
        <row r="15">
          <cell r="F15">
            <v>3387</v>
          </cell>
          <cell r="G15">
            <v>3474.05</v>
          </cell>
        </row>
        <row r="16">
          <cell r="D16" t="str">
            <v>Special Admit</v>
          </cell>
          <cell r="H16"/>
          <cell r="I16">
            <v>5746.69</v>
          </cell>
        </row>
        <row r="17">
          <cell r="D17" t="str">
            <v>Incarcerated Credit</v>
          </cell>
          <cell r="H17"/>
          <cell r="I17">
            <v>5746.69</v>
          </cell>
        </row>
        <row r="19">
          <cell r="D19" t="str">
            <v>Traditional Non-Credit</v>
          </cell>
          <cell r="H19"/>
          <cell r="I19">
            <v>3524.68</v>
          </cell>
        </row>
        <row r="20">
          <cell r="D20" t="str">
            <v>CDCP</v>
          </cell>
          <cell r="H20"/>
          <cell r="I20">
            <v>5746.69</v>
          </cell>
        </row>
        <row r="21">
          <cell r="D21" t="str">
            <v>Incarcerated Non-Credit</v>
          </cell>
          <cell r="F21"/>
          <cell r="H21"/>
          <cell r="I21">
            <v>3524.68</v>
          </cell>
        </row>
      </sheetData>
      <sheetData sheetId="5"/>
      <sheetData sheetId="6"/>
      <sheetData sheetId="7"/>
      <sheetData sheetId="8">
        <row r="7">
          <cell r="B7" t="str">
            <v>District</v>
          </cell>
          <cell r="C7" t="str">
            <v xml:space="preserve">Credit </v>
          </cell>
          <cell r="D7" t="str">
            <v xml:space="preserve">Noncredit </v>
          </cell>
          <cell r="E7" t="str">
            <v>Noncredit</v>
          </cell>
          <cell r="F7" t="str">
            <v>Total FTES</v>
          </cell>
        </row>
        <row r="9">
          <cell r="B9" t="str">
            <v>Allan Hancock</v>
          </cell>
          <cell r="C9">
            <v>7534.91</v>
          </cell>
          <cell r="D9">
            <v>547.43999999999994</v>
          </cell>
          <cell r="E9">
            <v>411.48</v>
          </cell>
          <cell r="F9">
            <v>8493.83</v>
          </cell>
        </row>
        <row r="10">
          <cell r="B10" t="str">
            <v>Antelope Valley</v>
          </cell>
          <cell r="C10">
            <v>11613</v>
          </cell>
          <cell r="D10">
            <v>43.96</v>
          </cell>
          <cell r="E10">
            <v>0</v>
          </cell>
          <cell r="F10">
            <v>11656.96</v>
          </cell>
        </row>
        <row r="11">
          <cell r="B11" t="str">
            <v>Barstow</v>
          </cell>
          <cell r="C11">
            <v>2464.42</v>
          </cell>
          <cell r="D11">
            <v>32.549999999999997</v>
          </cell>
          <cell r="E11">
            <v>0</v>
          </cell>
          <cell r="F11">
            <v>2496.9700000000003</v>
          </cell>
        </row>
        <row r="12">
          <cell r="B12" t="str">
            <v>Butte-Glenn</v>
          </cell>
          <cell r="C12">
            <v>9656.1</v>
          </cell>
          <cell r="D12">
            <v>1177.1099999999999</v>
          </cell>
          <cell r="E12">
            <v>32.15</v>
          </cell>
          <cell r="F12">
            <v>10865.36</v>
          </cell>
        </row>
        <row r="13">
          <cell r="B13" t="str">
            <v>Cabrillo</v>
          </cell>
          <cell r="C13">
            <v>9184.82</v>
          </cell>
          <cell r="D13">
            <v>182.39</v>
          </cell>
          <cell r="E13">
            <v>0</v>
          </cell>
          <cell r="F13">
            <v>9367.2099999999991</v>
          </cell>
        </row>
        <row r="14">
          <cell r="B14" t="str">
            <v>Cerritos</v>
          </cell>
          <cell r="C14">
            <v>17324.97</v>
          </cell>
          <cell r="D14">
            <v>117.31</v>
          </cell>
          <cell r="E14">
            <v>298.48</v>
          </cell>
          <cell r="F14">
            <v>17740.760000000002</v>
          </cell>
        </row>
        <row r="15">
          <cell r="B15" t="str">
            <v>Chabot-Las Positas</v>
          </cell>
          <cell r="C15">
            <v>17504.169999999998</v>
          </cell>
          <cell r="D15">
            <v>135.85</v>
          </cell>
          <cell r="E15">
            <v>0</v>
          </cell>
          <cell r="F15">
            <v>17640.019999999997</v>
          </cell>
        </row>
        <row r="16">
          <cell r="B16" t="str">
            <v>Chaffey</v>
          </cell>
          <cell r="C16">
            <v>15489.42</v>
          </cell>
          <cell r="D16">
            <v>359.9</v>
          </cell>
          <cell r="E16">
            <v>0</v>
          </cell>
          <cell r="F16">
            <v>15849.32</v>
          </cell>
        </row>
        <row r="17">
          <cell r="B17" t="str">
            <v>Citrus</v>
          </cell>
          <cell r="C17">
            <v>11378.55</v>
          </cell>
          <cell r="D17">
            <v>272.26</v>
          </cell>
          <cell r="E17">
            <v>132.19</v>
          </cell>
          <cell r="F17">
            <v>11783</v>
          </cell>
        </row>
        <row r="18">
          <cell r="B18" t="str">
            <v>Coast</v>
          </cell>
          <cell r="C18">
            <v>32335.14</v>
          </cell>
          <cell r="D18">
            <v>288.66000000000003</v>
          </cell>
          <cell r="E18">
            <v>0</v>
          </cell>
          <cell r="F18">
            <v>32623.8</v>
          </cell>
        </row>
        <row r="19">
          <cell r="B19" t="str">
            <v>Compton</v>
          </cell>
          <cell r="C19">
            <v>5982.99</v>
          </cell>
          <cell r="D19">
            <v>23.01</v>
          </cell>
          <cell r="E19">
            <v>0</v>
          </cell>
          <cell r="F19">
            <v>6006</v>
          </cell>
        </row>
        <row r="20">
          <cell r="B20" t="str">
            <v>Contra Costa</v>
          </cell>
          <cell r="C20">
            <v>29353.11</v>
          </cell>
          <cell r="D20">
            <v>135.74</v>
          </cell>
          <cell r="E20">
            <v>0</v>
          </cell>
          <cell r="F20">
            <v>29488.850000000002</v>
          </cell>
        </row>
        <row r="21">
          <cell r="B21" t="str">
            <v>Copper Mountain</v>
          </cell>
          <cell r="C21">
            <v>1397.72</v>
          </cell>
          <cell r="D21">
            <v>82.100000000000009</v>
          </cell>
          <cell r="E21">
            <v>2.46</v>
          </cell>
          <cell r="F21">
            <v>1482.28</v>
          </cell>
        </row>
        <row r="22">
          <cell r="B22" t="str">
            <v>Desert</v>
          </cell>
          <cell r="C22">
            <v>8435.0300000000007</v>
          </cell>
          <cell r="D22">
            <v>24.919999999999959</v>
          </cell>
          <cell r="E22">
            <v>593.5</v>
          </cell>
          <cell r="F22">
            <v>9053.4500000000007</v>
          </cell>
        </row>
        <row r="23">
          <cell r="B23" t="str">
            <v>El Camino</v>
          </cell>
          <cell r="C23">
            <v>19463.240000000002</v>
          </cell>
          <cell r="D23">
            <v>22.76</v>
          </cell>
          <cell r="E23">
            <v>0</v>
          </cell>
          <cell r="F23">
            <v>19486</v>
          </cell>
        </row>
        <row r="24">
          <cell r="B24" t="str">
            <v>Feather River</v>
          </cell>
          <cell r="C24">
            <v>1576.62</v>
          </cell>
          <cell r="D24">
            <v>43.26</v>
          </cell>
          <cell r="E24">
            <v>0</v>
          </cell>
          <cell r="F24">
            <v>1619.8799999999999</v>
          </cell>
        </row>
        <row r="25">
          <cell r="B25" t="str">
            <v>Foothill-DeAnza</v>
          </cell>
          <cell r="C25">
            <v>26757.59</v>
          </cell>
          <cell r="D25">
            <v>215.89</v>
          </cell>
          <cell r="E25">
            <v>169.43</v>
          </cell>
          <cell r="F25">
            <v>27142.91</v>
          </cell>
        </row>
        <row r="26">
          <cell r="B26" t="str">
            <v>Gavilan</v>
          </cell>
          <cell r="C26">
            <v>4294.03</v>
          </cell>
          <cell r="D26">
            <v>439.07000000000005</v>
          </cell>
          <cell r="E26">
            <v>85.28</v>
          </cell>
          <cell r="F26">
            <v>4818.3799999999992</v>
          </cell>
        </row>
        <row r="27">
          <cell r="B27" t="str">
            <v>Glendale</v>
          </cell>
          <cell r="C27">
            <v>11297.33</v>
          </cell>
          <cell r="D27">
            <v>257.09999999999991</v>
          </cell>
          <cell r="E27">
            <v>2538.98</v>
          </cell>
          <cell r="F27">
            <v>14093.41</v>
          </cell>
        </row>
        <row r="28">
          <cell r="B28" t="str">
            <v>Grossmont-Cuyamaca</v>
          </cell>
          <cell r="C28">
            <v>18727.580000000002</v>
          </cell>
          <cell r="D28">
            <v>21.93</v>
          </cell>
          <cell r="E28">
            <v>0</v>
          </cell>
          <cell r="F28">
            <v>18749.510000000002</v>
          </cell>
        </row>
        <row r="29">
          <cell r="B29" t="str">
            <v>Hartnell</v>
          </cell>
          <cell r="C29">
            <v>7276.54</v>
          </cell>
          <cell r="D29">
            <v>17.8</v>
          </cell>
          <cell r="E29">
            <v>0</v>
          </cell>
          <cell r="F29">
            <v>7294.34</v>
          </cell>
        </row>
        <row r="30">
          <cell r="B30" t="str">
            <v>Imperial</v>
          </cell>
          <cell r="C30">
            <v>6770.48</v>
          </cell>
          <cell r="D30">
            <v>24.720000000000002</v>
          </cell>
          <cell r="E30">
            <v>16.7</v>
          </cell>
          <cell r="F30">
            <v>6811.9</v>
          </cell>
        </row>
        <row r="31">
          <cell r="B31" t="str">
            <v>Kern</v>
          </cell>
          <cell r="C31">
            <v>20732.060000000001</v>
          </cell>
          <cell r="D31">
            <v>61.47</v>
          </cell>
          <cell r="E31">
            <v>0</v>
          </cell>
          <cell r="F31">
            <v>20793.530000000002</v>
          </cell>
        </row>
        <row r="32">
          <cell r="B32" t="str">
            <v>Lake Tahoe</v>
          </cell>
          <cell r="C32">
            <v>1620.22</v>
          </cell>
          <cell r="D32">
            <v>36.400000000000006</v>
          </cell>
          <cell r="E32">
            <v>22.09</v>
          </cell>
          <cell r="F32">
            <v>1678.71</v>
          </cell>
        </row>
        <row r="33">
          <cell r="B33" t="str">
            <v>Lassen</v>
          </cell>
          <cell r="C33">
            <v>1302.78</v>
          </cell>
          <cell r="D33">
            <v>63.14</v>
          </cell>
          <cell r="E33">
            <v>0</v>
          </cell>
          <cell r="F33">
            <v>1365.92</v>
          </cell>
        </row>
        <row r="34">
          <cell r="B34" t="str">
            <v>Long Beach</v>
          </cell>
          <cell r="C34">
            <v>18622.62</v>
          </cell>
          <cell r="D34">
            <v>64.71999999999997</v>
          </cell>
          <cell r="E34">
            <v>389.99</v>
          </cell>
          <cell r="F34">
            <v>19077.330000000002</v>
          </cell>
        </row>
        <row r="35">
          <cell r="B35" t="str">
            <v>Los Angeles</v>
          </cell>
          <cell r="C35">
            <v>101464.17</v>
          </cell>
          <cell r="D35">
            <v>2034.5100000000002</v>
          </cell>
          <cell r="E35">
            <v>4102.57</v>
          </cell>
          <cell r="F35">
            <v>107601.25</v>
          </cell>
        </row>
        <row r="36">
          <cell r="B36" t="str">
            <v>Los Rios</v>
          </cell>
          <cell r="C36">
            <v>47527.49</v>
          </cell>
          <cell r="D36">
            <v>251.75</v>
          </cell>
          <cell r="E36">
            <v>0</v>
          </cell>
          <cell r="F36">
            <v>47779.24</v>
          </cell>
        </row>
        <row r="37">
          <cell r="B37" t="str">
            <v>Marin</v>
          </cell>
          <cell r="C37">
            <v>3566.03</v>
          </cell>
          <cell r="D37">
            <v>240.72</v>
          </cell>
          <cell r="E37">
            <v>0</v>
          </cell>
          <cell r="F37">
            <v>3806.75</v>
          </cell>
        </row>
        <row r="38">
          <cell r="B38" t="str">
            <v>Mendocino-Lake</v>
          </cell>
          <cell r="C38">
            <v>2502.6799999999998</v>
          </cell>
          <cell r="D38">
            <v>38.529999999999994</v>
          </cell>
          <cell r="E38">
            <v>43.1</v>
          </cell>
          <cell r="F38">
            <v>2584.31</v>
          </cell>
        </row>
        <row r="39">
          <cell r="B39" t="str">
            <v>Merced</v>
          </cell>
          <cell r="C39">
            <v>8194.74</v>
          </cell>
          <cell r="D39">
            <v>318.14</v>
          </cell>
          <cell r="E39">
            <v>633.52</v>
          </cell>
          <cell r="F39">
            <v>9146.4</v>
          </cell>
        </row>
        <row r="40">
          <cell r="B40" t="str">
            <v>Mira Costa</v>
          </cell>
          <cell r="C40">
            <v>10684.56</v>
          </cell>
          <cell r="D40">
            <v>663.74</v>
          </cell>
          <cell r="E40">
            <v>0</v>
          </cell>
          <cell r="F40">
            <v>11348.3</v>
          </cell>
        </row>
        <row r="41">
          <cell r="B41" t="str">
            <v>Monterey Peninsula</v>
          </cell>
          <cell r="C41">
            <v>5789.88</v>
          </cell>
          <cell r="D41">
            <v>355.9</v>
          </cell>
          <cell r="E41">
            <v>115.98</v>
          </cell>
          <cell r="F41">
            <v>6261.7599999999993</v>
          </cell>
        </row>
        <row r="42">
          <cell r="B42" t="str">
            <v>Mt. San Antonio</v>
          </cell>
          <cell r="C42">
            <v>25096.34</v>
          </cell>
          <cell r="D42">
            <v>1644.62</v>
          </cell>
          <cell r="E42">
            <v>4643.5600000000004</v>
          </cell>
          <cell r="F42">
            <v>31384.52</v>
          </cell>
        </row>
        <row r="43">
          <cell r="B43" t="str">
            <v>Mt. San Jacinto</v>
          </cell>
          <cell r="C43">
            <v>11249.79</v>
          </cell>
          <cell r="D43">
            <v>323.88</v>
          </cell>
          <cell r="E43">
            <v>315.98</v>
          </cell>
          <cell r="F43">
            <v>11889.65</v>
          </cell>
        </row>
        <row r="44">
          <cell r="B44" t="str">
            <v>Napa Valley</v>
          </cell>
          <cell r="C44">
            <v>5036.74</v>
          </cell>
          <cell r="D44">
            <v>539.61</v>
          </cell>
          <cell r="E44">
            <v>13.89</v>
          </cell>
          <cell r="F44">
            <v>5590.24</v>
          </cell>
        </row>
        <row r="45">
          <cell r="B45" t="str">
            <v>North Orange County</v>
          </cell>
          <cell r="C45">
            <v>30332.14</v>
          </cell>
          <cell r="D45">
            <v>2724.7900000000004</v>
          </cell>
          <cell r="E45">
            <v>2777.81</v>
          </cell>
          <cell r="F45">
            <v>35834.74</v>
          </cell>
        </row>
        <row r="46">
          <cell r="B46" t="str">
            <v>Ohlone</v>
          </cell>
          <cell r="C46">
            <v>7065.28</v>
          </cell>
          <cell r="D46">
            <v>0</v>
          </cell>
          <cell r="E46">
            <v>0</v>
          </cell>
          <cell r="F46">
            <v>7065.28</v>
          </cell>
        </row>
        <row r="47">
          <cell r="B47" t="str">
            <v>Palo Verde</v>
          </cell>
          <cell r="C47">
            <v>1948.66</v>
          </cell>
          <cell r="D47">
            <v>108.07</v>
          </cell>
          <cell r="E47">
            <v>0</v>
          </cell>
          <cell r="F47">
            <v>2056.73</v>
          </cell>
        </row>
        <row r="48">
          <cell r="B48" t="str">
            <v>Palomar</v>
          </cell>
          <cell r="C48">
            <v>15801.89</v>
          </cell>
          <cell r="D48">
            <v>280.19999999999993</v>
          </cell>
          <cell r="E48">
            <v>520.71</v>
          </cell>
          <cell r="F48">
            <v>16602.8</v>
          </cell>
        </row>
        <row r="49">
          <cell r="B49" t="str">
            <v>Pasadena Area</v>
          </cell>
          <cell r="C49">
            <v>22282.71</v>
          </cell>
          <cell r="D49">
            <v>183.33999999999992</v>
          </cell>
          <cell r="E49">
            <v>1036.18</v>
          </cell>
          <cell r="F49">
            <v>23502.23</v>
          </cell>
        </row>
        <row r="50">
          <cell r="B50" t="str">
            <v>Peralta</v>
          </cell>
          <cell r="C50">
            <v>19409.34</v>
          </cell>
          <cell r="D50">
            <v>119.13</v>
          </cell>
          <cell r="E50">
            <v>0</v>
          </cell>
          <cell r="F50">
            <v>19528.47</v>
          </cell>
        </row>
        <row r="51">
          <cell r="B51" t="str">
            <v>Rancho Santiago</v>
          </cell>
          <cell r="C51">
            <v>22274.09</v>
          </cell>
          <cell r="D51">
            <v>702.14000000000033</v>
          </cell>
          <cell r="E51">
            <v>5925.41</v>
          </cell>
          <cell r="F51">
            <v>28901.64</v>
          </cell>
        </row>
        <row r="52">
          <cell r="B52" t="str">
            <v>Redwoods</v>
          </cell>
          <cell r="C52">
            <v>3549.91</v>
          </cell>
          <cell r="D52">
            <v>54.32</v>
          </cell>
          <cell r="E52">
            <v>31.68</v>
          </cell>
          <cell r="F52">
            <v>3635.91</v>
          </cell>
        </row>
        <row r="53">
          <cell r="B53" t="str">
            <v>Rio Hondo</v>
          </cell>
          <cell r="C53">
            <v>12503.3</v>
          </cell>
          <cell r="D53">
            <v>365.21</v>
          </cell>
          <cell r="E53">
            <v>37.380000000000003</v>
          </cell>
          <cell r="F53">
            <v>12905.889999999998</v>
          </cell>
        </row>
        <row r="54">
          <cell r="B54" t="str">
            <v>Riverside</v>
          </cell>
          <cell r="C54">
            <v>28599.64</v>
          </cell>
          <cell r="D54">
            <v>82.8</v>
          </cell>
          <cell r="E54">
            <v>0</v>
          </cell>
          <cell r="F54">
            <v>28682.44</v>
          </cell>
        </row>
        <row r="55">
          <cell r="B55" t="str">
            <v>San Bernardino</v>
          </cell>
          <cell r="C55">
            <v>15275.66</v>
          </cell>
          <cell r="D55">
            <v>67.08</v>
          </cell>
          <cell r="E55">
            <v>0</v>
          </cell>
          <cell r="F55">
            <v>15342.74</v>
          </cell>
        </row>
        <row r="56">
          <cell r="B56" t="str">
            <v>San Diego</v>
          </cell>
          <cell r="C56">
            <v>34919.01</v>
          </cell>
          <cell r="D56">
            <v>2077.7200000000003</v>
          </cell>
          <cell r="E56">
            <v>6289.53</v>
          </cell>
          <cell r="F56">
            <v>43286.26</v>
          </cell>
        </row>
        <row r="57">
          <cell r="B57" t="str">
            <v>San Francisco</v>
          </cell>
          <cell r="C57">
            <v>15012.24</v>
          </cell>
          <cell r="D57">
            <v>2110.7299999999996</v>
          </cell>
          <cell r="E57">
            <v>4806.76</v>
          </cell>
          <cell r="F57">
            <v>21929.730000000003</v>
          </cell>
        </row>
        <row r="58">
          <cell r="B58" t="str">
            <v>San Joaquin Delta</v>
          </cell>
          <cell r="C58">
            <v>16165.28</v>
          </cell>
          <cell r="D58">
            <v>171.42</v>
          </cell>
          <cell r="E58">
            <v>0</v>
          </cell>
          <cell r="F58">
            <v>16336.7</v>
          </cell>
        </row>
        <row r="59">
          <cell r="B59" t="str">
            <v>San Jose-Evergreen</v>
          </cell>
          <cell r="C59">
            <v>11493.07</v>
          </cell>
          <cell r="D59">
            <v>87.43</v>
          </cell>
          <cell r="E59">
            <v>0</v>
          </cell>
          <cell r="F59">
            <v>11580.5</v>
          </cell>
        </row>
        <row r="60">
          <cell r="B60" t="str">
            <v>San Luis Obispo County</v>
          </cell>
          <cell r="C60">
            <v>8036.95</v>
          </cell>
          <cell r="D60">
            <v>109.19</v>
          </cell>
          <cell r="E60">
            <v>173.86</v>
          </cell>
          <cell r="F60">
            <v>8320</v>
          </cell>
        </row>
        <row r="61">
          <cell r="B61" t="str">
            <v>San Mateo County</v>
          </cell>
          <cell r="C61">
            <v>17216.650000000001</v>
          </cell>
          <cell r="D61">
            <v>87.46</v>
          </cell>
          <cell r="E61">
            <v>0</v>
          </cell>
          <cell r="F61">
            <v>17304.11</v>
          </cell>
        </row>
        <row r="62">
          <cell r="B62" t="str">
            <v>Santa Barbara</v>
          </cell>
          <cell r="C62">
            <v>12674.99</v>
          </cell>
          <cell r="D62">
            <v>147.58999999999997</v>
          </cell>
          <cell r="E62">
            <v>387.68</v>
          </cell>
          <cell r="F62">
            <v>13210.26</v>
          </cell>
        </row>
        <row r="63">
          <cell r="B63" t="str">
            <v>Santa Clarita</v>
          </cell>
          <cell r="C63">
            <v>15566.39</v>
          </cell>
          <cell r="D63">
            <v>246.74</v>
          </cell>
          <cell r="E63">
            <v>181.64</v>
          </cell>
          <cell r="F63">
            <v>15994.769999999999</v>
          </cell>
        </row>
        <row r="64">
          <cell r="B64" t="str">
            <v>Santa Monica</v>
          </cell>
          <cell r="C64">
            <v>21263.86</v>
          </cell>
          <cell r="D64">
            <v>597.29</v>
          </cell>
          <cell r="E64">
            <v>167.26</v>
          </cell>
          <cell r="F64">
            <v>22028.41</v>
          </cell>
        </row>
        <row r="65">
          <cell r="B65" t="str">
            <v>Sequoias</v>
          </cell>
          <cell r="C65">
            <v>8921.49</v>
          </cell>
          <cell r="D65">
            <v>339.26</v>
          </cell>
          <cell r="E65">
            <v>169.53</v>
          </cell>
          <cell r="F65">
            <v>9430.2800000000007</v>
          </cell>
        </row>
        <row r="66">
          <cell r="B66" t="str">
            <v>Shasta-Tehama-Trinity</v>
          </cell>
          <cell r="C66">
            <v>5907.72</v>
          </cell>
          <cell r="D66">
            <v>177.17</v>
          </cell>
          <cell r="E66">
            <v>34.340000000000003</v>
          </cell>
          <cell r="F66">
            <v>6119.2300000000005</v>
          </cell>
        </row>
        <row r="67">
          <cell r="B67" t="str">
            <v>Sierra</v>
          </cell>
          <cell r="C67">
            <v>14578.91</v>
          </cell>
          <cell r="D67">
            <v>296.83</v>
          </cell>
          <cell r="E67">
            <v>0</v>
          </cell>
          <cell r="F67">
            <v>14875.74</v>
          </cell>
        </row>
        <row r="68">
          <cell r="B68" t="str">
            <v>Siskiyou</v>
          </cell>
          <cell r="C68">
            <v>2354.38</v>
          </cell>
          <cell r="D68">
            <v>63.789999999999964</v>
          </cell>
          <cell r="E68">
            <v>401.67</v>
          </cell>
          <cell r="F68">
            <v>2819.84</v>
          </cell>
        </row>
        <row r="69">
          <cell r="B69" t="str">
            <v>Solano County</v>
          </cell>
          <cell r="C69">
            <v>8272.73</v>
          </cell>
          <cell r="D69">
            <v>15.12</v>
          </cell>
          <cell r="E69">
            <v>0</v>
          </cell>
          <cell r="F69">
            <v>8287.85</v>
          </cell>
        </row>
        <row r="70">
          <cell r="B70" t="str">
            <v>Sonoma County</v>
          </cell>
          <cell r="C70">
            <v>16518.78</v>
          </cell>
          <cell r="D70">
            <v>2303.5500000000002</v>
          </cell>
          <cell r="E70">
            <v>592.23</v>
          </cell>
          <cell r="F70">
            <v>19414.559999999998</v>
          </cell>
        </row>
        <row r="71">
          <cell r="B71" t="str">
            <v>South Orange County</v>
          </cell>
          <cell r="C71">
            <v>21433.62</v>
          </cell>
          <cell r="D71">
            <v>2030.21</v>
          </cell>
          <cell r="E71">
            <v>169.1</v>
          </cell>
          <cell r="F71">
            <v>23632.929999999997</v>
          </cell>
        </row>
        <row r="72">
          <cell r="B72" t="str">
            <v>Southwestern</v>
          </cell>
          <cell r="C72">
            <v>13509.49</v>
          </cell>
          <cell r="D72">
            <v>220.62</v>
          </cell>
          <cell r="E72">
            <v>37.32</v>
          </cell>
          <cell r="F72">
            <v>13767.43</v>
          </cell>
        </row>
        <row r="73">
          <cell r="B73" t="str">
            <v>State Center</v>
          </cell>
          <cell r="C73">
            <v>28765.43</v>
          </cell>
          <cell r="D73">
            <v>270.64</v>
          </cell>
          <cell r="E73">
            <v>158.08000000000001</v>
          </cell>
          <cell r="F73">
            <v>29194.15</v>
          </cell>
        </row>
        <row r="74">
          <cell r="B74" t="str">
            <v>Ventura County</v>
          </cell>
          <cell r="C74">
            <v>26405.15</v>
          </cell>
          <cell r="D74">
            <v>61.88</v>
          </cell>
          <cell r="E74">
            <v>0</v>
          </cell>
          <cell r="F74">
            <v>26467.030000000002</v>
          </cell>
        </row>
        <row r="75">
          <cell r="B75" t="str">
            <v>Victor Valley</v>
          </cell>
          <cell r="C75">
            <v>9141.67</v>
          </cell>
          <cell r="D75">
            <v>70.88</v>
          </cell>
          <cell r="E75">
            <v>0</v>
          </cell>
          <cell r="F75">
            <v>9212.5499999999993</v>
          </cell>
        </row>
        <row r="76">
          <cell r="B76" t="str">
            <v>West Hills</v>
          </cell>
          <cell r="C76">
            <v>4934.96</v>
          </cell>
          <cell r="D76">
            <v>346.65</v>
          </cell>
          <cell r="E76">
            <v>0</v>
          </cell>
          <cell r="F76">
            <v>5281.61</v>
          </cell>
        </row>
        <row r="77">
          <cell r="B77" t="str">
            <v>West Kern</v>
          </cell>
          <cell r="C77">
            <v>2519.69</v>
          </cell>
          <cell r="D77">
            <v>44.69</v>
          </cell>
          <cell r="E77">
            <v>0</v>
          </cell>
          <cell r="F77">
            <v>2564.38</v>
          </cell>
        </row>
        <row r="78">
          <cell r="B78" t="str">
            <v>West Valley-Mission</v>
          </cell>
          <cell r="C78">
            <v>12344.34</v>
          </cell>
          <cell r="D78">
            <v>1087.3</v>
          </cell>
          <cell r="E78">
            <v>0</v>
          </cell>
          <cell r="F78">
            <v>13431.64</v>
          </cell>
        </row>
        <row r="79">
          <cell r="B79" t="str">
            <v>Yosemite</v>
          </cell>
          <cell r="C79">
            <v>16226.93</v>
          </cell>
          <cell r="D79">
            <v>175.66</v>
          </cell>
          <cell r="E79">
            <v>168.85</v>
          </cell>
          <cell r="F79">
            <v>16571.439999999999</v>
          </cell>
        </row>
        <row r="80">
          <cell r="B80" t="str">
            <v>Yuba</v>
          </cell>
          <cell r="C80">
            <v>7484.81</v>
          </cell>
          <cell r="D80">
            <v>141.61000000000001</v>
          </cell>
          <cell r="E80">
            <v>0</v>
          </cell>
          <cell r="F80">
            <v>7626.42</v>
          </cell>
        </row>
      </sheetData>
      <sheetData sheetId="9">
        <row r="9">
          <cell r="A9" t="str">
            <v>Allan Hancock</v>
          </cell>
          <cell r="B9">
            <v>610</v>
          </cell>
          <cell r="C9">
            <v>9202.61</v>
          </cell>
          <cell r="D9">
            <v>499.92</v>
          </cell>
          <cell r="E9">
            <v>319.04000000000002</v>
          </cell>
          <cell r="F9">
            <v>8675.32</v>
          </cell>
          <cell r="G9">
            <v>400.21000000000004</v>
          </cell>
          <cell r="H9">
            <v>281.49</v>
          </cell>
          <cell r="I9">
            <v>8675.32</v>
          </cell>
          <cell r="J9">
            <v>400.21000000000004</v>
          </cell>
          <cell r="K9">
            <v>281.49</v>
          </cell>
          <cell r="L9">
            <v>0</v>
          </cell>
          <cell r="M9">
            <v>0</v>
          </cell>
          <cell r="N9">
            <v>0</v>
          </cell>
          <cell r="O9">
            <v>106.5</v>
          </cell>
          <cell r="P9">
            <v>0</v>
          </cell>
          <cell r="Q9">
            <v>425.76</v>
          </cell>
          <cell r="R9">
            <v>8318.8233333333337</v>
          </cell>
        </row>
        <row r="10">
          <cell r="A10" t="str">
            <v>Antelope Valley</v>
          </cell>
          <cell r="B10">
            <v>620</v>
          </cell>
          <cell r="C10">
            <v>10523.45</v>
          </cell>
          <cell r="D10">
            <v>4.5</v>
          </cell>
          <cell r="E10">
            <v>39.28</v>
          </cell>
          <cell r="F10">
            <v>10521.25</v>
          </cell>
          <cell r="G10">
            <v>2.25</v>
          </cell>
          <cell r="H10">
            <v>43.87</v>
          </cell>
          <cell r="I10">
            <v>10521.25</v>
          </cell>
          <cell r="J10">
            <v>2.25</v>
          </cell>
          <cell r="K10">
            <v>43.87</v>
          </cell>
          <cell r="L10"/>
          <cell r="M10"/>
          <cell r="N10"/>
          <cell r="O10">
            <v>8.68</v>
          </cell>
          <cell r="P10">
            <v>0</v>
          </cell>
          <cell r="Q10">
            <v>302.60000000000002</v>
          </cell>
          <cell r="R10">
            <v>10210.703333333333</v>
          </cell>
        </row>
        <row r="11">
          <cell r="A11" t="str">
            <v>Barstow</v>
          </cell>
          <cell r="B11">
            <v>910</v>
          </cell>
          <cell r="C11">
            <v>2565.15</v>
          </cell>
          <cell r="D11">
            <v>17.72</v>
          </cell>
          <cell r="E11">
            <v>0</v>
          </cell>
          <cell r="F11">
            <v>2495.7199999999998</v>
          </cell>
          <cell r="G11">
            <v>87.3</v>
          </cell>
          <cell r="H11">
            <v>0</v>
          </cell>
          <cell r="I11">
            <v>2495.7199999999998</v>
          </cell>
          <cell r="J11">
            <v>87.3</v>
          </cell>
          <cell r="K11">
            <v>0</v>
          </cell>
          <cell r="L11">
            <v>0</v>
          </cell>
          <cell r="M11">
            <v>0</v>
          </cell>
          <cell r="N11">
            <v>0</v>
          </cell>
          <cell r="O11"/>
          <cell r="P11"/>
          <cell r="Q11">
            <v>39.21</v>
          </cell>
          <cell r="R11">
            <v>2479.6533333333332</v>
          </cell>
        </row>
        <row r="12">
          <cell r="A12" t="str">
            <v>Butte-Glenn</v>
          </cell>
          <cell r="B12">
            <v>110</v>
          </cell>
          <cell r="C12">
            <v>8717.92</v>
          </cell>
          <cell r="D12">
            <v>1245.24</v>
          </cell>
          <cell r="E12">
            <v>23.44</v>
          </cell>
          <cell r="F12">
            <v>9189.67</v>
          </cell>
          <cell r="G12">
            <v>1110.7900000000002</v>
          </cell>
          <cell r="H12">
            <v>23.61</v>
          </cell>
          <cell r="I12">
            <v>9189.67</v>
          </cell>
          <cell r="J12">
            <v>1110.7900000000002</v>
          </cell>
          <cell r="K12">
            <v>23.61</v>
          </cell>
          <cell r="L12"/>
          <cell r="M12"/>
          <cell r="N12"/>
          <cell r="O12"/>
          <cell r="P12"/>
          <cell r="Q12">
            <v>172.12</v>
          </cell>
          <cell r="R12">
            <v>8860.2999999999993</v>
          </cell>
        </row>
        <row r="13">
          <cell r="A13" t="str">
            <v>Cabrillo</v>
          </cell>
          <cell r="B13">
            <v>410</v>
          </cell>
          <cell r="C13">
            <v>10208.64</v>
          </cell>
          <cell r="D13">
            <v>181.85999999999999</v>
          </cell>
          <cell r="E13">
            <v>2.96</v>
          </cell>
          <cell r="F13">
            <v>10201.959999999999</v>
          </cell>
          <cell r="G13">
            <v>188.8</v>
          </cell>
          <cell r="H13">
            <v>10</v>
          </cell>
          <cell r="I13">
            <v>10201.959999999999</v>
          </cell>
          <cell r="J13">
            <v>188.8</v>
          </cell>
          <cell r="K13">
            <v>10</v>
          </cell>
          <cell r="L13"/>
          <cell r="M13"/>
          <cell r="N13"/>
          <cell r="O13"/>
          <cell r="P13"/>
          <cell r="Q13">
            <v>300.29000000000002</v>
          </cell>
          <cell r="R13">
            <v>9903.8966666666656</v>
          </cell>
        </row>
        <row r="14">
          <cell r="A14" t="str">
            <v>Cerritos</v>
          </cell>
          <cell r="B14">
            <v>810</v>
          </cell>
          <cell r="C14">
            <v>16303.43</v>
          </cell>
          <cell r="D14">
            <v>138.5</v>
          </cell>
          <cell r="E14">
            <v>279.76</v>
          </cell>
          <cell r="F14">
            <v>16219.65</v>
          </cell>
          <cell r="G14">
            <v>173.13</v>
          </cell>
          <cell r="H14">
            <v>162.31</v>
          </cell>
          <cell r="I14">
            <v>16219.65</v>
          </cell>
          <cell r="J14">
            <v>173.13</v>
          </cell>
          <cell r="K14">
            <v>162.31</v>
          </cell>
          <cell r="L14">
            <v>0</v>
          </cell>
          <cell r="M14">
            <v>0</v>
          </cell>
          <cell r="N14">
            <v>0</v>
          </cell>
          <cell r="O14"/>
          <cell r="P14"/>
          <cell r="Q14">
            <v>81.08</v>
          </cell>
          <cell r="R14">
            <v>16166.496666666668</v>
          </cell>
        </row>
        <row r="15">
          <cell r="A15" t="str">
            <v>Chabot-Las Positas</v>
          </cell>
          <cell r="B15">
            <v>480</v>
          </cell>
          <cell r="C15">
            <v>15460.45</v>
          </cell>
          <cell r="D15">
            <v>164.83</v>
          </cell>
          <cell r="E15">
            <v>0</v>
          </cell>
          <cell r="F15">
            <v>17244.25</v>
          </cell>
          <cell r="G15">
            <v>165.06</v>
          </cell>
          <cell r="H15">
            <v>0</v>
          </cell>
          <cell r="I15">
            <v>17244.25</v>
          </cell>
          <cell r="J15">
            <v>165.06</v>
          </cell>
          <cell r="K15">
            <v>0</v>
          </cell>
          <cell r="L15">
            <v>-8.5000000000000006E-5</v>
          </cell>
          <cell r="M15">
            <v>0</v>
          </cell>
          <cell r="N15">
            <v>0</v>
          </cell>
          <cell r="O15"/>
          <cell r="P15"/>
          <cell r="Q15">
            <v>189.25</v>
          </cell>
          <cell r="R15">
            <v>16460.399914999998</v>
          </cell>
        </row>
        <row r="16">
          <cell r="A16" t="str">
            <v>Chaffey</v>
          </cell>
          <cell r="B16">
            <v>920</v>
          </cell>
          <cell r="C16">
            <v>16000.02</v>
          </cell>
          <cell r="D16">
            <v>385.28</v>
          </cell>
          <cell r="E16">
            <v>0</v>
          </cell>
          <cell r="F16">
            <v>15992.45</v>
          </cell>
          <cell r="G16">
            <v>392.64</v>
          </cell>
          <cell r="H16">
            <v>0</v>
          </cell>
          <cell r="I16">
            <v>15992.45</v>
          </cell>
          <cell r="J16">
            <v>392.64</v>
          </cell>
          <cell r="K16">
            <v>0</v>
          </cell>
          <cell r="L16">
            <v>0</v>
          </cell>
          <cell r="M16">
            <v>0</v>
          </cell>
          <cell r="N16">
            <v>0</v>
          </cell>
          <cell r="O16"/>
          <cell r="P16"/>
          <cell r="Q16">
            <v>131.12</v>
          </cell>
          <cell r="R16">
            <v>15863.853333333333</v>
          </cell>
        </row>
        <row r="17">
          <cell r="A17" t="str">
            <v>Citrus</v>
          </cell>
          <cell r="B17">
            <v>820</v>
          </cell>
          <cell r="C17">
            <v>11468.25</v>
          </cell>
          <cell r="D17">
            <v>219.1</v>
          </cell>
          <cell r="E17" t="str">
            <v xml:space="preserve"> </v>
          </cell>
          <cell r="F17">
            <v>11697.11</v>
          </cell>
          <cell r="G17">
            <v>233.39999999999998</v>
          </cell>
          <cell r="H17">
            <v>92.25</v>
          </cell>
          <cell r="I17">
            <v>11697.11</v>
          </cell>
          <cell r="J17">
            <v>233.39999999999998</v>
          </cell>
          <cell r="K17">
            <v>92.25</v>
          </cell>
          <cell r="L17">
            <v>228.860015</v>
          </cell>
          <cell r="M17">
            <v>14.3</v>
          </cell>
          <cell r="N17">
            <v>-21.590000000000003</v>
          </cell>
          <cell r="O17"/>
          <cell r="P17"/>
          <cell r="Q17">
            <v>129.29</v>
          </cell>
          <cell r="R17">
            <v>11720.393348333333</v>
          </cell>
        </row>
        <row r="18">
          <cell r="A18" t="str">
            <v>Coast</v>
          </cell>
          <cell r="B18">
            <v>830</v>
          </cell>
          <cell r="C18">
            <v>29983.06</v>
          </cell>
          <cell r="D18">
            <v>309.27</v>
          </cell>
          <cell r="E18">
            <v>0</v>
          </cell>
          <cell r="F18">
            <v>32278.67</v>
          </cell>
          <cell r="G18">
            <v>346.88</v>
          </cell>
          <cell r="H18">
            <v>0</v>
          </cell>
          <cell r="I18">
            <v>32278.67</v>
          </cell>
          <cell r="J18">
            <v>346.88</v>
          </cell>
          <cell r="K18">
            <v>0</v>
          </cell>
          <cell r="L18">
            <v>0</v>
          </cell>
          <cell r="M18">
            <v>0</v>
          </cell>
          <cell r="N18">
            <v>0</v>
          </cell>
          <cell r="O18"/>
          <cell r="P18"/>
          <cell r="Q18">
            <v>78.42</v>
          </cell>
          <cell r="R18">
            <v>31435.046666666665</v>
          </cell>
        </row>
        <row r="19">
          <cell r="A19" t="str">
            <v>Compton</v>
          </cell>
          <cell r="B19">
            <v>710</v>
          </cell>
          <cell r="C19">
            <v>5088.51</v>
          </cell>
          <cell r="D19">
            <v>21.28</v>
          </cell>
          <cell r="E19">
            <v>0</v>
          </cell>
          <cell r="F19">
            <v>6186.7</v>
          </cell>
          <cell r="G19">
            <v>14.61</v>
          </cell>
          <cell r="H19">
            <v>0</v>
          </cell>
          <cell r="I19">
            <v>6186.7</v>
          </cell>
          <cell r="J19">
            <v>14.61</v>
          </cell>
          <cell r="K19">
            <v>0</v>
          </cell>
          <cell r="L19">
            <v>148.54598100000001</v>
          </cell>
          <cell r="M19">
            <v>-6.6699999999999982</v>
          </cell>
          <cell r="N19">
            <v>0</v>
          </cell>
          <cell r="O19"/>
          <cell r="P19"/>
          <cell r="Q19">
            <v>167.18</v>
          </cell>
          <cell r="R19">
            <v>5802.0026476666662</v>
          </cell>
        </row>
        <row r="20">
          <cell r="A20" t="str">
            <v>Contra Costa</v>
          </cell>
          <cell r="B20">
            <v>310</v>
          </cell>
          <cell r="C20">
            <v>23962.51</v>
          </cell>
          <cell r="D20">
            <v>153.79</v>
          </cell>
          <cell r="E20">
            <v>0</v>
          </cell>
          <cell r="F20">
            <v>28590.240000000002</v>
          </cell>
          <cell r="G20">
            <v>148.21</v>
          </cell>
          <cell r="H20">
            <v>0</v>
          </cell>
          <cell r="I20">
            <v>28590.240000000002</v>
          </cell>
          <cell r="J20">
            <v>148.21</v>
          </cell>
          <cell r="K20">
            <v>0</v>
          </cell>
          <cell r="L20"/>
          <cell r="M20"/>
          <cell r="N20"/>
          <cell r="O20"/>
          <cell r="P20"/>
          <cell r="Q20">
            <v>583.12</v>
          </cell>
          <cell r="R20">
            <v>26464.543333333335</v>
          </cell>
        </row>
        <row r="21">
          <cell r="A21" t="str">
            <v>Copper Mountain</v>
          </cell>
          <cell r="B21">
            <v>970</v>
          </cell>
          <cell r="C21">
            <v>1318.93</v>
          </cell>
          <cell r="D21">
            <v>91.78</v>
          </cell>
          <cell r="E21">
            <v>3.13</v>
          </cell>
          <cell r="F21">
            <v>1418.56</v>
          </cell>
          <cell r="G21">
            <v>64.89</v>
          </cell>
          <cell r="H21">
            <v>0.54</v>
          </cell>
          <cell r="I21">
            <v>1418.56</v>
          </cell>
          <cell r="J21">
            <v>64.89</v>
          </cell>
          <cell r="K21">
            <v>0.54</v>
          </cell>
          <cell r="L21"/>
          <cell r="M21"/>
          <cell r="N21"/>
          <cell r="O21"/>
          <cell r="P21"/>
          <cell r="Q21">
            <v>3.38</v>
          </cell>
          <cell r="R21">
            <v>1381.9699999999996</v>
          </cell>
        </row>
        <row r="22">
          <cell r="A22" t="str">
            <v>Desert</v>
          </cell>
          <cell r="B22">
            <v>930</v>
          </cell>
          <cell r="C22">
            <v>7758.61</v>
          </cell>
          <cell r="D22">
            <v>40.670000000000073</v>
          </cell>
          <cell r="E22">
            <v>738.4</v>
          </cell>
          <cell r="F22">
            <v>9324.23</v>
          </cell>
          <cell r="G22">
            <v>459.33000000000004</v>
          </cell>
          <cell r="H22">
            <v>353.5</v>
          </cell>
          <cell r="I22">
            <v>9324.23</v>
          </cell>
          <cell r="J22">
            <v>459.33000000000004</v>
          </cell>
          <cell r="K22">
            <v>353.5</v>
          </cell>
          <cell r="L22">
            <v>1043.5708959999999</v>
          </cell>
          <cell r="M22">
            <v>418.66</v>
          </cell>
          <cell r="N22">
            <v>-384.9</v>
          </cell>
          <cell r="O22"/>
          <cell r="P22"/>
          <cell r="Q22">
            <v>45.02</v>
          </cell>
          <cell r="R22">
            <v>9800.9075626666654</v>
          </cell>
        </row>
        <row r="23">
          <cell r="A23" t="str">
            <v>El Camino</v>
          </cell>
          <cell r="B23">
            <v>720</v>
          </cell>
          <cell r="C23">
            <v>17898.23</v>
          </cell>
          <cell r="D23">
            <v>30.3</v>
          </cell>
          <cell r="E23">
            <v>0</v>
          </cell>
          <cell r="F23">
            <v>19599.77</v>
          </cell>
          <cell r="G23">
            <v>43.08</v>
          </cell>
          <cell r="H23">
            <v>0</v>
          </cell>
          <cell r="I23">
            <v>19599.77</v>
          </cell>
          <cell r="J23">
            <v>43.08</v>
          </cell>
          <cell r="K23">
            <v>0</v>
          </cell>
          <cell r="L23">
            <v>141.064031</v>
          </cell>
          <cell r="M23">
            <v>12.78</v>
          </cell>
          <cell r="N23">
            <v>0</v>
          </cell>
          <cell r="O23"/>
          <cell r="P23"/>
          <cell r="Q23">
            <v>221.06</v>
          </cell>
          <cell r="R23">
            <v>18952.594031000001</v>
          </cell>
        </row>
        <row r="24">
          <cell r="A24" t="str">
            <v>Feather River</v>
          </cell>
          <cell r="B24">
            <v>120</v>
          </cell>
          <cell r="C24">
            <v>1580.29</v>
          </cell>
          <cell r="D24">
            <v>33.299999999999997</v>
          </cell>
          <cell r="E24">
            <v>0</v>
          </cell>
          <cell r="F24">
            <v>1568.11</v>
          </cell>
          <cell r="G24">
            <v>46.76</v>
          </cell>
          <cell r="H24">
            <v>0</v>
          </cell>
          <cell r="I24">
            <v>1568.11</v>
          </cell>
          <cell r="J24">
            <v>46.76</v>
          </cell>
          <cell r="K24">
            <v>0</v>
          </cell>
          <cell r="L24">
            <v>0</v>
          </cell>
          <cell r="M24">
            <v>0</v>
          </cell>
          <cell r="N24">
            <v>0</v>
          </cell>
          <cell r="O24">
            <v>273.92</v>
          </cell>
          <cell r="P24">
            <v>0</v>
          </cell>
          <cell r="Q24">
            <v>116.74</v>
          </cell>
          <cell r="R24">
            <v>1181.5099999999998</v>
          </cell>
        </row>
        <row r="25">
          <cell r="A25" t="str">
            <v>Foothill-DeAnza</v>
          </cell>
          <cell r="B25">
            <v>420</v>
          </cell>
          <cell r="C25">
            <v>25518.78</v>
          </cell>
          <cell r="D25">
            <v>264.29000000000002</v>
          </cell>
          <cell r="E25">
            <v>184.45</v>
          </cell>
          <cell r="F25">
            <v>23962.63</v>
          </cell>
          <cell r="G25">
            <v>229.17999999999995</v>
          </cell>
          <cell r="H25">
            <v>289.87</v>
          </cell>
          <cell r="I25">
            <v>23962.63</v>
          </cell>
          <cell r="J25">
            <v>229.17999999999995</v>
          </cell>
          <cell r="K25">
            <v>289.87</v>
          </cell>
          <cell r="L25">
            <v>0</v>
          </cell>
          <cell r="M25">
            <v>0</v>
          </cell>
          <cell r="N25">
            <v>0</v>
          </cell>
          <cell r="O25"/>
          <cell r="P25"/>
          <cell r="Q25">
            <v>693.85</v>
          </cell>
          <cell r="R25">
            <v>23787.49666666667</v>
          </cell>
        </row>
        <row r="26">
          <cell r="A26" t="str">
            <v>Gavilan</v>
          </cell>
          <cell r="B26">
            <v>440</v>
          </cell>
          <cell r="C26">
            <v>4751.6037999999999</v>
          </cell>
          <cell r="D26">
            <v>454.97899999999998</v>
          </cell>
          <cell r="E26">
            <v>114.54</v>
          </cell>
          <cell r="F26">
            <v>4889.18</v>
          </cell>
          <cell r="G26">
            <v>281.08999999999997</v>
          </cell>
          <cell r="H26">
            <v>64.05</v>
          </cell>
          <cell r="I26">
            <v>4889.18</v>
          </cell>
          <cell r="J26">
            <v>281.08999999999997</v>
          </cell>
          <cell r="K26">
            <v>64.05</v>
          </cell>
          <cell r="L26">
            <v>0</v>
          </cell>
          <cell r="M26">
            <v>0</v>
          </cell>
          <cell r="N26">
            <v>0</v>
          </cell>
          <cell r="O26">
            <v>0.54</v>
          </cell>
          <cell r="P26">
            <v>4.3499999999999996</v>
          </cell>
          <cell r="Q26">
            <v>189.75</v>
          </cell>
          <cell r="R26">
            <v>4653.0312666666669</v>
          </cell>
        </row>
        <row r="27">
          <cell r="A27" t="str">
            <v>Glendale</v>
          </cell>
          <cell r="B27">
            <v>730</v>
          </cell>
          <cell r="C27">
            <v>12449.54</v>
          </cell>
          <cell r="D27">
            <v>243.84999999999991</v>
          </cell>
          <cell r="E27">
            <v>2847.21</v>
          </cell>
          <cell r="F27">
            <v>10978.6</v>
          </cell>
          <cell r="G27">
            <v>92.039999999999964</v>
          </cell>
          <cell r="H27">
            <v>2905.03</v>
          </cell>
          <cell r="I27">
            <v>10978.6</v>
          </cell>
          <cell r="J27">
            <v>92.039999999999964</v>
          </cell>
          <cell r="K27">
            <v>2905.03</v>
          </cell>
          <cell r="L27">
            <v>0</v>
          </cell>
          <cell r="M27">
            <v>0</v>
          </cell>
          <cell r="N27">
            <v>0</v>
          </cell>
          <cell r="O27"/>
          <cell r="P27"/>
          <cell r="Q27">
            <v>230.88</v>
          </cell>
          <cell r="R27">
            <v>11238.033333333333</v>
          </cell>
        </row>
        <row r="28">
          <cell r="A28" t="str">
            <v>Grossmont-Cuyamaca</v>
          </cell>
          <cell r="B28" t="str">
            <v>020</v>
          </cell>
          <cell r="C28">
            <v>19064.97</v>
          </cell>
          <cell r="D28">
            <v>20.18</v>
          </cell>
          <cell r="E28">
            <v>0</v>
          </cell>
          <cell r="F28">
            <v>18742.07</v>
          </cell>
          <cell r="G28">
            <v>20.12</v>
          </cell>
          <cell r="H28">
            <v>0</v>
          </cell>
          <cell r="I28">
            <v>18742.07</v>
          </cell>
          <cell r="J28">
            <v>20.12</v>
          </cell>
          <cell r="K28">
            <v>0</v>
          </cell>
          <cell r="L28">
            <v>0</v>
          </cell>
          <cell r="M28">
            <v>0</v>
          </cell>
          <cell r="N28">
            <v>0</v>
          </cell>
          <cell r="O28"/>
          <cell r="P28"/>
          <cell r="Q28">
            <v>317.76</v>
          </cell>
          <cell r="R28">
            <v>18531.943333333336</v>
          </cell>
        </row>
        <row r="29">
          <cell r="A29" t="str">
            <v>Hartnell</v>
          </cell>
          <cell r="B29">
            <v>450</v>
          </cell>
          <cell r="C29">
            <v>7340.36</v>
          </cell>
          <cell r="D29">
            <v>4.43</v>
          </cell>
          <cell r="E29">
            <v>0</v>
          </cell>
          <cell r="F29">
            <v>7357.02</v>
          </cell>
          <cell r="G29">
            <v>1.98</v>
          </cell>
          <cell r="H29">
            <v>0</v>
          </cell>
          <cell r="I29">
            <v>7357.02</v>
          </cell>
          <cell r="J29">
            <v>1.98</v>
          </cell>
          <cell r="K29">
            <v>0</v>
          </cell>
          <cell r="L29">
            <v>16.660097</v>
          </cell>
          <cell r="M29">
            <v>-2.4499999999999997</v>
          </cell>
          <cell r="N29">
            <v>0</v>
          </cell>
          <cell r="O29"/>
          <cell r="P29"/>
          <cell r="Q29">
            <v>33.53</v>
          </cell>
          <cell r="R29">
            <v>7334.5967636666674</v>
          </cell>
        </row>
        <row r="30">
          <cell r="A30" t="str">
            <v>Imperial</v>
          </cell>
          <cell r="B30" t="str">
            <v>030</v>
          </cell>
          <cell r="C30">
            <v>6799.88</v>
          </cell>
          <cell r="D30">
            <v>38.44</v>
          </cell>
          <cell r="E30">
            <v>15.96</v>
          </cell>
          <cell r="F30">
            <v>7131.64</v>
          </cell>
          <cell r="G30">
            <v>55.069999999999993</v>
          </cell>
          <cell r="H30">
            <v>10.31</v>
          </cell>
          <cell r="I30">
            <v>7131.64</v>
          </cell>
          <cell r="J30">
            <v>55.069999999999993</v>
          </cell>
          <cell r="K30">
            <v>10.31</v>
          </cell>
          <cell r="L30">
            <v>320.24991399999999</v>
          </cell>
          <cell r="M30">
            <v>16.63</v>
          </cell>
          <cell r="N30">
            <v>-5.65</v>
          </cell>
          <cell r="O30">
            <v>55.11</v>
          </cell>
          <cell r="P30">
            <v>0</v>
          </cell>
          <cell r="Q30">
            <v>21.49</v>
          </cell>
          <cell r="R30">
            <v>7264.7032473333338</v>
          </cell>
        </row>
        <row r="31">
          <cell r="A31" t="str">
            <v>Kern</v>
          </cell>
          <cell r="B31">
            <v>520</v>
          </cell>
          <cell r="C31">
            <v>21647.559999999998</v>
          </cell>
          <cell r="D31">
            <v>74.239999999999995</v>
          </cell>
          <cell r="E31">
            <v>0</v>
          </cell>
          <cell r="F31">
            <v>22024.59</v>
          </cell>
          <cell r="G31">
            <v>62.23</v>
          </cell>
          <cell r="H31">
            <v>0</v>
          </cell>
          <cell r="I31">
            <v>22024.59</v>
          </cell>
          <cell r="J31">
            <v>62.23</v>
          </cell>
          <cell r="K31">
            <v>0</v>
          </cell>
          <cell r="L31">
            <v>377.03014200000001</v>
          </cell>
          <cell r="M31">
            <v>-12.009999999999998</v>
          </cell>
          <cell r="N31">
            <v>0</v>
          </cell>
          <cell r="O31">
            <v>3.88</v>
          </cell>
          <cell r="P31">
            <v>0</v>
          </cell>
          <cell r="Q31">
            <v>1141.01</v>
          </cell>
          <cell r="R31">
            <v>21131.05347533333</v>
          </cell>
        </row>
        <row r="32">
          <cell r="A32" t="str">
            <v>Lake Tahoe</v>
          </cell>
          <cell r="B32">
            <v>220</v>
          </cell>
          <cell r="C32">
            <v>1663.3</v>
          </cell>
          <cell r="D32">
            <v>56.42</v>
          </cell>
          <cell r="E32">
            <v>14.09</v>
          </cell>
          <cell r="F32">
            <v>1693.78</v>
          </cell>
          <cell r="G32">
            <v>47.43</v>
          </cell>
          <cell r="H32">
            <v>6.64</v>
          </cell>
          <cell r="I32">
            <v>1693.78</v>
          </cell>
          <cell r="J32">
            <v>47.43</v>
          </cell>
          <cell r="K32">
            <v>6.64</v>
          </cell>
          <cell r="L32"/>
          <cell r="M32"/>
          <cell r="N32"/>
          <cell r="O32">
            <v>690.1</v>
          </cell>
          <cell r="P32">
            <v>0</v>
          </cell>
          <cell r="Q32">
            <v>30.88</v>
          </cell>
          <cell r="R32">
            <v>962.63999999999987</v>
          </cell>
        </row>
        <row r="33">
          <cell r="A33" t="str">
            <v>Lassen</v>
          </cell>
          <cell r="B33">
            <v>130</v>
          </cell>
          <cell r="C33">
            <v>1570.57</v>
          </cell>
          <cell r="D33">
            <v>23.93</v>
          </cell>
          <cell r="E33">
            <v>1.62</v>
          </cell>
          <cell r="F33">
            <v>1439.15</v>
          </cell>
          <cell r="G33">
            <v>10.1</v>
          </cell>
          <cell r="H33">
            <v>0.6</v>
          </cell>
          <cell r="I33">
            <v>1439.15</v>
          </cell>
          <cell r="J33">
            <v>10.1</v>
          </cell>
          <cell r="K33">
            <v>0.6</v>
          </cell>
          <cell r="L33">
            <v>0</v>
          </cell>
          <cell r="M33">
            <v>0</v>
          </cell>
          <cell r="N33">
            <v>0</v>
          </cell>
          <cell r="O33">
            <v>497</v>
          </cell>
          <cell r="P33">
            <v>9</v>
          </cell>
          <cell r="Q33">
            <v>35.6</v>
          </cell>
          <cell r="R33">
            <v>950.35666666666691</v>
          </cell>
        </row>
        <row r="34">
          <cell r="A34" t="str">
            <v>Long Beach</v>
          </cell>
          <cell r="B34">
            <v>840</v>
          </cell>
          <cell r="C34">
            <v>20580.63</v>
          </cell>
          <cell r="D34">
            <v>108.51999999999998</v>
          </cell>
          <cell r="E34">
            <v>386.81</v>
          </cell>
          <cell r="F34">
            <v>18347.189999999999</v>
          </cell>
          <cell r="G34">
            <v>-100.16999999999996</v>
          </cell>
          <cell r="H34">
            <v>434.71</v>
          </cell>
          <cell r="I34">
            <v>18347.189999999999</v>
          </cell>
          <cell r="J34">
            <v>-100.16999999999996</v>
          </cell>
          <cell r="K34">
            <v>434.71</v>
          </cell>
          <cell r="L34">
            <v>0</v>
          </cell>
          <cell r="M34">
            <v>0</v>
          </cell>
          <cell r="N34">
            <v>0</v>
          </cell>
          <cell r="O34">
            <v>54.74</v>
          </cell>
          <cell r="P34">
            <v>0</v>
          </cell>
          <cell r="Q34">
            <v>105.44</v>
          </cell>
          <cell r="R34">
            <v>18931.489999999998</v>
          </cell>
        </row>
        <row r="35">
          <cell r="A35" t="str">
            <v>Los Angeles</v>
          </cell>
          <cell r="B35">
            <v>740</v>
          </cell>
          <cell r="C35">
            <v>101333.9319</v>
          </cell>
          <cell r="D35">
            <v>2226.6500000000005</v>
          </cell>
          <cell r="E35">
            <v>4423.7</v>
          </cell>
          <cell r="F35">
            <v>95333.75</v>
          </cell>
          <cell r="G35">
            <v>2211.33</v>
          </cell>
          <cell r="H35">
            <v>4423.7</v>
          </cell>
          <cell r="I35">
            <v>95333.75</v>
          </cell>
          <cell r="J35">
            <v>2211.33</v>
          </cell>
          <cell r="K35">
            <v>4423.7</v>
          </cell>
          <cell r="L35">
            <v>0</v>
          </cell>
          <cell r="M35">
            <v>0</v>
          </cell>
          <cell r="N35">
            <v>0</v>
          </cell>
          <cell r="O35"/>
          <cell r="P35"/>
          <cell r="Q35">
            <v>5149.3999999999996</v>
          </cell>
          <cell r="R35">
            <v>92184.410633333333</v>
          </cell>
        </row>
        <row r="36">
          <cell r="A36" t="str">
            <v>Los Rios</v>
          </cell>
          <cell r="B36">
            <v>230</v>
          </cell>
          <cell r="C36">
            <v>52402.09</v>
          </cell>
          <cell r="D36">
            <v>237.67</v>
          </cell>
          <cell r="E36">
            <v>0</v>
          </cell>
          <cell r="F36">
            <v>44411.43</v>
          </cell>
          <cell r="G36">
            <v>236.63</v>
          </cell>
          <cell r="H36">
            <v>0</v>
          </cell>
          <cell r="I36">
            <v>44411.43</v>
          </cell>
          <cell r="J36">
            <v>236.63</v>
          </cell>
          <cell r="K36">
            <v>0</v>
          </cell>
          <cell r="L36">
            <v>0</v>
          </cell>
          <cell r="M36">
            <v>0</v>
          </cell>
          <cell r="N36">
            <v>0</v>
          </cell>
          <cell r="O36"/>
          <cell r="P36"/>
          <cell r="Q36">
            <v>358.34</v>
          </cell>
          <cell r="R36">
            <v>46716.643333333333</v>
          </cell>
        </row>
        <row r="37">
          <cell r="A37" t="str">
            <v>Marin</v>
          </cell>
          <cell r="B37">
            <v>330</v>
          </cell>
          <cell r="C37">
            <v>3452.66</v>
          </cell>
          <cell r="D37">
            <v>270.67</v>
          </cell>
          <cell r="E37">
            <v>0</v>
          </cell>
          <cell r="F37">
            <v>3319.3</v>
          </cell>
          <cell r="G37">
            <v>247.66</v>
          </cell>
          <cell r="H37">
            <v>0</v>
          </cell>
          <cell r="I37">
            <v>3319.3</v>
          </cell>
          <cell r="J37">
            <v>247.66</v>
          </cell>
          <cell r="K37">
            <v>0</v>
          </cell>
          <cell r="L37">
            <v>0</v>
          </cell>
          <cell r="M37">
            <v>0</v>
          </cell>
          <cell r="N37">
            <v>0</v>
          </cell>
          <cell r="O37"/>
          <cell r="P37"/>
          <cell r="Q37">
            <v>154.85</v>
          </cell>
          <cell r="R37">
            <v>3208.9033333333336</v>
          </cell>
        </row>
        <row r="38">
          <cell r="A38" t="str">
            <v>Mendocino-Lake</v>
          </cell>
          <cell r="B38">
            <v>140</v>
          </cell>
          <cell r="C38">
            <v>2983.31</v>
          </cell>
          <cell r="D38">
            <v>42.12</v>
          </cell>
          <cell r="E38">
            <v>39.6</v>
          </cell>
          <cell r="F38">
            <v>2437.44</v>
          </cell>
          <cell r="G38">
            <v>36.56</v>
          </cell>
          <cell r="H38">
            <v>41.33</v>
          </cell>
          <cell r="I38">
            <v>2437.44</v>
          </cell>
          <cell r="J38">
            <v>36.56</v>
          </cell>
          <cell r="K38">
            <v>41.33</v>
          </cell>
          <cell r="L38">
            <v>0</v>
          </cell>
          <cell r="M38">
            <v>0</v>
          </cell>
          <cell r="N38">
            <v>0</v>
          </cell>
          <cell r="O38"/>
          <cell r="P38"/>
          <cell r="Q38">
            <v>398.58</v>
          </cell>
          <cell r="R38">
            <v>2220.8166666666671</v>
          </cell>
        </row>
        <row r="39">
          <cell r="A39" t="str">
            <v>Merced</v>
          </cell>
          <cell r="B39">
            <v>530</v>
          </cell>
          <cell r="C39">
            <v>8760.98</v>
          </cell>
          <cell r="D39">
            <v>228.52999999999997</v>
          </cell>
          <cell r="E39">
            <v>560.37</v>
          </cell>
          <cell r="F39">
            <v>8471.7999999999993</v>
          </cell>
          <cell r="G39">
            <v>401.9899999999999</v>
          </cell>
          <cell r="H39">
            <v>627.07000000000005</v>
          </cell>
          <cell r="I39">
            <v>8471.7999999999993</v>
          </cell>
          <cell r="J39">
            <v>401.9899999999999</v>
          </cell>
          <cell r="K39">
            <v>627.07000000000005</v>
          </cell>
          <cell r="L39">
            <v>0</v>
          </cell>
          <cell r="M39">
            <v>0</v>
          </cell>
          <cell r="N39">
            <v>0</v>
          </cell>
          <cell r="O39">
            <v>45.26</v>
          </cell>
          <cell r="P39">
            <v>2.82</v>
          </cell>
          <cell r="Q39">
            <v>357.36</v>
          </cell>
          <cell r="R39">
            <v>8165.5733333333328</v>
          </cell>
        </row>
        <row r="40">
          <cell r="A40" t="str">
            <v>Mira Costa</v>
          </cell>
          <cell r="B40" t="str">
            <v>050</v>
          </cell>
          <cell r="C40">
            <v>10299.25</v>
          </cell>
          <cell r="D40">
            <v>782.45</v>
          </cell>
          <cell r="E40">
            <v>0</v>
          </cell>
          <cell r="F40">
            <v>9775.32</v>
          </cell>
          <cell r="G40">
            <v>802.88</v>
          </cell>
          <cell r="H40">
            <v>0</v>
          </cell>
          <cell r="I40">
            <v>9775.32</v>
          </cell>
          <cell r="J40">
            <v>802.88</v>
          </cell>
          <cell r="K40">
            <v>0</v>
          </cell>
          <cell r="L40">
            <v>0</v>
          </cell>
          <cell r="M40">
            <v>0</v>
          </cell>
          <cell r="N40">
            <v>0</v>
          </cell>
          <cell r="O40"/>
          <cell r="P40"/>
          <cell r="Q40">
            <v>151.35</v>
          </cell>
          <cell r="R40">
            <v>9798.6133333333328</v>
          </cell>
        </row>
        <row r="41">
          <cell r="A41" t="str">
            <v>Monterey Peninsula</v>
          </cell>
          <cell r="B41">
            <v>460</v>
          </cell>
          <cell r="C41">
            <v>6258.57</v>
          </cell>
          <cell r="D41">
            <v>355.90000000000003</v>
          </cell>
          <cell r="E41">
            <v>82.58</v>
          </cell>
          <cell r="F41">
            <v>5936.09</v>
          </cell>
          <cell r="G41">
            <v>320.15000000000003</v>
          </cell>
          <cell r="H41">
            <v>44.51</v>
          </cell>
          <cell r="I41">
            <v>5936.09</v>
          </cell>
          <cell r="J41">
            <v>320.15000000000003</v>
          </cell>
          <cell r="K41">
            <v>44.51</v>
          </cell>
          <cell r="L41">
            <v>0</v>
          </cell>
          <cell r="M41">
            <v>0</v>
          </cell>
          <cell r="N41">
            <v>0</v>
          </cell>
          <cell r="O41"/>
          <cell r="P41"/>
          <cell r="Q41">
            <v>96.2</v>
          </cell>
          <cell r="R41">
            <v>5947.3833333333332</v>
          </cell>
        </row>
        <row r="42">
          <cell r="A42" t="str">
            <v>Mt. San Antonio</v>
          </cell>
          <cell r="B42">
            <v>850</v>
          </cell>
          <cell r="C42">
            <v>24240.05</v>
          </cell>
          <cell r="D42">
            <v>1697.1800000000003</v>
          </cell>
          <cell r="E42">
            <v>5080.3999999999996</v>
          </cell>
          <cell r="F42">
            <v>24973.61</v>
          </cell>
          <cell r="G42">
            <v>1476.79</v>
          </cell>
          <cell r="H42">
            <v>6079.31</v>
          </cell>
          <cell r="I42">
            <v>24973.61</v>
          </cell>
          <cell r="J42">
            <v>1476.79</v>
          </cell>
          <cell r="K42">
            <v>6079.31</v>
          </cell>
          <cell r="L42">
            <v>345.71560399999998</v>
          </cell>
          <cell r="M42">
            <v>-220.38999999999987</v>
          </cell>
          <cell r="N42">
            <v>998.91</v>
          </cell>
          <cell r="O42"/>
          <cell r="P42"/>
          <cell r="Q42">
            <v>24.49</v>
          </cell>
          <cell r="R42">
            <v>25050.315603999999</v>
          </cell>
        </row>
        <row r="43">
          <cell r="A43" t="str">
            <v>Mt. San Jacinto</v>
          </cell>
          <cell r="B43">
            <v>940</v>
          </cell>
          <cell r="C43">
            <v>11828.49</v>
          </cell>
          <cell r="D43">
            <v>320.34000000000003</v>
          </cell>
          <cell r="E43">
            <v>271.38</v>
          </cell>
          <cell r="F43">
            <v>10196.040000000001</v>
          </cell>
          <cell r="G43">
            <v>334.35</v>
          </cell>
          <cell r="H43">
            <v>233.49</v>
          </cell>
          <cell r="I43">
            <v>10196.040000000001</v>
          </cell>
          <cell r="J43">
            <v>334.35</v>
          </cell>
          <cell r="K43">
            <v>233.49</v>
          </cell>
          <cell r="L43">
            <v>0</v>
          </cell>
          <cell r="M43">
            <v>0</v>
          </cell>
          <cell r="N43">
            <v>0</v>
          </cell>
          <cell r="O43"/>
          <cell r="P43"/>
          <cell r="Q43">
            <v>99.74</v>
          </cell>
          <cell r="R43">
            <v>10640.45</v>
          </cell>
        </row>
        <row r="44">
          <cell r="A44" t="str">
            <v>Napa Valley</v>
          </cell>
          <cell r="B44">
            <v>240</v>
          </cell>
          <cell r="C44">
            <v>4841</v>
          </cell>
          <cell r="D44">
            <v>453.46</v>
          </cell>
          <cell r="E44">
            <v>11.99</v>
          </cell>
          <cell r="F44">
            <v>4805.87</v>
          </cell>
          <cell r="G44">
            <v>497.49</v>
          </cell>
          <cell r="H44">
            <v>3.05</v>
          </cell>
          <cell r="I44">
            <v>4805.87</v>
          </cell>
          <cell r="J44">
            <v>497.49</v>
          </cell>
          <cell r="K44">
            <v>3.05</v>
          </cell>
          <cell r="L44">
            <v>0</v>
          </cell>
          <cell r="M44">
            <v>0</v>
          </cell>
          <cell r="N44">
            <v>0</v>
          </cell>
          <cell r="O44"/>
          <cell r="P44"/>
          <cell r="Q44">
            <v>129.38999999999999</v>
          </cell>
          <cell r="R44">
            <v>4688.1899999999987</v>
          </cell>
        </row>
        <row r="45">
          <cell r="A45" t="str">
            <v>North Orange County</v>
          </cell>
          <cell r="B45">
            <v>860</v>
          </cell>
          <cell r="C45">
            <v>32051.03</v>
          </cell>
          <cell r="D45">
            <v>2631.7900000000004</v>
          </cell>
          <cell r="E45">
            <v>2565.56</v>
          </cell>
          <cell r="F45">
            <v>27203.35</v>
          </cell>
          <cell r="G45">
            <v>2458.3800000000006</v>
          </cell>
          <cell r="H45">
            <v>2678.43</v>
          </cell>
          <cell r="I45">
            <v>27203.35</v>
          </cell>
          <cell r="J45">
            <v>2458.3800000000006</v>
          </cell>
          <cell r="K45">
            <v>2678.43</v>
          </cell>
          <cell r="L45">
            <v>0</v>
          </cell>
          <cell r="M45">
            <v>0</v>
          </cell>
          <cell r="N45">
            <v>0</v>
          </cell>
          <cell r="O45"/>
          <cell r="P45"/>
          <cell r="Q45">
            <v>195.65</v>
          </cell>
          <cell r="R45">
            <v>28623.593333333331</v>
          </cell>
        </row>
        <row r="46">
          <cell r="A46" t="str">
            <v>Ohlone</v>
          </cell>
          <cell r="B46">
            <v>430</v>
          </cell>
          <cell r="C46">
            <v>8240</v>
          </cell>
          <cell r="D46">
            <v>0</v>
          </cell>
          <cell r="E46">
            <v>0</v>
          </cell>
          <cell r="F46">
            <v>6859.4</v>
          </cell>
          <cell r="G46">
            <v>0</v>
          </cell>
          <cell r="H46">
            <v>0</v>
          </cell>
          <cell r="I46">
            <v>6859.4</v>
          </cell>
          <cell r="J46">
            <v>0</v>
          </cell>
          <cell r="K46">
            <v>0</v>
          </cell>
          <cell r="L46">
            <v>0</v>
          </cell>
          <cell r="M46">
            <v>0</v>
          </cell>
          <cell r="N46">
            <v>0</v>
          </cell>
          <cell r="O46"/>
          <cell r="P46"/>
          <cell r="Q46">
            <v>1307.92</v>
          </cell>
          <cell r="R46">
            <v>6011.6799999999994</v>
          </cell>
        </row>
        <row r="47">
          <cell r="A47" t="str">
            <v>Palo Verde</v>
          </cell>
          <cell r="B47">
            <v>950</v>
          </cell>
          <cell r="C47">
            <v>1957.93</v>
          </cell>
          <cell r="D47">
            <v>21.959999999999994</v>
          </cell>
          <cell r="E47">
            <v>115.11</v>
          </cell>
          <cell r="F47">
            <v>1964.19</v>
          </cell>
          <cell r="G47">
            <v>17.200000000000003</v>
          </cell>
          <cell r="H47">
            <v>89.22</v>
          </cell>
          <cell r="I47">
            <v>1964.19</v>
          </cell>
          <cell r="J47">
            <v>17.200000000000003</v>
          </cell>
          <cell r="K47">
            <v>89.22</v>
          </cell>
          <cell r="L47">
            <v>0</v>
          </cell>
          <cell r="M47">
            <v>0</v>
          </cell>
          <cell r="N47">
            <v>0</v>
          </cell>
          <cell r="O47">
            <v>890.02</v>
          </cell>
          <cell r="P47">
            <v>0</v>
          </cell>
          <cell r="Q47">
            <v>60.31</v>
          </cell>
          <cell r="R47">
            <v>1011.7733333333333</v>
          </cell>
        </row>
        <row r="48">
          <cell r="A48" t="str">
            <v>Palomar</v>
          </cell>
          <cell r="B48" t="str">
            <v>060</v>
          </cell>
          <cell r="C48">
            <v>17424.79</v>
          </cell>
          <cell r="D48">
            <v>289.80999999999995</v>
          </cell>
          <cell r="E48">
            <v>504.25</v>
          </cell>
          <cell r="F48">
            <v>18516.41</v>
          </cell>
          <cell r="G48">
            <v>263.75000000000006</v>
          </cell>
          <cell r="H48">
            <v>424.09</v>
          </cell>
          <cell r="I48">
            <v>18516.41</v>
          </cell>
          <cell r="J48">
            <v>263.75000000000006</v>
          </cell>
          <cell r="K48">
            <v>424.09</v>
          </cell>
          <cell r="L48"/>
          <cell r="M48"/>
          <cell r="N48"/>
          <cell r="O48"/>
          <cell r="P48"/>
          <cell r="Q48">
            <v>453.88</v>
          </cell>
          <cell r="R48">
            <v>17698.656666666666</v>
          </cell>
        </row>
        <row r="49">
          <cell r="A49" t="str">
            <v>Pasadena Area</v>
          </cell>
          <cell r="B49">
            <v>770</v>
          </cell>
          <cell r="C49">
            <v>22765.3</v>
          </cell>
          <cell r="D49">
            <v>166.57000000000016</v>
          </cell>
          <cell r="E49">
            <v>1056.3499999999999</v>
          </cell>
          <cell r="F49">
            <v>22791.18</v>
          </cell>
          <cell r="G49">
            <v>142.49</v>
          </cell>
          <cell r="H49">
            <v>1055.53</v>
          </cell>
          <cell r="I49">
            <v>22791.18</v>
          </cell>
          <cell r="J49">
            <v>142.49</v>
          </cell>
          <cell r="K49">
            <v>1055.53</v>
          </cell>
          <cell r="L49">
            <v>25.879985000000001</v>
          </cell>
          <cell r="M49">
            <v>-24.080000000000155</v>
          </cell>
          <cell r="N49">
            <v>-0.81999999999993634</v>
          </cell>
          <cell r="O49"/>
          <cell r="P49"/>
          <cell r="Q49">
            <v>253.03</v>
          </cell>
          <cell r="R49">
            <v>22555.403318333334</v>
          </cell>
        </row>
        <row r="50">
          <cell r="A50" t="str">
            <v>Peralta</v>
          </cell>
          <cell r="B50">
            <v>340</v>
          </cell>
          <cell r="C50">
            <v>15624.75</v>
          </cell>
          <cell r="D50">
            <v>143.57</v>
          </cell>
          <cell r="E50">
            <v>0</v>
          </cell>
          <cell r="F50">
            <v>18287.72</v>
          </cell>
          <cell r="G50">
            <v>55.48</v>
          </cell>
          <cell r="H50">
            <v>0</v>
          </cell>
          <cell r="I50">
            <v>18287.72</v>
          </cell>
          <cell r="J50">
            <v>55.48</v>
          </cell>
          <cell r="K50">
            <v>0</v>
          </cell>
          <cell r="L50"/>
          <cell r="M50"/>
          <cell r="N50"/>
          <cell r="O50"/>
          <cell r="P50"/>
          <cell r="Q50">
            <v>1093.24</v>
          </cell>
          <cell r="R50">
            <v>16306.823333333336</v>
          </cell>
        </row>
        <row r="51">
          <cell r="A51" t="str">
            <v>Rancho Santiago</v>
          </cell>
          <cell r="B51">
            <v>870</v>
          </cell>
          <cell r="C51">
            <v>21499.15</v>
          </cell>
          <cell r="D51">
            <v>854.65999999999985</v>
          </cell>
          <cell r="E51">
            <v>5163.5</v>
          </cell>
          <cell r="F51">
            <v>23075.73</v>
          </cell>
          <cell r="G51">
            <v>1090.1299999999992</v>
          </cell>
          <cell r="H51">
            <v>5008.5200000000004</v>
          </cell>
          <cell r="I51">
            <v>23075.73</v>
          </cell>
          <cell r="J51">
            <v>1090.1299999999992</v>
          </cell>
          <cell r="K51">
            <v>5008.5200000000004</v>
          </cell>
          <cell r="L51">
            <v>131.44499200000001</v>
          </cell>
          <cell r="M51">
            <v>235.47</v>
          </cell>
          <cell r="N51">
            <v>-154.98000000000047</v>
          </cell>
          <cell r="O51">
            <v>6.72</v>
          </cell>
          <cell r="P51">
            <v>490</v>
          </cell>
          <cell r="Q51">
            <v>1944.53</v>
          </cell>
          <cell r="R51">
            <v>20730.398325333335</v>
          </cell>
        </row>
        <row r="52">
          <cell r="A52" t="str">
            <v>Redwoods</v>
          </cell>
          <cell r="B52">
            <v>160</v>
          </cell>
          <cell r="C52">
            <v>3900.86</v>
          </cell>
          <cell r="D52">
            <v>31.840000000000003</v>
          </cell>
          <cell r="E52">
            <v>85.85</v>
          </cell>
          <cell r="F52">
            <v>3225.5</v>
          </cell>
          <cell r="G52">
            <v>108.49000000000001</v>
          </cell>
          <cell r="H52">
            <v>49.79</v>
          </cell>
          <cell r="I52">
            <v>3225.5</v>
          </cell>
          <cell r="J52">
            <v>108.49000000000001</v>
          </cell>
          <cell r="K52">
            <v>49.79</v>
          </cell>
          <cell r="L52">
            <v>0</v>
          </cell>
          <cell r="M52">
            <v>0</v>
          </cell>
          <cell r="N52">
            <v>0</v>
          </cell>
          <cell r="O52"/>
          <cell r="P52"/>
          <cell r="Q52">
            <v>209.78</v>
          </cell>
          <cell r="R52">
            <v>3240.84</v>
          </cell>
        </row>
        <row r="53">
          <cell r="A53" t="str">
            <v>Rio Hondo</v>
          </cell>
          <cell r="B53">
            <v>880</v>
          </cell>
          <cell r="C53">
            <v>11122.72</v>
          </cell>
          <cell r="D53">
            <v>462.45</v>
          </cell>
          <cell r="E53">
            <v>34.29</v>
          </cell>
          <cell r="F53">
            <v>11877.62</v>
          </cell>
          <cell r="G53">
            <v>269.35000000000002</v>
          </cell>
          <cell r="H53">
            <v>38.4</v>
          </cell>
          <cell r="I53">
            <v>11877.62</v>
          </cell>
          <cell r="J53">
            <v>269.35000000000002</v>
          </cell>
          <cell r="K53">
            <v>38.4</v>
          </cell>
          <cell r="L53"/>
          <cell r="M53"/>
          <cell r="N53"/>
          <cell r="O53"/>
          <cell r="P53"/>
          <cell r="Q53">
            <v>287.68</v>
          </cell>
          <cell r="R53">
            <v>11338.306666666665</v>
          </cell>
        </row>
        <row r="54">
          <cell r="A54" t="str">
            <v>Riverside</v>
          </cell>
          <cell r="B54">
            <v>960</v>
          </cell>
          <cell r="C54">
            <v>29578.89</v>
          </cell>
          <cell r="D54">
            <v>73.45</v>
          </cell>
          <cell r="E54">
            <v>0</v>
          </cell>
          <cell r="F54">
            <v>29234.45</v>
          </cell>
          <cell r="G54">
            <v>92.37</v>
          </cell>
          <cell r="H54">
            <v>0</v>
          </cell>
          <cell r="I54">
            <v>29234.45</v>
          </cell>
          <cell r="J54">
            <v>92.37</v>
          </cell>
          <cell r="K54">
            <v>0</v>
          </cell>
          <cell r="L54">
            <v>0</v>
          </cell>
          <cell r="M54">
            <v>0</v>
          </cell>
          <cell r="N54">
            <v>0</v>
          </cell>
          <cell r="O54"/>
          <cell r="P54"/>
          <cell r="Q54">
            <v>712.52</v>
          </cell>
          <cell r="R54">
            <v>28636.743333333332</v>
          </cell>
        </row>
        <row r="55">
          <cell r="A55" t="str">
            <v>San Bernardino</v>
          </cell>
          <cell r="B55">
            <v>980</v>
          </cell>
          <cell r="C55">
            <v>14114.1</v>
          </cell>
          <cell r="D55">
            <v>139.13</v>
          </cell>
          <cell r="E55">
            <v>0</v>
          </cell>
          <cell r="F55">
            <v>15055.1</v>
          </cell>
          <cell r="G55">
            <v>186.7</v>
          </cell>
          <cell r="H55">
            <v>34.33</v>
          </cell>
          <cell r="I55">
            <v>15055.1</v>
          </cell>
          <cell r="J55">
            <v>186.7</v>
          </cell>
          <cell r="K55">
            <v>34.33</v>
          </cell>
          <cell r="L55">
            <v>0</v>
          </cell>
          <cell r="M55">
            <v>0</v>
          </cell>
          <cell r="N55">
            <v>8.5000000000000006E-5</v>
          </cell>
          <cell r="O55"/>
          <cell r="P55"/>
          <cell r="Q55">
            <v>117.7</v>
          </cell>
          <cell r="R55">
            <v>14623.733333333334</v>
          </cell>
        </row>
        <row r="56">
          <cell r="A56" t="str">
            <v>San Diego</v>
          </cell>
          <cell r="B56" t="str">
            <v>070</v>
          </cell>
          <cell r="C56">
            <v>34927.69</v>
          </cell>
          <cell r="D56">
            <v>2061.91</v>
          </cell>
          <cell r="E56">
            <v>6532.08</v>
          </cell>
          <cell r="F56">
            <v>35650.01</v>
          </cell>
          <cell r="G56">
            <v>2064.4699999999993</v>
          </cell>
          <cell r="H56">
            <v>6326.66</v>
          </cell>
          <cell r="I56">
            <v>35650.01</v>
          </cell>
          <cell r="J56">
            <v>2064.4699999999993</v>
          </cell>
          <cell r="K56">
            <v>6326.66</v>
          </cell>
          <cell r="L56">
            <v>722.31999800000006</v>
          </cell>
          <cell r="M56">
            <v>2.56</v>
          </cell>
          <cell r="N56">
            <v>-205.42000000000007</v>
          </cell>
          <cell r="O56"/>
          <cell r="P56"/>
          <cell r="Q56">
            <v>630.17999999999995</v>
          </cell>
          <cell r="R56">
            <v>35501.37666466667</v>
          </cell>
        </row>
        <row r="57">
          <cell r="A57" t="str">
            <v>San Francisco</v>
          </cell>
          <cell r="B57">
            <v>360</v>
          </cell>
          <cell r="C57">
            <v>14108.98</v>
          </cell>
          <cell r="D57">
            <v>1699.3900000000003</v>
          </cell>
          <cell r="E57">
            <v>4713.1499999999996</v>
          </cell>
          <cell r="F57">
            <v>15867.2</v>
          </cell>
          <cell r="G57">
            <v>2189.5099999999993</v>
          </cell>
          <cell r="H57">
            <v>4179.5200000000004</v>
          </cell>
          <cell r="I57">
            <v>15867.2</v>
          </cell>
          <cell r="J57">
            <v>2189.5099999999993</v>
          </cell>
          <cell r="K57">
            <v>4179.5200000000004</v>
          </cell>
          <cell r="L57"/>
          <cell r="M57"/>
          <cell r="N57"/>
          <cell r="O57">
            <v>3.5900000000000003</v>
          </cell>
          <cell r="P57">
            <v>0</v>
          </cell>
          <cell r="Q57">
            <v>200.11</v>
          </cell>
          <cell r="R57">
            <v>15077.426666666668</v>
          </cell>
        </row>
        <row r="58">
          <cell r="A58" t="str">
            <v>San Joaquin Delta</v>
          </cell>
          <cell r="B58">
            <v>550</v>
          </cell>
          <cell r="C58">
            <v>13337.72</v>
          </cell>
          <cell r="D58">
            <v>175.49</v>
          </cell>
          <cell r="E58">
            <v>0</v>
          </cell>
          <cell r="F58">
            <v>14154.52</v>
          </cell>
          <cell r="G58">
            <v>119.4</v>
          </cell>
          <cell r="H58">
            <v>0</v>
          </cell>
          <cell r="I58">
            <v>14154.52</v>
          </cell>
          <cell r="J58">
            <v>119.4</v>
          </cell>
          <cell r="K58">
            <v>0</v>
          </cell>
          <cell r="L58"/>
          <cell r="M58"/>
          <cell r="N58"/>
          <cell r="O58"/>
          <cell r="P58"/>
          <cell r="Q58">
            <v>425</v>
          </cell>
          <cell r="R58">
            <v>13457.253333333332</v>
          </cell>
        </row>
        <row r="59">
          <cell r="A59" t="str">
            <v>San Jose-Evergreen</v>
          </cell>
          <cell r="B59">
            <v>470</v>
          </cell>
          <cell r="C59">
            <v>11234.88</v>
          </cell>
          <cell r="D59">
            <v>116.72</v>
          </cell>
          <cell r="E59">
            <v>0</v>
          </cell>
          <cell r="F59">
            <v>11684.83</v>
          </cell>
          <cell r="G59">
            <v>217.53</v>
          </cell>
          <cell r="H59">
            <v>0</v>
          </cell>
          <cell r="I59">
            <v>11684.83</v>
          </cell>
          <cell r="J59">
            <v>217.53</v>
          </cell>
          <cell r="K59">
            <v>0</v>
          </cell>
          <cell r="L59">
            <v>0</v>
          </cell>
          <cell r="M59">
            <v>0</v>
          </cell>
          <cell r="N59">
            <v>0</v>
          </cell>
          <cell r="O59"/>
          <cell r="P59"/>
          <cell r="Q59">
            <v>193.38</v>
          </cell>
          <cell r="R59">
            <v>11341.466666666667</v>
          </cell>
        </row>
        <row r="60">
          <cell r="A60" t="str">
            <v>San Luis Obispo County</v>
          </cell>
          <cell r="B60">
            <v>640</v>
          </cell>
          <cell r="C60">
            <v>6739.42</v>
          </cell>
          <cell r="D60">
            <v>149.56</v>
          </cell>
          <cell r="E60">
            <v>239.43</v>
          </cell>
          <cell r="F60">
            <v>7896.74</v>
          </cell>
          <cell r="G60">
            <v>314.42</v>
          </cell>
          <cell r="H60">
            <v>168.43</v>
          </cell>
          <cell r="I60">
            <v>7896.74</v>
          </cell>
          <cell r="J60">
            <v>314.42</v>
          </cell>
          <cell r="K60">
            <v>168.43</v>
          </cell>
          <cell r="L60"/>
          <cell r="M60"/>
          <cell r="N60"/>
          <cell r="O60">
            <v>20.799999999999997</v>
          </cell>
          <cell r="P60">
            <v>1</v>
          </cell>
          <cell r="Q60">
            <v>562.09</v>
          </cell>
          <cell r="R60">
            <v>6928.0766666666668</v>
          </cell>
        </row>
        <row r="61">
          <cell r="A61" t="str">
            <v>San Mateo County</v>
          </cell>
          <cell r="B61">
            <v>370</v>
          </cell>
          <cell r="C61">
            <v>16348.83</v>
          </cell>
          <cell r="D61">
            <v>57.88</v>
          </cell>
          <cell r="E61">
            <v>0</v>
          </cell>
          <cell r="F61">
            <v>15706.3</v>
          </cell>
          <cell r="G61">
            <v>27.36</v>
          </cell>
          <cell r="H61">
            <v>0</v>
          </cell>
          <cell r="I61">
            <v>15706.3</v>
          </cell>
          <cell r="J61">
            <v>27.36</v>
          </cell>
          <cell r="K61">
            <v>0</v>
          </cell>
          <cell r="L61">
            <v>0</v>
          </cell>
          <cell r="M61">
            <v>0</v>
          </cell>
          <cell r="N61">
            <v>0</v>
          </cell>
          <cell r="O61">
            <v>4.5999999999999996</v>
          </cell>
          <cell r="P61">
            <v>0</v>
          </cell>
          <cell r="Q61">
            <v>0</v>
          </cell>
          <cell r="R61">
            <v>15915.876666666663</v>
          </cell>
        </row>
        <row r="62">
          <cell r="A62" t="str">
            <v>Santa Barbara</v>
          </cell>
          <cell r="B62">
            <v>650</v>
          </cell>
          <cell r="C62">
            <v>11805.67</v>
          </cell>
          <cell r="D62">
            <v>2.7400000000000091</v>
          </cell>
          <cell r="E62">
            <v>571.46</v>
          </cell>
          <cell r="F62">
            <v>11636.57</v>
          </cell>
          <cell r="G62">
            <v>194.02999999999997</v>
          </cell>
          <cell r="H62">
            <v>602.75</v>
          </cell>
          <cell r="I62">
            <v>11636.57</v>
          </cell>
          <cell r="J62">
            <v>194.02999999999997</v>
          </cell>
          <cell r="K62">
            <v>602.75</v>
          </cell>
          <cell r="L62">
            <v>0</v>
          </cell>
          <cell r="M62">
            <v>0</v>
          </cell>
          <cell r="N62">
            <v>0</v>
          </cell>
          <cell r="O62"/>
          <cell r="P62"/>
          <cell r="Q62">
            <v>709.2</v>
          </cell>
          <cell r="R62">
            <v>10983.736666666666</v>
          </cell>
        </row>
        <row r="63">
          <cell r="A63" t="str">
            <v>Santa Clarita</v>
          </cell>
          <cell r="B63">
            <v>660</v>
          </cell>
          <cell r="C63">
            <v>16098.7</v>
          </cell>
          <cell r="D63">
            <v>221.51999999999998</v>
          </cell>
          <cell r="E63">
            <v>123.86</v>
          </cell>
          <cell r="F63">
            <v>16286.88</v>
          </cell>
          <cell r="G63">
            <v>264.94</v>
          </cell>
          <cell r="H63">
            <v>139.44</v>
          </cell>
          <cell r="I63">
            <v>16286.88</v>
          </cell>
          <cell r="J63">
            <v>264.94</v>
          </cell>
          <cell r="K63">
            <v>139.44</v>
          </cell>
          <cell r="L63">
            <v>188.17998600000001</v>
          </cell>
          <cell r="M63">
            <v>43.42</v>
          </cell>
          <cell r="N63">
            <v>15.58</v>
          </cell>
          <cell r="O63">
            <v>2.39</v>
          </cell>
          <cell r="P63">
            <v>0</v>
          </cell>
          <cell r="Q63">
            <v>675.39</v>
          </cell>
          <cell r="R63">
            <v>15734.553319333336</v>
          </cell>
        </row>
        <row r="64">
          <cell r="A64" t="str">
            <v>Santa Monica</v>
          </cell>
          <cell r="B64">
            <v>780</v>
          </cell>
          <cell r="C64">
            <v>22257.88</v>
          </cell>
          <cell r="D64">
            <v>584.5</v>
          </cell>
          <cell r="E64">
            <v>167.47</v>
          </cell>
          <cell r="F64">
            <v>18011.22</v>
          </cell>
          <cell r="G64">
            <v>581.1099999999999</v>
          </cell>
          <cell r="H64">
            <v>184.07</v>
          </cell>
          <cell r="I64">
            <v>18011.22</v>
          </cell>
          <cell r="J64">
            <v>581.1099999999999</v>
          </cell>
          <cell r="K64">
            <v>184.07</v>
          </cell>
          <cell r="L64">
            <v>0</v>
          </cell>
          <cell r="M64">
            <v>0</v>
          </cell>
          <cell r="N64">
            <v>0</v>
          </cell>
          <cell r="O64"/>
          <cell r="P64"/>
          <cell r="Q64">
            <v>247.18</v>
          </cell>
          <cell r="R64">
            <v>19179.593333333334</v>
          </cell>
        </row>
        <row r="65">
          <cell r="A65" t="str">
            <v>Sequoias</v>
          </cell>
          <cell r="B65">
            <v>560</v>
          </cell>
          <cell r="C65">
            <v>9141.48</v>
          </cell>
          <cell r="D65">
            <v>392.17</v>
          </cell>
          <cell r="E65">
            <v>166.56</v>
          </cell>
          <cell r="F65">
            <v>9777.77</v>
          </cell>
          <cell r="G65">
            <v>147.99000000000004</v>
          </cell>
          <cell r="H65">
            <v>194.98</v>
          </cell>
          <cell r="I65">
            <v>9777.77</v>
          </cell>
          <cell r="J65">
            <v>147.99000000000004</v>
          </cell>
          <cell r="K65">
            <v>194.98</v>
          </cell>
          <cell r="L65">
            <v>636.28990799999997</v>
          </cell>
          <cell r="M65">
            <v>-244.18000000000004</v>
          </cell>
          <cell r="N65">
            <v>28.42</v>
          </cell>
          <cell r="O65"/>
          <cell r="P65"/>
          <cell r="Q65">
            <v>335.52</v>
          </cell>
          <cell r="R65">
            <v>9866.4432413333343</v>
          </cell>
        </row>
        <row r="66">
          <cell r="A66" t="str">
            <v>Shasta-Tehama-Trinity</v>
          </cell>
          <cell r="B66">
            <v>170</v>
          </cell>
          <cell r="C66">
            <v>7040.15</v>
          </cell>
          <cell r="D66">
            <v>148.20999999999998</v>
          </cell>
          <cell r="E66">
            <v>34.700000000000003</v>
          </cell>
          <cell r="F66">
            <v>6465.6</v>
          </cell>
          <cell r="G66">
            <v>146.86000000000001</v>
          </cell>
          <cell r="H66">
            <v>23.61</v>
          </cell>
          <cell r="I66">
            <v>6465.6</v>
          </cell>
          <cell r="J66">
            <v>146.86000000000001</v>
          </cell>
          <cell r="K66">
            <v>23.61</v>
          </cell>
          <cell r="L66">
            <v>0</v>
          </cell>
          <cell r="M66">
            <v>0</v>
          </cell>
          <cell r="N66">
            <v>0</v>
          </cell>
          <cell r="O66"/>
          <cell r="P66"/>
          <cell r="Q66">
            <v>618.34</v>
          </cell>
          <cell r="R66">
            <v>6038.7766666666657</v>
          </cell>
        </row>
        <row r="67">
          <cell r="A67" t="str">
            <v>Sierra</v>
          </cell>
          <cell r="B67">
            <v>270</v>
          </cell>
          <cell r="C67">
            <v>12366.82</v>
          </cell>
          <cell r="D67">
            <v>274.82</v>
          </cell>
          <cell r="E67">
            <v>0</v>
          </cell>
          <cell r="F67">
            <v>14581.81</v>
          </cell>
          <cell r="G67">
            <v>309.97000000000003</v>
          </cell>
          <cell r="H67">
            <v>0</v>
          </cell>
          <cell r="I67">
            <v>14581.81</v>
          </cell>
          <cell r="J67">
            <v>309.97000000000003</v>
          </cell>
          <cell r="K67">
            <v>0</v>
          </cell>
          <cell r="L67">
            <v>0</v>
          </cell>
          <cell r="M67">
            <v>17.963000999999998</v>
          </cell>
          <cell r="N67">
            <v>0</v>
          </cell>
          <cell r="O67"/>
          <cell r="P67"/>
          <cell r="Q67">
            <v>214.52</v>
          </cell>
          <cell r="R67">
            <v>13628.959999999997</v>
          </cell>
        </row>
        <row r="68">
          <cell r="A68" t="str">
            <v>Siskiyou</v>
          </cell>
          <cell r="B68">
            <v>180</v>
          </cell>
          <cell r="C68">
            <v>1935.64</v>
          </cell>
          <cell r="D68">
            <v>58.110000000000007</v>
          </cell>
          <cell r="E68">
            <v>505.14</v>
          </cell>
          <cell r="F68">
            <v>1764.55</v>
          </cell>
          <cell r="G68">
            <v>69.439999999999941</v>
          </cell>
          <cell r="H68">
            <v>633.72</v>
          </cell>
          <cell r="I68">
            <v>1764.55</v>
          </cell>
          <cell r="J68">
            <v>69.439999999999941</v>
          </cell>
          <cell r="K68">
            <v>633.72</v>
          </cell>
          <cell r="L68">
            <v>0</v>
          </cell>
          <cell r="M68">
            <v>0</v>
          </cell>
          <cell r="N68">
            <v>0</v>
          </cell>
          <cell r="O68"/>
          <cell r="P68"/>
          <cell r="Q68">
            <v>94.43</v>
          </cell>
          <cell r="R68">
            <v>1727.1499999999999</v>
          </cell>
        </row>
        <row r="69">
          <cell r="A69" t="str">
            <v>Solano County</v>
          </cell>
          <cell r="B69">
            <v>280</v>
          </cell>
          <cell r="C69">
            <v>6447.52</v>
          </cell>
          <cell r="D69">
            <v>37.479999999999997</v>
          </cell>
          <cell r="E69">
            <v>0</v>
          </cell>
          <cell r="F69">
            <v>7804.82</v>
          </cell>
          <cell r="G69">
            <v>82.65</v>
          </cell>
          <cell r="H69">
            <v>0</v>
          </cell>
          <cell r="I69">
            <v>7804.82</v>
          </cell>
          <cell r="J69">
            <v>82.65</v>
          </cell>
          <cell r="K69">
            <v>0</v>
          </cell>
          <cell r="L69">
            <v>-4.5000000000000003E-5</v>
          </cell>
          <cell r="M69">
            <v>0</v>
          </cell>
          <cell r="N69">
            <v>0</v>
          </cell>
          <cell r="O69">
            <v>91.04</v>
          </cell>
          <cell r="P69"/>
          <cell r="Q69">
            <v>266.87</v>
          </cell>
          <cell r="R69">
            <v>6994.4766216666667</v>
          </cell>
        </row>
        <row r="70">
          <cell r="A70" t="str">
            <v>Sonoma County</v>
          </cell>
          <cell r="B70">
            <v>260</v>
          </cell>
          <cell r="C70">
            <v>13615.21</v>
          </cell>
          <cell r="D70">
            <v>2409.2799999999997</v>
          </cell>
          <cell r="E70">
            <v>567.70000000000005</v>
          </cell>
          <cell r="F70">
            <v>16259.95</v>
          </cell>
          <cell r="G70">
            <v>2501.7799999999997</v>
          </cell>
          <cell r="H70">
            <v>688.72</v>
          </cell>
          <cell r="I70">
            <v>16259.95</v>
          </cell>
          <cell r="J70">
            <v>2501.7799999999997</v>
          </cell>
          <cell r="K70">
            <v>688.72</v>
          </cell>
          <cell r="L70">
            <v>-9.0000000000000006E-5</v>
          </cell>
          <cell r="M70">
            <v>0</v>
          </cell>
          <cell r="N70">
            <v>0</v>
          </cell>
          <cell r="O70">
            <v>4.75</v>
          </cell>
          <cell r="P70"/>
          <cell r="Q70">
            <v>418.19</v>
          </cell>
          <cell r="R70">
            <v>14955.429910000001</v>
          </cell>
        </row>
        <row r="71">
          <cell r="A71" t="str">
            <v>South Orange County</v>
          </cell>
          <cell r="B71">
            <v>890</v>
          </cell>
          <cell r="C71">
            <v>24706.37</v>
          </cell>
          <cell r="D71">
            <v>2243.09</v>
          </cell>
          <cell r="E71">
            <v>415.98</v>
          </cell>
          <cell r="F71">
            <v>23859.46</v>
          </cell>
          <cell r="G71">
            <v>1992.56</v>
          </cell>
          <cell r="H71">
            <v>895.35</v>
          </cell>
          <cell r="I71">
            <v>23859.46</v>
          </cell>
          <cell r="J71">
            <v>1992.56</v>
          </cell>
          <cell r="K71">
            <v>895.35</v>
          </cell>
          <cell r="L71">
            <v>0</v>
          </cell>
          <cell r="M71">
            <v>0</v>
          </cell>
          <cell r="N71">
            <v>0</v>
          </cell>
          <cell r="O71"/>
          <cell r="P71"/>
          <cell r="Q71">
            <v>593.07000000000005</v>
          </cell>
          <cell r="R71">
            <v>23548.693333333336</v>
          </cell>
        </row>
        <row r="72">
          <cell r="A72" t="str">
            <v>Southwestern</v>
          </cell>
          <cell r="B72" t="str">
            <v>090</v>
          </cell>
          <cell r="C72">
            <v>15625.79</v>
          </cell>
          <cell r="D72">
            <v>212.31</v>
          </cell>
          <cell r="E72">
            <v>38.97</v>
          </cell>
          <cell r="F72">
            <v>14258.01</v>
          </cell>
          <cell r="G72">
            <v>219.45000000000002</v>
          </cell>
          <cell r="H72">
            <v>22.54</v>
          </cell>
          <cell r="I72">
            <v>14258.01</v>
          </cell>
          <cell r="J72">
            <v>219.45000000000002</v>
          </cell>
          <cell r="K72">
            <v>22.54</v>
          </cell>
          <cell r="L72">
            <v>0</v>
          </cell>
          <cell r="M72">
            <v>0</v>
          </cell>
          <cell r="N72">
            <v>0</v>
          </cell>
          <cell r="O72">
            <v>28.75</v>
          </cell>
          <cell r="P72">
            <v>1.59</v>
          </cell>
          <cell r="Q72">
            <v>154.74</v>
          </cell>
          <cell r="R72">
            <v>14530.446666666669</v>
          </cell>
        </row>
        <row r="73">
          <cell r="A73" t="str">
            <v>State Center</v>
          </cell>
          <cell r="B73">
            <v>570</v>
          </cell>
          <cell r="C73">
            <v>26963.42</v>
          </cell>
          <cell r="D73">
            <v>231.00000000000003</v>
          </cell>
          <cell r="E73">
            <v>129.6</v>
          </cell>
          <cell r="F73">
            <v>29709.97</v>
          </cell>
          <cell r="G73">
            <v>232.39999999999998</v>
          </cell>
          <cell r="H73">
            <v>138.11000000000001</v>
          </cell>
          <cell r="I73">
            <v>29709.97</v>
          </cell>
          <cell r="J73">
            <v>232.39999999999998</v>
          </cell>
          <cell r="K73">
            <v>138.11000000000001</v>
          </cell>
          <cell r="L73">
            <v>892.223479</v>
          </cell>
          <cell r="M73">
            <v>1.4</v>
          </cell>
          <cell r="N73">
            <v>8.51</v>
          </cell>
          <cell r="O73"/>
          <cell r="P73"/>
          <cell r="Q73">
            <v>951.28</v>
          </cell>
          <cell r="R73">
            <v>28735.396812333336</v>
          </cell>
        </row>
        <row r="74">
          <cell r="A74" t="str">
            <v>Ventura County</v>
          </cell>
          <cell r="B74">
            <v>680</v>
          </cell>
          <cell r="C74">
            <v>25334.639999999999</v>
          </cell>
          <cell r="D74">
            <v>72.23</v>
          </cell>
          <cell r="E74">
            <v>0</v>
          </cell>
          <cell r="F74">
            <v>26033.83</v>
          </cell>
          <cell r="G74">
            <v>35.590000000000003</v>
          </cell>
          <cell r="H74">
            <v>1.69</v>
          </cell>
          <cell r="I74">
            <v>26033.83</v>
          </cell>
          <cell r="J74">
            <v>35.590000000000003</v>
          </cell>
          <cell r="K74">
            <v>1.69</v>
          </cell>
          <cell r="L74"/>
          <cell r="M74"/>
          <cell r="N74"/>
          <cell r="O74"/>
          <cell r="P74"/>
          <cell r="Q74">
            <v>592.75</v>
          </cell>
          <cell r="R74">
            <v>25208.016666666666</v>
          </cell>
        </row>
        <row r="75">
          <cell r="A75" t="str">
            <v>Victor Valley</v>
          </cell>
          <cell r="B75">
            <v>990</v>
          </cell>
          <cell r="C75">
            <v>9420.2099999999991</v>
          </cell>
          <cell r="D75">
            <v>54.72</v>
          </cell>
          <cell r="E75">
            <v>0</v>
          </cell>
          <cell r="F75">
            <v>9561.1299999999992</v>
          </cell>
          <cell r="G75">
            <v>60.35</v>
          </cell>
          <cell r="H75">
            <v>0</v>
          </cell>
          <cell r="I75">
            <v>9561.1299999999992</v>
          </cell>
          <cell r="J75">
            <v>60.35</v>
          </cell>
          <cell r="K75">
            <v>0</v>
          </cell>
          <cell r="L75">
            <v>140.920174</v>
          </cell>
          <cell r="M75">
            <v>5.63</v>
          </cell>
          <cell r="N75">
            <v>0</v>
          </cell>
          <cell r="O75"/>
          <cell r="P75"/>
          <cell r="Q75">
            <v>994.72</v>
          </cell>
          <cell r="R75">
            <v>8660.3568406666654</v>
          </cell>
        </row>
        <row r="76">
          <cell r="A76" t="str">
            <v>West Hills</v>
          </cell>
          <cell r="B76">
            <v>580</v>
          </cell>
          <cell r="C76">
            <v>5148.68</v>
          </cell>
          <cell r="D76">
            <v>351.55</v>
          </cell>
          <cell r="E76">
            <v>0</v>
          </cell>
          <cell r="F76">
            <v>5314.78</v>
          </cell>
          <cell r="G76">
            <v>325.97000000000003</v>
          </cell>
          <cell r="H76">
            <v>0</v>
          </cell>
          <cell r="I76">
            <v>5314.78</v>
          </cell>
          <cell r="J76">
            <v>325.97000000000003</v>
          </cell>
          <cell r="K76">
            <v>0</v>
          </cell>
          <cell r="L76">
            <v>166.10009099999999</v>
          </cell>
          <cell r="M76">
            <v>-25.579999999999927</v>
          </cell>
          <cell r="N76">
            <v>0</v>
          </cell>
          <cell r="O76"/>
          <cell r="P76"/>
          <cell r="Q76">
            <v>340.41</v>
          </cell>
          <cell r="R76">
            <v>5085.1034243333334</v>
          </cell>
        </row>
        <row r="77">
          <cell r="A77" t="str">
            <v>West Kern</v>
          </cell>
          <cell r="B77">
            <v>690</v>
          </cell>
          <cell r="C77">
            <v>2609.58</v>
          </cell>
          <cell r="D77">
            <v>31.34</v>
          </cell>
          <cell r="E77">
            <v>0</v>
          </cell>
          <cell r="F77">
            <v>2830.14</v>
          </cell>
          <cell r="G77">
            <v>0</v>
          </cell>
          <cell r="H77">
            <v>0</v>
          </cell>
          <cell r="I77">
            <v>2830.14</v>
          </cell>
          <cell r="J77">
            <v>0</v>
          </cell>
          <cell r="K77">
            <v>0</v>
          </cell>
          <cell r="L77">
            <v>220.55996099999999</v>
          </cell>
          <cell r="M77">
            <v>-31.34</v>
          </cell>
          <cell r="N77">
            <v>0</v>
          </cell>
          <cell r="O77">
            <v>58.7</v>
          </cell>
          <cell r="P77"/>
          <cell r="Q77">
            <v>17.57</v>
          </cell>
          <cell r="R77">
            <v>2900.9099609999994</v>
          </cell>
        </row>
        <row r="78">
          <cell r="A78" t="str">
            <v>West Valley-Mission</v>
          </cell>
          <cell r="B78">
            <v>490</v>
          </cell>
          <cell r="C78">
            <v>11784.29</v>
          </cell>
          <cell r="D78">
            <v>1030.44</v>
          </cell>
          <cell r="E78">
            <v>0</v>
          </cell>
          <cell r="F78">
            <v>11983</v>
          </cell>
          <cell r="G78">
            <v>768.55</v>
          </cell>
          <cell r="H78">
            <v>0</v>
          </cell>
          <cell r="I78">
            <v>11983</v>
          </cell>
          <cell r="J78">
            <v>768.55</v>
          </cell>
          <cell r="K78">
            <v>0</v>
          </cell>
          <cell r="L78"/>
          <cell r="M78"/>
          <cell r="N78"/>
          <cell r="O78"/>
          <cell r="P78"/>
          <cell r="Q78">
            <v>293.69</v>
          </cell>
          <cell r="R78">
            <v>11623.073333333334</v>
          </cell>
        </row>
        <row r="79">
          <cell r="A79" t="str">
            <v>Yosemite</v>
          </cell>
          <cell r="B79">
            <v>590</v>
          </cell>
          <cell r="C79">
            <v>15038.76</v>
          </cell>
          <cell r="D79">
            <v>203.32999999999998</v>
          </cell>
          <cell r="E79">
            <v>186.56</v>
          </cell>
          <cell r="F79">
            <v>16104.22</v>
          </cell>
          <cell r="G79">
            <v>267.94</v>
          </cell>
          <cell r="H79">
            <v>204.07</v>
          </cell>
          <cell r="I79">
            <v>16104.22</v>
          </cell>
          <cell r="J79">
            <v>267.94</v>
          </cell>
          <cell r="K79">
            <v>204.07</v>
          </cell>
          <cell r="L79">
            <v>4.8999999999999998E-5</v>
          </cell>
          <cell r="M79">
            <v>0</v>
          </cell>
          <cell r="N79">
            <v>0</v>
          </cell>
          <cell r="O79">
            <v>32.369999999999997</v>
          </cell>
          <cell r="P79"/>
          <cell r="Q79">
            <v>209.8</v>
          </cell>
          <cell r="R79">
            <v>15506.896715666666</v>
          </cell>
        </row>
        <row r="80">
          <cell r="A80" t="str">
            <v>Yuba</v>
          </cell>
          <cell r="B80">
            <v>290</v>
          </cell>
          <cell r="C80">
            <v>7446.38</v>
          </cell>
          <cell r="D80">
            <v>179.63</v>
          </cell>
          <cell r="E80">
            <v>0</v>
          </cell>
          <cell r="F80">
            <v>7487.06</v>
          </cell>
          <cell r="G80">
            <v>138.94</v>
          </cell>
          <cell r="H80">
            <v>0</v>
          </cell>
          <cell r="I80">
            <v>7487.06</v>
          </cell>
          <cell r="J80">
            <v>138.94</v>
          </cell>
          <cell r="K80">
            <v>0</v>
          </cell>
          <cell r="L80"/>
          <cell r="M80"/>
          <cell r="N80"/>
          <cell r="O80"/>
          <cell r="P80"/>
          <cell r="Q80">
            <v>338.58</v>
          </cell>
          <cell r="R80">
            <v>7134.92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pageSetUpPr fitToPage="1"/>
  </sheetPr>
  <dimension ref="A1:T48"/>
  <sheetViews>
    <sheetView zoomScale="96" zoomScaleNormal="96" workbookViewId="0">
      <selection activeCell="W9" sqref="W9"/>
    </sheetView>
  </sheetViews>
  <sheetFormatPr defaultColWidth="9" defaultRowHeight="15" x14ac:dyDescent="0.25"/>
  <cols>
    <col min="1" max="1" width="9" style="48"/>
    <col min="2" max="6" width="9" style="48" customWidth="1"/>
    <col min="7" max="8" width="12.42578125" style="48" customWidth="1"/>
    <col min="9" max="13" width="9" style="48" customWidth="1"/>
    <col min="14" max="15" width="12.42578125" style="48" customWidth="1"/>
    <col min="16" max="20" width="9" style="48" customWidth="1"/>
    <col min="21" max="16384" width="9" style="48"/>
  </cols>
  <sheetData>
    <row r="1" spans="1:15" ht="18.75" x14ac:dyDescent="0.3">
      <c r="A1" s="80" t="s">
        <v>19</v>
      </c>
    </row>
    <row r="2" spans="1:15" ht="18.75" x14ac:dyDescent="0.3">
      <c r="A2" s="80" t="s">
        <v>93</v>
      </c>
    </row>
    <row r="3" spans="1:15" x14ac:dyDescent="0.25">
      <c r="A3" s="161"/>
    </row>
    <row r="4" spans="1:15" x14ac:dyDescent="0.25">
      <c r="A4" s="172" t="s">
        <v>112</v>
      </c>
    </row>
    <row r="5" spans="1:15" x14ac:dyDescent="0.25">
      <c r="A5" s="172" t="s">
        <v>168</v>
      </c>
    </row>
    <row r="12" spans="1:15" x14ac:dyDescent="0.25">
      <c r="G12" s="523" t="s">
        <v>149</v>
      </c>
      <c r="H12" s="523"/>
      <c r="N12" s="523" t="s">
        <v>153</v>
      </c>
      <c r="O12" s="523"/>
    </row>
    <row r="14" spans="1:15" x14ac:dyDescent="0.25">
      <c r="G14" s="523" t="s">
        <v>150</v>
      </c>
      <c r="H14" s="523"/>
      <c r="N14" s="523" t="s">
        <v>154</v>
      </c>
      <c r="O14" s="523"/>
    </row>
    <row r="18" spans="1:20" x14ac:dyDescent="0.25">
      <c r="B18" s="524">
        <f>10100/14689</f>
        <v>0.68758935257675813</v>
      </c>
      <c r="C18" s="524"/>
      <c r="D18" s="163"/>
      <c r="E18" s="524">
        <f>1-B18</f>
        <v>0.31241064742324187</v>
      </c>
      <c r="F18" s="524"/>
      <c r="G18" s="163"/>
      <c r="H18" s="163"/>
      <c r="I18" s="524">
        <f>10302/15029</f>
        <v>0.68547474881894999</v>
      </c>
      <c r="J18" s="524"/>
      <c r="K18" s="163"/>
      <c r="L18" s="524">
        <f>1-I18</f>
        <v>0.31452525118105001</v>
      </c>
      <c r="M18" s="524"/>
      <c r="O18" s="163"/>
      <c r="P18" s="524">
        <f>10611/15598</f>
        <v>0.68027952301577121</v>
      </c>
      <c r="Q18" s="524"/>
      <c r="R18" s="163"/>
      <c r="S18" s="524">
        <f>1-P18</f>
        <v>0.31972047698422879</v>
      </c>
      <c r="T18" s="524"/>
    </row>
    <row r="19" spans="1:20" x14ac:dyDescent="0.25">
      <c r="B19" s="164"/>
      <c r="C19" s="164"/>
      <c r="D19" s="165"/>
      <c r="E19" s="164"/>
      <c r="F19" s="164"/>
      <c r="G19" s="165"/>
      <c r="H19" s="165"/>
      <c r="I19" s="164"/>
      <c r="J19" s="164"/>
      <c r="K19" s="165"/>
      <c r="L19" s="164"/>
      <c r="M19" s="164"/>
      <c r="O19" s="165"/>
      <c r="P19" s="164"/>
      <c r="Q19" s="164"/>
      <c r="R19" s="165"/>
      <c r="S19" s="164"/>
      <c r="T19" s="164"/>
    </row>
    <row r="20" spans="1:20" x14ac:dyDescent="0.25">
      <c r="A20" s="173" t="s">
        <v>113</v>
      </c>
      <c r="B20" s="174"/>
      <c r="C20" s="174"/>
      <c r="D20" s="174"/>
      <c r="E20" s="174"/>
      <c r="F20" s="174"/>
      <c r="G20" s="174"/>
      <c r="H20" s="174"/>
      <c r="I20" s="174"/>
      <c r="J20" s="174"/>
      <c r="K20" s="174"/>
      <c r="L20" s="174"/>
      <c r="M20" s="174"/>
      <c r="N20" s="174"/>
      <c r="O20" s="174"/>
      <c r="P20" s="174"/>
      <c r="Q20" s="174"/>
      <c r="R20" s="174"/>
      <c r="S20" s="174"/>
      <c r="T20" s="174"/>
    </row>
    <row r="21" spans="1:20" x14ac:dyDescent="0.25">
      <c r="A21" s="173" t="s">
        <v>169</v>
      </c>
      <c r="B21" s="174"/>
      <c r="C21" s="174"/>
      <c r="D21" s="174"/>
      <c r="E21" s="174"/>
      <c r="F21" s="174"/>
      <c r="G21" s="174"/>
      <c r="H21" s="174"/>
      <c r="I21" s="174"/>
      <c r="J21" s="174"/>
      <c r="K21" s="174"/>
      <c r="L21" s="174"/>
      <c r="M21" s="174"/>
      <c r="N21" s="174"/>
      <c r="O21" s="174"/>
      <c r="P21" s="174"/>
      <c r="Q21" s="174"/>
      <c r="R21" s="174"/>
      <c r="S21" s="174"/>
      <c r="T21" s="174"/>
    </row>
    <row r="22" spans="1:20" x14ac:dyDescent="0.25">
      <c r="A22" s="173"/>
      <c r="B22" s="174"/>
      <c r="C22" s="174"/>
      <c r="D22" s="174"/>
      <c r="E22" s="174"/>
      <c r="F22" s="174"/>
      <c r="G22" s="174"/>
      <c r="H22" s="174"/>
      <c r="I22" s="174"/>
      <c r="K22" s="174"/>
      <c r="L22" s="174"/>
      <c r="M22" s="174"/>
      <c r="N22" s="174"/>
      <c r="O22" s="174"/>
      <c r="P22" s="174"/>
      <c r="Q22" s="174"/>
      <c r="R22" s="174"/>
      <c r="S22" s="174"/>
      <c r="T22" s="174"/>
    </row>
    <row r="23" spans="1:20" x14ac:dyDescent="0.25">
      <c r="A23" s="174"/>
      <c r="B23" s="174"/>
      <c r="C23" s="174"/>
      <c r="D23" s="174"/>
      <c r="E23" s="174"/>
      <c r="F23" s="174"/>
      <c r="G23" s="174"/>
      <c r="H23" s="174"/>
      <c r="I23" s="174"/>
      <c r="J23" s="174"/>
      <c r="K23" s="174"/>
      <c r="L23" s="174"/>
      <c r="M23" s="174"/>
      <c r="N23" s="174"/>
      <c r="O23" s="174"/>
      <c r="P23" s="174"/>
      <c r="Q23" s="174"/>
      <c r="R23" s="174"/>
      <c r="S23" s="174"/>
      <c r="T23" s="174"/>
    </row>
    <row r="24" spans="1:20" x14ac:dyDescent="0.25">
      <c r="A24" s="174"/>
      <c r="B24" s="174"/>
      <c r="C24" s="174"/>
      <c r="D24" s="174"/>
      <c r="E24" s="174"/>
      <c r="F24" s="174"/>
      <c r="G24" s="174"/>
      <c r="H24" s="174"/>
      <c r="I24" s="174"/>
      <c r="J24" s="174"/>
      <c r="K24" s="174"/>
      <c r="L24" s="174"/>
      <c r="M24" s="174"/>
      <c r="N24" s="174"/>
      <c r="O24" s="174"/>
      <c r="P24" s="174"/>
      <c r="Q24" s="174"/>
      <c r="R24" s="174"/>
      <c r="S24" s="174"/>
      <c r="T24" s="174"/>
    </row>
    <row r="25" spans="1:20" x14ac:dyDescent="0.25">
      <c r="A25" s="174"/>
      <c r="B25" s="174"/>
      <c r="C25" s="174"/>
      <c r="D25" s="174"/>
      <c r="E25" s="174"/>
      <c r="F25" s="174"/>
      <c r="G25" s="174"/>
      <c r="H25" s="174"/>
      <c r="I25" s="174"/>
      <c r="J25" s="174"/>
      <c r="K25" s="174"/>
      <c r="L25" s="174"/>
      <c r="M25" s="174"/>
      <c r="N25" s="174"/>
      <c r="O25" s="174"/>
      <c r="P25" s="174"/>
      <c r="Q25" s="174"/>
      <c r="R25" s="174"/>
      <c r="S25" s="174"/>
      <c r="T25" s="174"/>
    </row>
    <row r="26" spans="1:20" x14ac:dyDescent="0.25">
      <c r="A26" s="174"/>
      <c r="B26" s="174"/>
      <c r="C26" s="174"/>
      <c r="D26" s="174"/>
      <c r="E26" s="174"/>
      <c r="F26" s="174"/>
      <c r="G26" s="174"/>
      <c r="H26" s="174"/>
      <c r="I26" s="174"/>
      <c r="J26" s="174"/>
      <c r="K26" s="174"/>
      <c r="L26" s="174"/>
      <c r="M26" s="174"/>
      <c r="N26" s="174"/>
      <c r="O26" s="174"/>
      <c r="P26" s="174"/>
      <c r="Q26" s="174"/>
      <c r="R26" s="174"/>
      <c r="S26" s="174"/>
      <c r="T26" s="174"/>
    </row>
    <row r="27" spans="1:20" x14ac:dyDescent="0.25">
      <c r="A27" s="174"/>
      <c r="B27" s="174"/>
      <c r="C27" s="174"/>
      <c r="D27" s="174"/>
      <c r="E27" s="174"/>
      <c r="F27" s="174"/>
      <c r="G27" s="174"/>
      <c r="H27" s="174"/>
      <c r="I27" s="174"/>
      <c r="J27" s="174"/>
      <c r="K27" s="174"/>
      <c r="L27" s="174"/>
      <c r="M27" s="522" t="s">
        <v>174</v>
      </c>
      <c r="N27" s="522"/>
      <c r="O27" s="522"/>
      <c r="P27" s="174"/>
      <c r="Q27" s="174"/>
      <c r="R27" s="174"/>
      <c r="S27" s="174"/>
      <c r="T27" s="174"/>
    </row>
    <row r="28" spans="1:20" x14ac:dyDescent="0.25">
      <c r="A28" s="174"/>
      <c r="B28" s="174"/>
      <c r="C28" s="174"/>
      <c r="D28" s="174"/>
      <c r="E28" s="174"/>
      <c r="F28" s="174"/>
      <c r="G28" s="175" t="s">
        <v>94</v>
      </c>
      <c r="H28" s="175"/>
      <c r="I28" s="174"/>
      <c r="J28" s="174"/>
      <c r="K28" s="174"/>
      <c r="L28" s="174"/>
      <c r="P28" s="174"/>
      <c r="Q28" s="174"/>
      <c r="R28" s="174"/>
      <c r="S28" s="174"/>
      <c r="T28" s="174"/>
    </row>
    <row r="29" spans="1:20" x14ac:dyDescent="0.25">
      <c r="A29" s="174"/>
      <c r="B29" s="174"/>
      <c r="C29" s="174"/>
      <c r="D29" s="174"/>
      <c r="E29" s="174"/>
      <c r="F29" s="174"/>
      <c r="G29" s="174"/>
      <c r="H29" s="174"/>
      <c r="I29" s="174"/>
      <c r="J29" s="174"/>
      <c r="K29" s="174"/>
      <c r="L29" s="174"/>
      <c r="M29" s="174"/>
      <c r="N29" s="174"/>
      <c r="O29" s="174"/>
      <c r="P29" s="174"/>
      <c r="Q29" s="174"/>
      <c r="R29" s="174"/>
      <c r="S29" s="174"/>
      <c r="T29" s="174"/>
    </row>
    <row r="30" spans="1:20" x14ac:dyDescent="0.25">
      <c r="A30" s="174"/>
      <c r="B30" s="174"/>
      <c r="C30" s="174"/>
      <c r="D30" s="174"/>
      <c r="E30" s="174"/>
      <c r="F30" s="174"/>
      <c r="G30" s="174"/>
      <c r="H30" s="174"/>
      <c r="I30" s="174"/>
      <c r="J30" s="174"/>
      <c r="K30" s="174"/>
      <c r="L30" s="174"/>
      <c r="M30" s="174"/>
      <c r="N30" s="174"/>
      <c r="O30" s="174"/>
      <c r="P30" s="174"/>
      <c r="Q30" s="174"/>
      <c r="R30" s="174"/>
      <c r="S30" s="174"/>
      <c r="T30" s="174"/>
    </row>
    <row r="31" spans="1:20" x14ac:dyDescent="0.25">
      <c r="A31" s="174"/>
      <c r="B31" s="174"/>
      <c r="C31" s="174"/>
      <c r="D31" s="174"/>
      <c r="E31" s="174"/>
      <c r="F31" s="174"/>
      <c r="G31" s="174"/>
      <c r="H31" s="174"/>
      <c r="I31" s="174"/>
      <c r="J31" s="174"/>
      <c r="K31" s="174"/>
      <c r="L31" s="174"/>
      <c r="M31" s="174"/>
      <c r="N31" s="174"/>
      <c r="O31" s="174"/>
      <c r="P31" s="174"/>
      <c r="Q31" s="174"/>
      <c r="R31" s="174"/>
      <c r="S31" s="174"/>
      <c r="T31" s="174"/>
    </row>
    <row r="32" spans="1:20" x14ac:dyDescent="0.25">
      <c r="A32" s="174"/>
      <c r="B32" s="174"/>
      <c r="C32" s="174"/>
      <c r="D32" s="174"/>
      <c r="E32" s="174"/>
      <c r="F32" s="174"/>
      <c r="G32" s="174"/>
      <c r="H32" s="174"/>
      <c r="I32" s="174"/>
      <c r="J32" s="174"/>
      <c r="K32" s="174"/>
      <c r="L32" s="174"/>
      <c r="M32" s="174"/>
      <c r="N32" s="174"/>
      <c r="O32" s="174"/>
      <c r="P32" s="174"/>
      <c r="Q32" s="174"/>
      <c r="R32" s="174"/>
      <c r="S32" s="174"/>
      <c r="T32" s="174"/>
    </row>
    <row r="33" spans="1:20" x14ac:dyDescent="0.25">
      <c r="A33" s="174"/>
      <c r="B33" s="174"/>
      <c r="C33" s="174"/>
      <c r="D33" s="174"/>
      <c r="E33" s="174"/>
      <c r="F33" s="174"/>
      <c r="G33" s="174"/>
      <c r="H33" s="174"/>
      <c r="I33" s="174"/>
      <c r="J33" s="174"/>
      <c r="K33" s="174"/>
      <c r="L33" s="174"/>
      <c r="M33" s="174"/>
      <c r="N33" s="174"/>
      <c r="O33" s="174"/>
      <c r="P33" s="174"/>
      <c r="Q33" s="174"/>
      <c r="R33" s="174"/>
      <c r="S33" s="174"/>
      <c r="T33" s="174"/>
    </row>
    <row r="34" spans="1:20" x14ac:dyDescent="0.25">
      <c r="A34" s="174"/>
      <c r="B34" s="174"/>
      <c r="C34" s="174"/>
      <c r="D34" s="174"/>
      <c r="E34" s="174"/>
      <c r="F34" s="174"/>
      <c r="G34" s="174"/>
      <c r="H34" s="174"/>
      <c r="I34" s="174"/>
      <c r="J34" s="174"/>
      <c r="K34" s="174"/>
      <c r="L34" s="174"/>
      <c r="M34" s="174"/>
      <c r="N34" s="174"/>
      <c r="O34" s="174"/>
      <c r="P34" s="174"/>
      <c r="Q34" s="174"/>
      <c r="R34" s="174"/>
      <c r="S34" s="174"/>
      <c r="T34" s="174"/>
    </row>
    <row r="35" spans="1:20" x14ac:dyDescent="0.25">
      <c r="A35" s="174"/>
      <c r="B35" s="174"/>
      <c r="C35" s="174"/>
      <c r="D35" s="174"/>
      <c r="E35" s="174"/>
      <c r="F35" s="522" t="s">
        <v>175</v>
      </c>
      <c r="G35" s="522"/>
      <c r="H35" s="522"/>
      <c r="I35" s="175"/>
      <c r="J35" s="174"/>
      <c r="K35" s="174"/>
      <c r="L35" s="174"/>
      <c r="M35" s="522" t="s">
        <v>176</v>
      </c>
      <c r="N35" s="522"/>
      <c r="O35" s="522"/>
      <c r="P35" s="175"/>
      <c r="Q35" s="174"/>
      <c r="R35" s="174"/>
      <c r="S35" s="174"/>
      <c r="T35" s="174"/>
    </row>
    <row r="36" spans="1:20" x14ac:dyDescent="0.25">
      <c r="A36" s="174"/>
      <c r="B36" s="174"/>
      <c r="C36" s="174"/>
      <c r="D36" s="174"/>
      <c r="E36" s="174"/>
      <c r="F36" s="174"/>
      <c r="G36" s="174"/>
      <c r="H36" s="174"/>
      <c r="I36" s="174"/>
      <c r="J36" s="174"/>
      <c r="K36" s="174"/>
      <c r="L36" s="174"/>
      <c r="M36" s="174"/>
      <c r="N36" s="174"/>
      <c r="O36" s="174"/>
      <c r="P36" s="174"/>
      <c r="Q36" s="174"/>
      <c r="R36" s="174"/>
      <c r="S36" s="174"/>
      <c r="T36" s="174"/>
    </row>
    <row r="37" spans="1:20" x14ac:dyDescent="0.25">
      <c r="A37" s="174"/>
      <c r="B37" s="174"/>
      <c r="C37" s="174"/>
      <c r="D37" s="174"/>
      <c r="E37" s="174"/>
      <c r="F37" s="174"/>
      <c r="G37" s="174"/>
      <c r="H37" s="174"/>
      <c r="I37" s="174"/>
      <c r="J37" s="174"/>
      <c r="K37" s="174"/>
      <c r="L37" s="174"/>
      <c r="M37" s="174"/>
      <c r="N37" s="174"/>
      <c r="O37" s="174"/>
      <c r="P37" s="174"/>
      <c r="Q37" s="174"/>
      <c r="R37" s="174"/>
      <c r="S37" s="174"/>
      <c r="T37" s="174"/>
    </row>
    <row r="38" spans="1:20" x14ac:dyDescent="0.25">
      <c r="A38" s="174"/>
      <c r="B38" s="174"/>
      <c r="C38" s="174"/>
      <c r="D38" s="174"/>
      <c r="E38" s="174"/>
      <c r="F38" s="174"/>
      <c r="G38" s="174"/>
      <c r="H38" s="174"/>
      <c r="I38" s="174"/>
      <c r="J38" s="174"/>
      <c r="K38" s="174"/>
      <c r="L38" s="174"/>
      <c r="M38" s="174"/>
      <c r="N38" s="174"/>
      <c r="O38" s="174"/>
      <c r="P38" s="174"/>
      <c r="Q38" s="174"/>
      <c r="R38" s="174"/>
      <c r="S38" s="174"/>
      <c r="T38" s="174"/>
    </row>
    <row r="39" spans="1:20" x14ac:dyDescent="0.25">
      <c r="A39" s="174"/>
      <c r="B39" s="174"/>
      <c r="C39" s="174"/>
      <c r="D39" s="174"/>
      <c r="E39" s="174"/>
      <c r="F39" s="174"/>
      <c r="G39" s="174"/>
      <c r="H39" s="174"/>
      <c r="I39" s="174"/>
      <c r="J39" s="174"/>
      <c r="K39" s="174"/>
      <c r="L39" s="174"/>
      <c r="M39" s="174"/>
      <c r="N39" s="174"/>
      <c r="O39" s="174"/>
      <c r="P39" s="174"/>
      <c r="Q39" s="174"/>
      <c r="R39" s="174"/>
      <c r="S39" s="174"/>
      <c r="T39" s="174"/>
    </row>
    <row r="40" spans="1:20" x14ac:dyDescent="0.25">
      <c r="A40" s="174"/>
      <c r="B40" s="174"/>
      <c r="C40" s="179" t="s">
        <v>152</v>
      </c>
      <c r="D40" s="174"/>
      <c r="E40" s="174"/>
      <c r="F40" s="174"/>
      <c r="G40" s="174"/>
      <c r="H40" s="174"/>
      <c r="I40" s="174"/>
      <c r="J40" s="179" t="s">
        <v>151</v>
      </c>
      <c r="K40" s="174"/>
      <c r="L40" s="174"/>
      <c r="M40" s="174"/>
      <c r="O40" s="179" t="s">
        <v>151</v>
      </c>
      <c r="P40" s="174"/>
      <c r="R40" s="174"/>
      <c r="S40" s="174"/>
      <c r="T40" s="174"/>
    </row>
    <row r="41" spans="1:20" x14ac:dyDescent="0.25">
      <c r="A41" s="174"/>
      <c r="B41" s="174"/>
      <c r="C41" s="174"/>
      <c r="D41" s="174"/>
      <c r="E41" s="174"/>
      <c r="F41" s="174"/>
      <c r="G41" s="174"/>
      <c r="H41" s="174"/>
      <c r="I41" s="174"/>
      <c r="J41" s="174"/>
      <c r="K41" s="174"/>
      <c r="L41" s="174"/>
      <c r="M41" s="174"/>
      <c r="N41" s="174"/>
      <c r="O41" s="174"/>
      <c r="P41" s="174"/>
      <c r="Q41" s="174"/>
      <c r="R41" s="174"/>
      <c r="S41" s="174"/>
      <c r="T41" s="174"/>
    </row>
    <row r="42" spans="1:20" x14ac:dyDescent="0.25">
      <c r="A42" s="174"/>
      <c r="B42" s="174"/>
      <c r="C42" s="174"/>
      <c r="D42" s="174"/>
      <c r="E42" s="174"/>
      <c r="F42" s="174"/>
      <c r="G42" s="174"/>
      <c r="H42" s="174"/>
      <c r="I42" s="174"/>
      <c r="J42" s="174"/>
      <c r="K42" s="174"/>
      <c r="L42" s="174"/>
      <c r="M42" s="174"/>
      <c r="N42" s="174"/>
      <c r="O42" s="174"/>
      <c r="P42" s="174"/>
      <c r="Q42" s="174"/>
      <c r="R42" s="174"/>
      <c r="S42" s="174"/>
      <c r="T42" s="174"/>
    </row>
    <row r="43" spans="1:20" x14ac:dyDescent="0.25">
      <c r="A43" s="176"/>
      <c r="B43" s="177">
        <f>10100/13845</f>
        <v>0.72950523654749011</v>
      </c>
      <c r="C43" s="178" t="s">
        <v>177</v>
      </c>
      <c r="D43" s="176"/>
      <c r="E43" s="177">
        <f>1-B43</f>
        <v>0.27049476345250989</v>
      </c>
      <c r="F43" s="178" t="s">
        <v>178</v>
      </c>
      <c r="G43" s="176"/>
      <c r="H43" s="176"/>
      <c r="I43" s="177">
        <f>10302/14568</f>
        <v>0.70716639209225696</v>
      </c>
      <c r="J43" s="178" t="s">
        <v>177</v>
      </c>
      <c r="K43" s="176"/>
      <c r="L43" s="177">
        <f>1-I43</f>
        <v>0.29283360790774304</v>
      </c>
      <c r="M43" s="178" t="s">
        <v>178</v>
      </c>
      <c r="N43" s="174"/>
      <c r="O43" s="176"/>
      <c r="P43" s="177">
        <f>10508/15142</f>
        <v>0.69396380927222301</v>
      </c>
      <c r="Q43" s="178" t="s">
        <v>177</v>
      </c>
      <c r="R43" s="176"/>
      <c r="S43" s="177">
        <f>1-P43</f>
        <v>0.30603619072777699</v>
      </c>
      <c r="T43" s="178" t="s">
        <v>178</v>
      </c>
    </row>
    <row r="45" spans="1:20" x14ac:dyDescent="0.25">
      <c r="A45" s="207" t="s">
        <v>72</v>
      </c>
      <c r="B45" s="204"/>
      <c r="C45" s="205"/>
      <c r="D45" s="205"/>
      <c r="E45" s="205"/>
      <c r="F45" s="206"/>
      <c r="G45" s="205"/>
      <c r="H45" s="207"/>
    </row>
    <row r="46" spans="1:20" ht="14.25" customHeight="1" x14ac:dyDescent="0.25">
      <c r="A46" s="216" t="s">
        <v>172</v>
      </c>
      <c r="B46" s="215"/>
      <c r="C46" s="215"/>
      <c r="D46" s="215"/>
      <c r="E46" s="215"/>
      <c r="F46" s="215"/>
      <c r="G46" s="215"/>
      <c r="H46" s="215"/>
    </row>
    <row r="47" spans="1:20" ht="14.25" customHeight="1" x14ac:dyDescent="0.25">
      <c r="A47" s="216" t="s">
        <v>179</v>
      </c>
      <c r="B47" s="216"/>
      <c r="C47" s="216"/>
      <c r="D47" s="216"/>
      <c r="E47" s="216"/>
      <c r="F47" s="216"/>
      <c r="G47" s="216"/>
      <c r="H47" s="216"/>
      <c r="I47" s="214"/>
      <c r="J47" s="214"/>
      <c r="K47" s="214"/>
      <c r="L47" s="214"/>
      <c r="M47" s="214"/>
      <c r="N47" s="214"/>
      <c r="O47" s="214"/>
      <c r="P47" s="214"/>
      <c r="Q47" s="214"/>
      <c r="R47" s="214"/>
      <c r="S47" s="214"/>
      <c r="T47" s="214"/>
    </row>
    <row r="48" spans="1:20" ht="14.25" customHeight="1" x14ac:dyDescent="0.25">
      <c r="A48" s="216"/>
      <c r="B48" s="216"/>
      <c r="C48" s="216"/>
      <c r="D48" s="216"/>
      <c r="E48" s="216"/>
      <c r="F48" s="216"/>
      <c r="G48" s="216"/>
      <c r="H48" s="216"/>
    </row>
  </sheetData>
  <mergeCells count="13">
    <mergeCell ref="P18:Q18"/>
    <mergeCell ref="S18:T18"/>
    <mergeCell ref="N12:O12"/>
    <mergeCell ref="N14:O14"/>
    <mergeCell ref="M35:O35"/>
    <mergeCell ref="M27:O27"/>
    <mergeCell ref="L18:M18"/>
    <mergeCell ref="F35:H35"/>
    <mergeCell ref="G12:H12"/>
    <mergeCell ref="B18:C18"/>
    <mergeCell ref="E18:F18"/>
    <mergeCell ref="I18:J18"/>
    <mergeCell ref="G14:H14"/>
  </mergeCells>
  <printOptions horizontalCentered="1"/>
  <pageMargins left="0.25" right="0.25" top="0.5" bottom="0.5" header="0.3" footer="0.3"/>
  <pageSetup paperSize="5" scale="78"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outlinePr summaryBelow="0" summaryRight="0"/>
  </sheetPr>
  <dimension ref="A1:M5416"/>
  <sheetViews>
    <sheetView showGridLines="0" workbookViewId="0">
      <pane ySplit="3" topLeftCell="A4" activePane="bottomLeft" state="frozen"/>
      <selection pane="bottomLeft" activeCell="D61" sqref="D61"/>
    </sheetView>
  </sheetViews>
  <sheetFormatPr defaultRowHeight="15" outlineLevelRow="1" x14ac:dyDescent="0.25"/>
  <cols>
    <col min="1" max="1" width="3.5703125" style="322" customWidth="1"/>
    <col min="2" max="2" width="71.140625" style="322" customWidth="1"/>
    <col min="3" max="6" width="15.140625" style="322" customWidth="1"/>
    <col min="7" max="7" width="0" style="322" hidden="1" customWidth="1"/>
    <col min="8" max="10" width="9.140625" style="322"/>
    <col min="11" max="11" width="23.140625" style="322" customWidth="1"/>
    <col min="12" max="12" width="12.5703125" style="322" customWidth="1"/>
    <col min="13" max="13" width="11.5703125" style="322" bestFit="1" customWidth="1"/>
    <col min="14" max="16384" width="9.140625" style="322"/>
  </cols>
  <sheetData>
    <row r="1" spans="1:6" ht="27" customHeight="1" x14ac:dyDescent="0.25">
      <c r="A1" s="564" t="s">
        <v>274</v>
      </c>
      <c r="B1" s="565"/>
      <c r="C1" s="565"/>
      <c r="D1" s="565"/>
      <c r="E1" s="565"/>
      <c r="F1" s="565"/>
    </row>
    <row r="2" spans="1:6" ht="4.5" customHeight="1" x14ac:dyDescent="0.25"/>
    <row r="3" spans="1:6" ht="18" customHeight="1" x14ac:dyDescent="0.25">
      <c r="A3" s="566" t="s">
        <v>275</v>
      </c>
      <c r="B3" s="561"/>
      <c r="C3" s="561"/>
      <c r="D3" s="561"/>
      <c r="E3" s="561"/>
      <c r="F3" s="561"/>
    </row>
    <row r="4" spans="1:6" ht="2.25" customHeight="1" x14ac:dyDescent="0.25"/>
    <row r="5" spans="1:6" ht="24.75" x14ac:dyDescent="0.25">
      <c r="A5" s="567" t="s">
        <v>276</v>
      </c>
      <c r="B5" s="565"/>
      <c r="C5" s="290" t="s">
        <v>277</v>
      </c>
      <c r="D5" s="290" t="s">
        <v>278</v>
      </c>
      <c r="E5" s="290" t="s">
        <v>279</v>
      </c>
      <c r="F5" s="290" t="s">
        <v>280</v>
      </c>
    </row>
    <row r="6" spans="1:6" x14ac:dyDescent="0.25">
      <c r="A6" s="563" t="s">
        <v>281</v>
      </c>
      <c r="B6" s="561"/>
      <c r="C6" s="323" t="s">
        <v>282</v>
      </c>
      <c r="D6" s="323" t="s">
        <v>282</v>
      </c>
      <c r="E6" s="323" t="s">
        <v>282</v>
      </c>
      <c r="F6" s="323" t="s">
        <v>282</v>
      </c>
    </row>
    <row r="7" spans="1:6" collapsed="1" x14ac:dyDescent="0.25">
      <c r="A7" s="560" t="s">
        <v>283</v>
      </c>
      <c r="B7" s="561"/>
      <c r="C7" s="292">
        <v>322792</v>
      </c>
      <c r="D7" s="293">
        <v>165143</v>
      </c>
      <c r="E7" s="293">
        <v>-157649</v>
      </c>
      <c r="F7" s="294" t="s">
        <v>284</v>
      </c>
    </row>
    <row r="8" spans="1:6" hidden="1" outlineLevel="1" collapsed="1" x14ac:dyDescent="0.25">
      <c r="A8" s="321" t="s">
        <v>282</v>
      </c>
      <c r="B8" s="321" t="s">
        <v>285</v>
      </c>
      <c r="C8" s="293">
        <v>205930</v>
      </c>
      <c r="D8" s="293">
        <v>0</v>
      </c>
      <c r="E8" s="293">
        <v>-205930</v>
      </c>
      <c r="F8" s="294" t="s">
        <v>286</v>
      </c>
    </row>
    <row r="9" spans="1:6" hidden="1" outlineLevel="1" collapsed="1" x14ac:dyDescent="0.25">
      <c r="A9" s="321" t="s">
        <v>282</v>
      </c>
      <c r="B9" s="321" t="s">
        <v>287</v>
      </c>
      <c r="C9" s="293">
        <v>104862</v>
      </c>
      <c r="D9" s="293">
        <v>165143</v>
      </c>
      <c r="E9" s="293">
        <v>60281</v>
      </c>
      <c r="F9" s="294" t="s">
        <v>288</v>
      </c>
    </row>
    <row r="10" spans="1:6" hidden="1" outlineLevel="1" collapsed="1" x14ac:dyDescent="0.25">
      <c r="A10" s="321" t="s">
        <v>282</v>
      </c>
      <c r="B10" s="321" t="s">
        <v>289</v>
      </c>
      <c r="C10" s="293">
        <v>12000</v>
      </c>
      <c r="D10" s="293">
        <v>0</v>
      </c>
      <c r="E10" s="293">
        <v>-12000</v>
      </c>
      <c r="F10" s="294" t="s">
        <v>286</v>
      </c>
    </row>
    <row r="11" spans="1:6" collapsed="1" x14ac:dyDescent="0.25">
      <c r="A11" s="560" t="s">
        <v>290</v>
      </c>
      <c r="B11" s="561"/>
      <c r="C11" s="292">
        <v>49605286.159999996</v>
      </c>
      <c r="D11" s="293">
        <v>59982335.159999996</v>
      </c>
      <c r="E11" s="293">
        <v>10377049</v>
      </c>
      <c r="F11" s="294" t="s">
        <v>1928</v>
      </c>
    </row>
    <row r="12" spans="1:6" hidden="1" outlineLevel="1" collapsed="1" x14ac:dyDescent="0.25">
      <c r="A12" s="321" t="s">
        <v>282</v>
      </c>
      <c r="B12" s="321" t="s">
        <v>292</v>
      </c>
      <c r="C12" s="293">
        <v>32792177</v>
      </c>
      <c r="D12" s="293">
        <v>33192656</v>
      </c>
      <c r="E12" s="293">
        <v>400479</v>
      </c>
      <c r="F12" s="294" t="s">
        <v>1929</v>
      </c>
    </row>
    <row r="13" spans="1:6" hidden="1" outlineLevel="1" collapsed="1" x14ac:dyDescent="0.25">
      <c r="A13" s="321" t="s">
        <v>282</v>
      </c>
      <c r="B13" s="321" t="s">
        <v>294</v>
      </c>
      <c r="C13" s="293">
        <v>192116</v>
      </c>
      <c r="D13" s="293">
        <v>0</v>
      </c>
      <c r="E13" s="293">
        <v>-192116</v>
      </c>
      <c r="F13" s="294" t="s">
        <v>286</v>
      </c>
    </row>
    <row r="14" spans="1:6" hidden="1" outlineLevel="1" collapsed="1" x14ac:dyDescent="0.25">
      <c r="A14" s="321" t="s">
        <v>282</v>
      </c>
      <c r="B14" s="321" t="s">
        <v>295</v>
      </c>
      <c r="C14" s="293">
        <v>215528</v>
      </c>
      <c r="D14" s="293">
        <v>221229</v>
      </c>
      <c r="E14" s="293">
        <v>5701</v>
      </c>
      <c r="F14" s="294" t="s">
        <v>1868</v>
      </c>
    </row>
    <row r="15" spans="1:6" hidden="1" outlineLevel="1" collapsed="1" x14ac:dyDescent="0.25">
      <c r="A15" s="321" t="s">
        <v>282</v>
      </c>
      <c r="B15" s="321" t="s">
        <v>297</v>
      </c>
      <c r="C15" s="293">
        <v>0</v>
      </c>
      <c r="D15" s="293">
        <v>8950827</v>
      </c>
      <c r="E15" s="293">
        <v>8950827</v>
      </c>
      <c r="F15" s="294" t="s">
        <v>298</v>
      </c>
    </row>
    <row r="16" spans="1:6" hidden="1" outlineLevel="1" collapsed="1" x14ac:dyDescent="0.25">
      <c r="A16" s="321" t="s">
        <v>282</v>
      </c>
      <c r="B16" s="321" t="s">
        <v>299</v>
      </c>
      <c r="C16" s="293">
        <v>12872422</v>
      </c>
      <c r="D16" s="293">
        <v>13088255</v>
      </c>
      <c r="E16" s="293">
        <v>215833</v>
      </c>
      <c r="F16" s="294" t="s">
        <v>1930</v>
      </c>
    </row>
    <row r="17" spans="1:6" hidden="1" outlineLevel="1" collapsed="1" x14ac:dyDescent="0.25">
      <c r="A17" s="321" t="s">
        <v>282</v>
      </c>
      <c r="B17" s="321" t="s">
        <v>301</v>
      </c>
      <c r="C17" s="293">
        <v>2939847</v>
      </c>
      <c r="D17" s="293">
        <v>2989139</v>
      </c>
      <c r="E17" s="293">
        <v>49292</v>
      </c>
      <c r="F17" s="294" t="s">
        <v>1930</v>
      </c>
    </row>
    <row r="18" spans="1:6" hidden="1" outlineLevel="1" collapsed="1" x14ac:dyDescent="0.25">
      <c r="A18" s="321" t="s">
        <v>282</v>
      </c>
      <c r="B18" s="321" t="s">
        <v>302</v>
      </c>
      <c r="C18" s="293">
        <v>59229</v>
      </c>
      <c r="D18" s="293">
        <v>0</v>
      </c>
      <c r="E18" s="293">
        <v>-59229</v>
      </c>
      <c r="F18" s="294" t="s">
        <v>286</v>
      </c>
    </row>
    <row r="19" spans="1:6" hidden="1" outlineLevel="1" collapsed="1" x14ac:dyDescent="0.25">
      <c r="A19" s="321" t="s">
        <v>282</v>
      </c>
      <c r="B19" s="321" t="s">
        <v>303</v>
      </c>
      <c r="C19" s="293">
        <v>265094</v>
      </c>
      <c r="D19" s="293">
        <v>377992</v>
      </c>
      <c r="E19" s="293">
        <v>112898</v>
      </c>
      <c r="F19" s="294" t="s">
        <v>1328</v>
      </c>
    </row>
    <row r="20" spans="1:6" hidden="1" outlineLevel="1" collapsed="1" x14ac:dyDescent="0.25">
      <c r="A20" s="321" t="s">
        <v>282</v>
      </c>
      <c r="B20" s="321" t="s">
        <v>304</v>
      </c>
      <c r="C20" s="293">
        <v>8905</v>
      </c>
      <c r="D20" s="293">
        <v>0</v>
      </c>
      <c r="E20" s="293">
        <v>-8905</v>
      </c>
      <c r="F20" s="294" t="s">
        <v>286</v>
      </c>
    </row>
    <row r="21" spans="1:6" hidden="1" outlineLevel="1" collapsed="1" x14ac:dyDescent="0.25">
      <c r="A21" s="321" t="s">
        <v>282</v>
      </c>
      <c r="B21" s="321" t="s">
        <v>305</v>
      </c>
      <c r="C21" s="293">
        <v>259766.16</v>
      </c>
      <c r="D21" s="293">
        <v>1162237.1599999999</v>
      </c>
      <c r="E21" s="293">
        <v>902471</v>
      </c>
      <c r="F21" s="294" t="s">
        <v>306</v>
      </c>
    </row>
    <row r="22" spans="1:6" hidden="1" outlineLevel="1" collapsed="1" x14ac:dyDescent="0.25">
      <c r="A22" s="321" t="s">
        <v>282</v>
      </c>
      <c r="B22" s="321" t="s">
        <v>307</v>
      </c>
      <c r="C22" s="293">
        <v>202</v>
      </c>
      <c r="D22" s="293">
        <v>0</v>
      </c>
      <c r="E22" s="293">
        <v>-202</v>
      </c>
      <c r="F22" s="294" t="s">
        <v>286</v>
      </c>
    </row>
    <row r="23" spans="1:6" collapsed="1" x14ac:dyDescent="0.25">
      <c r="A23" s="560" t="s">
        <v>560</v>
      </c>
      <c r="B23" s="561"/>
      <c r="C23" s="292">
        <v>0</v>
      </c>
      <c r="D23" s="293">
        <v>4000</v>
      </c>
      <c r="E23" s="293">
        <v>4000</v>
      </c>
      <c r="F23" s="294" t="s">
        <v>298</v>
      </c>
    </row>
    <row r="24" spans="1:6" hidden="1" outlineLevel="1" collapsed="1" x14ac:dyDescent="0.25">
      <c r="A24" s="321" t="s">
        <v>282</v>
      </c>
      <c r="B24" s="321" t="s">
        <v>326</v>
      </c>
      <c r="C24" s="293">
        <v>0</v>
      </c>
      <c r="D24" s="293">
        <v>4000</v>
      </c>
      <c r="E24" s="293">
        <v>4000</v>
      </c>
      <c r="F24" s="294" t="s">
        <v>298</v>
      </c>
    </row>
    <row r="25" spans="1:6" collapsed="1" x14ac:dyDescent="0.25">
      <c r="A25" s="560" t="s">
        <v>308</v>
      </c>
      <c r="B25" s="561"/>
      <c r="C25" s="292">
        <v>4000</v>
      </c>
      <c r="D25" s="293">
        <v>0</v>
      </c>
      <c r="E25" s="293">
        <v>-4000</v>
      </c>
      <c r="F25" s="294" t="s">
        <v>286</v>
      </c>
    </row>
    <row r="26" spans="1:6" hidden="1" outlineLevel="1" collapsed="1" x14ac:dyDescent="0.25">
      <c r="A26" s="321" t="s">
        <v>282</v>
      </c>
      <c r="B26" s="321" t="s">
        <v>309</v>
      </c>
      <c r="C26" s="293">
        <v>4000</v>
      </c>
      <c r="D26" s="293">
        <v>0</v>
      </c>
      <c r="E26" s="293">
        <v>-4000</v>
      </c>
      <c r="F26" s="294" t="s">
        <v>286</v>
      </c>
    </row>
    <row r="27" spans="1:6" collapsed="1" x14ac:dyDescent="0.25">
      <c r="A27" s="560" t="s">
        <v>310</v>
      </c>
      <c r="B27" s="561"/>
      <c r="C27" s="292">
        <v>70000</v>
      </c>
      <c r="D27" s="293">
        <v>40000</v>
      </c>
      <c r="E27" s="293">
        <v>-30000</v>
      </c>
      <c r="F27" s="294" t="s">
        <v>311</v>
      </c>
    </row>
    <row r="28" spans="1:6" hidden="1" outlineLevel="1" collapsed="1" x14ac:dyDescent="0.25">
      <c r="A28" s="321" t="s">
        <v>282</v>
      </c>
      <c r="B28" s="321" t="s">
        <v>305</v>
      </c>
      <c r="C28" s="293">
        <v>70000</v>
      </c>
      <c r="D28" s="293">
        <v>40000</v>
      </c>
      <c r="E28" s="293">
        <v>-30000</v>
      </c>
      <c r="F28" s="294" t="s">
        <v>311</v>
      </c>
    </row>
    <row r="29" spans="1:6" collapsed="1" x14ac:dyDescent="0.25">
      <c r="A29" s="560" t="s">
        <v>312</v>
      </c>
      <c r="B29" s="561"/>
      <c r="C29" s="292">
        <v>8500</v>
      </c>
      <c r="D29" s="293">
        <v>0</v>
      </c>
      <c r="E29" s="293">
        <v>-8500</v>
      </c>
      <c r="F29" s="294" t="s">
        <v>286</v>
      </c>
    </row>
    <row r="30" spans="1:6" hidden="1" outlineLevel="1" collapsed="1" x14ac:dyDescent="0.25">
      <c r="A30" s="321" t="s">
        <v>282</v>
      </c>
      <c r="B30" s="321" t="s">
        <v>305</v>
      </c>
      <c r="C30" s="293">
        <v>8500</v>
      </c>
      <c r="D30" s="293">
        <v>0</v>
      </c>
      <c r="E30" s="293">
        <v>-8500</v>
      </c>
      <c r="F30" s="294" t="s">
        <v>286</v>
      </c>
    </row>
    <row r="31" spans="1:6" collapsed="1" x14ac:dyDescent="0.25">
      <c r="A31" s="560" t="s">
        <v>313</v>
      </c>
      <c r="B31" s="561"/>
      <c r="C31" s="292">
        <v>30000</v>
      </c>
      <c r="D31" s="293">
        <v>0</v>
      </c>
      <c r="E31" s="293">
        <v>-30000</v>
      </c>
      <c r="F31" s="294" t="s">
        <v>286</v>
      </c>
    </row>
    <row r="32" spans="1:6" hidden="1" outlineLevel="1" collapsed="1" x14ac:dyDescent="0.25">
      <c r="A32" s="321" t="s">
        <v>282</v>
      </c>
      <c r="B32" s="321" t="s">
        <v>314</v>
      </c>
      <c r="C32" s="293">
        <v>30000</v>
      </c>
      <c r="D32" s="293">
        <v>0</v>
      </c>
      <c r="E32" s="293">
        <v>-30000</v>
      </c>
      <c r="F32" s="294" t="s">
        <v>286</v>
      </c>
    </row>
    <row r="33" spans="1:6" collapsed="1" x14ac:dyDescent="0.25">
      <c r="A33" s="560" t="s">
        <v>315</v>
      </c>
      <c r="B33" s="561"/>
      <c r="C33" s="292">
        <v>1519337</v>
      </c>
      <c r="D33" s="293">
        <v>1519337</v>
      </c>
      <c r="E33" s="293">
        <v>0</v>
      </c>
      <c r="F33" s="294" t="s">
        <v>316</v>
      </c>
    </row>
    <row r="34" spans="1:6" hidden="1" outlineLevel="1" collapsed="1" x14ac:dyDescent="0.25">
      <c r="A34" s="321" t="s">
        <v>282</v>
      </c>
      <c r="B34" s="321" t="s">
        <v>317</v>
      </c>
      <c r="C34" s="293">
        <v>1519337</v>
      </c>
      <c r="D34" s="293">
        <v>1519337</v>
      </c>
      <c r="E34" s="293">
        <v>0</v>
      </c>
      <c r="F34" s="294" t="s">
        <v>316</v>
      </c>
    </row>
    <row r="35" spans="1:6" collapsed="1" x14ac:dyDescent="0.25">
      <c r="A35" s="560" t="s">
        <v>318</v>
      </c>
      <c r="B35" s="561"/>
      <c r="C35" s="292">
        <v>25031186.57</v>
      </c>
      <c r="D35" s="293">
        <v>30337815</v>
      </c>
      <c r="E35" s="293">
        <v>5306628.43</v>
      </c>
      <c r="F35" s="294" t="s">
        <v>1931</v>
      </c>
    </row>
    <row r="36" spans="1:6" hidden="1" outlineLevel="1" collapsed="1" x14ac:dyDescent="0.25">
      <c r="A36" s="321" t="s">
        <v>282</v>
      </c>
      <c r="B36" s="321" t="s">
        <v>292</v>
      </c>
      <c r="C36" s="293">
        <v>17009815</v>
      </c>
      <c r="D36" s="293">
        <v>18712261</v>
      </c>
      <c r="E36" s="293">
        <v>1702446</v>
      </c>
      <c r="F36" s="294" t="s">
        <v>1932</v>
      </c>
    </row>
    <row r="37" spans="1:6" hidden="1" outlineLevel="1" collapsed="1" x14ac:dyDescent="0.25">
      <c r="A37" s="321" t="s">
        <v>282</v>
      </c>
      <c r="B37" s="321" t="s">
        <v>294</v>
      </c>
      <c r="C37" s="293">
        <v>20000</v>
      </c>
      <c r="D37" s="293">
        <v>0</v>
      </c>
      <c r="E37" s="293">
        <v>-20000</v>
      </c>
      <c r="F37" s="294" t="s">
        <v>286</v>
      </c>
    </row>
    <row r="38" spans="1:6" hidden="1" outlineLevel="1" collapsed="1" x14ac:dyDescent="0.25">
      <c r="A38" s="321" t="s">
        <v>282</v>
      </c>
      <c r="B38" s="321" t="s">
        <v>295</v>
      </c>
      <c r="C38" s="293">
        <v>101166</v>
      </c>
      <c r="D38" s="293">
        <v>95465</v>
      </c>
      <c r="E38" s="293">
        <v>-5701</v>
      </c>
      <c r="F38" s="294" t="s">
        <v>1933</v>
      </c>
    </row>
    <row r="39" spans="1:6" hidden="1" outlineLevel="1" collapsed="1" x14ac:dyDescent="0.25">
      <c r="A39" s="321" t="s">
        <v>282</v>
      </c>
      <c r="B39" s="321" t="s">
        <v>297</v>
      </c>
      <c r="C39" s="293">
        <v>0</v>
      </c>
      <c r="D39" s="293">
        <v>3862447</v>
      </c>
      <c r="E39" s="293">
        <v>3862447</v>
      </c>
      <c r="F39" s="294" t="s">
        <v>298</v>
      </c>
    </row>
    <row r="40" spans="1:6" hidden="1" outlineLevel="1" collapsed="1" x14ac:dyDescent="0.25">
      <c r="A40" s="321" t="s">
        <v>282</v>
      </c>
      <c r="B40" s="321" t="s">
        <v>299</v>
      </c>
      <c r="C40" s="293">
        <v>6042133</v>
      </c>
      <c r="D40" s="293">
        <v>5647823</v>
      </c>
      <c r="E40" s="293">
        <v>-394310</v>
      </c>
      <c r="F40" s="294" t="s">
        <v>1934</v>
      </c>
    </row>
    <row r="41" spans="1:6" hidden="1" outlineLevel="1" collapsed="1" x14ac:dyDescent="0.25">
      <c r="A41" s="321" t="s">
        <v>282</v>
      </c>
      <c r="B41" s="321" t="s">
        <v>301</v>
      </c>
      <c r="C41" s="293">
        <v>1379922</v>
      </c>
      <c r="D41" s="293">
        <v>1289869</v>
      </c>
      <c r="E41" s="293">
        <v>-90053</v>
      </c>
      <c r="F41" s="294" t="s">
        <v>1934</v>
      </c>
    </row>
    <row r="42" spans="1:6" hidden="1" outlineLevel="1" collapsed="1" x14ac:dyDescent="0.25">
      <c r="A42" s="321" t="s">
        <v>282</v>
      </c>
      <c r="B42" s="321" t="s">
        <v>302</v>
      </c>
      <c r="C42" s="293">
        <v>19500</v>
      </c>
      <c r="D42" s="293">
        <v>27000</v>
      </c>
      <c r="E42" s="293">
        <v>7500</v>
      </c>
      <c r="F42" s="294" t="s">
        <v>323</v>
      </c>
    </row>
    <row r="43" spans="1:6" hidden="1" outlineLevel="1" collapsed="1" x14ac:dyDescent="0.25">
      <c r="A43" s="321" t="s">
        <v>282</v>
      </c>
      <c r="B43" s="321" t="s">
        <v>303</v>
      </c>
      <c r="C43" s="293">
        <v>175000</v>
      </c>
      <c r="D43" s="293">
        <v>0</v>
      </c>
      <c r="E43" s="293">
        <v>-175000</v>
      </c>
      <c r="F43" s="294" t="s">
        <v>286</v>
      </c>
    </row>
    <row r="44" spans="1:6" hidden="1" outlineLevel="1" collapsed="1" x14ac:dyDescent="0.25">
      <c r="A44" s="321" t="s">
        <v>282</v>
      </c>
      <c r="B44" s="321" t="s">
        <v>304</v>
      </c>
      <c r="C44" s="293">
        <v>1000</v>
      </c>
      <c r="D44" s="293">
        <v>0</v>
      </c>
      <c r="E44" s="293">
        <v>-1000</v>
      </c>
      <c r="F44" s="294" t="s">
        <v>286</v>
      </c>
    </row>
    <row r="45" spans="1:6" hidden="1" outlineLevel="1" collapsed="1" x14ac:dyDescent="0.25">
      <c r="A45" s="321" t="s">
        <v>282</v>
      </c>
      <c r="B45" s="321" t="s">
        <v>305</v>
      </c>
      <c r="C45" s="293">
        <v>282650.57</v>
      </c>
      <c r="D45" s="293">
        <v>341925</v>
      </c>
      <c r="E45" s="293">
        <v>59274.43</v>
      </c>
      <c r="F45" s="294" t="s">
        <v>324</v>
      </c>
    </row>
    <row r="46" spans="1:6" hidden="1" outlineLevel="1" collapsed="1" x14ac:dyDescent="0.25">
      <c r="A46" s="321" t="s">
        <v>282</v>
      </c>
      <c r="B46" s="321" t="s">
        <v>1935</v>
      </c>
      <c r="C46" s="293">
        <v>0</v>
      </c>
      <c r="D46" s="293">
        <v>361025</v>
      </c>
      <c r="E46" s="293">
        <v>361025</v>
      </c>
      <c r="F46" s="294" t="s">
        <v>298</v>
      </c>
    </row>
    <row r="47" spans="1:6" collapsed="1" x14ac:dyDescent="0.25">
      <c r="A47" s="560" t="s">
        <v>325</v>
      </c>
      <c r="B47" s="561"/>
      <c r="C47" s="292">
        <v>25000</v>
      </c>
      <c r="D47" s="293">
        <v>0</v>
      </c>
      <c r="E47" s="293">
        <v>-25000</v>
      </c>
      <c r="F47" s="294" t="s">
        <v>286</v>
      </c>
    </row>
    <row r="48" spans="1:6" hidden="1" outlineLevel="1" collapsed="1" x14ac:dyDescent="0.25">
      <c r="A48" s="321" t="s">
        <v>282</v>
      </c>
      <c r="B48" s="321" t="s">
        <v>326</v>
      </c>
      <c r="C48" s="293">
        <v>25000</v>
      </c>
      <c r="D48" s="293">
        <v>0</v>
      </c>
      <c r="E48" s="293">
        <v>-25000</v>
      </c>
      <c r="F48" s="294" t="s">
        <v>286</v>
      </c>
    </row>
    <row r="49" spans="1:13" collapsed="1" x14ac:dyDescent="0.25">
      <c r="A49" s="560" t="s">
        <v>327</v>
      </c>
      <c r="B49" s="561"/>
      <c r="C49" s="292">
        <v>6000</v>
      </c>
      <c r="D49" s="293">
        <v>6500</v>
      </c>
      <c r="E49" s="293">
        <v>500</v>
      </c>
      <c r="F49" s="294" t="s">
        <v>328</v>
      </c>
    </row>
    <row r="50" spans="1:13" hidden="1" outlineLevel="1" collapsed="1" x14ac:dyDescent="0.25">
      <c r="A50" s="321" t="s">
        <v>282</v>
      </c>
      <c r="B50" s="321" t="s">
        <v>305</v>
      </c>
      <c r="C50" s="293">
        <v>6000</v>
      </c>
      <c r="D50" s="293">
        <v>6500</v>
      </c>
      <c r="E50" s="293">
        <v>500</v>
      </c>
      <c r="F50" s="294" t="s">
        <v>328</v>
      </c>
    </row>
    <row r="51" spans="1:13" collapsed="1" x14ac:dyDescent="0.25">
      <c r="A51" s="560" t="s">
        <v>329</v>
      </c>
      <c r="B51" s="561"/>
      <c r="C51" s="292">
        <v>1500</v>
      </c>
      <c r="D51" s="293">
        <v>1500</v>
      </c>
      <c r="E51" s="293">
        <v>0</v>
      </c>
      <c r="F51" s="294" t="s">
        <v>316</v>
      </c>
    </row>
    <row r="52" spans="1:13" hidden="1" outlineLevel="1" collapsed="1" x14ac:dyDescent="0.25">
      <c r="A52" s="321" t="s">
        <v>282</v>
      </c>
      <c r="B52" s="321" t="s">
        <v>330</v>
      </c>
      <c r="C52" s="293">
        <v>1500</v>
      </c>
      <c r="D52" s="293">
        <v>1500</v>
      </c>
      <c r="E52" s="293">
        <v>0</v>
      </c>
      <c r="F52" s="294" t="s">
        <v>316</v>
      </c>
    </row>
    <row r="53" spans="1:13" collapsed="1" x14ac:dyDescent="0.25">
      <c r="A53" s="560" t="s">
        <v>331</v>
      </c>
      <c r="B53" s="561"/>
      <c r="C53" s="292">
        <v>106.43</v>
      </c>
      <c r="D53" s="293">
        <v>0</v>
      </c>
      <c r="E53" s="293">
        <v>-106.43</v>
      </c>
      <c r="F53" s="294" t="s">
        <v>286</v>
      </c>
    </row>
    <row r="54" spans="1:13" hidden="1" outlineLevel="1" collapsed="1" x14ac:dyDescent="0.25">
      <c r="A54" s="321" t="s">
        <v>282</v>
      </c>
      <c r="B54" s="321" t="s">
        <v>305</v>
      </c>
      <c r="C54" s="293">
        <v>106.43</v>
      </c>
      <c r="D54" s="293">
        <v>0</v>
      </c>
      <c r="E54" s="293">
        <v>-106.43</v>
      </c>
      <c r="F54" s="294" t="s">
        <v>286</v>
      </c>
    </row>
    <row r="55" spans="1:13" collapsed="1" x14ac:dyDescent="0.25">
      <c r="A55" s="560" t="s">
        <v>332</v>
      </c>
      <c r="B55" s="561"/>
      <c r="C55" s="292">
        <v>229220</v>
      </c>
      <c r="D55" s="293">
        <v>150000</v>
      </c>
      <c r="E55" s="293">
        <v>-79220</v>
      </c>
      <c r="F55" s="294" t="s">
        <v>333</v>
      </c>
    </row>
    <row r="56" spans="1:13" hidden="1" outlineLevel="1" collapsed="1" x14ac:dyDescent="0.25">
      <c r="A56" s="321" t="s">
        <v>282</v>
      </c>
      <c r="B56" s="321" t="s">
        <v>305</v>
      </c>
      <c r="C56" s="293">
        <v>229220</v>
      </c>
      <c r="D56" s="293">
        <v>150000</v>
      </c>
      <c r="E56" s="293">
        <v>-79220</v>
      </c>
      <c r="F56" s="294" t="s">
        <v>333</v>
      </c>
    </row>
    <row r="57" spans="1:13" ht="15.75" collapsed="1" x14ac:dyDescent="0.25">
      <c r="A57" s="560" t="s">
        <v>334</v>
      </c>
      <c r="B57" s="561"/>
      <c r="C57" s="292">
        <v>703215</v>
      </c>
      <c r="D57" s="293">
        <v>703215</v>
      </c>
      <c r="E57" s="293">
        <v>0</v>
      </c>
      <c r="F57" s="294" t="s">
        <v>316</v>
      </c>
      <c r="K57" s="324" t="s">
        <v>1925</v>
      </c>
    </row>
    <row r="58" spans="1:13" hidden="1" outlineLevel="1" collapsed="1" x14ac:dyDescent="0.25">
      <c r="A58" s="321" t="s">
        <v>282</v>
      </c>
      <c r="B58" s="321" t="s">
        <v>317</v>
      </c>
      <c r="C58" s="293">
        <v>703215</v>
      </c>
      <c r="D58" s="293">
        <v>703215</v>
      </c>
      <c r="E58" s="293">
        <v>0</v>
      </c>
      <c r="F58" s="294" t="s">
        <v>316</v>
      </c>
    </row>
    <row r="59" spans="1:13" collapsed="1" x14ac:dyDescent="0.25">
      <c r="A59" s="560" t="s">
        <v>335</v>
      </c>
      <c r="B59" s="561"/>
      <c r="C59" s="292">
        <v>38263</v>
      </c>
      <c r="D59" s="293">
        <v>46431</v>
      </c>
      <c r="E59" s="293">
        <v>8168</v>
      </c>
      <c r="F59" s="294" t="s">
        <v>336</v>
      </c>
    </row>
    <row r="60" spans="1:13" hidden="1" outlineLevel="1" collapsed="1" x14ac:dyDescent="0.25">
      <c r="A60" s="321" t="s">
        <v>282</v>
      </c>
      <c r="B60" s="321" t="s">
        <v>337</v>
      </c>
      <c r="C60" s="293">
        <v>38263</v>
      </c>
      <c r="D60" s="293">
        <v>46431</v>
      </c>
      <c r="E60" s="293">
        <v>8168</v>
      </c>
      <c r="F60" s="294" t="s">
        <v>336</v>
      </c>
    </row>
    <row r="61" spans="1:13" collapsed="1" x14ac:dyDescent="0.25">
      <c r="A61" s="560" t="s">
        <v>338</v>
      </c>
      <c r="B61" s="561"/>
      <c r="C61" s="292">
        <v>1421344</v>
      </c>
      <c r="D61" s="293">
        <v>448451</v>
      </c>
      <c r="E61" s="293">
        <v>-972893</v>
      </c>
      <c r="F61" s="294" t="s">
        <v>1936</v>
      </c>
      <c r="K61" s="312" t="s">
        <v>1926</v>
      </c>
      <c r="L61" s="312" t="s">
        <v>1921</v>
      </c>
      <c r="M61" s="313" t="s">
        <v>1922</v>
      </c>
    </row>
    <row r="62" spans="1:13" hidden="1" outlineLevel="1" collapsed="1" x14ac:dyDescent="0.25">
      <c r="A62" s="321" t="s">
        <v>282</v>
      </c>
      <c r="B62" s="321" t="s">
        <v>339</v>
      </c>
      <c r="C62" s="293">
        <v>1421344</v>
      </c>
      <c r="D62" s="293">
        <v>448451</v>
      </c>
      <c r="E62" s="293">
        <v>-972893</v>
      </c>
      <c r="F62" s="294" t="s">
        <v>1936</v>
      </c>
      <c r="K62" s="307"/>
      <c r="L62" s="310"/>
      <c r="M62" s="308"/>
    </row>
    <row r="63" spans="1:13" collapsed="1" x14ac:dyDescent="0.25">
      <c r="A63" s="560" t="s">
        <v>1915</v>
      </c>
      <c r="B63" s="561"/>
      <c r="C63" s="292">
        <v>0</v>
      </c>
      <c r="D63" s="293">
        <v>75544</v>
      </c>
      <c r="E63" s="293">
        <v>75544</v>
      </c>
      <c r="F63" s="294" t="s">
        <v>298</v>
      </c>
      <c r="K63" s="307" t="s">
        <v>1918</v>
      </c>
      <c r="L63" s="311">
        <f>Tentative!N49+Tentative!N78+Tentative!N80+Tentative!N81</f>
        <v>112810321.50252691</v>
      </c>
      <c r="M63" s="309">
        <f>Tentative!N71+Tentative!N79+340000+410000</f>
        <v>119435447.40914987</v>
      </c>
    </row>
    <row r="64" spans="1:13" hidden="1" outlineLevel="1" collapsed="1" x14ac:dyDescent="0.25">
      <c r="A64" s="321" t="s">
        <v>282</v>
      </c>
      <c r="B64" s="321" t="s">
        <v>1935</v>
      </c>
      <c r="C64" s="293">
        <v>0</v>
      </c>
      <c r="D64" s="293">
        <v>75544</v>
      </c>
      <c r="E64" s="293">
        <v>75544</v>
      </c>
      <c r="F64" s="294" t="s">
        <v>298</v>
      </c>
      <c r="K64" s="307"/>
      <c r="L64" s="311"/>
      <c r="M64" s="309"/>
    </row>
    <row r="65" spans="1:13" collapsed="1" x14ac:dyDescent="0.25">
      <c r="A65" s="560" t="s">
        <v>340</v>
      </c>
      <c r="B65" s="561"/>
      <c r="C65" s="292">
        <v>8803223</v>
      </c>
      <c r="D65" s="293">
        <v>0</v>
      </c>
      <c r="E65" s="293">
        <v>-8803223</v>
      </c>
      <c r="F65" s="294" t="s">
        <v>286</v>
      </c>
      <c r="K65" s="307" t="s">
        <v>1919</v>
      </c>
      <c r="L65" s="317">
        <f>D79</f>
        <v>93702535.159999996</v>
      </c>
      <c r="M65" s="319">
        <f>D5413</f>
        <v>98142323.830473006</v>
      </c>
    </row>
    <row r="66" spans="1:13" hidden="1" outlineLevel="1" collapsed="1" x14ac:dyDescent="0.25">
      <c r="A66" s="321" t="s">
        <v>282</v>
      </c>
      <c r="B66" s="321" t="s">
        <v>297</v>
      </c>
      <c r="C66" s="293">
        <v>8803223</v>
      </c>
      <c r="D66" s="293">
        <v>0</v>
      </c>
      <c r="E66" s="293">
        <v>-8803223</v>
      </c>
      <c r="F66" s="294" t="s">
        <v>286</v>
      </c>
      <c r="K66" s="307"/>
      <c r="L66" s="311"/>
      <c r="M66" s="309"/>
    </row>
    <row r="67" spans="1:13" collapsed="1" x14ac:dyDescent="0.25">
      <c r="A67" s="560" t="s">
        <v>341</v>
      </c>
      <c r="B67" s="561"/>
      <c r="C67" s="292">
        <v>4132109</v>
      </c>
      <c r="D67" s="293">
        <v>0</v>
      </c>
      <c r="E67" s="293">
        <v>-4132109</v>
      </c>
      <c r="F67" s="294" t="s">
        <v>286</v>
      </c>
      <c r="K67" s="307" t="s">
        <v>1920</v>
      </c>
      <c r="L67" s="311">
        <f>L63-L65</f>
        <v>19107786.342526913</v>
      </c>
      <c r="M67" s="311">
        <f>M63-M65</f>
        <v>21293123.578676865</v>
      </c>
    </row>
    <row r="68" spans="1:13" hidden="1" outlineLevel="1" collapsed="1" x14ac:dyDescent="0.25">
      <c r="A68" s="321" t="s">
        <v>282</v>
      </c>
      <c r="B68" s="321" t="s">
        <v>297</v>
      </c>
      <c r="C68" s="293">
        <v>4132109</v>
      </c>
      <c r="D68" s="293">
        <v>0</v>
      </c>
      <c r="E68" s="293">
        <v>-4132109</v>
      </c>
      <c r="F68" s="294" t="s">
        <v>286</v>
      </c>
      <c r="K68" s="307"/>
      <c r="L68" s="311"/>
      <c r="M68" s="309"/>
    </row>
    <row r="69" spans="1:13" collapsed="1" x14ac:dyDescent="0.25">
      <c r="A69" s="560" t="s">
        <v>342</v>
      </c>
      <c r="B69" s="561"/>
      <c r="C69" s="292">
        <v>0</v>
      </c>
      <c r="D69" s="293">
        <v>15000</v>
      </c>
      <c r="E69" s="293">
        <v>15000</v>
      </c>
      <c r="F69" s="294" t="s">
        <v>298</v>
      </c>
      <c r="K69" s="307" t="s">
        <v>1923</v>
      </c>
      <c r="L69" s="311"/>
      <c r="M69" s="309">
        <v>-340000</v>
      </c>
    </row>
    <row r="70" spans="1:13" hidden="1" outlineLevel="1" collapsed="1" x14ac:dyDescent="0.25">
      <c r="A70" s="321" t="s">
        <v>282</v>
      </c>
      <c r="B70" s="321" t="s">
        <v>343</v>
      </c>
      <c r="C70" s="293">
        <v>0</v>
      </c>
      <c r="D70" s="293">
        <v>15000</v>
      </c>
      <c r="E70" s="293">
        <v>15000</v>
      </c>
      <c r="F70" s="294" t="s">
        <v>298</v>
      </c>
      <c r="K70" s="307" t="s">
        <v>1924</v>
      </c>
      <c r="L70" s="311"/>
      <c r="M70" s="309">
        <v>360000</v>
      </c>
    </row>
    <row r="71" spans="1:13" collapsed="1" x14ac:dyDescent="0.25">
      <c r="A71" s="560" t="s">
        <v>344</v>
      </c>
      <c r="B71" s="561"/>
      <c r="C71" s="292">
        <v>0</v>
      </c>
      <c r="D71" s="293">
        <v>29226</v>
      </c>
      <c r="E71" s="293">
        <v>29226</v>
      </c>
      <c r="F71" s="294" t="s">
        <v>298</v>
      </c>
      <c r="K71" s="310" t="s">
        <v>1924</v>
      </c>
      <c r="L71" s="309"/>
      <c r="M71" s="311">
        <v>-410000</v>
      </c>
    </row>
    <row r="72" spans="1:13" hidden="1" outlineLevel="1" collapsed="1" x14ac:dyDescent="0.25">
      <c r="A72" s="321" t="s">
        <v>282</v>
      </c>
      <c r="B72" s="321" t="s">
        <v>345</v>
      </c>
      <c r="C72" s="293">
        <v>0</v>
      </c>
      <c r="D72" s="293">
        <v>29226</v>
      </c>
      <c r="E72" s="293">
        <v>29226</v>
      </c>
      <c r="F72" s="294" t="s">
        <v>298</v>
      </c>
    </row>
    <row r="73" spans="1:13" collapsed="1" x14ac:dyDescent="0.25">
      <c r="A73" s="560" t="s">
        <v>346</v>
      </c>
      <c r="B73" s="561"/>
      <c r="C73" s="292">
        <v>0</v>
      </c>
      <c r="D73" s="293">
        <v>20878</v>
      </c>
      <c r="E73" s="293">
        <v>20878</v>
      </c>
      <c r="F73" s="294" t="s">
        <v>298</v>
      </c>
      <c r="K73" s="316" t="s">
        <v>1920</v>
      </c>
      <c r="L73" s="314">
        <f>L63-L65+(SUM(L69:L72))</f>
        <v>19107786.342526913</v>
      </c>
      <c r="M73" s="314">
        <f>M63-M65+(SUM(M69:M72))</f>
        <v>20903123.578676865</v>
      </c>
    </row>
    <row r="74" spans="1:13" hidden="1" outlineLevel="1" collapsed="1" x14ac:dyDescent="0.25">
      <c r="A74" s="321" t="s">
        <v>282</v>
      </c>
      <c r="B74" s="321" t="s">
        <v>345</v>
      </c>
      <c r="C74" s="293">
        <v>0</v>
      </c>
      <c r="D74" s="293">
        <v>20878</v>
      </c>
      <c r="E74" s="293">
        <v>20878</v>
      </c>
      <c r="F74" s="294" t="s">
        <v>298</v>
      </c>
    </row>
    <row r="75" spans="1:13" collapsed="1" x14ac:dyDescent="0.25">
      <c r="A75" s="560" t="s">
        <v>347</v>
      </c>
      <c r="B75" s="561"/>
      <c r="C75" s="292">
        <v>0</v>
      </c>
      <c r="D75" s="293">
        <v>100000</v>
      </c>
      <c r="E75" s="293">
        <v>100000</v>
      </c>
      <c r="F75" s="294" t="s">
        <v>298</v>
      </c>
    </row>
    <row r="76" spans="1:13" hidden="1" outlineLevel="1" collapsed="1" x14ac:dyDescent="0.25">
      <c r="A76" s="321" t="s">
        <v>282</v>
      </c>
      <c r="B76" s="321" t="s">
        <v>343</v>
      </c>
      <c r="C76" s="293">
        <v>0</v>
      </c>
      <c r="D76" s="293">
        <v>100000</v>
      </c>
      <c r="E76" s="293">
        <v>100000</v>
      </c>
      <c r="F76" s="294" t="s">
        <v>298</v>
      </c>
    </row>
    <row r="77" spans="1:13" collapsed="1" x14ac:dyDescent="0.25">
      <c r="A77" s="560" t="s">
        <v>348</v>
      </c>
      <c r="B77" s="561"/>
      <c r="C77" s="292">
        <v>0</v>
      </c>
      <c r="D77" s="293">
        <v>57160</v>
      </c>
      <c r="E77" s="293">
        <v>57160</v>
      </c>
      <c r="F77" s="294" t="s">
        <v>298</v>
      </c>
    </row>
    <row r="78" spans="1:13" hidden="1" outlineLevel="1" collapsed="1" x14ac:dyDescent="0.25">
      <c r="A78" s="321" t="s">
        <v>282</v>
      </c>
      <c r="B78" s="321" t="s">
        <v>343</v>
      </c>
      <c r="C78" s="293">
        <v>0</v>
      </c>
      <c r="D78" s="293">
        <v>57160</v>
      </c>
      <c r="E78" s="293">
        <v>57160</v>
      </c>
      <c r="F78" s="294" t="s">
        <v>298</v>
      </c>
    </row>
    <row r="79" spans="1:13" x14ac:dyDescent="0.25">
      <c r="A79" s="296" t="s">
        <v>282</v>
      </c>
      <c r="B79" s="296" t="s">
        <v>282</v>
      </c>
      <c r="C79" s="297">
        <v>91951082.159999996</v>
      </c>
      <c r="D79" s="318">
        <v>93702535.159999996</v>
      </c>
      <c r="E79" s="297">
        <v>1751453</v>
      </c>
      <c r="F79" s="298" t="s">
        <v>1476</v>
      </c>
    </row>
    <row r="80" spans="1:13" x14ac:dyDescent="0.25">
      <c r="A80" s="563" t="s">
        <v>350</v>
      </c>
      <c r="B80" s="561"/>
      <c r="C80" s="323" t="s">
        <v>282</v>
      </c>
      <c r="D80" s="323" t="s">
        <v>282</v>
      </c>
      <c r="E80" s="323" t="s">
        <v>282</v>
      </c>
      <c r="F80" s="323" t="s">
        <v>282</v>
      </c>
    </row>
    <row r="81" spans="1:6" collapsed="1" x14ac:dyDescent="0.25">
      <c r="A81" s="560" t="s">
        <v>283</v>
      </c>
      <c r="B81" s="561"/>
      <c r="C81" s="292">
        <v>680000</v>
      </c>
      <c r="D81" s="293">
        <v>750000</v>
      </c>
      <c r="E81" s="293">
        <v>70000</v>
      </c>
      <c r="F81" s="294" t="s">
        <v>1937</v>
      </c>
    </row>
    <row r="82" spans="1:6" hidden="1" outlineLevel="1" collapsed="1" x14ac:dyDescent="0.25">
      <c r="A82" s="321" t="s">
        <v>282</v>
      </c>
      <c r="B82" s="321" t="s">
        <v>1938</v>
      </c>
      <c r="C82" s="293">
        <v>160000</v>
      </c>
      <c r="D82" s="293">
        <v>210000</v>
      </c>
      <c r="E82" s="293">
        <v>50000</v>
      </c>
      <c r="F82" s="294" t="s">
        <v>1939</v>
      </c>
    </row>
    <row r="83" spans="1:6" hidden="1" outlineLevel="1" collapsed="1" x14ac:dyDescent="0.25">
      <c r="A83" s="321" t="s">
        <v>282</v>
      </c>
      <c r="B83" s="321" t="s">
        <v>353</v>
      </c>
      <c r="C83" s="293">
        <v>520000</v>
      </c>
      <c r="D83" s="293">
        <v>540000</v>
      </c>
      <c r="E83" s="293">
        <v>20000</v>
      </c>
      <c r="F83" s="294" t="s">
        <v>792</v>
      </c>
    </row>
    <row r="84" spans="1:6" hidden="1" outlineLevel="1" collapsed="1" x14ac:dyDescent="0.25">
      <c r="A84" s="321" t="s">
        <v>282</v>
      </c>
      <c r="B84" s="321" t="s">
        <v>355</v>
      </c>
      <c r="C84" s="293">
        <v>0</v>
      </c>
      <c r="D84" s="293">
        <v>0</v>
      </c>
      <c r="E84" s="293">
        <v>0</v>
      </c>
      <c r="F84" s="294" t="s">
        <v>316</v>
      </c>
    </row>
    <row r="85" spans="1:6" collapsed="1" x14ac:dyDescent="0.25">
      <c r="A85" s="560" t="s">
        <v>290</v>
      </c>
      <c r="B85" s="561"/>
      <c r="C85" s="292">
        <v>0</v>
      </c>
      <c r="D85" s="293">
        <v>0</v>
      </c>
      <c r="E85" s="293">
        <v>0</v>
      </c>
      <c r="F85" s="294" t="s">
        <v>316</v>
      </c>
    </row>
    <row r="86" spans="1:6" hidden="1" outlineLevel="1" collapsed="1" x14ac:dyDescent="0.25">
      <c r="A86" s="321" t="s">
        <v>282</v>
      </c>
      <c r="B86" s="321" t="s">
        <v>355</v>
      </c>
      <c r="C86" s="293">
        <v>0</v>
      </c>
      <c r="D86" s="293">
        <v>0</v>
      </c>
      <c r="E86" s="293">
        <v>0</v>
      </c>
      <c r="F86" s="294" t="s">
        <v>316</v>
      </c>
    </row>
    <row r="87" spans="1:6" collapsed="1" x14ac:dyDescent="0.25">
      <c r="A87" s="560" t="s">
        <v>356</v>
      </c>
      <c r="B87" s="561"/>
      <c r="C87" s="292">
        <v>121778.03516</v>
      </c>
      <c r="D87" s="293">
        <v>126955.53118000001</v>
      </c>
      <c r="E87" s="293">
        <v>5177.4960199999996</v>
      </c>
      <c r="F87" s="294" t="s">
        <v>1940</v>
      </c>
    </row>
    <row r="88" spans="1:6" hidden="1" outlineLevel="1" collapsed="1" x14ac:dyDescent="0.25">
      <c r="A88" s="321" t="s">
        <v>282</v>
      </c>
      <c r="B88" s="321" t="s">
        <v>358</v>
      </c>
      <c r="C88" s="293">
        <v>90581.52</v>
      </c>
      <c r="D88" s="293">
        <v>93492.462</v>
      </c>
      <c r="E88" s="293">
        <v>2910.942</v>
      </c>
      <c r="F88" s="294" t="s">
        <v>359</v>
      </c>
    </row>
    <row r="89" spans="1:6" hidden="1" outlineLevel="1" collapsed="1" x14ac:dyDescent="0.25">
      <c r="A89" s="321" t="s">
        <v>282</v>
      </c>
      <c r="B89" s="321" t="s">
        <v>360</v>
      </c>
      <c r="C89" s="293">
        <v>11820.888360000001</v>
      </c>
      <c r="D89" s="293">
        <v>13490.96226</v>
      </c>
      <c r="E89" s="293">
        <v>1670.0739000000001</v>
      </c>
      <c r="F89" s="294" t="s">
        <v>361</v>
      </c>
    </row>
    <row r="90" spans="1:6" hidden="1" outlineLevel="1" collapsed="1" x14ac:dyDescent="0.25">
      <c r="A90" s="321" t="s">
        <v>282</v>
      </c>
      <c r="B90" s="321" t="s">
        <v>362</v>
      </c>
      <c r="C90" s="293">
        <v>1313.4320399999999</v>
      </c>
      <c r="D90" s="293">
        <v>1355.6406899999999</v>
      </c>
      <c r="E90" s="293">
        <v>42.208649999999999</v>
      </c>
      <c r="F90" s="294" t="s">
        <v>359</v>
      </c>
    </row>
    <row r="91" spans="1:6" hidden="1" outlineLevel="1" collapsed="1" x14ac:dyDescent="0.25">
      <c r="A91" s="321" t="s">
        <v>282</v>
      </c>
      <c r="B91" s="321" t="s">
        <v>363</v>
      </c>
      <c r="C91" s="293">
        <v>426.12479999999999</v>
      </c>
      <c r="D91" s="293">
        <v>422.04</v>
      </c>
      <c r="E91" s="293">
        <v>-4.0848000000000004</v>
      </c>
      <c r="F91" s="294" t="s">
        <v>364</v>
      </c>
    </row>
    <row r="92" spans="1:6" hidden="1" outlineLevel="1" collapsed="1" x14ac:dyDescent="0.25">
      <c r="A92" s="321" t="s">
        <v>282</v>
      </c>
      <c r="B92" s="321" t="s">
        <v>365</v>
      </c>
      <c r="C92" s="293">
        <v>15358.56</v>
      </c>
      <c r="D92" s="293">
        <v>15959.28</v>
      </c>
      <c r="E92" s="293">
        <v>600.72</v>
      </c>
      <c r="F92" s="294" t="s">
        <v>366</v>
      </c>
    </row>
    <row r="93" spans="1:6" hidden="1" outlineLevel="1" collapsed="1" x14ac:dyDescent="0.25">
      <c r="A93" s="321" t="s">
        <v>282</v>
      </c>
      <c r="B93" s="321" t="s">
        <v>367</v>
      </c>
      <c r="C93" s="293">
        <v>233.53919999999999</v>
      </c>
      <c r="D93" s="293">
        <v>182.88</v>
      </c>
      <c r="E93" s="293">
        <v>-50.659199999999998</v>
      </c>
      <c r="F93" s="294" t="s">
        <v>368</v>
      </c>
    </row>
    <row r="94" spans="1:6" hidden="1" outlineLevel="1" collapsed="1" x14ac:dyDescent="0.25">
      <c r="A94" s="321" t="s">
        <v>282</v>
      </c>
      <c r="B94" s="321" t="s">
        <v>369</v>
      </c>
      <c r="C94" s="293">
        <v>45.290759999999999</v>
      </c>
      <c r="D94" s="293">
        <v>46.746229999999997</v>
      </c>
      <c r="E94" s="293">
        <v>1.45547</v>
      </c>
      <c r="F94" s="294" t="s">
        <v>359</v>
      </c>
    </row>
    <row r="95" spans="1:6" hidden="1" outlineLevel="1" collapsed="1" x14ac:dyDescent="0.25">
      <c r="A95" s="321" t="s">
        <v>282</v>
      </c>
      <c r="B95" s="321" t="s">
        <v>370</v>
      </c>
      <c r="C95" s="293">
        <v>1500</v>
      </c>
      <c r="D95" s="293">
        <v>1500</v>
      </c>
      <c r="E95" s="293">
        <v>0</v>
      </c>
      <c r="F95" s="294" t="s">
        <v>316</v>
      </c>
    </row>
    <row r="96" spans="1:6" hidden="1" outlineLevel="1" collapsed="1" x14ac:dyDescent="0.25">
      <c r="A96" s="321" t="s">
        <v>282</v>
      </c>
      <c r="B96" s="321" t="s">
        <v>371</v>
      </c>
      <c r="C96" s="293">
        <v>49.68</v>
      </c>
      <c r="D96" s="293">
        <v>48.48</v>
      </c>
      <c r="E96" s="293">
        <v>-1.2</v>
      </c>
      <c r="F96" s="294" t="s">
        <v>372</v>
      </c>
    </row>
    <row r="97" spans="1:6" hidden="1" outlineLevel="1" collapsed="1" x14ac:dyDescent="0.25">
      <c r="A97" s="321" t="s">
        <v>282</v>
      </c>
      <c r="B97" s="321" t="s">
        <v>373</v>
      </c>
      <c r="C97" s="293">
        <v>24</v>
      </c>
      <c r="D97" s="293">
        <v>11.04</v>
      </c>
      <c r="E97" s="293">
        <v>-12.96</v>
      </c>
      <c r="F97" s="294" t="s">
        <v>374</v>
      </c>
    </row>
    <row r="98" spans="1:6" hidden="1" outlineLevel="1" collapsed="1" x14ac:dyDescent="0.25">
      <c r="A98" s="321" t="s">
        <v>282</v>
      </c>
      <c r="B98" s="321" t="s">
        <v>375</v>
      </c>
      <c r="C98" s="293">
        <v>200</v>
      </c>
      <c r="D98" s="293">
        <v>221</v>
      </c>
      <c r="E98" s="293">
        <v>21</v>
      </c>
      <c r="F98" s="294" t="s">
        <v>1941</v>
      </c>
    </row>
    <row r="99" spans="1:6" hidden="1" outlineLevel="1" collapsed="1" x14ac:dyDescent="0.25">
      <c r="A99" s="321" t="s">
        <v>282</v>
      </c>
      <c r="B99" s="321" t="s">
        <v>376</v>
      </c>
      <c r="C99" s="293">
        <v>225</v>
      </c>
      <c r="D99" s="293">
        <v>225</v>
      </c>
      <c r="E99" s="293">
        <v>0</v>
      </c>
      <c r="F99" s="294" t="s">
        <v>316</v>
      </c>
    </row>
    <row r="100" spans="1:6" collapsed="1" x14ac:dyDescent="0.25">
      <c r="A100" s="560" t="s">
        <v>377</v>
      </c>
      <c r="B100" s="561"/>
      <c r="C100" s="292">
        <v>445217.87725100003</v>
      </c>
      <c r="D100" s="293">
        <v>465135.83844199998</v>
      </c>
      <c r="E100" s="293">
        <v>19917.961190999999</v>
      </c>
      <c r="F100" s="294" t="s">
        <v>1942</v>
      </c>
    </row>
    <row r="101" spans="1:6" hidden="1" outlineLevel="1" collapsed="1" x14ac:dyDescent="0.25">
      <c r="A101" s="321" t="s">
        <v>282</v>
      </c>
      <c r="B101" s="321" t="s">
        <v>358</v>
      </c>
      <c r="C101" s="293">
        <v>267383.28000000003</v>
      </c>
      <c r="D101" s="293">
        <v>273535.51679999998</v>
      </c>
      <c r="E101" s="293">
        <v>6152.2367999999997</v>
      </c>
      <c r="F101" s="294" t="s">
        <v>379</v>
      </c>
    </row>
    <row r="102" spans="1:6" hidden="1" outlineLevel="1" collapsed="1" x14ac:dyDescent="0.25">
      <c r="A102" s="321" t="s">
        <v>282</v>
      </c>
      <c r="B102" s="321" t="s">
        <v>380</v>
      </c>
      <c r="C102" s="293">
        <v>53457.469268000001</v>
      </c>
      <c r="D102" s="293">
        <v>55049.039515999997</v>
      </c>
      <c r="E102" s="293">
        <v>1591.570248</v>
      </c>
      <c r="F102" s="294" t="s">
        <v>381</v>
      </c>
    </row>
    <row r="103" spans="1:6" hidden="1" outlineLevel="1" collapsed="1" x14ac:dyDescent="0.25">
      <c r="A103" s="321" t="s">
        <v>282</v>
      </c>
      <c r="B103" s="321" t="s">
        <v>382</v>
      </c>
      <c r="C103" s="293">
        <v>2134</v>
      </c>
      <c r="D103" s="293">
        <v>3000</v>
      </c>
      <c r="E103" s="293">
        <v>866</v>
      </c>
      <c r="F103" s="294" t="s">
        <v>1943</v>
      </c>
    </row>
    <row r="104" spans="1:6" hidden="1" outlineLevel="1" collapsed="1" x14ac:dyDescent="0.25">
      <c r="A104" s="321" t="s">
        <v>282</v>
      </c>
      <c r="B104" s="321" t="s">
        <v>360</v>
      </c>
      <c r="C104" s="293">
        <v>34893.518040000003</v>
      </c>
      <c r="D104" s="293">
        <v>39471.175060000001</v>
      </c>
      <c r="E104" s="293">
        <v>4577.6570199999996</v>
      </c>
      <c r="F104" s="294" t="s">
        <v>383</v>
      </c>
    </row>
    <row r="105" spans="1:6" hidden="1" outlineLevel="1" collapsed="1" x14ac:dyDescent="0.25">
      <c r="A105" s="321" t="s">
        <v>282</v>
      </c>
      <c r="B105" s="321" t="s">
        <v>384</v>
      </c>
      <c r="C105" s="293">
        <v>6624.3096240000004</v>
      </c>
      <c r="D105" s="293">
        <v>0</v>
      </c>
      <c r="E105" s="293">
        <v>-6624.3096240000004</v>
      </c>
      <c r="F105" s="294" t="s">
        <v>286</v>
      </c>
    </row>
    <row r="106" spans="1:6" hidden="1" outlineLevel="1" collapsed="1" x14ac:dyDescent="0.25">
      <c r="A106" s="321" t="s">
        <v>282</v>
      </c>
      <c r="B106" s="321" t="s">
        <v>385</v>
      </c>
      <c r="C106" s="293">
        <v>0</v>
      </c>
      <c r="D106" s="293">
        <v>8425.4183159999993</v>
      </c>
      <c r="E106" s="293">
        <v>8425.4183159999993</v>
      </c>
      <c r="F106" s="294" t="s">
        <v>298</v>
      </c>
    </row>
    <row r="107" spans="1:6" hidden="1" outlineLevel="1" collapsed="1" x14ac:dyDescent="0.25">
      <c r="A107" s="321" t="s">
        <v>282</v>
      </c>
      <c r="B107" s="321" t="s">
        <v>386</v>
      </c>
      <c r="C107" s="293">
        <v>3314.3630880000001</v>
      </c>
      <c r="D107" s="293">
        <v>0</v>
      </c>
      <c r="E107" s="293">
        <v>-3314.3630880000001</v>
      </c>
      <c r="F107" s="294" t="s">
        <v>286</v>
      </c>
    </row>
    <row r="108" spans="1:6" hidden="1" outlineLevel="1" collapsed="1" x14ac:dyDescent="0.25">
      <c r="A108" s="321" t="s">
        <v>282</v>
      </c>
      <c r="B108" s="321" t="s">
        <v>387</v>
      </c>
      <c r="C108" s="293">
        <v>0</v>
      </c>
      <c r="D108" s="293">
        <v>3413.0404440000002</v>
      </c>
      <c r="E108" s="293">
        <v>3413.0404440000002</v>
      </c>
      <c r="F108" s="294" t="s">
        <v>298</v>
      </c>
    </row>
    <row r="109" spans="1:6" hidden="1" outlineLevel="1" collapsed="1" x14ac:dyDescent="0.25">
      <c r="A109" s="321" t="s">
        <v>282</v>
      </c>
      <c r="B109" s="321" t="s">
        <v>362</v>
      </c>
      <c r="C109" s="293">
        <v>3877.0575600000002</v>
      </c>
      <c r="D109" s="293">
        <v>3966.2649799999999</v>
      </c>
      <c r="E109" s="293">
        <v>89.207419999999999</v>
      </c>
      <c r="F109" s="294" t="s">
        <v>379</v>
      </c>
    </row>
    <row r="110" spans="1:6" hidden="1" outlineLevel="1" collapsed="1" x14ac:dyDescent="0.25">
      <c r="A110" s="321" t="s">
        <v>282</v>
      </c>
      <c r="B110" s="321" t="s">
        <v>388</v>
      </c>
      <c r="C110" s="293">
        <v>775.13330299999996</v>
      </c>
      <c r="D110" s="293">
        <v>798.21106799999995</v>
      </c>
      <c r="E110" s="293">
        <v>23.077764999999999</v>
      </c>
      <c r="F110" s="294" t="s">
        <v>381</v>
      </c>
    </row>
    <row r="111" spans="1:6" hidden="1" outlineLevel="1" collapsed="1" x14ac:dyDescent="0.25">
      <c r="A111" s="321" t="s">
        <v>282</v>
      </c>
      <c r="B111" s="321" t="s">
        <v>363</v>
      </c>
      <c r="C111" s="293">
        <v>1278.3743999999999</v>
      </c>
      <c r="D111" s="293">
        <v>1266.1199999999999</v>
      </c>
      <c r="E111" s="293">
        <v>-12.2544</v>
      </c>
      <c r="F111" s="294" t="s">
        <v>364</v>
      </c>
    </row>
    <row r="112" spans="1:6" hidden="1" outlineLevel="1" collapsed="1" x14ac:dyDescent="0.25">
      <c r="A112" s="321" t="s">
        <v>282</v>
      </c>
      <c r="B112" s="321" t="s">
        <v>365</v>
      </c>
      <c r="C112" s="293">
        <v>46075.68</v>
      </c>
      <c r="D112" s="293">
        <v>47877.84</v>
      </c>
      <c r="E112" s="293">
        <v>1802.16</v>
      </c>
      <c r="F112" s="294" t="s">
        <v>366</v>
      </c>
    </row>
    <row r="113" spans="1:6" hidden="1" outlineLevel="1" collapsed="1" x14ac:dyDescent="0.25">
      <c r="A113" s="321" t="s">
        <v>282</v>
      </c>
      <c r="B113" s="321" t="s">
        <v>367</v>
      </c>
      <c r="C113" s="293">
        <v>700.61760000000004</v>
      </c>
      <c r="D113" s="293">
        <v>548.64</v>
      </c>
      <c r="E113" s="293">
        <v>-151.9776</v>
      </c>
      <c r="F113" s="294" t="s">
        <v>368</v>
      </c>
    </row>
    <row r="114" spans="1:6" hidden="1" outlineLevel="1" collapsed="1" x14ac:dyDescent="0.25">
      <c r="A114" s="321" t="s">
        <v>282</v>
      </c>
      <c r="B114" s="321" t="s">
        <v>444</v>
      </c>
      <c r="C114" s="293">
        <v>0</v>
      </c>
      <c r="D114" s="293">
        <v>270</v>
      </c>
      <c r="E114" s="293">
        <v>270</v>
      </c>
      <c r="F114" s="294" t="s">
        <v>298</v>
      </c>
    </row>
    <row r="115" spans="1:6" hidden="1" outlineLevel="1" collapsed="1" x14ac:dyDescent="0.25">
      <c r="A115" s="321" t="s">
        <v>282</v>
      </c>
      <c r="B115" s="321" t="s">
        <v>389</v>
      </c>
      <c r="C115" s="293">
        <v>426.12479999999999</v>
      </c>
      <c r="D115" s="293">
        <v>422.04</v>
      </c>
      <c r="E115" s="293">
        <v>-4.0848000000000004</v>
      </c>
      <c r="F115" s="294" t="s">
        <v>364</v>
      </c>
    </row>
    <row r="116" spans="1:6" hidden="1" outlineLevel="1" collapsed="1" x14ac:dyDescent="0.25">
      <c r="A116" s="321" t="s">
        <v>282</v>
      </c>
      <c r="B116" s="321" t="s">
        <v>390</v>
      </c>
      <c r="C116" s="293">
        <v>15485.27</v>
      </c>
      <c r="D116" s="293">
        <v>15959.28</v>
      </c>
      <c r="E116" s="293">
        <v>474.01</v>
      </c>
      <c r="F116" s="294" t="s">
        <v>391</v>
      </c>
    </row>
    <row r="117" spans="1:6" hidden="1" outlineLevel="1" collapsed="1" x14ac:dyDescent="0.25">
      <c r="A117" s="321" t="s">
        <v>282</v>
      </c>
      <c r="B117" s="321" t="s">
        <v>392</v>
      </c>
      <c r="C117" s="293">
        <v>233.53919999999999</v>
      </c>
      <c r="D117" s="293">
        <v>182.88</v>
      </c>
      <c r="E117" s="293">
        <v>-50.659199999999998</v>
      </c>
      <c r="F117" s="294" t="s">
        <v>368</v>
      </c>
    </row>
    <row r="118" spans="1:6" hidden="1" outlineLevel="1" collapsed="1" x14ac:dyDescent="0.25">
      <c r="A118" s="321" t="s">
        <v>282</v>
      </c>
      <c r="B118" s="321" t="s">
        <v>369</v>
      </c>
      <c r="C118" s="293">
        <v>133.69164000000001</v>
      </c>
      <c r="D118" s="293">
        <v>136.76775000000001</v>
      </c>
      <c r="E118" s="293">
        <v>3.0761099999999999</v>
      </c>
      <c r="F118" s="294" t="s">
        <v>379</v>
      </c>
    </row>
    <row r="119" spans="1:6" hidden="1" outlineLevel="1" collapsed="1" x14ac:dyDescent="0.25">
      <c r="A119" s="321" t="s">
        <v>282</v>
      </c>
      <c r="B119" s="321" t="s">
        <v>393</v>
      </c>
      <c r="C119" s="293">
        <v>26.728728</v>
      </c>
      <c r="D119" s="293">
        <v>27.524508000000001</v>
      </c>
      <c r="E119" s="293">
        <v>0.79578000000000004</v>
      </c>
      <c r="F119" s="294" t="s">
        <v>381</v>
      </c>
    </row>
    <row r="120" spans="1:6" hidden="1" outlineLevel="1" collapsed="1" x14ac:dyDescent="0.25">
      <c r="A120" s="321" t="s">
        <v>282</v>
      </c>
      <c r="B120" s="321" t="s">
        <v>370</v>
      </c>
      <c r="C120" s="293">
        <v>4500</v>
      </c>
      <c r="D120" s="293">
        <v>4500</v>
      </c>
      <c r="E120" s="293">
        <v>0</v>
      </c>
      <c r="F120" s="294" t="s">
        <v>316</v>
      </c>
    </row>
    <row r="121" spans="1:6" hidden="1" outlineLevel="1" collapsed="1" x14ac:dyDescent="0.25">
      <c r="A121" s="321" t="s">
        <v>282</v>
      </c>
      <c r="B121" s="321" t="s">
        <v>394</v>
      </c>
      <c r="C121" s="293">
        <v>1500</v>
      </c>
      <c r="D121" s="293">
        <v>0</v>
      </c>
      <c r="E121" s="293">
        <v>-1500</v>
      </c>
      <c r="F121" s="294" t="s">
        <v>286</v>
      </c>
    </row>
    <row r="122" spans="1:6" hidden="1" outlineLevel="1" collapsed="1" x14ac:dyDescent="0.25">
      <c r="A122" s="321" t="s">
        <v>282</v>
      </c>
      <c r="B122" s="321" t="s">
        <v>395</v>
      </c>
      <c r="C122" s="293">
        <v>0</v>
      </c>
      <c r="D122" s="293">
        <v>1500</v>
      </c>
      <c r="E122" s="293">
        <v>1500</v>
      </c>
      <c r="F122" s="294" t="s">
        <v>298</v>
      </c>
    </row>
    <row r="123" spans="1:6" hidden="1" outlineLevel="1" collapsed="1" x14ac:dyDescent="0.25">
      <c r="A123" s="321" t="s">
        <v>282</v>
      </c>
      <c r="B123" s="321" t="s">
        <v>371</v>
      </c>
      <c r="C123" s="293">
        <v>149.04</v>
      </c>
      <c r="D123" s="293">
        <v>145.44</v>
      </c>
      <c r="E123" s="293">
        <v>-3.6</v>
      </c>
      <c r="F123" s="294" t="s">
        <v>372</v>
      </c>
    </row>
    <row r="124" spans="1:6" hidden="1" outlineLevel="1" collapsed="1" x14ac:dyDescent="0.25">
      <c r="A124" s="321" t="s">
        <v>282</v>
      </c>
      <c r="B124" s="321" t="s">
        <v>396</v>
      </c>
      <c r="C124" s="293">
        <v>49.68</v>
      </c>
      <c r="D124" s="293">
        <v>0</v>
      </c>
      <c r="E124" s="293">
        <v>-49.68</v>
      </c>
      <c r="F124" s="294" t="s">
        <v>286</v>
      </c>
    </row>
    <row r="125" spans="1:6" hidden="1" outlineLevel="1" collapsed="1" x14ac:dyDescent="0.25">
      <c r="A125" s="321" t="s">
        <v>282</v>
      </c>
      <c r="B125" s="321" t="s">
        <v>397</v>
      </c>
      <c r="C125" s="293">
        <v>0</v>
      </c>
      <c r="D125" s="293">
        <v>48.48</v>
      </c>
      <c r="E125" s="293">
        <v>48.48</v>
      </c>
      <c r="F125" s="294" t="s">
        <v>298</v>
      </c>
    </row>
    <row r="126" spans="1:6" hidden="1" outlineLevel="1" collapsed="1" x14ac:dyDescent="0.25">
      <c r="A126" s="321" t="s">
        <v>282</v>
      </c>
      <c r="B126" s="321" t="s">
        <v>373</v>
      </c>
      <c r="C126" s="293">
        <v>72</v>
      </c>
      <c r="D126" s="293">
        <v>33.119999999999997</v>
      </c>
      <c r="E126" s="293">
        <v>-38.880000000000003</v>
      </c>
      <c r="F126" s="294" t="s">
        <v>374</v>
      </c>
    </row>
    <row r="127" spans="1:6" hidden="1" outlineLevel="1" collapsed="1" x14ac:dyDescent="0.25">
      <c r="A127" s="321" t="s">
        <v>282</v>
      </c>
      <c r="B127" s="321" t="s">
        <v>398</v>
      </c>
      <c r="C127" s="293">
        <v>24</v>
      </c>
      <c r="D127" s="293">
        <v>11.04</v>
      </c>
      <c r="E127" s="293">
        <v>-12.96</v>
      </c>
      <c r="F127" s="294" t="s">
        <v>374</v>
      </c>
    </row>
    <row r="128" spans="1:6" hidden="1" outlineLevel="1" collapsed="1" x14ac:dyDescent="0.25">
      <c r="A128" s="321" t="s">
        <v>282</v>
      </c>
      <c r="B128" s="321" t="s">
        <v>399</v>
      </c>
      <c r="C128" s="293">
        <v>208</v>
      </c>
      <c r="D128" s="293">
        <v>50</v>
      </c>
      <c r="E128" s="293">
        <v>-158</v>
      </c>
      <c r="F128" s="294" t="s">
        <v>400</v>
      </c>
    </row>
    <row r="129" spans="1:6" hidden="1" outlineLevel="1" collapsed="1" x14ac:dyDescent="0.25">
      <c r="A129" s="321" t="s">
        <v>282</v>
      </c>
      <c r="B129" s="321" t="s">
        <v>375</v>
      </c>
      <c r="C129" s="293">
        <v>337.8</v>
      </c>
      <c r="D129" s="293">
        <v>444</v>
      </c>
      <c r="E129" s="293">
        <v>106.2</v>
      </c>
      <c r="F129" s="294" t="s">
        <v>1944</v>
      </c>
    </row>
    <row r="130" spans="1:6" hidden="1" outlineLevel="1" collapsed="1" x14ac:dyDescent="0.25">
      <c r="A130" s="321" t="s">
        <v>282</v>
      </c>
      <c r="B130" s="321" t="s">
        <v>376</v>
      </c>
      <c r="C130" s="293">
        <v>452</v>
      </c>
      <c r="D130" s="293">
        <v>452</v>
      </c>
      <c r="E130" s="293">
        <v>0</v>
      </c>
      <c r="F130" s="294" t="s">
        <v>316</v>
      </c>
    </row>
    <row r="131" spans="1:6" hidden="1" outlineLevel="1" collapsed="1" x14ac:dyDescent="0.25">
      <c r="A131" s="321" t="s">
        <v>282</v>
      </c>
      <c r="B131" s="321" t="s">
        <v>401</v>
      </c>
      <c r="C131" s="293">
        <v>241.2</v>
      </c>
      <c r="D131" s="293">
        <v>2237</v>
      </c>
      <c r="E131" s="293">
        <v>1995.8</v>
      </c>
      <c r="F131" s="294" t="s">
        <v>1945</v>
      </c>
    </row>
    <row r="132" spans="1:6" hidden="1" outlineLevel="1" collapsed="1" x14ac:dyDescent="0.25">
      <c r="A132" s="321" t="s">
        <v>282</v>
      </c>
      <c r="B132" s="321" t="s">
        <v>403</v>
      </c>
      <c r="C132" s="293">
        <v>865</v>
      </c>
      <c r="D132" s="293">
        <v>865</v>
      </c>
      <c r="E132" s="293">
        <v>0</v>
      </c>
      <c r="F132" s="294" t="s">
        <v>316</v>
      </c>
    </row>
    <row r="133" spans="1:6" hidden="1" outlineLevel="1" collapsed="1" x14ac:dyDescent="0.25">
      <c r="A133" s="321" t="s">
        <v>282</v>
      </c>
      <c r="B133" s="321" t="s">
        <v>405</v>
      </c>
      <c r="C133" s="293">
        <v>0</v>
      </c>
      <c r="D133" s="293">
        <v>500</v>
      </c>
      <c r="E133" s="293">
        <v>500</v>
      </c>
      <c r="F133" s="294" t="s">
        <v>298</v>
      </c>
    </row>
    <row r="134" spans="1:6" collapsed="1" x14ac:dyDescent="0.25">
      <c r="A134" s="560" t="s">
        <v>406</v>
      </c>
      <c r="B134" s="561"/>
      <c r="C134" s="292">
        <v>76366.496025</v>
      </c>
      <c r="D134" s="293">
        <v>83116.256070000003</v>
      </c>
      <c r="E134" s="293">
        <v>6749.760045</v>
      </c>
      <c r="F134" s="294" t="s">
        <v>637</v>
      </c>
    </row>
    <row r="135" spans="1:6" hidden="1" outlineLevel="1" collapsed="1" x14ac:dyDescent="0.25">
      <c r="A135" s="321" t="s">
        <v>282</v>
      </c>
      <c r="B135" s="321" t="s">
        <v>380</v>
      </c>
      <c r="C135" s="293">
        <v>48759.462956000003</v>
      </c>
      <c r="D135" s="293">
        <v>52740.411178000002</v>
      </c>
      <c r="E135" s="293">
        <v>3980.948222</v>
      </c>
      <c r="F135" s="294" t="s">
        <v>408</v>
      </c>
    </row>
    <row r="136" spans="1:6" hidden="1" outlineLevel="1" collapsed="1" x14ac:dyDescent="0.25">
      <c r="A136" s="321" t="s">
        <v>282</v>
      </c>
      <c r="B136" s="321" t="s">
        <v>384</v>
      </c>
      <c r="C136" s="293">
        <v>6133.9404359999999</v>
      </c>
      <c r="D136" s="293">
        <v>0</v>
      </c>
      <c r="E136" s="293">
        <v>-6133.9404359999999</v>
      </c>
      <c r="F136" s="294" t="s">
        <v>286</v>
      </c>
    </row>
    <row r="137" spans="1:6" hidden="1" outlineLevel="1" collapsed="1" x14ac:dyDescent="0.25">
      <c r="A137" s="321" t="s">
        <v>282</v>
      </c>
      <c r="B137" s="321" t="s">
        <v>385</v>
      </c>
      <c r="C137" s="293">
        <v>0</v>
      </c>
      <c r="D137" s="293">
        <v>8191.1132520000001</v>
      </c>
      <c r="E137" s="293">
        <v>8191.1132520000001</v>
      </c>
      <c r="F137" s="294" t="s">
        <v>298</v>
      </c>
    </row>
    <row r="138" spans="1:6" hidden="1" outlineLevel="1" collapsed="1" x14ac:dyDescent="0.25">
      <c r="A138" s="321" t="s">
        <v>282</v>
      </c>
      <c r="B138" s="321" t="s">
        <v>386</v>
      </c>
      <c r="C138" s="293">
        <v>3023.0867020000001</v>
      </c>
      <c r="D138" s="293">
        <v>0</v>
      </c>
      <c r="E138" s="293">
        <v>-3023.0867020000001</v>
      </c>
      <c r="F138" s="294" t="s">
        <v>286</v>
      </c>
    </row>
    <row r="139" spans="1:6" hidden="1" outlineLevel="1" collapsed="1" x14ac:dyDescent="0.25">
      <c r="A139" s="321" t="s">
        <v>282</v>
      </c>
      <c r="B139" s="321" t="s">
        <v>387</v>
      </c>
      <c r="C139" s="293">
        <v>0</v>
      </c>
      <c r="D139" s="293">
        <v>3269.9054890000002</v>
      </c>
      <c r="E139" s="293">
        <v>3269.9054890000002</v>
      </c>
      <c r="F139" s="294" t="s">
        <v>298</v>
      </c>
    </row>
    <row r="140" spans="1:6" hidden="1" outlineLevel="1" collapsed="1" x14ac:dyDescent="0.25">
      <c r="A140" s="321" t="s">
        <v>282</v>
      </c>
      <c r="B140" s="321" t="s">
        <v>388</v>
      </c>
      <c r="C140" s="293">
        <v>707.01220799999999</v>
      </c>
      <c r="D140" s="293">
        <v>764.735952</v>
      </c>
      <c r="E140" s="293">
        <v>57.723744000000003</v>
      </c>
      <c r="F140" s="294" t="s">
        <v>408</v>
      </c>
    </row>
    <row r="141" spans="1:6" hidden="1" outlineLevel="1" collapsed="1" x14ac:dyDescent="0.25">
      <c r="A141" s="321" t="s">
        <v>282</v>
      </c>
      <c r="B141" s="321" t="s">
        <v>389</v>
      </c>
      <c r="C141" s="293">
        <v>426.12479999999999</v>
      </c>
      <c r="D141" s="293">
        <v>422.04</v>
      </c>
      <c r="E141" s="293">
        <v>-4.0848000000000004</v>
      </c>
      <c r="F141" s="294" t="s">
        <v>364</v>
      </c>
    </row>
    <row r="142" spans="1:6" hidden="1" outlineLevel="1" collapsed="1" x14ac:dyDescent="0.25">
      <c r="A142" s="321" t="s">
        <v>282</v>
      </c>
      <c r="B142" s="321" t="s">
        <v>390</v>
      </c>
      <c r="C142" s="293">
        <v>15485.27</v>
      </c>
      <c r="D142" s="293">
        <v>15959.28</v>
      </c>
      <c r="E142" s="293">
        <v>474.01</v>
      </c>
      <c r="F142" s="294" t="s">
        <v>391</v>
      </c>
    </row>
    <row r="143" spans="1:6" hidden="1" outlineLevel="1" collapsed="1" x14ac:dyDescent="0.25">
      <c r="A143" s="321" t="s">
        <v>282</v>
      </c>
      <c r="B143" s="321" t="s">
        <v>392</v>
      </c>
      <c r="C143" s="293">
        <v>233.53919999999999</v>
      </c>
      <c r="D143" s="293">
        <v>182.88</v>
      </c>
      <c r="E143" s="293">
        <v>-50.659199999999998</v>
      </c>
      <c r="F143" s="294" t="s">
        <v>368</v>
      </c>
    </row>
    <row r="144" spans="1:6" hidden="1" outlineLevel="1" collapsed="1" x14ac:dyDescent="0.25">
      <c r="A144" s="321" t="s">
        <v>282</v>
      </c>
      <c r="B144" s="321" t="s">
        <v>393</v>
      </c>
      <c r="C144" s="293">
        <v>24.379722999999998</v>
      </c>
      <c r="D144" s="293">
        <v>26.370199</v>
      </c>
      <c r="E144" s="293">
        <v>1.9904759999999999</v>
      </c>
      <c r="F144" s="294" t="s">
        <v>408</v>
      </c>
    </row>
    <row r="145" spans="1:6" hidden="1" outlineLevel="1" collapsed="1" x14ac:dyDescent="0.25">
      <c r="A145" s="321" t="s">
        <v>282</v>
      </c>
      <c r="B145" s="321" t="s">
        <v>394</v>
      </c>
      <c r="C145" s="293">
        <v>1500</v>
      </c>
      <c r="D145" s="293">
        <v>0</v>
      </c>
      <c r="E145" s="293">
        <v>-1500</v>
      </c>
      <c r="F145" s="294" t="s">
        <v>286</v>
      </c>
    </row>
    <row r="146" spans="1:6" hidden="1" outlineLevel="1" collapsed="1" x14ac:dyDescent="0.25">
      <c r="A146" s="321" t="s">
        <v>282</v>
      </c>
      <c r="B146" s="321" t="s">
        <v>395</v>
      </c>
      <c r="C146" s="293">
        <v>0</v>
      </c>
      <c r="D146" s="293">
        <v>1500</v>
      </c>
      <c r="E146" s="293">
        <v>1500</v>
      </c>
      <c r="F146" s="294" t="s">
        <v>298</v>
      </c>
    </row>
    <row r="147" spans="1:6" hidden="1" outlineLevel="1" collapsed="1" x14ac:dyDescent="0.25">
      <c r="A147" s="321" t="s">
        <v>282</v>
      </c>
      <c r="B147" s="321" t="s">
        <v>396</v>
      </c>
      <c r="C147" s="293">
        <v>49.68</v>
      </c>
      <c r="D147" s="293">
        <v>0</v>
      </c>
      <c r="E147" s="293">
        <v>-49.68</v>
      </c>
      <c r="F147" s="294" t="s">
        <v>286</v>
      </c>
    </row>
    <row r="148" spans="1:6" hidden="1" outlineLevel="1" collapsed="1" x14ac:dyDescent="0.25">
      <c r="A148" s="321" t="s">
        <v>282</v>
      </c>
      <c r="B148" s="321" t="s">
        <v>397</v>
      </c>
      <c r="C148" s="293">
        <v>0</v>
      </c>
      <c r="D148" s="293">
        <v>48.48</v>
      </c>
      <c r="E148" s="293">
        <v>48.48</v>
      </c>
      <c r="F148" s="294" t="s">
        <v>298</v>
      </c>
    </row>
    <row r="149" spans="1:6" hidden="1" outlineLevel="1" collapsed="1" x14ac:dyDescent="0.25">
      <c r="A149" s="321" t="s">
        <v>282</v>
      </c>
      <c r="B149" s="321" t="s">
        <v>398</v>
      </c>
      <c r="C149" s="293">
        <v>24</v>
      </c>
      <c r="D149" s="293">
        <v>11.04</v>
      </c>
      <c r="E149" s="293">
        <v>-12.96</v>
      </c>
      <c r="F149" s="294" t="s">
        <v>374</v>
      </c>
    </row>
    <row r="150" spans="1:6" collapsed="1" x14ac:dyDescent="0.25">
      <c r="A150" s="560" t="s">
        <v>409</v>
      </c>
      <c r="B150" s="561"/>
      <c r="C150" s="292">
        <v>119620.44756</v>
      </c>
      <c r="D150" s="293">
        <v>144474.87382499999</v>
      </c>
      <c r="E150" s="293">
        <v>24854.426264999998</v>
      </c>
      <c r="F150" s="294" t="s">
        <v>1946</v>
      </c>
    </row>
    <row r="151" spans="1:6" hidden="1" outlineLevel="1" collapsed="1" x14ac:dyDescent="0.25">
      <c r="A151" s="321" t="s">
        <v>282</v>
      </c>
      <c r="B151" s="321" t="s">
        <v>358</v>
      </c>
      <c r="C151" s="293">
        <v>81094.320000000007</v>
      </c>
      <c r="D151" s="293">
        <v>84394.732799999998</v>
      </c>
      <c r="E151" s="293">
        <v>3300.4128000000001</v>
      </c>
      <c r="F151" s="294" t="s">
        <v>411</v>
      </c>
    </row>
    <row r="152" spans="1:6" hidden="1" outlineLevel="1" collapsed="1" x14ac:dyDescent="0.25">
      <c r="A152" s="321" t="s">
        <v>282</v>
      </c>
      <c r="B152" s="321" t="s">
        <v>412</v>
      </c>
      <c r="C152" s="293">
        <v>9000</v>
      </c>
      <c r="D152" s="293">
        <v>9000</v>
      </c>
      <c r="E152" s="293">
        <v>0</v>
      </c>
      <c r="F152" s="294" t="s">
        <v>316</v>
      </c>
    </row>
    <row r="153" spans="1:6" hidden="1" outlineLevel="1" collapsed="1" x14ac:dyDescent="0.25">
      <c r="A153" s="321" t="s">
        <v>282</v>
      </c>
      <c r="B153" s="321" t="s">
        <v>380</v>
      </c>
      <c r="C153" s="293">
        <v>0</v>
      </c>
      <c r="D153" s="293">
        <v>7401.5046979999997</v>
      </c>
      <c r="E153" s="293">
        <v>7401.5046979999997</v>
      </c>
      <c r="F153" s="294" t="s">
        <v>298</v>
      </c>
    </row>
    <row r="154" spans="1:6" hidden="1" outlineLevel="1" collapsed="1" x14ac:dyDescent="0.25">
      <c r="A154" s="321" t="s">
        <v>282</v>
      </c>
      <c r="B154" s="321" t="s">
        <v>382</v>
      </c>
      <c r="C154" s="293">
        <v>0</v>
      </c>
      <c r="D154" s="293">
        <v>7000</v>
      </c>
      <c r="E154" s="293">
        <v>7000</v>
      </c>
      <c r="F154" s="294" t="s">
        <v>298</v>
      </c>
    </row>
    <row r="155" spans="1:6" hidden="1" outlineLevel="1" collapsed="1" x14ac:dyDescent="0.25">
      <c r="A155" s="321" t="s">
        <v>282</v>
      </c>
      <c r="B155" s="321" t="s">
        <v>360</v>
      </c>
      <c r="C155" s="293">
        <v>10582.80876</v>
      </c>
      <c r="D155" s="293">
        <v>12178.15994</v>
      </c>
      <c r="E155" s="293">
        <v>1595.3511800000001</v>
      </c>
      <c r="F155" s="294" t="s">
        <v>413</v>
      </c>
    </row>
    <row r="156" spans="1:6" hidden="1" outlineLevel="1" collapsed="1" x14ac:dyDescent="0.25">
      <c r="A156" s="321" t="s">
        <v>282</v>
      </c>
      <c r="B156" s="321" t="s">
        <v>387</v>
      </c>
      <c r="C156" s="293">
        <v>0</v>
      </c>
      <c r="D156" s="293">
        <v>931.95328800000004</v>
      </c>
      <c r="E156" s="293">
        <v>931.95328800000004</v>
      </c>
      <c r="F156" s="294" t="s">
        <v>298</v>
      </c>
    </row>
    <row r="157" spans="1:6" hidden="1" outlineLevel="1" collapsed="1" x14ac:dyDescent="0.25">
      <c r="A157" s="321" t="s">
        <v>282</v>
      </c>
      <c r="B157" s="321" t="s">
        <v>362</v>
      </c>
      <c r="C157" s="293">
        <v>1306.3676399999999</v>
      </c>
      <c r="D157" s="293">
        <v>1354.22362</v>
      </c>
      <c r="E157" s="293">
        <v>47.855980000000002</v>
      </c>
      <c r="F157" s="294" t="s">
        <v>414</v>
      </c>
    </row>
    <row r="158" spans="1:6" hidden="1" outlineLevel="1" collapsed="1" x14ac:dyDescent="0.25">
      <c r="A158" s="321" t="s">
        <v>282</v>
      </c>
      <c r="B158" s="321" t="s">
        <v>388</v>
      </c>
      <c r="C158" s="293">
        <v>0</v>
      </c>
      <c r="D158" s="293">
        <v>217.956816</v>
      </c>
      <c r="E158" s="293">
        <v>217.956816</v>
      </c>
      <c r="F158" s="294" t="s">
        <v>298</v>
      </c>
    </row>
    <row r="159" spans="1:6" hidden="1" outlineLevel="1" collapsed="1" x14ac:dyDescent="0.25">
      <c r="A159" s="321" t="s">
        <v>282</v>
      </c>
      <c r="B159" s="321" t="s">
        <v>480</v>
      </c>
      <c r="C159" s="293">
        <v>0</v>
      </c>
      <c r="D159" s="293">
        <v>195.40955700000001</v>
      </c>
      <c r="E159" s="293">
        <v>195.40955700000001</v>
      </c>
      <c r="F159" s="294" t="s">
        <v>298</v>
      </c>
    </row>
    <row r="160" spans="1:6" hidden="1" outlineLevel="1" collapsed="1" x14ac:dyDescent="0.25">
      <c r="A160" s="321" t="s">
        <v>282</v>
      </c>
      <c r="B160" s="321" t="s">
        <v>363</v>
      </c>
      <c r="C160" s="293">
        <v>426.12479999999999</v>
      </c>
      <c r="D160" s="293">
        <v>422.04</v>
      </c>
      <c r="E160" s="293">
        <v>-4.0848000000000004</v>
      </c>
      <c r="F160" s="294" t="s">
        <v>364</v>
      </c>
    </row>
    <row r="161" spans="1:6" hidden="1" outlineLevel="1" collapsed="1" x14ac:dyDescent="0.25">
      <c r="A161" s="321" t="s">
        <v>282</v>
      </c>
      <c r="B161" s="321" t="s">
        <v>365</v>
      </c>
      <c r="C161" s="293">
        <v>15358.56</v>
      </c>
      <c r="D161" s="293">
        <v>15959.28</v>
      </c>
      <c r="E161" s="293">
        <v>600.72</v>
      </c>
      <c r="F161" s="294" t="s">
        <v>366</v>
      </c>
    </row>
    <row r="162" spans="1:6" hidden="1" outlineLevel="1" collapsed="1" x14ac:dyDescent="0.25">
      <c r="A162" s="321" t="s">
        <v>282</v>
      </c>
      <c r="B162" s="321" t="s">
        <v>367</v>
      </c>
      <c r="C162" s="293">
        <v>233.53919999999999</v>
      </c>
      <c r="D162" s="293">
        <v>182.88</v>
      </c>
      <c r="E162" s="293">
        <v>-50.659199999999998</v>
      </c>
      <c r="F162" s="294" t="s">
        <v>368</v>
      </c>
    </row>
    <row r="163" spans="1:6" hidden="1" outlineLevel="1" collapsed="1" x14ac:dyDescent="0.25">
      <c r="A163" s="321" t="s">
        <v>282</v>
      </c>
      <c r="B163" s="321" t="s">
        <v>444</v>
      </c>
      <c r="C163" s="293">
        <v>0</v>
      </c>
      <c r="D163" s="293">
        <v>630</v>
      </c>
      <c r="E163" s="293">
        <v>630</v>
      </c>
      <c r="F163" s="294" t="s">
        <v>298</v>
      </c>
    </row>
    <row r="164" spans="1:6" hidden="1" outlineLevel="1" collapsed="1" x14ac:dyDescent="0.25">
      <c r="A164" s="321" t="s">
        <v>282</v>
      </c>
      <c r="B164" s="321" t="s">
        <v>369</v>
      </c>
      <c r="C164" s="293">
        <v>45.047159999999998</v>
      </c>
      <c r="D164" s="293">
        <v>46.697360000000003</v>
      </c>
      <c r="E164" s="293">
        <v>1.6501999999999999</v>
      </c>
      <c r="F164" s="294" t="s">
        <v>414</v>
      </c>
    </row>
    <row r="165" spans="1:6" hidden="1" outlineLevel="1" collapsed="1" x14ac:dyDescent="0.25">
      <c r="A165" s="321" t="s">
        <v>282</v>
      </c>
      <c r="B165" s="321" t="s">
        <v>393</v>
      </c>
      <c r="C165" s="293">
        <v>0</v>
      </c>
      <c r="D165" s="293">
        <v>7.515746</v>
      </c>
      <c r="E165" s="293">
        <v>7.515746</v>
      </c>
      <c r="F165" s="294" t="s">
        <v>298</v>
      </c>
    </row>
    <row r="166" spans="1:6" hidden="1" outlineLevel="1" collapsed="1" x14ac:dyDescent="0.25">
      <c r="A166" s="321" t="s">
        <v>282</v>
      </c>
      <c r="B166" s="321" t="s">
        <v>370</v>
      </c>
      <c r="C166" s="293">
        <v>1500</v>
      </c>
      <c r="D166" s="293">
        <v>1500</v>
      </c>
      <c r="E166" s="293">
        <v>0</v>
      </c>
      <c r="F166" s="294" t="s">
        <v>316</v>
      </c>
    </row>
    <row r="167" spans="1:6" hidden="1" outlineLevel="1" collapsed="1" x14ac:dyDescent="0.25">
      <c r="A167" s="321" t="s">
        <v>282</v>
      </c>
      <c r="B167" s="321" t="s">
        <v>371</v>
      </c>
      <c r="C167" s="293">
        <v>49.68</v>
      </c>
      <c r="D167" s="293">
        <v>48.48</v>
      </c>
      <c r="E167" s="293">
        <v>-1.2</v>
      </c>
      <c r="F167" s="294" t="s">
        <v>372</v>
      </c>
    </row>
    <row r="168" spans="1:6" hidden="1" outlineLevel="1" collapsed="1" x14ac:dyDescent="0.25">
      <c r="A168" s="321" t="s">
        <v>282</v>
      </c>
      <c r="B168" s="321" t="s">
        <v>373</v>
      </c>
      <c r="C168" s="293">
        <v>24</v>
      </c>
      <c r="D168" s="293">
        <v>11.04</v>
      </c>
      <c r="E168" s="293">
        <v>-12.96</v>
      </c>
      <c r="F168" s="294" t="s">
        <v>374</v>
      </c>
    </row>
    <row r="169" spans="1:6" hidden="1" outlineLevel="1" collapsed="1" x14ac:dyDescent="0.25">
      <c r="A169" s="321" t="s">
        <v>282</v>
      </c>
      <c r="B169" s="321" t="s">
        <v>376</v>
      </c>
      <c r="C169" s="293">
        <v>0</v>
      </c>
      <c r="D169" s="293">
        <v>230</v>
      </c>
      <c r="E169" s="293">
        <v>230</v>
      </c>
      <c r="F169" s="294" t="s">
        <v>298</v>
      </c>
    </row>
    <row r="170" spans="1:6" hidden="1" outlineLevel="1" collapsed="1" x14ac:dyDescent="0.25">
      <c r="A170" s="321" t="s">
        <v>282</v>
      </c>
      <c r="B170" s="321" t="s">
        <v>415</v>
      </c>
      <c r="C170" s="293">
        <v>0</v>
      </c>
      <c r="D170" s="293">
        <v>180</v>
      </c>
      <c r="E170" s="293">
        <v>180</v>
      </c>
      <c r="F170" s="294" t="s">
        <v>298</v>
      </c>
    </row>
    <row r="171" spans="1:6" hidden="1" outlineLevel="1" collapsed="1" x14ac:dyDescent="0.25">
      <c r="A171" s="321" t="s">
        <v>282</v>
      </c>
      <c r="B171" s="321" t="s">
        <v>416</v>
      </c>
      <c r="C171" s="293">
        <v>0</v>
      </c>
      <c r="D171" s="293">
        <v>702</v>
      </c>
      <c r="E171" s="293">
        <v>702</v>
      </c>
      <c r="F171" s="294" t="s">
        <v>298</v>
      </c>
    </row>
    <row r="172" spans="1:6" hidden="1" outlineLevel="1" collapsed="1" x14ac:dyDescent="0.25">
      <c r="A172" s="321" t="s">
        <v>282</v>
      </c>
      <c r="B172" s="321" t="s">
        <v>403</v>
      </c>
      <c r="C172" s="293">
        <v>0</v>
      </c>
      <c r="D172" s="293">
        <v>1881</v>
      </c>
      <c r="E172" s="293">
        <v>1881</v>
      </c>
      <c r="F172" s="294" t="s">
        <v>298</v>
      </c>
    </row>
    <row r="173" spans="1:6" collapsed="1" x14ac:dyDescent="0.25">
      <c r="A173" s="560" t="s">
        <v>417</v>
      </c>
      <c r="B173" s="561"/>
      <c r="C173" s="292">
        <v>435003.51742500003</v>
      </c>
      <c r="D173" s="293">
        <v>455972.16177000001</v>
      </c>
      <c r="E173" s="293">
        <v>20968.644345000001</v>
      </c>
      <c r="F173" s="294" t="s">
        <v>1676</v>
      </c>
    </row>
    <row r="174" spans="1:6" hidden="1" outlineLevel="1" collapsed="1" x14ac:dyDescent="0.25">
      <c r="A174" s="321" t="s">
        <v>282</v>
      </c>
      <c r="B174" s="321" t="s">
        <v>358</v>
      </c>
      <c r="C174" s="293">
        <v>263446.8</v>
      </c>
      <c r="D174" s="293">
        <v>271451.51880000002</v>
      </c>
      <c r="E174" s="293">
        <v>8004.7187999999996</v>
      </c>
      <c r="F174" s="294" t="s">
        <v>419</v>
      </c>
    </row>
    <row r="175" spans="1:6" hidden="1" outlineLevel="1" collapsed="1" x14ac:dyDescent="0.25">
      <c r="A175" s="321" t="s">
        <v>282</v>
      </c>
      <c r="B175" s="321" t="s">
        <v>380</v>
      </c>
      <c r="C175" s="293">
        <v>48759.462956000003</v>
      </c>
      <c r="D175" s="293">
        <v>52740.411178000002</v>
      </c>
      <c r="E175" s="293">
        <v>3980.948222</v>
      </c>
      <c r="F175" s="294" t="s">
        <v>408</v>
      </c>
    </row>
    <row r="176" spans="1:6" hidden="1" outlineLevel="1" collapsed="1" x14ac:dyDescent="0.25">
      <c r="A176" s="321" t="s">
        <v>282</v>
      </c>
      <c r="B176" s="321" t="s">
        <v>382</v>
      </c>
      <c r="C176" s="293">
        <v>292</v>
      </c>
      <c r="D176" s="293">
        <v>0</v>
      </c>
      <c r="E176" s="293">
        <v>-292</v>
      </c>
      <c r="F176" s="294" t="s">
        <v>286</v>
      </c>
    </row>
    <row r="177" spans="1:6" hidden="1" outlineLevel="1" collapsed="1" x14ac:dyDescent="0.25">
      <c r="A177" s="321" t="s">
        <v>282</v>
      </c>
      <c r="B177" s="321" t="s">
        <v>360</v>
      </c>
      <c r="C177" s="293">
        <v>34379.807399999998</v>
      </c>
      <c r="D177" s="293">
        <v>39170.454149999998</v>
      </c>
      <c r="E177" s="293">
        <v>4790.6467499999999</v>
      </c>
      <c r="F177" s="294" t="s">
        <v>420</v>
      </c>
    </row>
    <row r="178" spans="1:6" hidden="1" outlineLevel="1" collapsed="1" x14ac:dyDescent="0.25">
      <c r="A178" s="321" t="s">
        <v>282</v>
      </c>
      <c r="B178" s="321" t="s">
        <v>384</v>
      </c>
      <c r="C178" s="293">
        <v>6133.9404359999999</v>
      </c>
      <c r="D178" s="293">
        <v>0</v>
      </c>
      <c r="E178" s="293">
        <v>-6133.9404359999999</v>
      </c>
      <c r="F178" s="294" t="s">
        <v>286</v>
      </c>
    </row>
    <row r="179" spans="1:6" hidden="1" outlineLevel="1" collapsed="1" x14ac:dyDescent="0.25">
      <c r="A179" s="321" t="s">
        <v>282</v>
      </c>
      <c r="B179" s="321" t="s">
        <v>385</v>
      </c>
      <c r="C179" s="293">
        <v>0</v>
      </c>
      <c r="D179" s="293">
        <v>8191.1132520000001</v>
      </c>
      <c r="E179" s="293">
        <v>8191.1132520000001</v>
      </c>
      <c r="F179" s="294" t="s">
        <v>298</v>
      </c>
    </row>
    <row r="180" spans="1:6" hidden="1" outlineLevel="1" collapsed="1" x14ac:dyDescent="0.25">
      <c r="A180" s="321" t="s">
        <v>282</v>
      </c>
      <c r="B180" s="321" t="s">
        <v>386</v>
      </c>
      <c r="C180" s="293">
        <v>3023.0867020000001</v>
      </c>
      <c r="D180" s="293">
        <v>0</v>
      </c>
      <c r="E180" s="293">
        <v>-3023.0867020000001</v>
      </c>
      <c r="F180" s="294" t="s">
        <v>286</v>
      </c>
    </row>
    <row r="181" spans="1:6" hidden="1" outlineLevel="1" collapsed="1" x14ac:dyDescent="0.25">
      <c r="A181" s="321" t="s">
        <v>282</v>
      </c>
      <c r="B181" s="321" t="s">
        <v>387</v>
      </c>
      <c r="C181" s="293">
        <v>0</v>
      </c>
      <c r="D181" s="293">
        <v>3269.9054890000002</v>
      </c>
      <c r="E181" s="293">
        <v>3269.9054890000002</v>
      </c>
      <c r="F181" s="294" t="s">
        <v>298</v>
      </c>
    </row>
    <row r="182" spans="1:6" hidden="1" outlineLevel="1" collapsed="1" x14ac:dyDescent="0.25">
      <c r="A182" s="321" t="s">
        <v>282</v>
      </c>
      <c r="B182" s="321" t="s">
        <v>362</v>
      </c>
      <c r="C182" s="293">
        <v>3819.9785999999999</v>
      </c>
      <c r="D182" s="293">
        <v>3936.047</v>
      </c>
      <c r="E182" s="293">
        <v>116.0684</v>
      </c>
      <c r="F182" s="294" t="s">
        <v>419</v>
      </c>
    </row>
    <row r="183" spans="1:6" hidden="1" outlineLevel="1" collapsed="1" x14ac:dyDescent="0.25">
      <c r="A183" s="321" t="s">
        <v>282</v>
      </c>
      <c r="B183" s="321" t="s">
        <v>388</v>
      </c>
      <c r="C183" s="293">
        <v>707.01220799999999</v>
      </c>
      <c r="D183" s="293">
        <v>764.735952</v>
      </c>
      <c r="E183" s="293">
        <v>57.723744000000003</v>
      </c>
      <c r="F183" s="294" t="s">
        <v>408</v>
      </c>
    </row>
    <row r="184" spans="1:6" hidden="1" outlineLevel="1" collapsed="1" x14ac:dyDescent="0.25">
      <c r="A184" s="321" t="s">
        <v>282</v>
      </c>
      <c r="B184" s="321" t="s">
        <v>363</v>
      </c>
      <c r="C184" s="293">
        <v>1278.3743999999999</v>
      </c>
      <c r="D184" s="293">
        <v>1266.1199999999999</v>
      </c>
      <c r="E184" s="293">
        <v>-12.2544</v>
      </c>
      <c r="F184" s="294" t="s">
        <v>364</v>
      </c>
    </row>
    <row r="185" spans="1:6" hidden="1" outlineLevel="1" collapsed="1" x14ac:dyDescent="0.25">
      <c r="A185" s="321" t="s">
        <v>282</v>
      </c>
      <c r="B185" s="321" t="s">
        <v>365</v>
      </c>
      <c r="C185" s="293">
        <v>46075.68</v>
      </c>
      <c r="D185" s="293">
        <v>47877.84</v>
      </c>
      <c r="E185" s="293">
        <v>1802.16</v>
      </c>
      <c r="F185" s="294" t="s">
        <v>366</v>
      </c>
    </row>
    <row r="186" spans="1:6" hidden="1" outlineLevel="1" collapsed="1" x14ac:dyDescent="0.25">
      <c r="A186" s="321" t="s">
        <v>282</v>
      </c>
      <c r="B186" s="321" t="s">
        <v>367</v>
      </c>
      <c r="C186" s="293">
        <v>700.61760000000004</v>
      </c>
      <c r="D186" s="293">
        <v>548.64</v>
      </c>
      <c r="E186" s="293">
        <v>-151.9776</v>
      </c>
      <c r="F186" s="294" t="s">
        <v>368</v>
      </c>
    </row>
    <row r="187" spans="1:6" hidden="1" outlineLevel="1" collapsed="1" x14ac:dyDescent="0.25">
      <c r="A187" s="321" t="s">
        <v>282</v>
      </c>
      <c r="B187" s="321" t="s">
        <v>389</v>
      </c>
      <c r="C187" s="293">
        <v>426.12479999999999</v>
      </c>
      <c r="D187" s="293">
        <v>422.04</v>
      </c>
      <c r="E187" s="293">
        <v>-4.0848000000000004</v>
      </c>
      <c r="F187" s="294" t="s">
        <v>364</v>
      </c>
    </row>
    <row r="188" spans="1:6" hidden="1" outlineLevel="1" collapsed="1" x14ac:dyDescent="0.25">
      <c r="A188" s="321" t="s">
        <v>282</v>
      </c>
      <c r="B188" s="321" t="s">
        <v>390</v>
      </c>
      <c r="C188" s="293">
        <v>15485.27</v>
      </c>
      <c r="D188" s="293">
        <v>15959.28</v>
      </c>
      <c r="E188" s="293">
        <v>474.01</v>
      </c>
      <c r="F188" s="294" t="s">
        <v>391</v>
      </c>
    </row>
    <row r="189" spans="1:6" hidden="1" outlineLevel="1" collapsed="1" x14ac:dyDescent="0.25">
      <c r="A189" s="321" t="s">
        <v>282</v>
      </c>
      <c r="B189" s="321" t="s">
        <v>392</v>
      </c>
      <c r="C189" s="293">
        <v>233.53919999999999</v>
      </c>
      <c r="D189" s="293">
        <v>182.88</v>
      </c>
      <c r="E189" s="293">
        <v>-50.659199999999998</v>
      </c>
      <c r="F189" s="294" t="s">
        <v>368</v>
      </c>
    </row>
    <row r="190" spans="1:6" hidden="1" outlineLevel="1" collapsed="1" x14ac:dyDescent="0.25">
      <c r="A190" s="321" t="s">
        <v>282</v>
      </c>
      <c r="B190" s="321" t="s">
        <v>369</v>
      </c>
      <c r="C190" s="293">
        <v>131.7234</v>
      </c>
      <c r="D190" s="293">
        <v>135.72575000000001</v>
      </c>
      <c r="E190" s="293">
        <v>4.0023499999999999</v>
      </c>
      <c r="F190" s="294" t="s">
        <v>419</v>
      </c>
    </row>
    <row r="191" spans="1:6" hidden="1" outlineLevel="1" collapsed="1" x14ac:dyDescent="0.25">
      <c r="A191" s="321" t="s">
        <v>282</v>
      </c>
      <c r="B191" s="321" t="s">
        <v>393</v>
      </c>
      <c r="C191" s="293">
        <v>24.379722999999998</v>
      </c>
      <c r="D191" s="293">
        <v>26.370199</v>
      </c>
      <c r="E191" s="293">
        <v>1.9904759999999999</v>
      </c>
      <c r="F191" s="294" t="s">
        <v>408</v>
      </c>
    </row>
    <row r="192" spans="1:6" hidden="1" outlineLevel="1" collapsed="1" x14ac:dyDescent="0.25">
      <c r="A192" s="321" t="s">
        <v>282</v>
      </c>
      <c r="B192" s="321" t="s">
        <v>370</v>
      </c>
      <c r="C192" s="293">
        <v>4500</v>
      </c>
      <c r="D192" s="293">
        <v>4500</v>
      </c>
      <c r="E192" s="293">
        <v>0</v>
      </c>
      <c r="F192" s="294" t="s">
        <v>316</v>
      </c>
    </row>
    <row r="193" spans="1:6" hidden="1" outlineLevel="1" collapsed="1" x14ac:dyDescent="0.25">
      <c r="A193" s="321" t="s">
        <v>282</v>
      </c>
      <c r="B193" s="321" t="s">
        <v>394</v>
      </c>
      <c r="C193" s="293">
        <v>1500</v>
      </c>
      <c r="D193" s="293">
        <v>0</v>
      </c>
      <c r="E193" s="293">
        <v>-1500</v>
      </c>
      <c r="F193" s="294" t="s">
        <v>286</v>
      </c>
    </row>
    <row r="194" spans="1:6" hidden="1" outlineLevel="1" collapsed="1" x14ac:dyDescent="0.25">
      <c r="A194" s="321" t="s">
        <v>282</v>
      </c>
      <c r="B194" s="321" t="s">
        <v>395</v>
      </c>
      <c r="C194" s="293">
        <v>0</v>
      </c>
      <c r="D194" s="293">
        <v>1500</v>
      </c>
      <c r="E194" s="293">
        <v>1500</v>
      </c>
      <c r="F194" s="294" t="s">
        <v>298</v>
      </c>
    </row>
    <row r="195" spans="1:6" hidden="1" outlineLevel="1" collapsed="1" x14ac:dyDescent="0.25">
      <c r="A195" s="321" t="s">
        <v>282</v>
      </c>
      <c r="B195" s="321" t="s">
        <v>371</v>
      </c>
      <c r="C195" s="293">
        <v>149.04</v>
      </c>
      <c r="D195" s="293">
        <v>145.44</v>
      </c>
      <c r="E195" s="293">
        <v>-3.6</v>
      </c>
      <c r="F195" s="294" t="s">
        <v>372</v>
      </c>
    </row>
    <row r="196" spans="1:6" hidden="1" outlineLevel="1" collapsed="1" x14ac:dyDescent="0.25">
      <c r="A196" s="321" t="s">
        <v>282</v>
      </c>
      <c r="B196" s="321" t="s">
        <v>396</v>
      </c>
      <c r="C196" s="293">
        <v>49.68</v>
      </c>
      <c r="D196" s="293">
        <v>0</v>
      </c>
      <c r="E196" s="293">
        <v>-49.68</v>
      </c>
      <c r="F196" s="294" t="s">
        <v>286</v>
      </c>
    </row>
    <row r="197" spans="1:6" hidden="1" outlineLevel="1" collapsed="1" x14ac:dyDescent="0.25">
      <c r="A197" s="321" t="s">
        <v>282</v>
      </c>
      <c r="B197" s="321" t="s">
        <v>397</v>
      </c>
      <c r="C197" s="293">
        <v>0</v>
      </c>
      <c r="D197" s="293">
        <v>48.48</v>
      </c>
      <c r="E197" s="293">
        <v>48.48</v>
      </c>
      <c r="F197" s="294" t="s">
        <v>298</v>
      </c>
    </row>
    <row r="198" spans="1:6" hidden="1" outlineLevel="1" collapsed="1" x14ac:dyDescent="0.25">
      <c r="A198" s="321" t="s">
        <v>282</v>
      </c>
      <c r="B198" s="321" t="s">
        <v>373</v>
      </c>
      <c r="C198" s="293">
        <v>72</v>
      </c>
      <c r="D198" s="293">
        <v>33.119999999999997</v>
      </c>
      <c r="E198" s="293">
        <v>-38.880000000000003</v>
      </c>
      <c r="F198" s="294" t="s">
        <v>374</v>
      </c>
    </row>
    <row r="199" spans="1:6" hidden="1" outlineLevel="1" collapsed="1" x14ac:dyDescent="0.25">
      <c r="A199" s="321" t="s">
        <v>282</v>
      </c>
      <c r="B199" s="321" t="s">
        <v>398</v>
      </c>
      <c r="C199" s="293">
        <v>24</v>
      </c>
      <c r="D199" s="293">
        <v>11.04</v>
      </c>
      <c r="E199" s="293">
        <v>-12.96</v>
      </c>
      <c r="F199" s="294" t="s">
        <v>374</v>
      </c>
    </row>
    <row r="200" spans="1:6" hidden="1" outlineLevel="1" collapsed="1" x14ac:dyDescent="0.25">
      <c r="A200" s="321" t="s">
        <v>282</v>
      </c>
      <c r="B200" s="321" t="s">
        <v>375</v>
      </c>
      <c r="C200" s="293">
        <v>0</v>
      </c>
      <c r="D200" s="293">
        <v>0</v>
      </c>
      <c r="E200" s="293">
        <v>0</v>
      </c>
      <c r="F200" s="294" t="s">
        <v>316</v>
      </c>
    </row>
    <row r="201" spans="1:6" hidden="1" outlineLevel="1" collapsed="1" x14ac:dyDescent="0.25">
      <c r="A201" s="321" t="s">
        <v>282</v>
      </c>
      <c r="B201" s="321" t="s">
        <v>376</v>
      </c>
      <c r="C201" s="293">
        <v>450</v>
      </c>
      <c r="D201" s="293">
        <v>1950</v>
      </c>
      <c r="E201" s="293">
        <v>1500</v>
      </c>
      <c r="F201" s="294" t="s">
        <v>421</v>
      </c>
    </row>
    <row r="202" spans="1:6" hidden="1" outlineLevel="1" collapsed="1" x14ac:dyDescent="0.25">
      <c r="A202" s="321" t="s">
        <v>282</v>
      </c>
      <c r="B202" s="321" t="s">
        <v>403</v>
      </c>
      <c r="C202" s="293">
        <v>1841</v>
      </c>
      <c r="D202" s="293">
        <v>1841</v>
      </c>
      <c r="E202" s="293">
        <v>0</v>
      </c>
      <c r="F202" s="294" t="s">
        <v>316</v>
      </c>
    </row>
    <row r="203" spans="1:6" hidden="1" outlineLevel="1" collapsed="1" x14ac:dyDescent="0.25">
      <c r="A203" s="321" t="s">
        <v>282</v>
      </c>
      <c r="B203" s="321" t="s">
        <v>422</v>
      </c>
      <c r="C203" s="293">
        <v>1500</v>
      </c>
      <c r="D203" s="293">
        <v>0</v>
      </c>
      <c r="E203" s="293">
        <v>-1500</v>
      </c>
      <c r="F203" s="294" t="s">
        <v>286</v>
      </c>
    </row>
    <row r="204" spans="1:6" collapsed="1" x14ac:dyDescent="0.25">
      <c r="A204" s="560" t="s">
        <v>423</v>
      </c>
      <c r="B204" s="561"/>
      <c r="C204" s="292">
        <v>6631</v>
      </c>
      <c r="D204" s="293">
        <v>6631</v>
      </c>
      <c r="E204" s="293">
        <v>0</v>
      </c>
      <c r="F204" s="294" t="s">
        <v>316</v>
      </c>
    </row>
    <row r="205" spans="1:6" hidden="1" outlineLevel="1" collapsed="1" x14ac:dyDescent="0.25">
      <c r="A205" s="321" t="s">
        <v>282</v>
      </c>
      <c r="B205" s="321" t="s">
        <v>424</v>
      </c>
      <c r="C205" s="293">
        <v>1777</v>
      </c>
      <c r="D205" s="293">
        <v>1277</v>
      </c>
      <c r="E205" s="293">
        <v>-500</v>
      </c>
      <c r="F205" s="294" t="s">
        <v>1947</v>
      </c>
    </row>
    <row r="206" spans="1:6" hidden="1" outlineLevel="1" collapsed="1" x14ac:dyDescent="0.25">
      <c r="A206" s="321" t="s">
        <v>282</v>
      </c>
      <c r="B206" s="321" t="s">
        <v>425</v>
      </c>
      <c r="C206" s="293">
        <v>108</v>
      </c>
      <c r="D206" s="293">
        <v>108</v>
      </c>
      <c r="E206" s="293">
        <v>0</v>
      </c>
      <c r="F206" s="294" t="s">
        <v>316</v>
      </c>
    </row>
    <row r="207" spans="1:6" hidden="1" outlineLevel="1" collapsed="1" x14ac:dyDescent="0.25">
      <c r="A207" s="321" t="s">
        <v>282</v>
      </c>
      <c r="B207" s="321" t="s">
        <v>375</v>
      </c>
      <c r="C207" s="293">
        <v>1440</v>
      </c>
      <c r="D207" s="293">
        <v>1440</v>
      </c>
      <c r="E207" s="293">
        <v>0</v>
      </c>
      <c r="F207" s="294" t="s">
        <v>316</v>
      </c>
    </row>
    <row r="208" spans="1:6" hidden="1" outlineLevel="1" collapsed="1" x14ac:dyDescent="0.25">
      <c r="A208" s="321" t="s">
        <v>282</v>
      </c>
      <c r="B208" s="321" t="s">
        <v>376</v>
      </c>
      <c r="C208" s="293">
        <v>1310</v>
      </c>
      <c r="D208" s="293">
        <v>1310</v>
      </c>
      <c r="E208" s="293">
        <v>0</v>
      </c>
      <c r="F208" s="294" t="s">
        <v>316</v>
      </c>
    </row>
    <row r="209" spans="1:6" hidden="1" outlineLevel="1" collapsed="1" x14ac:dyDescent="0.25">
      <c r="A209" s="321" t="s">
        <v>282</v>
      </c>
      <c r="B209" s="321" t="s">
        <v>506</v>
      </c>
      <c r="C209" s="293">
        <v>0</v>
      </c>
      <c r="D209" s="293">
        <v>500</v>
      </c>
      <c r="E209" s="293">
        <v>500</v>
      </c>
      <c r="F209" s="294" t="s">
        <v>298</v>
      </c>
    </row>
    <row r="210" spans="1:6" hidden="1" outlineLevel="1" collapsed="1" x14ac:dyDescent="0.25">
      <c r="A210" s="321" t="s">
        <v>282</v>
      </c>
      <c r="B210" s="321" t="s">
        <v>426</v>
      </c>
      <c r="C210" s="293">
        <v>998</v>
      </c>
      <c r="D210" s="293">
        <v>998</v>
      </c>
      <c r="E210" s="293">
        <v>0</v>
      </c>
      <c r="F210" s="294" t="s">
        <v>316</v>
      </c>
    </row>
    <row r="211" spans="1:6" hidden="1" outlineLevel="1" collapsed="1" x14ac:dyDescent="0.25">
      <c r="A211" s="321" t="s">
        <v>282</v>
      </c>
      <c r="B211" s="321" t="s">
        <v>422</v>
      </c>
      <c r="C211" s="293">
        <v>998</v>
      </c>
      <c r="D211" s="293">
        <v>998</v>
      </c>
      <c r="E211" s="293">
        <v>0</v>
      </c>
      <c r="F211" s="294" t="s">
        <v>316</v>
      </c>
    </row>
    <row r="212" spans="1:6" collapsed="1" x14ac:dyDescent="0.25">
      <c r="A212" s="560" t="s">
        <v>427</v>
      </c>
      <c r="B212" s="561"/>
      <c r="C212" s="292">
        <v>242867.47940000001</v>
      </c>
      <c r="D212" s="293">
        <v>252046.89848999999</v>
      </c>
      <c r="E212" s="293">
        <v>9179.4190899999994</v>
      </c>
      <c r="F212" s="294" t="s">
        <v>428</v>
      </c>
    </row>
    <row r="213" spans="1:6" hidden="1" outlineLevel="1" collapsed="1" x14ac:dyDescent="0.25">
      <c r="A213" s="321" t="s">
        <v>282</v>
      </c>
      <c r="B213" s="321" t="s">
        <v>358</v>
      </c>
      <c r="C213" s="293">
        <v>180610.8</v>
      </c>
      <c r="D213" s="293">
        <v>185461.44959999999</v>
      </c>
      <c r="E213" s="293">
        <v>4850.6495999999997</v>
      </c>
      <c r="F213" s="294" t="s">
        <v>429</v>
      </c>
    </row>
    <row r="214" spans="1:6" hidden="1" outlineLevel="1" collapsed="1" x14ac:dyDescent="0.25">
      <c r="A214" s="321" t="s">
        <v>282</v>
      </c>
      <c r="B214" s="321" t="s">
        <v>360</v>
      </c>
      <c r="C214" s="293">
        <v>23569.7094</v>
      </c>
      <c r="D214" s="293">
        <v>26762.087169999999</v>
      </c>
      <c r="E214" s="293">
        <v>3192.3777700000001</v>
      </c>
      <c r="F214" s="294" t="s">
        <v>430</v>
      </c>
    </row>
    <row r="215" spans="1:6" hidden="1" outlineLevel="1" collapsed="1" x14ac:dyDescent="0.25">
      <c r="A215" s="321" t="s">
        <v>282</v>
      </c>
      <c r="B215" s="321" t="s">
        <v>362</v>
      </c>
      <c r="C215" s="293">
        <v>2618.8566000000001</v>
      </c>
      <c r="D215" s="293">
        <v>2689.19101</v>
      </c>
      <c r="E215" s="293">
        <v>70.334410000000005</v>
      </c>
      <c r="F215" s="294" t="s">
        <v>429</v>
      </c>
    </row>
    <row r="216" spans="1:6" hidden="1" outlineLevel="1" collapsed="1" x14ac:dyDescent="0.25">
      <c r="A216" s="321" t="s">
        <v>282</v>
      </c>
      <c r="B216" s="321" t="s">
        <v>363</v>
      </c>
      <c r="C216" s="293">
        <v>852.24959999999999</v>
      </c>
      <c r="D216" s="293">
        <v>844.08</v>
      </c>
      <c r="E216" s="293">
        <v>-8.1696000000000009</v>
      </c>
      <c r="F216" s="294" t="s">
        <v>364</v>
      </c>
    </row>
    <row r="217" spans="1:6" hidden="1" outlineLevel="1" collapsed="1" x14ac:dyDescent="0.25">
      <c r="A217" s="321" t="s">
        <v>282</v>
      </c>
      <c r="B217" s="321" t="s">
        <v>365</v>
      </c>
      <c r="C217" s="293">
        <v>30717.119999999999</v>
      </c>
      <c r="D217" s="293">
        <v>31918.560000000001</v>
      </c>
      <c r="E217" s="293">
        <v>1201.44</v>
      </c>
      <c r="F217" s="294" t="s">
        <v>366</v>
      </c>
    </row>
    <row r="218" spans="1:6" hidden="1" outlineLevel="1" collapsed="1" x14ac:dyDescent="0.25">
      <c r="A218" s="321" t="s">
        <v>282</v>
      </c>
      <c r="B218" s="321" t="s">
        <v>367</v>
      </c>
      <c r="C218" s="293">
        <v>467.07839999999999</v>
      </c>
      <c r="D218" s="293">
        <v>365.76</v>
      </c>
      <c r="E218" s="293">
        <v>-101.3184</v>
      </c>
      <c r="F218" s="294" t="s">
        <v>368</v>
      </c>
    </row>
    <row r="219" spans="1:6" hidden="1" outlineLevel="1" collapsed="1" x14ac:dyDescent="0.25">
      <c r="A219" s="321" t="s">
        <v>282</v>
      </c>
      <c r="B219" s="321" t="s">
        <v>369</v>
      </c>
      <c r="C219" s="293">
        <v>90.305400000000006</v>
      </c>
      <c r="D219" s="293">
        <v>92.730710000000002</v>
      </c>
      <c r="E219" s="293">
        <v>2.4253100000000001</v>
      </c>
      <c r="F219" s="294" t="s">
        <v>429</v>
      </c>
    </row>
    <row r="220" spans="1:6" hidden="1" outlineLevel="1" collapsed="1" x14ac:dyDescent="0.25">
      <c r="A220" s="321" t="s">
        <v>282</v>
      </c>
      <c r="B220" s="321" t="s">
        <v>370</v>
      </c>
      <c r="C220" s="293">
        <v>3000</v>
      </c>
      <c r="D220" s="293">
        <v>3000</v>
      </c>
      <c r="E220" s="293">
        <v>0</v>
      </c>
      <c r="F220" s="294" t="s">
        <v>316</v>
      </c>
    </row>
    <row r="221" spans="1:6" hidden="1" outlineLevel="1" collapsed="1" x14ac:dyDescent="0.25">
      <c r="A221" s="321" t="s">
        <v>282</v>
      </c>
      <c r="B221" s="321" t="s">
        <v>371</v>
      </c>
      <c r="C221" s="293">
        <v>99.36</v>
      </c>
      <c r="D221" s="293">
        <v>96.96</v>
      </c>
      <c r="E221" s="293">
        <v>-2.4</v>
      </c>
      <c r="F221" s="294" t="s">
        <v>372</v>
      </c>
    </row>
    <row r="222" spans="1:6" hidden="1" outlineLevel="1" collapsed="1" x14ac:dyDescent="0.25">
      <c r="A222" s="321" t="s">
        <v>282</v>
      </c>
      <c r="B222" s="321" t="s">
        <v>373</v>
      </c>
      <c r="C222" s="293">
        <v>48</v>
      </c>
      <c r="D222" s="293">
        <v>22.08</v>
      </c>
      <c r="E222" s="293">
        <v>-25.92</v>
      </c>
      <c r="F222" s="294" t="s">
        <v>374</v>
      </c>
    </row>
    <row r="223" spans="1:6" hidden="1" outlineLevel="1" collapsed="1" x14ac:dyDescent="0.25">
      <c r="A223" s="321" t="s">
        <v>282</v>
      </c>
      <c r="B223" s="321" t="s">
        <v>431</v>
      </c>
      <c r="C223" s="293">
        <v>794</v>
      </c>
      <c r="D223" s="293">
        <v>794</v>
      </c>
      <c r="E223" s="293">
        <v>0</v>
      </c>
      <c r="F223" s="294" t="s">
        <v>316</v>
      </c>
    </row>
    <row r="224" spans="1:6" collapsed="1" x14ac:dyDescent="0.25">
      <c r="A224" s="560" t="s">
        <v>432</v>
      </c>
      <c r="B224" s="561"/>
      <c r="C224" s="292">
        <v>236181.4442</v>
      </c>
      <c r="D224" s="293">
        <v>246672.73717000001</v>
      </c>
      <c r="E224" s="293">
        <v>10491.29297</v>
      </c>
      <c r="F224" s="294" t="s">
        <v>433</v>
      </c>
    </row>
    <row r="225" spans="1:6" hidden="1" outlineLevel="1" collapsed="1" x14ac:dyDescent="0.25">
      <c r="A225" s="321" t="s">
        <v>282</v>
      </c>
      <c r="B225" s="321" t="s">
        <v>358</v>
      </c>
      <c r="C225" s="293">
        <v>168716.4</v>
      </c>
      <c r="D225" s="293">
        <v>174840.24600000001</v>
      </c>
      <c r="E225" s="293">
        <v>6123.8459999999995</v>
      </c>
      <c r="F225" s="294" t="s">
        <v>434</v>
      </c>
    </row>
    <row r="226" spans="1:6" hidden="1" outlineLevel="1" collapsed="1" x14ac:dyDescent="0.25">
      <c r="A226" s="321" t="s">
        <v>282</v>
      </c>
      <c r="B226" s="321" t="s">
        <v>412</v>
      </c>
      <c r="C226" s="293">
        <v>7000</v>
      </c>
      <c r="D226" s="293">
        <v>7000</v>
      </c>
      <c r="E226" s="293">
        <v>0</v>
      </c>
      <c r="F226" s="294" t="s">
        <v>316</v>
      </c>
    </row>
    <row r="227" spans="1:6" hidden="1" outlineLevel="1" collapsed="1" x14ac:dyDescent="0.25">
      <c r="A227" s="321" t="s">
        <v>282</v>
      </c>
      <c r="B227" s="321" t="s">
        <v>360</v>
      </c>
      <c r="C227" s="293">
        <v>22017.4902</v>
      </c>
      <c r="D227" s="293">
        <v>25229.447489999999</v>
      </c>
      <c r="E227" s="293">
        <v>3211.9572899999998</v>
      </c>
      <c r="F227" s="294" t="s">
        <v>435</v>
      </c>
    </row>
    <row r="228" spans="1:6" hidden="1" outlineLevel="1" collapsed="1" x14ac:dyDescent="0.25">
      <c r="A228" s="321" t="s">
        <v>282</v>
      </c>
      <c r="B228" s="321" t="s">
        <v>362</v>
      </c>
      <c r="C228" s="293">
        <v>2547.8878</v>
      </c>
      <c r="D228" s="293">
        <v>2636.6835599999999</v>
      </c>
      <c r="E228" s="293">
        <v>88.795760000000001</v>
      </c>
      <c r="F228" s="294" t="s">
        <v>436</v>
      </c>
    </row>
    <row r="229" spans="1:6" hidden="1" outlineLevel="1" collapsed="1" x14ac:dyDescent="0.25">
      <c r="A229" s="321" t="s">
        <v>282</v>
      </c>
      <c r="B229" s="321" t="s">
        <v>363</v>
      </c>
      <c r="C229" s="293">
        <v>852.24959999999999</v>
      </c>
      <c r="D229" s="293">
        <v>844.08</v>
      </c>
      <c r="E229" s="293">
        <v>-8.1696000000000009</v>
      </c>
      <c r="F229" s="294" t="s">
        <v>364</v>
      </c>
    </row>
    <row r="230" spans="1:6" hidden="1" outlineLevel="1" collapsed="1" x14ac:dyDescent="0.25">
      <c r="A230" s="321" t="s">
        <v>282</v>
      </c>
      <c r="B230" s="321" t="s">
        <v>365</v>
      </c>
      <c r="C230" s="293">
        <v>30717.119999999999</v>
      </c>
      <c r="D230" s="293">
        <v>31918.560000000001</v>
      </c>
      <c r="E230" s="293">
        <v>1201.44</v>
      </c>
      <c r="F230" s="294" t="s">
        <v>366</v>
      </c>
    </row>
    <row r="231" spans="1:6" hidden="1" outlineLevel="1" collapsed="1" x14ac:dyDescent="0.25">
      <c r="A231" s="321" t="s">
        <v>282</v>
      </c>
      <c r="B231" s="321" t="s">
        <v>367</v>
      </c>
      <c r="C231" s="293">
        <v>467.07839999999999</v>
      </c>
      <c r="D231" s="293">
        <v>365.76</v>
      </c>
      <c r="E231" s="293">
        <v>-101.3184</v>
      </c>
      <c r="F231" s="294" t="s">
        <v>368</v>
      </c>
    </row>
    <row r="232" spans="1:6" hidden="1" outlineLevel="1" collapsed="1" x14ac:dyDescent="0.25">
      <c r="A232" s="321" t="s">
        <v>282</v>
      </c>
      <c r="B232" s="321" t="s">
        <v>369</v>
      </c>
      <c r="C232" s="293">
        <v>87.858199999999997</v>
      </c>
      <c r="D232" s="293">
        <v>90.920119999999997</v>
      </c>
      <c r="E232" s="293">
        <v>3.0619200000000002</v>
      </c>
      <c r="F232" s="294" t="s">
        <v>436</v>
      </c>
    </row>
    <row r="233" spans="1:6" hidden="1" outlineLevel="1" collapsed="1" x14ac:dyDescent="0.25">
      <c r="A233" s="321" t="s">
        <v>282</v>
      </c>
      <c r="B233" s="321" t="s">
        <v>370</v>
      </c>
      <c r="C233" s="293">
        <v>3000</v>
      </c>
      <c r="D233" s="293">
        <v>3000</v>
      </c>
      <c r="E233" s="293">
        <v>0</v>
      </c>
      <c r="F233" s="294" t="s">
        <v>316</v>
      </c>
    </row>
    <row r="234" spans="1:6" hidden="1" outlineLevel="1" collapsed="1" x14ac:dyDescent="0.25">
      <c r="A234" s="321" t="s">
        <v>282</v>
      </c>
      <c r="B234" s="321" t="s">
        <v>371</v>
      </c>
      <c r="C234" s="293">
        <v>99.36</v>
      </c>
      <c r="D234" s="293">
        <v>96.96</v>
      </c>
      <c r="E234" s="293">
        <v>-2.4</v>
      </c>
      <c r="F234" s="294" t="s">
        <v>372</v>
      </c>
    </row>
    <row r="235" spans="1:6" hidden="1" outlineLevel="1" collapsed="1" x14ac:dyDescent="0.25">
      <c r="A235" s="321" t="s">
        <v>282</v>
      </c>
      <c r="B235" s="321" t="s">
        <v>373</v>
      </c>
      <c r="C235" s="293">
        <v>48</v>
      </c>
      <c r="D235" s="293">
        <v>22.08</v>
      </c>
      <c r="E235" s="293">
        <v>-25.92</v>
      </c>
      <c r="F235" s="294" t="s">
        <v>374</v>
      </c>
    </row>
    <row r="236" spans="1:6" hidden="1" outlineLevel="1" collapsed="1" x14ac:dyDescent="0.25">
      <c r="A236" s="321" t="s">
        <v>282</v>
      </c>
      <c r="B236" s="321" t="s">
        <v>375</v>
      </c>
      <c r="C236" s="293">
        <v>363</v>
      </c>
      <c r="D236" s="293">
        <v>314</v>
      </c>
      <c r="E236" s="293">
        <v>-49</v>
      </c>
      <c r="F236" s="294" t="s">
        <v>437</v>
      </c>
    </row>
    <row r="237" spans="1:6" hidden="1" outlineLevel="1" collapsed="1" x14ac:dyDescent="0.25">
      <c r="A237" s="321" t="s">
        <v>282</v>
      </c>
      <c r="B237" s="321" t="s">
        <v>376</v>
      </c>
      <c r="C237" s="293">
        <v>265</v>
      </c>
      <c r="D237" s="293">
        <v>314</v>
      </c>
      <c r="E237" s="293">
        <v>49</v>
      </c>
      <c r="F237" s="294" t="s">
        <v>438</v>
      </c>
    </row>
    <row r="238" spans="1:6" collapsed="1" x14ac:dyDescent="0.25">
      <c r="A238" s="560" t="s">
        <v>439</v>
      </c>
      <c r="B238" s="561"/>
      <c r="C238" s="292">
        <v>619500.53527999995</v>
      </c>
      <c r="D238" s="293">
        <v>645769.03093000001</v>
      </c>
      <c r="E238" s="293">
        <v>26268.495650000001</v>
      </c>
      <c r="F238" s="294" t="s">
        <v>1948</v>
      </c>
    </row>
    <row r="239" spans="1:6" hidden="1" outlineLevel="1" collapsed="1" x14ac:dyDescent="0.25">
      <c r="A239" s="321" t="s">
        <v>282</v>
      </c>
      <c r="B239" s="321" t="s">
        <v>358</v>
      </c>
      <c r="C239" s="293">
        <v>476144.16</v>
      </c>
      <c r="D239" s="293">
        <v>490889.32199999999</v>
      </c>
      <c r="E239" s="293">
        <v>14745.162</v>
      </c>
      <c r="F239" s="294" t="s">
        <v>440</v>
      </c>
    </row>
    <row r="240" spans="1:6" hidden="1" outlineLevel="1" collapsed="1" x14ac:dyDescent="0.25">
      <c r="A240" s="321" t="s">
        <v>282</v>
      </c>
      <c r="B240" s="321" t="s">
        <v>412</v>
      </c>
      <c r="C240" s="293">
        <v>7000</v>
      </c>
      <c r="D240" s="293">
        <v>7000</v>
      </c>
      <c r="E240" s="293">
        <v>0</v>
      </c>
      <c r="F240" s="294" t="s">
        <v>316</v>
      </c>
    </row>
    <row r="241" spans="1:6" hidden="1" outlineLevel="1" collapsed="1" x14ac:dyDescent="0.25">
      <c r="A241" s="321" t="s">
        <v>282</v>
      </c>
      <c r="B241" s="321" t="s">
        <v>441</v>
      </c>
      <c r="C241" s="293">
        <v>980</v>
      </c>
      <c r="D241" s="293">
        <v>980</v>
      </c>
      <c r="E241" s="293">
        <v>0</v>
      </c>
      <c r="F241" s="294" t="s">
        <v>316</v>
      </c>
    </row>
    <row r="242" spans="1:6" hidden="1" outlineLevel="1" collapsed="1" x14ac:dyDescent="0.25">
      <c r="A242" s="321" t="s">
        <v>282</v>
      </c>
      <c r="B242" s="321" t="s">
        <v>360</v>
      </c>
      <c r="C242" s="293">
        <v>62136.812879999998</v>
      </c>
      <c r="D242" s="293">
        <v>70835.329140000002</v>
      </c>
      <c r="E242" s="293">
        <v>8698.5162600000003</v>
      </c>
      <c r="F242" s="294" t="s">
        <v>442</v>
      </c>
    </row>
    <row r="243" spans="1:6" hidden="1" outlineLevel="1" collapsed="1" x14ac:dyDescent="0.25">
      <c r="A243" s="321" t="s">
        <v>282</v>
      </c>
      <c r="B243" s="321" t="s">
        <v>362</v>
      </c>
      <c r="C243" s="293">
        <v>7005.5903200000002</v>
      </c>
      <c r="D243" s="293">
        <v>7219.3951500000003</v>
      </c>
      <c r="E243" s="293">
        <v>213.80483000000001</v>
      </c>
      <c r="F243" s="294" t="s">
        <v>443</v>
      </c>
    </row>
    <row r="244" spans="1:6" hidden="1" outlineLevel="1" collapsed="1" x14ac:dyDescent="0.25">
      <c r="A244" s="321" t="s">
        <v>282</v>
      </c>
      <c r="B244" s="321" t="s">
        <v>363</v>
      </c>
      <c r="C244" s="293">
        <v>2130.6239999999998</v>
      </c>
      <c r="D244" s="293">
        <v>2110.1999999999998</v>
      </c>
      <c r="E244" s="293">
        <v>-20.423999999999999</v>
      </c>
      <c r="F244" s="294" t="s">
        <v>364</v>
      </c>
    </row>
    <row r="245" spans="1:6" hidden="1" outlineLevel="1" collapsed="1" x14ac:dyDescent="0.25">
      <c r="A245" s="321" t="s">
        <v>282</v>
      </c>
      <c r="B245" s="321" t="s">
        <v>365</v>
      </c>
      <c r="C245" s="293">
        <v>46075.68</v>
      </c>
      <c r="D245" s="293">
        <v>47877.84</v>
      </c>
      <c r="E245" s="293">
        <v>1802.16</v>
      </c>
      <c r="F245" s="294" t="s">
        <v>366</v>
      </c>
    </row>
    <row r="246" spans="1:6" hidden="1" outlineLevel="1" collapsed="1" x14ac:dyDescent="0.25">
      <c r="A246" s="321" t="s">
        <v>282</v>
      </c>
      <c r="B246" s="321" t="s">
        <v>367</v>
      </c>
      <c r="C246" s="293">
        <v>1167.6959999999999</v>
      </c>
      <c r="D246" s="293">
        <v>914.4</v>
      </c>
      <c r="E246" s="293">
        <v>-253.29599999999999</v>
      </c>
      <c r="F246" s="294" t="s">
        <v>368</v>
      </c>
    </row>
    <row r="247" spans="1:6" hidden="1" outlineLevel="1" collapsed="1" x14ac:dyDescent="0.25">
      <c r="A247" s="321" t="s">
        <v>282</v>
      </c>
      <c r="B247" s="321" t="s">
        <v>444</v>
      </c>
      <c r="C247" s="293">
        <v>0</v>
      </c>
      <c r="D247" s="293">
        <v>120</v>
      </c>
      <c r="E247" s="293">
        <v>120</v>
      </c>
      <c r="F247" s="294" t="s">
        <v>298</v>
      </c>
    </row>
    <row r="248" spans="1:6" hidden="1" outlineLevel="1" collapsed="1" x14ac:dyDescent="0.25">
      <c r="A248" s="321" t="s">
        <v>282</v>
      </c>
      <c r="B248" s="321" t="s">
        <v>369</v>
      </c>
      <c r="C248" s="293">
        <v>241.57208</v>
      </c>
      <c r="D248" s="293">
        <v>248.94463999999999</v>
      </c>
      <c r="E248" s="293">
        <v>7.37256</v>
      </c>
      <c r="F248" s="294" t="s">
        <v>443</v>
      </c>
    </row>
    <row r="249" spans="1:6" hidden="1" outlineLevel="1" collapsed="1" x14ac:dyDescent="0.25">
      <c r="A249" s="321" t="s">
        <v>282</v>
      </c>
      <c r="B249" s="321" t="s">
        <v>370</v>
      </c>
      <c r="C249" s="293">
        <v>7500</v>
      </c>
      <c r="D249" s="293">
        <v>7500</v>
      </c>
      <c r="E249" s="293">
        <v>0</v>
      </c>
      <c r="F249" s="294" t="s">
        <v>316</v>
      </c>
    </row>
    <row r="250" spans="1:6" hidden="1" outlineLevel="1" collapsed="1" x14ac:dyDescent="0.25">
      <c r="A250" s="321" t="s">
        <v>282</v>
      </c>
      <c r="B250" s="321" t="s">
        <v>371</v>
      </c>
      <c r="C250" s="293">
        <v>248.4</v>
      </c>
      <c r="D250" s="293">
        <v>242.4</v>
      </c>
      <c r="E250" s="293">
        <v>-6</v>
      </c>
      <c r="F250" s="294" t="s">
        <v>372</v>
      </c>
    </row>
    <row r="251" spans="1:6" hidden="1" outlineLevel="1" collapsed="1" x14ac:dyDescent="0.25">
      <c r="A251" s="321" t="s">
        <v>282</v>
      </c>
      <c r="B251" s="321" t="s">
        <v>373</v>
      </c>
      <c r="C251" s="293">
        <v>120</v>
      </c>
      <c r="D251" s="293">
        <v>55.2</v>
      </c>
      <c r="E251" s="293">
        <v>-64.8</v>
      </c>
      <c r="F251" s="294" t="s">
        <v>374</v>
      </c>
    </row>
    <row r="252" spans="1:6" hidden="1" outlineLevel="1" collapsed="1" x14ac:dyDescent="0.25">
      <c r="A252" s="321" t="s">
        <v>282</v>
      </c>
      <c r="B252" s="321" t="s">
        <v>445</v>
      </c>
      <c r="C252" s="293">
        <v>6000</v>
      </c>
      <c r="D252" s="293">
        <v>6000</v>
      </c>
      <c r="E252" s="293">
        <v>0</v>
      </c>
      <c r="F252" s="294" t="s">
        <v>316</v>
      </c>
    </row>
    <row r="253" spans="1:6" hidden="1" outlineLevel="1" collapsed="1" x14ac:dyDescent="0.25">
      <c r="A253" s="321" t="s">
        <v>282</v>
      </c>
      <c r="B253" s="321" t="s">
        <v>376</v>
      </c>
      <c r="C253" s="293">
        <v>941</v>
      </c>
      <c r="D253" s="293">
        <v>950</v>
      </c>
      <c r="E253" s="293">
        <v>9</v>
      </c>
      <c r="F253" s="294" t="s">
        <v>446</v>
      </c>
    </row>
    <row r="254" spans="1:6" hidden="1" outlineLevel="1" collapsed="1" x14ac:dyDescent="0.25">
      <c r="A254" s="321" t="s">
        <v>282</v>
      </c>
      <c r="B254" s="321" t="s">
        <v>426</v>
      </c>
      <c r="C254" s="293">
        <v>559</v>
      </c>
      <c r="D254" s="293">
        <v>550</v>
      </c>
      <c r="E254" s="293">
        <v>-9</v>
      </c>
      <c r="F254" s="294" t="s">
        <v>447</v>
      </c>
    </row>
    <row r="255" spans="1:6" hidden="1" outlineLevel="1" collapsed="1" x14ac:dyDescent="0.25">
      <c r="A255" s="321" t="s">
        <v>282</v>
      </c>
      <c r="B255" s="321" t="s">
        <v>448</v>
      </c>
      <c r="C255" s="293">
        <v>750</v>
      </c>
      <c r="D255" s="293">
        <v>750</v>
      </c>
      <c r="E255" s="293">
        <v>0</v>
      </c>
      <c r="F255" s="294" t="s">
        <v>316</v>
      </c>
    </row>
    <row r="256" spans="1:6" hidden="1" outlineLevel="1" collapsed="1" x14ac:dyDescent="0.25">
      <c r="A256" s="321" t="s">
        <v>282</v>
      </c>
      <c r="B256" s="321" t="s">
        <v>405</v>
      </c>
      <c r="C256" s="293">
        <v>500</v>
      </c>
      <c r="D256" s="293">
        <v>500</v>
      </c>
      <c r="E256" s="293">
        <v>0</v>
      </c>
      <c r="F256" s="294" t="s">
        <v>316</v>
      </c>
    </row>
    <row r="257" spans="1:6" hidden="1" outlineLevel="1" collapsed="1" x14ac:dyDescent="0.25">
      <c r="A257" s="321" t="s">
        <v>282</v>
      </c>
      <c r="B257" s="321" t="s">
        <v>422</v>
      </c>
      <c r="C257" s="293">
        <v>0</v>
      </c>
      <c r="D257" s="293">
        <v>1026</v>
      </c>
      <c r="E257" s="293">
        <v>1026</v>
      </c>
      <c r="F257" s="294" t="s">
        <v>298</v>
      </c>
    </row>
    <row r="258" spans="1:6" collapsed="1" x14ac:dyDescent="0.25">
      <c r="A258" s="560" t="s">
        <v>449</v>
      </c>
      <c r="B258" s="561"/>
      <c r="C258" s="292">
        <v>250263.18705199999</v>
      </c>
      <c r="D258" s="293">
        <v>251450.697212</v>
      </c>
      <c r="E258" s="293">
        <v>1187.51016</v>
      </c>
      <c r="F258" s="294" t="s">
        <v>1949</v>
      </c>
    </row>
    <row r="259" spans="1:6" hidden="1" outlineLevel="1" collapsed="1" x14ac:dyDescent="0.25">
      <c r="A259" s="321" t="s">
        <v>282</v>
      </c>
      <c r="B259" s="321" t="s">
        <v>358</v>
      </c>
      <c r="C259" s="293">
        <v>163300.19998800001</v>
      </c>
      <c r="D259" s="293">
        <v>167891.190588</v>
      </c>
      <c r="E259" s="293">
        <v>4590.9906000000001</v>
      </c>
      <c r="F259" s="294" t="s">
        <v>451</v>
      </c>
    </row>
    <row r="260" spans="1:6" hidden="1" outlineLevel="1" collapsed="1" x14ac:dyDescent="0.25">
      <c r="A260" s="321" t="s">
        <v>282</v>
      </c>
      <c r="B260" s="321" t="s">
        <v>452</v>
      </c>
      <c r="C260" s="293">
        <v>1260</v>
      </c>
      <c r="D260" s="293">
        <v>1260</v>
      </c>
      <c r="E260" s="293">
        <v>0</v>
      </c>
      <c r="F260" s="294" t="s">
        <v>316</v>
      </c>
    </row>
    <row r="261" spans="1:6" hidden="1" outlineLevel="1" collapsed="1" x14ac:dyDescent="0.25">
      <c r="A261" s="321" t="s">
        <v>282</v>
      </c>
      <c r="B261" s="321" t="s">
        <v>453</v>
      </c>
      <c r="C261" s="293">
        <v>24200</v>
      </c>
      <c r="D261" s="293">
        <v>15000</v>
      </c>
      <c r="E261" s="293">
        <v>-9200</v>
      </c>
      <c r="F261" s="294" t="s">
        <v>454</v>
      </c>
    </row>
    <row r="262" spans="1:6" hidden="1" outlineLevel="1" collapsed="1" x14ac:dyDescent="0.25">
      <c r="A262" s="321" t="s">
        <v>282</v>
      </c>
      <c r="B262" s="321" t="s">
        <v>360</v>
      </c>
      <c r="C262" s="293">
        <v>21310.676088</v>
      </c>
      <c r="D262" s="293">
        <v>24226.698791999999</v>
      </c>
      <c r="E262" s="293">
        <v>2916.022704</v>
      </c>
      <c r="F262" s="294" t="s">
        <v>455</v>
      </c>
    </row>
    <row r="263" spans="1:6" hidden="1" outlineLevel="1" collapsed="1" x14ac:dyDescent="0.25">
      <c r="A263" s="321" t="s">
        <v>282</v>
      </c>
      <c r="B263" s="321" t="s">
        <v>362</v>
      </c>
      <c r="C263" s="293">
        <v>2367.8528879999999</v>
      </c>
      <c r="D263" s="293">
        <v>2434.4222519999998</v>
      </c>
      <c r="E263" s="293">
        <v>66.569363999999993</v>
      </c>
      <c r="F263" s="294" t="s">
        <v>451</v>
      </c>
    </row>
    <row r="264" spans="1:6" hidden="1" outlineLevel="1" collapsed="1" x14ac:dyDescent="0.25">
      <c r="A264" s="321" t="s">
        <v>282</v>
      </c>
      <c r="B264" s="321" t="s">
        <v>363</v>
      </c>
      <c r="C264" s="293">
        <v>852.24959999999999</v>
      </c>
      <c r="D264" s="293">
        <v>844.08</v>
      </c>
      <c r="E264" s="293">
        <v>-8.1696000000000009</v>
      </c>
      <c r="F264" s="294" t="s">
        <v>364</v>
      </c>
    </row>
    <row r="265" spans="1:6" hidden="1" outlineLevel="1" collapsed="1" x14ac:dyDescent="0.25">
      <c r="A265" s="321" t="s">
        <v>282</v>
      </c>
      <c r="B265" s="321" t="s">
        <v>365</v>
      </c>
      <c r="C265" s="293">
        <v>30717.119999999999</v>
      </c>
      <c r="D265" s="293">
        <v>31918.560000000001</v>
      </c>
      <c r="E265" s="293">
        <v>1201.44</v>
      </c>
      <c r="F265" s="294" t="s">
        <v>366</v>
      </c>
    </row>
    <row r="266" spans="1:6" hidden="1" outlineLevel="1" collapsed="1" x14ac:dyDescent="0.25">
      <c r="A266" s="321" t="s">
        <v>282</v>
      </c>
      <c r="B266" s="321" t="s">
        <v>367</v>
      </c>
      <c r="C266" s="293">
        <v>467.07839999999999</v>
      </c>
      <c r="D266" s="293">
        <v>365.76</v>
      </c>
      <c r="E266" s="293">
        <v>-101.3184</v>
      </c>
      <c r="F266" s="294" t="s">
        <v>368</v>
      </c>
    </row>
    <row r="267" spans="1:6" hidden="1" outlineLevel="1" collapsed="1" x14ac:dyDescent="0.25">
      <c r="A267" s="321" t="s">
        <v>282</v>
      </c>
      <c r="B267" s="321" t="s">
        <v>444</v>
      </c>
      <c r="C267" s="293">
        <v>1350</v>
      </c>
      <c r="D267" s="293">
        <v>1350</v>
      </c>
      <c r="E267" s="293">
        <v>0</v>
      </c>
      <c r="F267" s="294" t="s">
        <v>316</v>
      </c>
    </row>
    <row r="268" spans="1:6" hidden="1" outlineLevel="1" collapsed="1" x14ac:dyDescent="0.25">
      <c r="A268" s="321" t="s">
        <v>282</v>
      </c>
      <c r="B268" s="321" t="s">
        <v>369</v>
      </c>
      <c r="C268" s="293">
        <v>81.650087999999997</v>
      </c>
      <c r="D268" s="293">
        <v>83.945580000000007</v>
      </c>
      <c r="E268" s="293">
        <v>2.2954919999999999</v>
      </c>
      <c r="F268" s="294" t="s">
        <v>451</v>
      </c>
    </row>
    <row r="269" spans="1:6" hidden="1" outlineLevel="1" collapsed="1" x14ac:dyDescent="0.25">
      <c r="A269" s="321" t="s">
        <v>282</v>
      </c>
      <c r="B269" s="321" t="s">
        <v>370</v>
      </c>
      <c r="C269" s="293">
        <v>3000</v>
      </c>
      <c r="D269" s="293">
        <v>3000</v>
      </c>
      <c r="E269" s="293">
        <v>0</v>
      </c>
      <c r="F269" s="294" t="s">
        <v>316</v>
      </c>
    </row>
    <row r="270" spans="1:6" hidden="1" outlineLevel="1" collapsed="1" x14ac:dyDescent="0.25">
      <c r="A270" s="321" t="s">
        <v>282</v>
      </c>
      <c r="B270" s="321" t="s">
        <v>371</v>
      </c>
      <c r="C270" s="293">
        <v>99.36</v>
      </c>
      <c r="D270" s="293">
        <v>96.96</v>
      </c>
      <c r="E270" s="293">
        <v>-2.4</v>
      </c>
      <c r="F270" s="294" t="s">
        <v>372</v>
      </c>
    </row>
    <row r="271" spans="1:6" hidden="1" outlineLevel="1" collapsed="1" x14ac:dyDescent="0.25">
      <c r="A271" s="321" t="s">
        <v>282</v>
      </c>
      <c r="B271" s="321" t="s">
        <v>373</v>
      </c>
      <c r="C271" s="293">
        <v>48</v>
      </c>
      <c r="D271" s="293">
        <v>22.08</v>
      </c>
      <c r="E271" s="293">
        <v>-25.92</v>
      </c>
      <c r="F271" s="294" t="s">
        <v>374</v>
      </c>
    </row>
    <row r="272" spans="1:6" hidden="1" outlineLevel="1" collapsed="1" x14ac:dyDescent="0.25">
      <c r="A272" s="321" t="s">
        <v>282</v>
      </c>
      <c r="B272" s="321" t="s">
        <v>375</v>
      </c>
      <c r="C272" s="293">
        <v>0</v>
      </c>
      <c r="D272" s="293">
        <v>60</v>
      </c>
      <c r="E272" s="293">
        <v>60</v>
      </c>
      <c r="F272" s="294" t="s">
        <v>298</v>
      </c>
    </row>
    <row r="273" spans="1:6" hidden="1" outlineLevel="1" collapsed="1" x14ac:dyDescent="0.25">
      <c r="A273" s="321" t="s">
        <v>282</v>
      </c>
      <c r="B273" s="321" t="s">
        <v>376</v>
      </c>
      <c r="C273" s="293">
        <v>209</v>
      </c>
      <c r="D273" s="293">
        <v>353</v>
      </c>
      <c r="E273" s="293">
        <v>144</v>
      </c>
      <c r="F273" s="294" t="s">
        <v>456</v>
      </c>
    </row>
    <row r="274" spans="1:6" hidden="1" outlineLevel="1" collapsed="1" x14ac:dyDescent="0.25">
      <c r="A274" s="321" t="s">
        <v>282</v>
      </c>
      <c r="B274" s="321" t="s">
        <v>448</v>
      </c>
      <c r="C274" s="293">
        <v>1000</v>
      </c>
      <c r="D274" s="293">
        <v>1000</v>
      </c>
      <c r="E274" s="293">
        <v>0</v>
      </c>
      <c r="F274" s="294" t="s">
        <v>316</v>
      </c>
    </row>
    <row r="275" spans="1:6" hidden="1" outlineLevel="1" collapsed="1" x14ac:dyDescent="0.25">
      <c r="A275" s="321" t="s">
        <v>282</v>
      </c>
      <c r="B275" s="321" t="s">
        <v>770</v>
      </c>
      <c r="C275" s="293">
        <v>0</v>
      </c>
      <c r="D275" s="293">
        <v>1544</v>
      </c>
      <c r="E275" s="293">
        <v>1544</v>
      </c>
      <c r="F275" s="294" t="s">
        <v>298</v>
      </c>
    </row>
    <row r="276" spans="1:6" collapsed="1" x14ac:dyDescent="0.25">
      <c r="A276" s="560" t="s">
        <v>457</v>
      </c>
      <c r="B276" s="561"/>
      <c r="C276" s="292">
        <v>3778</v>
      </c>
      <c r="D276" s="293">
        <v>3699</v>
      </c>
      <c r="E276" s="293">
        <v>-79</v>
      </c>
      <c r="F276" s="294" t="s">
        <v>1950</v>
      </c>
    </row>
    <row r="277" spans="1:6" hidden="1" outlineLevel="1" collapsed="1" x14ac:dyDescent="0.25">
      <c r="A277" s="321" t="s">
        <v>282</v>
      </c>
      <c r="B277" s="321" t="s">
        <v>441</v>
      </c>
      <c r="C277" s="293">
        <v>1838</v>
      </c>
      <c r="D277" s="293">
        <v>1838</v>
      </c>
      <c r="E277" s="293">
        <v>0</v>
      </c>
      <c r="F277" s="294" t="s">
        <v>316</v>
      </c>
    </row>
    <row r="278" spans="1:6" hidden="1" outlineLevel="1" collapsed="1" x14ac:dyDescent="0.25">
      <c r="A278" s="321" t="s">
        <v>282</v>
      </c>
      <c r="B278" s="321" t="s">
        <v>452</v>
      </c>
      <c r="C278" s="293">
        <v>850</v>
      </c>
      <c r="D278" s="293">
        <v>850</v>
      </c>
      <c r="E278" s="293">
        <v>0</v>
      </c>
      <c r="F278" s="294" t="s">
        <v>316</v>
      </c>
    </row>
    <row r="279" spans="1:6" hidden="1" outlineLevel="1" collapsed="1" x14ac:dyDescent="0.25">
      <c r="A279" s="321" t="s">
        <v>282</v>
      </c>
      <c r="B279" s="321" t="s">
        <v>444</v>
      </c>
      <c r="C279" s="293">
        <v>390</v>
      </c>
      <c r="D279" s="293">
        <v>225</v>
      </c>
      <c r="E279" s="293">
        <v>-165</v>
      </c>
      <c r="F279" s="294" t="s">
        <v>459</v>
      </c>
    </row>
    <row r="280" spans="1:6" hidden="1" outlineLevel="1" collapsed="1" x14ac:dyDescent="0.25">
      <c r="A280" s="321" t="s">
        <v>282</v>
      </c>
      <c r="B280" s="321" t="s">
        <v>375</v>
      </c>
      <c r="C280" s="293">
        <v>100</v>
      </c>
      <c r="D280" s="293">
        <v>100</v>
      </c>
      <c r="E280" s="293">
        <v>0</v>
      </c>
      <c r="F280" s="294" t="s">
        <v>316</v>
      </c>
    </row>
    <row r="281" spans="1:6" hidden="1" outlineLevel="1" collapsed="1" x14ac:dyDescent="0.25">
      <c r="A281" s="321" t="s">
        <v>282</v>
      </c>
      <c r="B281" s="321" t="s">
        <v>376</v>
      </c>
      <c r="C281" s="293">
        <v>100</v>
      </c>
      <c r="D281" s="293">
        <v>100</v>
      </c>
      <c r="E281" s="293">
        <v>0</v>
      </c>
      <c r="F281" s="294" t="s">
        <v>316</v>
      </c>
    </row>
    <row r="282" spans="1:6" hidden="1" outlineLevel="1" collapsed="1" x14ac:dyDescent="0.25">
      <c r="A282" s="321" t="s">
        <v>282</v>
      </c>
      <c r="B282" s="321" t="s">
        <v>405</v>
      </c>
      <c r="C282" s="293">
        <v>500</v>
      </c>
      <c r="D282" s="293">
        <v>500</v>
      </c>
      <c r="E282" s="293">
        <v>0</v>
      </c>
      <c r="F282" s="294" t="s">
        <v>316</v>
      </c>
    </row>
    <row r="283" spans="1:6" hidden="1" outlineLevel="1" collapsed="1" x14ac:dyDescent="0.25">
      <c r="A283" s="321" t="s">
        <v>282</v>
      </c>
      <c r="B283" s="321" t="s">
        <v>422</v>
      </c>
      <c r="C283" s="293">
        <v>0</v>
      </c>
      <c r="D283" s="293">
        <v>86</v>
      </c>
      <c r="E283" s="293">
        <v>86</v>
      </c>
      <c r="F283" s="294" t="s">
        <v>298</v>
      </c>
    </row>
    <row r="284" spans="1:6" collapsed="1" x14ac:dyDescent="0.25">
      <c r="A284" s="560" t="s">
        <v>460</v>
      </c>
      <c r="B284" s="561"/>
      <c r="C284" s="292">
        <v>100</v>
      </c>
      <c r="D284" s="293">
        <v>100</v>
      </c>
      <c r="E284" s="293">
        <v>0</v>
      </c>
      <c r="F284" s="294" t="s">
        <v>316</v>
      </c>
    </row>
    <row r="285" spans="1:6" hidden="1" outlineLevel="1" collapsed="1" x14ac:dyDescent="0.25">
      <c r="A285" s="321" t="s">
        <v>282</v>
      </c>
      <c r="B285" s="321" t="s">
        <v>375</v>
      </c>
      <c r="C285" s="293">
        <v>25</v>
      </c>
      <c r="D285" s="293">
        <v>25</v>
      </c>
      <c r="E285" s="293">
        <v>0</v>
      </c>
      <c r="F285" s="294" t="s">
        <v>316</v>
      </c>
    </row>
    <row r="286" spans="1:6" hidden="1" outlineLevel="1" collapsed="1" x14ac:dyDescent="0.25">
      <c r="A286" s="321" t="s">
        <v>282</v>
      </c>
      <c r="B286" s="321" t="s">
        <v>376</v>
      </c>
      <c r="C286" s="293">
        <v>25</v>
      </c>
      <c r="D286" s="293">
        <v>25</v>
      </c>
      <c r="E286" s="293">
        <v>0</v>
      </c>
      <c r="F286" s="294" t="s">
        <v>316</v>
      </c>
    </row>
    <row r="287" spans="1:6" hidden="1" outlineLevel="1" collapsed="1" x14ac:dyDescent="0.25">
      <c r="A287" s="321" t="s">
        <v>282</v>
      </c>
      <c r="B287" s="321" t="s">
        <v>401</v>
      </c>
      <c r="C287" s="293">
        <v>25</v>
      </c>
      <c r="D287" s="293">
        <v>25</v>
      </c>
      <c r="E287" s="293">
        <v>0</v>
      </c>
      <c r="F287" s="294" t="s">
        <v>316</v>
      </c>
    </row>
    <row r="288" spans="1:6" hidden="1" outlineLevel="1" collapsed="1" x14ac:dyDescent="0.25">
      <c r="A288" s="321" t="s">
        <v>282</v>
      </c>
      <c r="B288" s="321" t="s">
        <v>405</v>
      </c>
      <c r="C288" s="293">
        <v>12</v>
      </c>
      <c r="D288" s="293">
        <v>12</v>
      </c>
      <c r="E288" s="293">
        <v>0</v>
      </c>
      <c r="F288" s="294" t="s">
        <v>316</v>
      </c>
    </row>
    <row r="289" spans="1:6" hidden="1" outlineLevel="1" collapsed="1" x14ac:dyDescent="0.25">
      <c r="A289" s="321" t="s">
        <v>282</v>
      </c>
      <c r="B289" s="321" t="s">
        <v>422</v>
      </c>
      <c r="C289" s="293">
        <v>13</v>
      </c>
      <c r="D289" s="293">
        <v>13</v>
      </c>
      <c r="E289" s="293">
        <v>0</v>
      </c>
      <c r="F289" s="294" t="s">
        <v>316</v>
      </c>
    </row>
    <row r="290" spans="1:6" collapsed="1" x14ac:dyDescent="0.25">
      <c r="A290" s="560" t="s">
        <v>461</v>
      </c>
      <c r="B290" s="561"/>
      <c r="C290" s="292">
        <v>1147875.6371520001</v>
      </c>
      <c r="D290" s="293">
        <v>1194815.40833</v>
      </c>
      <c r="E290" s="293">
        <v>46939.771178000003</v>
      </c>
      <c r="F290" s="294" t="s">
        <v>490</v>
      </c>
    </row>
    <row r="291" spans="1:6" hidden="1" outlineLevel="1" collapsed="1" x14ac:dyDescent="0.25">
      <c r="A291" s="321" t="s">
        <v>282</v>
      </c>
      <c r="B291" s="321" t="s">
        <v>358</v>
      </c>
      <c r="C291" s="293">
        <v>802220.64</v>
      </c>
      <c r="D291" s="293">
        <v>827807.12280000001</v>
      </c>
      <c r="E291" s="293">
        <v>25586.482800000002</v>
      </c>
      <c r="F291" s="294" t="s">
        <v>1951</v>
      </c>
    </row>
    <row r="292" spans="1:6" hidden="1" outlineLevel="1" collapsed="1" x14ac:dyDescent="0.25">
      <c r="A292" s="321" t="s">
        <v>282</v>
      </c>
      <c r="B292" s="321" t="s">
        <v>412</v>
      </c>
      <c r="C292" s="293">
        <v>8000</v>
      </c>
      <c r="D292" s="293">
        <v>8000</v>
      </c>
      <c r="E292" s="293">
        <v>0</v>
      </c>
      <c r="F292" s="294" t="s">
        <v>316</v>
      </c>
    </row>
    <row r="293" spans="1:6" hidden="1" outlineLevel="1" collapsed="1" x14ac:dyDescent="0.25">
      <c r="A293" s="321" t="s">
        <v>282</v>
      </c>
      <c r="B293" s="321" t="s">
        <v>464</v>
      </c>
      <c r="C293" s="293">
        <v>40087.469276000003</v>
      </c>
      <c r="D293" s="293">
        <v>41270.396467999999</v>
      </c>
      <c r="E293" s="293">
        <v>1182.9271920000001</v>
      </c>
      <c r="F293" s="294" t="s">
        <v>465</v>
      </c>
    </row>
    <row r="294" spans="1:6" hidden="1" outlineLevel="1" collapsed="1" x14ac:dyDescent="0.25">
      <c r="A294" s="321" t="s">
        <v>282</v>
      </c>
      <c r="B294" s="321" t="s">
        <v>360</v>
      </c>
      <c r="C294" s="293">
        <v>94434.059519999995</v>
      </c>
      <c r="D294" s="293">
        <v>107647.71656</v>
      </c>
      <c r="E294" s="293">
        <v>13213.65704</v>
      </c>
      <c r="F294" s="294" t="s">
        <v>1952</v>
      </c>
    </row>
    <row r="295" spans="1:6" hidden="1" outlineLevel="1" collapsed="1" x14ac:dyDescent="0.25">
      <c r="A295" s="321" t="s">
        <v>282</v>
      </c>
      <c r="B295" s="321" t="s">
        <v>384</v>
      </c>
      <c r="C295" s="293">
        <v>4923.4936319999997</v>
      </c>
      <c r="D295" s="293">
        <v>0</v>
      </c>
      <c r="E295" s="293">
        <v>-4923.4936319999997</v>
      </c>
      <c r="F295" s="294" t="s">
        <v>286</v>
      </c>
    </row>
    <row r="296" spans="1:6" hidden="1" outlineLevel="1" collapsed="1" x14ac:dyDescent="0.25">
      <c r="A296" s="321" t="s">
        <v>282</v>
      </c>
      <c r="B296" s="321" t="s">
        <v>385</v>
      </c>
      <c r="C296" s="293">
        <v>0</v>
      </c>
      <c r="D296" s="293">
        <v>6262.1607720000002</v>
      </c>
      <c r="E296" s="293">
        <v>6262.1607720000002</v>
      </c>
      <c r="F296" s="294" t="s">
        <v>298</v>
      </c>
    </row>
    <row r="297" spans="1:6" hidden="1" outlineLevel="1" collapsed="1" x14ac:dyDescent="0.25">
      <c r="A297" s="321" t="s">
        <v>282</v>
      </c>
      <c r="B297" s="321" t="s">
        <v>386</v>
      </c>
      <c r="C297" s="293">
        <v>2485.423092</v>
      </c>
      <c r="D297" s="293">
        <v>0</v>
      </c>
      <c r="E297" s="293">
        <v>-2485.423092</v>
      </c>
      <c r="F297" s="294" t="s">
        <v>286</v>
      </c>
    </row>
    <row r="298" spans="1:6" hidden="1" outlineLevel="1" collapsed="1" x14ac:dyDescent="0.25">
      <c r="A298" s="321" t="s">
        <v>282</v>
      </c>
      <c r="B298" s="321" t="s">
        <v>387</v>
      </c>
      <c r="C298" s="293">
        <v>0</v>
      </c>
      <c r="D298" s="293">
        <v>2558.764572</v>
      </c>
      <c r="E298" s="293">
        <v>2558.764572</v>
      </c>
      <c r="F298" s="294" t="s">
        <v>298</v>
      </c>
    </row>
    <row r="299" spans="1:6" hidden="1" outlineLevel="1" collapsed="1" x14ac:dyDescent="0.25">
      <c r="A299" s="321" t="s">
        <v>282</v>
      </c>
      <c r="B299" s="321" t="s">
        <v>362</v>
      </c>
      <c r="C299" s="293">
        <v>10608.673280000001</v>
      </c>
      <c r="D299" s="293">
        <v>10932.99157</v>
      </c>
      <c r="E299" s="293">
        <v>324.31828999999999</v>
      </c>
      <c r="F299" s="294" t="s">
        <v>391</v>
      </c>
    </row>
    <row r="300" spans="1:6" hidden="1" outlineLevel="1" collapsed="1" x14ac:dyDescent="0.25">
      <c r="A300" s="321" t="s">
        <v>282</v>
      </c>
      <c r="B300" s="321" t="s">
        <v>388</v>
      </c>
      <c r="C300" s="293">
        <v>581.26829999999995</v>
      </c>
      <c r="D300" s="293">
        <v>598.42074000000002</v>
      </c>
      <c r="E300" s="293">
        <v>17.152439999999999</v>
      </c>
      <c r="F300" s="294" t="s">
        <v>465</v>
      </c>
    </row>
    <row r="301" spans="1:6" hidden="1" outlineLevel="1" collapsed="1" x14ac:dyDescent="0.25">
      <c r="A301" s="321" t="s">
        <v>282</v>
      </c>
      <c r="B301" s="321" t="s">
        <v>363</v>
      </c>
      <c r="C301" s="293">
        <v>3835.1232</v>
      </c>
      <c r="D301" s="293">
        <v>3798.36</v>
      </c>
      <c r="E301" s="293">
        <v>-36.763199999999998</v>
      </c>
      <c r="F301" s="294" t="s">
        <v>364</v>
      </c>
    </row>
    <row r="302" spans="1:6" hidden="1" outlineLevel="1" collapsed="1" x14ac:dyDescent="0.25">
      <c r="A302" s="321" t="s">
        <v>282</v>
      </c>
      <c r="B302" s="321" t="s">
        <v>365</v>
      </c>
      <c r="C302" s="293">
        <v>138227.04</v>
      </c>
      <c r="D302" s="293">
        <v>143633.51999999999</v>
      </c>
      <c r="E302" s="293">
        <v>5406.48</v>
      </c>
      <c r="F302" s="294" t="s">
        <v>366</v>
      </c>
    </row>
    <row r="303" spans="1:6" hidden="1" outlineLevel="1" collapsed="1" x14ac:dyDescent="0.25">
      <c r="A303" s="321" t="s">
        <v>282</v>
      </c>
      <c r="B303" s="321" t="s">
        <v>367</v>
      </c>
      <c r="C303" s="293">
        <v>2101.8528000000001</v>
      </c>
      <c r="D303" s="293">
        <v>1645.92</v>
      </c>
      <c r="E303" s="293">
        <v>-455.93279999999999</v>
      </c>
      <c r="F303" s="294" t="s">
        <v>368</v>
      </c>
    </row>
    <row r="304" spans="1:6" hidden="1" outlineLevel="1" collapsed="1" x14ac:dyDescent="0.25">
      <c r="A304" s="321" t="s">
        <v>282</v>
      </c>
      <c r="B304" s="321" t="s">
        <v>389</v>
      </c>
      <c r="C304" s="293">
        <v>426.12479999999999</v>
      </c>
      <c r="D304" s="293">
        <v>422.04</v>
      </c>
      <c r="E304" s="293">
        <v>-4.0848000000000004</v>
      </c>
      <c r="F304" s="294" t="s">
        <v>364</v>
      </c>
    </row>
    <row r="305" spans="1:6" hidden="1" outlineLevel="1" collapsed="1" x14ac:dyDescent="0.25">
      <c r="A305" s="321" t="s">
        <v>282</v>
      </c>
      <c r="B305" s="321" t="s">
        <v>390</v>
      </c>
      <c r="C305" s="293">
        <v>15485.27</v>
      </c>
      <c r="D305" s="293">
        <v>15959.28</v>
      </c>
      <c r="E305" s="293">
        <v>474.01</v>
      </c>
      <c r="F305" s="294" t="s">
        <v>391</v>
      </c>
    </row>
    <row r="306" spans="1:6" hidden="1" outlineLevel="1" collapsed="1" x14ac:dyDescent="0.25">
      <c r="A306" s="321" t="s">
        <v>282</v>
      </c>
      <c r="B306" s="321" t="s">
        <v>392</v>
      </c>
      <c r="C306" s="293">
        <v>233.53919999999999</v>
      </c>
      <c r="D306" s="293">
        <v>182.88</v>
      </c>
      <c r="E306" s="293">
        <v>-50.659199999999998</v>
      </c>
      <c r="F306" s="294" t="s">
        <v>368</v>
      </c>
    </row>
    <row r="307" spans="1:6" hidden="1" outlineLevel="1" collapsed="1" x14ac:dyDescent="0.25">
      <c r="A307" s="321" t="s">
        <v>282</v>
      </c>
      <c r="B307" s="321" t="s">
        <v>369</v>
      </c>
      <c r="C307" s="293">
        <v>365.81632000000002</v>
      </c>
      <c r="D307" s="293">
        <v>376.99966000000001</v>
      </c>
      <c r="E307" s="293">
        <v>11.183339999999999</v>
      </c>
      <c r="F307" s="294" t="s">
        <v>391</v>
      </c>
    </row>
    <row r="308" spans="1:6" hidden="1" outlineLevel="1" collapsed="1" x14ac:dyDescent="0.25">
      <c r="A308" s="321" t="s">
        <v>282</v>
      </c>
      <c r="B308" s="321" t="s">
        <v>393</v>
      </c>
      <c r="C308" s="293">
        <v>20.043731999999999</v>
      </c>
      <c r="D308" s="293">
        <v>20.635187999999999</v>
      </c>
      <c r="E308" s="293">
        <v>0.59145599999999998</v>
      </c>
      <c r="F308" s="294" t="s">
        <v>465</v>
      </c>
    </row>
    <row r="309" spans="1:6" hidden="1" outlineLevel="1" collapsed="1" x14ac:dyDescent="0.25">
      <c r="A309" s="321" t="s">
        <v>282</v>
      </c>
      <c r="B309" s="321" t="s">
        <v>370</v>
      </c>
      <c r="C309" s="293">
        <v>13500</v>
      </c>
      <c r="D309" s="293">
        <v>13500</v>
      </c>
      <c r="E309" s="293">
        <v>0</v>
      </c>
      <c r="F309" s="294" t="s">
        <v>316</v>
      </c>
    </row>
    <row r="310" spans="1:6" hidden="1" outlineLevel="1" collapsed="1" x14ac:dyDescent="0.25">
      <c r="A310" s="321" t="s">
        <v>282</v>
      </c>
      <c r="B310" s="321" t="s">
        <v>394</v>
      </c>
      <c r="C310" s="293">
        <v>1500</v>
      </c>
      <c r="D310" s="293">
        <v>0</v>
      </c>
      <c r="E310" s="293">
        <v>-1500</v>
      </c>
      <c r="F310" s="294" t="s">
        <v>286</v>
      </c>
    </row>
    <row r="311" spans="1:6" hidden="1" outlineLevel="1" collapsed="1" x14ac:dyDescent="0.25">
      <c r="A311" s="321" t="s">
        <v>282</v>
      </c>
      <c r="B311" s="321" t="s">
        <v>395</v>
      </c>
      <c r="C311" s="293">
        <v>0</v>
      </c>
      <c r="D311" s="293">
        <v>1500</v>
      </c>
      <c r="E311" s="293">
        <v>1500</v>
      </c>
      <c r="F311" s="294" t="s">
        <v>298</v>
      </c>
    </row>
    <row r="312" spans="1:6" hidden="1" outlineLevel="1" collapsed="1" x14ac:dyDescent="0.25">
      <c r="A312" s="321" t="s">
        <v>282</v>
      </c>
      <c r="B312" s="321" t="s">
        <v>371</v>
      </c>
      <c r="C312" s="293">
        <v>447.12</v>
      </c>
      <c r="D312" s="293">
        <v>436.32</v>
      </c>
      <c r="E312" s="293">
        <v>-10.8</v>
      </c>
      <c r="F312" s="294" t="s">
        <v>372</v>
      </c>
    </row>
    <row r="313" spans="1:6" hidden="1" outlineLevel="1" collapsed="1" x14ac:dyDescent="0.25">
      <c r="A313" s="321" t="s">
        <v>282</v>
      </c>
      <c r="B313" s="321" t="s">
        <v>396</v>
      </c>
      <c r="C313" s="293">
        <v>49.68</v>
      </c>
      <c r="D313" s="293">
        <v>0</v>
      </c>
      <c r="E313" s="293">
        <v>-49.68</v>
      </c>
      <c r="F313" s="294" t="s">
        <v>286</v>
      </c>
    </row>
    <row r="314" spans="1:6" hidden="1" outlineLevel="1" collapsed="1" x14ac:dyDescent="0.25">
      <c r="A314" s="321" t="s">
        <v>282</v>
      </c>
      <c r="B314" s="321" t="s">
        <v>397</v>
      </c>
      <c r="C314" s="293">
        <v>0</v>
      </c>
      <c r="D314" s="293">
        <v>48.48</v>
      </c>
      <c r="E314" s="293">
        <v>48.48</v>
      </c>
      <c r="F314" s="294" t="s">
        <v>298</v>
      </c>
    </row>
    <row r="315" spans="1:6" hidden="1" outlineLevel="1" collapsed="1" x14ac:dyDescent="0.25">
      <c r="A315" s="321" t="s">
        <v>282</v>
      </c>
      <c r="B315" s="321" t="s">
        <v>373</v>
      </c>
      <c r="C315" s="293">
        <v>216</v>
      </c>
      <c r="D315" s="293">
        <v>99.36</v>
      </c>
      <c r="E315" s="293">
        <v>-116.64</v>
      </c>
      <c r="F315" s="294" t="s">
        <v>374</v>
      </c>
    </row>
    <row r="316" spans="1:6" hidden="1" outlineLevel="1" collapsed="1" x14ac:dyDescent="0.25">
      <c r="A316" s="321" t="s">
        <v>282</v>
      </c>
      <c r="B316" s="321" t="s">
        <v>398</v>
      </c>
      <c r="C316" s="293">
        <v>24</v>
      </c>
      <c r="D316" s="293">
        <v>11.04</v>
      </c>
      <c r="E316" s="293">
        <v>-12.96</v>
      </c>
      <c r="F316" s="294" t="s">
        <v>374</v>
      </c>
    </row>
    <row r="317" spans="1:6" hidden="1" outlineLevel="1" collapsed="1" x14ac:dyDescent="0.25">
      <c r="A317" s="321" t="s">
        <v>282</v>
      </c>
      <c r="B317" s="321" t="s">
        <v>375</v>
      </c>
      <c r="C317" s="293">
        <v>3998</v>
      </c>
      <c r="D317" s="293">
        <v>3998</v>
      </c>
      <c r="E317" s="293">
        <v>0</v>
      </c>
      <c r="F317" s="294" t="s">
        <v>316</v>
      </c>
    </row>
    <row r="318" spans="1:6" hidden="1" outlineLevel="1" collapsed="1" x14ac:dyDescent="0.25">
      <c r="A318" s="321" t="s">
        <v>282</v>
      </c>
      <c r="B318" s="321" t="s">
        <v>376</v>
      </c>
      <c r="C318" s="293">
        <v>265</v>
      </c>
      <c r="D318" s="293">
        <v>265</v>
      </c>
      <c r="E318" s="293">
        <v>0</v>
      </c>
      <c r="F318" s="294" t="s">
        <v>316</v>
      </c>
    </row>
    <row r="319" spans="1:6" hidden="1" outlineLevel="1" collapsed="1" x14ac:dyDescent="0.25">
      <c r="A319" s="321" t="s">
        <v>282</v>
      </c>
      <c r="B319" s="321" t="s">
        <v>403</v>
      </c>
      <c r="C319" s="293">
        <v>2993</v>
      </c>
      <c r="D319" s="293">
        <v>2993</v>
      </c>
      <c r="E319" s="293">
        <v>0</v>
      </c>
      <c r="F319" s="294" t="s">
        <v>316</v>
      </c>
    </row>
    <row r="320" spans="1:6" hidden="1" outlineLevel="1" collapsed="1" x14ac:dyDescent="0.25">
      <c r="A320" s="321" t="s">
        <v>282</v>
      </c>
      <c r="B320" s="321" t="s">
        <v>422</v>
      </c>
      <c r="C320" s="293">
        <v>847</v>
      </c>
      <c r="D320" s="293">
        <v>847</v>
      </c>
      <c r="E320" s="293">
        <v>0</v>
      </c>
      <c r="F320" s="294" t="s">
        <v>316</v>
      </c>
    </row>
    <row r="321" spans="1:6" collapsed="1" x14ac:dyDescent="0.25">
      <c r="A321" s="560" t="s">
        <v>468</v>
      </c>
      <c r="B321" s="561"/>
      <c r="C321" s="292">
        <v>194955.69</v>
      </c>
      <c r="D321" s="293">
        <v>302021</v>
      </c>
      <c r="E321" s="293">
        <v>107065.31</v>
      </c>
      <c r="F321" s="294" t="s">
        <v>1953</v>
      </c>
    </row>
    <row r="322" spans="1:6" hidden="1" outlineLevel="1" collapsed="1" x14ac:dyDescent="0.25">
      <c r="A322" s="321" t="s">
        <v>282</v>
      </c>
      <c r="B322" s="321" t="s">
        <v>470</v>
      </c>
      <c r="C322" s="293">
        <v>49348</v>
      </c>
      <c r="D322" s="293">
        <v>84000</v>
      </c>
      <c r="E322" s="293">
        <v>34652</v>
      </c>
      <c r="F322" s="294" t="s">
        <v>1954</v>
      </c>
    </row>
    <row r="323" spans="1:6" hidden="1" outlineLevel="1" collapsed="1" x14ac:dyDescent="0.25">
      <c r="A323" s="321" t="s">
        <v>282</v>
      </c>
      <c r="B323" s="321" t="s">
        <v>471</v>
      </c>
      <c r="C323" s="293">
        <v>123087</v>
      </c>
      <c r="D323" s="293">
        <v>140000</v>
      </c>
      <c r="E323" s="293">
        <v>16913</v>
      </c>
      <c r="F323" s="294" t="s">
        <v>1393</v>
      </c>
    </row>
    <row r="324" spans="1:6" hidden="1" outlineLevel="1" collapsed="1" x14ac:dyDescent="0.25">
      <c r="A324" s="321" t="s">
        <v>282</v>
      </c>
      <c r="B324" s="321" t="s">
        <v>444</v>
      </c>
      <c r="C324" s="293">
        <v>22520.69</v>
      </c>
      <c r="D324" s="293">
        <v>22521</v>
      </c>
      <c r="E324" s="293">
        <v>0.31</v>
      </c>
      <c r="F324" s="294" t="s">
        <v>316</v>
      </c>
    </row>
    <row r="325" spans="1:6" hidden="1" outlineLevel="1" collapsed="1" x14ac:dyDescent="0.25">
      <c r="A325" s="321" t="s">
        <v>282</v>
      </c>
      <c r="B325" s="321" t="s">
        <v>1202</v>
      </c>
      <c r="C325" s="293">
        <v>0</v>
      </c>
      <c r="D325" s="293">
        <v>18500</v>
      </c>
      <c r="E325" s="293">
        <v>18500</v>
      </c>
      <c r="F325" s="294" t="s">
        <v>298</v>
      </c>
    </row>
    <row r="326" spans="1:6" hidden="1" outlineLevel="1" collapsed="1" x14ac:dyDescent="0.25">
      <c r="A326" s="321" t="s">
        <v>282</v>
      </c>
      <c r="B326" s="321" t="s">
        <v>405</v>
      </c>
      <c r="C326" s="293">
        <v>0</v>
      </c>
      <c r="D326" s="293">
        <v>37000</v>
      </c>
      <c r="E326" s="293">
        <v>37000</v>
      </c>
      <c r="F326" s="294" t="s">
        <v>298</v>
      </c>
    </row>
    <row r="327" spans="1:6" collapsed="1" x14ac:dyDescent="0.25">
      <c r="A327" s="560" t="s">
        <v>473</v>
      </c>
      <c r="B327" s="561"/>
      <c r="C327" s="292">
        <v>89707.4571</v>
      </c>
      <c r="D327" s="293">
        <v>93994.078143000006</v>
      </c>
      <c r="E327" s="293">
        <v>4286.6210430000001</v>
      </c>
      <c r="F327" s="294" t="s">
        <v>1095</v>
      </c>
    </row>
    <row r="328" spans="1:6" hidden="1" outlineLevel="1" collapsed="1" x14ac:dyDescent="0.25">
      <c r="A328" s="321" t="s">
        <v>282</v>
      </c>
      <c r="B328" s="321" t="s">
        <v>380</v>
      </c>
      <c r="C328" s="293">
        <v>59544.365755999999</v>
      </c>
      <c r="D328" s="293">
        <v>61301.776471999998</v>
      </c>
      <c r="E328" s="293">
        <v>1757.4107160000001</v>
      </c>
      <c r="F328" s="294" t="s">
        <v>465</v>
      </c>
    </row>
    <row r="329" spans="1:6" hidden="1" outlineLevel="1" collapsed="1" x14ac:dyDescent="0.25">
      <c r="A329" s="321" t="s">
        <v>282</v>
      </c>
      <c r="B329" s="321" t="s">
        <v>475</v>
      </c>
      <c r="C329" s="293">
        <v>0</v>
      </c>
      <c r="D329" s="293">
        <v>500</v>
      </c>
      <c r="E329" s="293">
        <v>500</v>
      </c>
      <c r="F329" s="294" t="s">
        <v>298</v>
      </c>
    </row>
    <row r="330" spans="1:6" hidden="1" outlineLevel="1" collapsed="1" x14ac:dyDescent="0.25">
      <c r="A330" s="321" t="s">
        <v>282</v>
      </c>
      <c r="B330" s="321" t="s">
        <v>476</v>
      </c>
      <c r="C330" s="293">
        <v>500</v>
      </c>
      <c r="D330" s="293">
        <v>0</v>
      </c>
      <c r="E330" s="293">
        <v>-500</v>
      </c>
      <c r="F330" s="294" t="s">
        <v>286</v>
      </c>
    </row>
    <row r="331" spans="1:6" hidden="1" outlineLevel="1" collapsed="1" x14ac:dyDescent="0.25">
      <c r="A331" s="321" t="s">
        <v>282</v>
      </c>
      <c r="B331" s="321" t="s">
        <v>384</v>
      </c>
      <c r="C331" s="293">
        <v>7314.5612039999996</v>
      </c>
      <c r="D331" s="293">
        <v>0</v>
      </c>
      <c r="E331" s="293">
        <v>-7314.5612039999996</v>
      </c>
      <c r="F331" s="294" t="s">
        <v>286</v>
      </c>
    </row>
    <row r="332" spans="1:6" hidden="1" outlineLevel="1" collapsed="1" x14ac:dyDescent="0.25">
      <c r="A332" s="321" t="s">
        <v>282</v>
      </c>
      <c r="B332" s="321" t="s">
        <v>385</v>
      </c>
      <c r="C332" s="293">
        <v>0</v>
      </c>
      <c r="D332" s="293">
        <v>9303.3449039999996</v>
      </c>
      <c r="E332" s="293">
        <v>9303.3449039999996</v>
      </c>
      <c r="F332" s="294" t="s">
        <v>298</v>
      </c>
    </row>
    <row r="333" spans="1:6" hidden="1" outlineLevel="1" collapsed="1" x14ac:dyDescent="0.25">
      <c r="A333" s="321" t="s">
        <v>282</v>
      </c>
      <c r="B333" s="321" t="s">
        <v>386</v>
      </c>
      <c r="C333" s="293">
        <v>3691.7506680000001</v>
      </c>
      <c r="D333" s="293">
        <v>0</v>
      </c>
      <c r="E333" s="293">
        <v>-3691.7506680000001</v>
      </c>
      <c r="F333" s="294" t="s">
        <v>286</v>
      </c>
    </row>
    <row r="334" spans="1:6" hidden="1" outlineLevel="1" collapsed="1" x14ac:dyDescent="0.25">
      <c r="A334" s="321" t="s">
        <v>282</v>
      </c>
      <c r="B334" s="321" t="s">
        <v>387</v>
      </c>
      <c r="C334" s="293">
        <v>0</v>
      </c>
      <c r="D334" s="293">
        <v>3800.7101389999998</v>
      </c>
      <c r="E334" s="293">
        <v>3800.7101389999998</v>
      </c>
      <c r="F334" s="294" t="s">
        <v>298</v>
      </c>
    </row>
    <row r="335" spans="1:6" hidden="1" outlineLevel="1" collapsed="1" x14ac:dyDescent="0.25">
      <c r="A335" s="321" t="s">
        <v>282</v>
      </c>
      <c r="B335" s="321" t="s">
        <v>388</v>
      </c>
      <c r="C335" s="293">
        <v>863.39329199999997</v>
      </c>
      <c r="D335" s="293">
        <v>888.87574800000004</v>
      </c>
      <c r="E335" s="293">
        <v>25.482455999999999</v>
      </c>
      <c r="F335" s="294" t="s">
        <v>465</v>
      </c>
    </row>
    <row r="336" spans="1:6" hidden="1" outlineLevel="1" collapsed="1" x14ac:dyDescent="0.25">
      <c r="A336" s="321" t="s">
        <v>282</v>
      </c>
      <c r="B336" s="321" t="s">
        <v>444</v>
      </c>
      <c r="C336" s="293">
        <v>45</v>
      </c>
      <c r="D336" s="293">
        <v>45</v>
      </c>
      <c r="E336" s="293">
        <v>0</v>
      </c>
      <c r="F336" s="294" t="s">
        <v>316</v>
      </c>
    </row>
    <row r="337" spans="1:6" hidden="1" outlineLevel="1" collapsed="1" x14ac:dyDescent="0.25">
      <c r="A337" s="321" t="s">
        <v>282</v>
      </c>
      <c r="B337" s="321" t="s">
        <v>389</v>
      </c>
      <c r="C337" s="293">
        <v>426.12479999999999</v>
      </c>
      <c r="D337" s="293">
        <v>422.04</v>
      </c>
      <c r="E337" s="293">
        <v>-4.0848000000000004</v>
      </c>
      <c r="F337" s="294" t="s">
        <v>364</v>
      </c>
    </row>
    <row r="338" spans="1:6" hidden="1" outlineLevel="1" collapsed="1" x14ac:dyDescent="0.25">
      <c r="A338" s="321" t="s">
        <v>282</v>
      </c>
      <c r="B338" s="321" t="s">
        <v>390</v>
      </c>
      <c r="C338" s="293">
        <v>15485.27</v>
      </c>
      <c r="D338" s="293">
        <v>15959.28</v>
      </c>
      <c r="E338" s="293">
        <v>474.01</v>
      </c>
      <c r="F338" s="294" t="s">
        <v>391</v>
      </c>
    </row>
    <row r="339" spans="1:6" hidden="1" outlineLevel="1" collapsed="1" x14ac:dyDescent="0.25">
      <c r="A339" s="321" t="s">
        <v>282</v>
      </c>
      <c r="B339" s="321" t="s">
        <v>392</v>
      </c>
      <c r="C339" s="293">
        <v>233.53919999999999</v>
      </c>
      <c r="D339" s="293">
        <v>182.88</v>
      </c>
      <c r="E339" s="293">
        <v>-50.659199999999998</v>
      </c>
      <c r="F339" s="294" t="s">
        <v>368</v>
      </c>
    </row>
    <row r="340" spans="1:6" hidden="1" outlineLevel="1" collapsed="1" x14ac:dyDescent="0.25">
      <c r="A340" s="321" t="s">
        <v>282</v>
      </c>
      <c r="B340" s="321" t="s">
        <v>393</v>
      </c>
      <c r="C340" s="293">
        <v>29.772179999999999</v>
      </c>
      <c r="D340" s="293">
        <v>30.650880000000001</v>
      </c>
      <c r="E340" s="293">
        <v>0.87870000000000004</v>
      </c>
      <c r="F340" s="294" t="s">
        <v>465</v>
      </c>
    </row>
    <row r="341" spans="1:6" hidden="1" outlineLevel="1" collapsed="1" x14ac:dyDescent="0.25">
      <c r="A341" s="321" t="s">
        <v>282</v>
      </c>
      <c r="B341" s="321" t="s">
        <v>394</v>
      </c>
      <c r="C341" s="293">
        <v>1500</v>
      </c>
      <c r="D341" s="293">
        <v>0</v>
      </c>
      <c r="E341" s="293">
        <v>-1500</v>
      </c>
      <c r="F341" s="294" t="s">
        <v>286</v>
      </c>
    </row>
    <row r="342" spans="1:6" hidden="1" outlineLevel="1" collapsed="1" x14ac:dyDescent="0.25">
      <c r="A342" s="321" t="s">
        <v>282</v>
      </c>
      <c r="B342" s="321" t="s">
        <v>395</v>
      </c>
      <c r="C342" s="293">
        <v>0</v>
      </c>
      <c r="D342" s="293">
        <v>1500</v>
      </c>
      <c r="E342" s="293">
        <v>1500</v>
      </c>
      <c r="F342" s="294" t="s">
        <v>298</v>
      </c>
    </row>
    <row r="343" spans="1:6" hidden="1" outlineLevel="1" collapsed="1" x14ac:dyDescent="0.25">
      <c r="A343" s="321" t="s">
        <v>282</v>
      </c>
      <c r="B343" s="321" t="s">
        <v>396</v>
      </c>
      <c r="C343" s="293">
        <v>49.68</v>
      </c>
      <c r="D343" s="293">
        <v>0</v>
      </c>
      <c r="E343" s="293">
        <v>-49.68</v>
      </c>
      <c r="F343" s="294" t="s">
        <v>286</v>
      </c>
    </row>
    <row r="344" spans="1:6" hidden="1" outlineLevel="1" collapsed="1" x14ac:dyDescent="0.25">
      <c r="A344" s="321" t="s">
        <v>282</v>
      </c>
      <c r="B344" s="321" t="s">
        <v>397</v>
      </c>
      <c r="C344" s="293">
        <v>0</v>
      </c>
      <c r="D344" s="293">
        <v>48.48</v>
      </c>
      <c r="E344" s="293">
        <v>48.48</v>
      </c>
      <c r="F344" s="294" t="s">
        <v>298</v>
      </c>
    </row>
    <row r="345" spans="1:6" hidden="1" outlineLevel="1" collapsed="1" x14ac:dyDescent="0.25">
      <c r="A345" s="321" t="s">
        <v>282</v>
      </c>
      <c r="B345" s="321" t="s">
        <v>398</v>
      </c>
      <c r="C345" s="293">
        <v>24</v>
      </c>
      <c r="D345" s="293">
        <v>11.04</v>
      </c>
      <c r="E345" s="293">
        <v>-12.96</v>
      </c>
      <c r="F345" s="294" t="s">
        <v>374</v>
      </c>
    </row>
    <row r="346" spans="1:6" collapsed="1" x14ac:dyDescent="0.25">
      <c r="A346" s="560" t="s">
        <v>477</v>
      </c>
      <c r="B346" s="561"/>
      <c r="C346" s="292">
        <v>17494.406491999998</v>
      </c>
      <c r="D346" s="293">
        <v>35916.772700000001</v>
      </c>
      <c r="E346" s="293">
        <v>18422.366207999999</v>
      </c>
      <c r="F346" s="294" t="s">
        <v>478</v>
      </c>
    </row>
    <row r="347" spans="1:6" hidden="1" outlineLevel="1" collapsed="1" x14ac:dyDescent="0.25">
      <c r="A347" s="321" t="s">
        <v>282</v>
      </c>
      <c r="B347" s="321" t="s">
        <v>380</v>
      </c>
      <c r="C347" s="293">
        <v>10898.538085</v>
      </c>
      <c r="D347" s="293">
        <v>27799.791501</v>
      </c>
      <c r="E347" s="293">
        <v>16901.253416</v>
      </c>
      <c r="F347" s="294" t="s">
        <v>479</v>
      </c>
    </row>
    <row r="348" spans="1:6" hidden="1" outlineLevel="1" collapsed="1" x14ac:dyDescent="0.25">
      <c r="A348" s="321" t="s">
        <v>282</v>
      </c>
      <c r="B348" s="321" t="s">
        <v>386</v>
      </c>
      <c r="C348" s="293">
        <v>675.70935699999995</v>
      </c>
      <c r="D348" s="293">
        <v>0</v>
      </c>
      <c r="E348" s="293">
        <v>-675.70935699999995</v>
      </c>
      <c r="F348" s="294" t="s">
        <v>286</v>
      </c>
    </row>
    <row r="349" spans="1:6" hidden="1" outlineLevel="1" collapsed="1" x14ac:dyDescent="0.25">
      <c r="A349" s="321" t="s">
        <v>282</v>
      </c>
      <c r="B349" s="321" t="s">
        <v>387</v>
      </c>
      <c r="C349" s="293">
        <v>0</v>
      </c>
      <c r="D349" s="293">
        <v>1723.5870629999999</v>
      </c>
      <c r="E349" s="293">
        <v>1723.5870629999999</v>
      </c>
      <c r="F349" s="294" t="s">
        <v>298</v>
      </c>
    </row>
    <row r="350" spans="1:6" hidden="1" outlineLevel="1" collapsed="1" x14ac:dyDescent="0.25">
      <c r="A350" s="321" t="s">
        <v>282</v>
      </c>
      <c r="B350" s="321" t="s">
        <v>388</v>
      </c>
      <c r="C350" s="293">
        <v>158.028796</v>
      </c>
      <c r="D350" s="293">
        <v>403.09696700000001</v>
      </c>
      <c r="E350" s="293">
        <v>245.06817100000001</v>
      </c>
      <c r="F350" s="294" t="s">
        <v>479</v>
      </c>
    </row>
    <row r="351" spans="1:6" hidden="1" outlineLevel="1" collapsed="1" x14ac:dyDescent="0.25">
      <c r="A351" s="321" t="s">
        <v>282</v>
      </c>
      <c r="B351" s="321" t="s">
        <v>480</v>
      </c>
      <c r="C351" s="293">
        <v>141.680992</v>
      </c>
      <c r="D351" s="293">
        <v>361.39728200000002</v>
      </c>
      <c r="E351" s="293">
        <v>219.71628999999999</v>
      </c>
      <c r="F351" s="294" t="s">
        <v>479</v>
      </c>
    </row>
    <row r="352" spans="1:6" hidden="1" outlineLevel="1" collapsed="1" x14ac:dyDescent="0.25">
      <c r="A352" s="321" t="s">
        <v>282</v>
      </c>
      <c r="B352" s="321" t="s">
        <v>393</v>
      </c>
      <c r="C352" s="293">
        <v>5.4492620000000001</v>
      </c>
      <c r="D352" s="293">
        <v>13.899887</v>
      </c>
      <c r="E352" s="293">
        <v>8.4506250000000005</v>
      </c>
      <c r="F352" s="294" t="s">
        <v>479</v>
      </c>
    </row>
    <row r="353" spans="1:6" hidden="1" outlineLevel="1" collapsed="1" x14ac:dyDescent="0.25">
      <c r="A353" s="321" t="s">
        <v>282</v>
      </c>
      <c r="B353" s="321" t="s">
        <v>376</v>
      </c>
      <c r="C353" s="293">
        <v>1191</v>
      </c>
      <c r="D353" s="293">
        <v>835</v>
      </c>
      <c r="E353" s="293">
        <v>-356</v>
      </c>
      <c r="F353" s="294" t="s">
        <v>481</v>
      </c>
    </row>
    <row r="354" spans="1:6" hidden="1" outlineLevel="1" collapsed="1" x14ac:dyDescent="0.25">
      <c r="A354" s="321" t="s">
        <v>282</v>
      </c>
      <c r="B354" s="321" t="s">
        <v>426</v>
      </c>
      <c r="C354" s="293">
        <v>0</v>
      </c>
      <c r="D354" s="293">
        <v>356</v>
      </c>
      <c r="E354" s="293">
        <v>356</v>
      </c>
      <c r="F354" s="294" t="s">
        <v>298</v>
      </c>
    </row>
    <row r="355" spans="1:6" hidden="1" outlineLevel="1" collapsed="1" x14ac:dyDescent="0.25">
      <c r="A355" s="321" t="s">
        <v>282</v>
      </c>
      <c r="B355" s="321" t="s">
        <v>482</v>
      </c>
      <c r="C355" s="293">
        <v>499</v>
      </c>
      <c r="D355" s="293">
        <v>499</v>
      </c>
      <c r="E355" s="293">
        <v>0</v>
      </c>
      <c r="F355" s="294" t="s">
        <v>316</v>
      </c>
    </row>
    <row r="356" spans="1:6" hidden="1" outlineLevel="1" collapsed="1" x14ac:dyDescent="0.25">
      <c r="A356" s="321" t="s">
        <v>282</v>
      </c>
      <c r="B356" s="321" t="s">
        <v>483</v>
      </c>
      <c r="C356" s="293">
        <v>421</v>
      </c>
      <c r="D356" s="293">
        <v>421</v>
      </c>
      <c r="E356" s="293">
        <v>0</v>
      </c>
      <c r="F356" s="294" t="s">
        <v>316</v>
      </c>
    </row>
    <row r="357" spans="1:6" hidden="1" outlineLevel="1" collapsed="1" x14ac:dyDescent="0.25">
      <c r="A357" s="321" t="s">
        <v>282</v>
      </c>
      <c r="B357" s="321" t="s">
        <v>403</v>
      </c>
      <c r="C357" s="293">
        <v>1777</v>
      </c>
      <c r="D357" s="293">
        <v>2507</v>
      </c>
      <c r="E357" s="293">
        <v>730</v>
      </c>
      <c r="F357" s="294" t="s">
        <v>484</v>
      </c>
    </row>
    <row r="358" spans="1:6" hidden="1" outlineLevel="1" collapsed="1" x14ac:dyDescent="0.25">
      <c r="A358" s="321" t="s">
        <v>282</v>
      </c>
      <c r="B358" s="321" t="s">
        <v>405</v>
      </c>
      <c r="C358" s="293">
        <v>997</v>
      </c>
      <c r="D358" s="293">
        <v>997</v>
      </c>
      <c r="E358" s="293">
        <v>0</v>
      </c>
      <c r="F358" s="294" t="s">
        <v>316</v>
      </c>
    </row>
    <row r="359" spans="1:6" hidden="1" outlineLevel="1" collapsed="1" x14ac:dyDescent="0.25">
      <c r="A359" s="321" t="s">
        <v>282</v>
      </c>
      <c r="B359" s="321" t="s">
        <v>422</v>
      </c>
      <c r="C359" s="293">
        <v>730</v>
      </c>
      <c r="D359" s="293">
        <v>0</v>
      </c>
      <c r="E359" s="293">
        <v>-730</v>
      </c>
      <c r="F359" s="294" t="s">
        <v>286</v>
      </c>
    </row>
    <row r="360" spans="1:6" collapsed="1" x14ac:dyDescent="0.25">
      <c r="A360" s="560" t="s">
        <v>485</v>
      </c>
      <c r="B360" s="561"/>
      <c r="C360" s="292">
        <v>212648.58807999999</v>
      </c>
      <c r="D360" s="293">
        <v>235352.12943</v>
      </c>
      <c r="E360" s="293">
        <v>22703.54135</v>
      </c>
      <c r="F360" s="294" t="s">
        <v>1955</v>
      </c>
    </row>
    <row r="361" spans="1:6" hidden="1" outlineLevel="1" collapsed="1" x14ac:dyDescent="0.25">
      <c r="A361" s="321" t="s">
        <v>282</v>
      </c>
      <c r="B361" s="321" t="s">
        <v>358</v>
      </c>
      <c r="C361" s="293">
        <v>144233.76</v>
      </c>
      <c r="D361" s="293">
        <v>150421.53839999999</v>
      </c>
      <c r="E361" s="293">
        <v>6187.7784000000001</v>
      </c>
      <c r="F361" s="294" t="s">
        <v>487</v>
      </c>
    </row>
    <row r="362" spans="1:6" hidden="1" outlineLevel="1" collapsed="1" x14ac:dyDescent="0.25">
      <c r="A362" s="321" t="s">
        <v>282</v>
      </c>
      <c r="B362" s="321" t="s">
        <v>412</v>
      </c>
      <c r="C362" s="293">
        <v>7000</v>
      </c>
      <c r="D362" s="293">
        <v>7000</v>
      </c>
      <c r="E362" s="293">
        <v>0</v>
      </c>
      <c r="F362" s="294" t="s">
        <v>316</v>
      </c>
    </row>
    <row r="363" spans="1:6" hidden="1" outlineLevel="1" collapsed="1" x14ac:dyDescent="0.25">
      <c r="A363" s="321" t="s">
        <v>282</v>
      </c>
      <c r="B363" s="321" t="s">
        <v>488</v>
      </c>
      <c r="C363" s="293">
        <v>1000</v>
      </c>
      <c r="D363" s="293">
        <v>1000</v>
      </c>
      <c r="E363" s="293">
        <v>0</v>
      </c>
      <c r="F363" s="294" t="s">
        <v>316</v>
      </c>
    </row>
    <row r="364" spans="1:6" hidden="1" outlineLevel="1" collapsed="1" x14ac:dyDescent="0.25">
      <c r="A364" s="321" t="s">
        <v>282</v>
      </c>
      <c r="B364" s="321" t="s">
        <v>360</v>
      </c>
      <c r="C364" s="293">
        <v>18822.505679999998</v>
      </c>
      <c r="D364" s="293">
        <v>21705.827979999998</v>
      </c>
      <c r="E364" s="293">
        <v>2883.3222999999998</v>
      </c>
      <c r="F364" s="294" t="s">
        <v>489</v>
      </c>
    </row>
    <row r="365" spans="1:6" hidden="1" outlineLevel="1" collapsed="1" x14ac:dyDescent="0.25">
      <c r="A365" s="321" t="s">
        <v>282</v>
      </c>
      <c r="B365" s="321" t="s">
        <v>362</v>
      </c>
      <c r="C365" s="293">
        <v>2192.8895200000002</v>
      </c>
      <c r="D365" s="293">
        <v>2282.61229</v>
      </c>
      <c r="E365" s="293">
        <v>89.722769999999997</v>
      </c>
      <c r="F365" s="294" t="s">
        <v>490</v>
      </c>
    </row>
    <row r="366" spans="1:6" hidden="1" outlineLevel="1" collapsed="1" x14ac:dyDescent="0.25">
      <c r="A366" s="321" t="s">
        <v>282</v>
      </c>
      <c r="B366" s="321" t="s">
        <v>363</v>
      </c>
      <c r="C366" s="293">
        <v>816.73919999999998</v>
      </c>
      <c r="D366" s="293">
        <v>844.08</v>
      </c>
      <c r="E366" s="293">
        <v>27.340800000000002</v>
      </c>
      <c r="F366" s="294" t="s">
        <v>467</v>
      </c>
    </row>
    <row r="367" spans="1:6" hidden="1" outlineLevel="1" collapsed="1" x14ac:dyDescent="0.25">
      <c r="A367" s="321" t="s">
        <v>282</v>
      </c>
      <c r="B367" s="321" t="s">
        <v>365</v>
      </c>
      <c r="C367" s="293">
        <v>29437.24</v>
      </c>
      <c r="D367" s="293">
        <v>31918.560000000001</v>
      </c>
      <c r="E367" s="293">
        <v>2481.3200000000002</v>
      </c>
      <c r="F367" s="294" t="s">
        <v>491</v>
      </c>
    </row>
    <row r="368" spans="1:6" hidden="1" outlineLevel="1" collapsed="1" x14ac:dyDescent="0.25">
      <c r="A368" s="321" t="s">
        <v>282</v>
      </c>
      <c r="B368" s="321" t="s">
        <v>367</v>
      </c>
      <c r="C368" s="293">
        <v>447.61680000000001</v>
      </c>
      <c r="D368" s="293">
        <v>365.76</v>
      </c>
      <c r="E368" s="293">
        <v>-81.856800000000007</v>
      </c>
      <c r="F368" s="294" t="s">
        <v>492</v>
      </c>
    </row>
    <row r="369" spans="1:6" hidden="1" outlineLevel="1" collapsed="1" x14ac:dyDescent="0.25">
      <c r="A369" s="321" t="s">
        <v>282</v>
      </c>
      <c r="B369" s="321" t="s">
        <v>444</v>
      </c>
      <c r="C369" s="293">
        <v>0</v>
      </c>
      <c r="D369" s="293">
        <v>90</v>
      </c>
      <c r="E369" s="293">
        <v>90</v>
      </c>
      <c r="F369" s="294" t="s">
        <v>298</v>
      </c>
    </row>
    <row r="370" spans="1:6" hidden="1" outlineLevel="1" collapsed="1" x14ac:dyDescent="0.25">
      <c r="A370" s="321" t="s">
        <v>282</v>
      </c>
      <c r="B370" s="321" t="s">
        <v>369</v>
      </c>
      <c r="C370" s="293">
        <v>75.616879999999995</v>
      </c>
      <c r="D370" s="293">
        <v>78.710759999999993</v>
      </c>
      <c r="E370" s="293">
        <v>3.09388</v>
      </c>
      <c r="F370" s="294" t="s">
        <v>490</v>
      </c>
    </row>
    <row r="371" spans="1:6" hidden="1" outlineLevel="1" collapsed="1" x14ac:dyDescent="0.25">
      <c r="A371" s="321" t="s">
        <v>282</v>
      </c>
      <c r="B371" s="321" t="s">
        <v>370</v>
      </c>
      <c r="C371" s="293">
        <v>2875</v>
      </c>
      <c r="D371" s="293">
        <v>3000</v>
      </c>
      <c r="E371" s="293">
        <v>125</v>
      </c>
      <c r="F371" s="294" t="s">
        <v>493</v>
      </c>
    </row>
    <row r="372" spans="1:6" hidden="1" outlineLevel="1" collapsed="1" x14ac:dyDescent="0.25">
      <c r="A372" s="321" t="s">
        <v>282</v>
      </c>
      <c r="B372" s="321" t="s">
        <v>371</v>
      </c>
      <c r="C372" s="293">
        <v>95.22</v>
      </c>
      <c r="D372" s="293">
        <v>96.96</v>
      </c>
      <c r="E372" s="293">
        <v>1.74</v>
      </c>
      <c r="F372" s="294" t="s">
        <v>494</v>
      </c>
    </row>
    <row r="373" spans="1:6" hidden="1" outlineLevel="1" collapsed="1" x14ac:dyDescent="0.25">
      <c r="A373" s="321" t="s">
        <v>282</v>
      </c>
      <c r="B373" s="321" t="s">
        <v>373</v>
      </c>
      <c r="C373" s="293">
        <v>46</v>
      </c>
      <c r="D373" s="293">
        <v>22.08</v>
      </c>
      <c r="E373" s="293">
        <v>-23.92</v>
      </c>
      <c r="F373" s="294" t="s">
        <v>495</v>
      </c>
    </row>
    <row r="374" spans="1:6" hidden="1" outlineLevel="1" collapsed="1" x14ac:dyDescent="0.25">
      <c r="A374" s="321" t="s">
        <v>282</v>
      </c>
      <c r="B374" s="321" t="s">
        <v>496</v>
      </c>
      <c r="C374" s="293">
        <v>1917</v>
      </c>
      <c r="D374" s="293">
        <v>1917</v>
      </c>
      <c r="E374" s="293">
        <v>0</v>
      </c>
      <c r="F374" s="294" t="s">
        <v>316</v>
      </c>
    </row>
    <row r="375" spans="1:6" hidden="1" outlineLevel="1" collapsed="1" x14ac:dyDescent="0.25">
      <c r="A375" s="321" t="s">
        <v>282</v>
      </c>
      <c r="B375" s="321" t="s">
        <v>376</v>
      </c>
      <c r="C375" s="293">
        <v>3190</v>
      </c>
      <c r="D375" s="293">
        <v>3190</v>
      </c>
      <c r="E375" s="293">
        <v>0</v>
      </c>
      <c r="F375" s="294" t="s">
        <v>316</v>
      </c>
    </row>
    <row r="376" spans="1:6" hidden="1" outlineLevel="1" collapsed="1" x14ac:dyDescent="0.25">
      <c r="A376" s="321" t="s">
        <v>282</v>
      </c>
      <c r="B376" s="321" t="s">
        <v>426</v>
      </c>
      <c r="C376" s="293">
        <v>499</v>
      </c>
      <c r="D376" s="293">
        <v>499</v>
      </c>
      <c r="E376" s="293">
        <v>0</v>
      </c>
      <c r="F376" s="294" t="s">
        <v>316</v>
      </c>
    </row>
    <row r="377" spans="1:6" hidden="1" outlineLevel="1" collapsed="1" x14ac:dyDescent="0.25">
      <c r="A377" s="321" t="s">
        <v>282</v>
      </c>
      <c r="B377" s="321" t="s">
        <v>422</v>
      </c>
      <c r="C377" s="293">
        <v>0</v>
      </c>
      <c r="D377" s="293">
        <v>7875</v>
      </c>
      <c r="E377" s="293">
        <v>7875</v>
      </c>
      <c r="F377" s="294" t="s">
        <v>298</v>
      </c>
    </row>
    <row r="378" spans="1:6" hidden="1" outlineLevel="1" collapsed="1" x14ac:dyDescent="0.25">
      <c r="A378" s="321" t="s">
        <v>282</v>
      </c>
      <c r="B378" s="321" t="s">
        <v>770</v>
      </c>
      <c r="C378" s="293">
        <v>0</v>
      </c>
      <c r="D378" s="293">
        <v>3045</v>
      </c>
      <c r="E378" s="293">
        <v>3045</v>
      </c>
      <c r="F378" s="294" t="s">
        <v>298</v>
      </c>
    </row>
    <row r="379" spans="1:6" collapsed="1" x14ac:dyDescent="0.25">
      <c r="A379" s="560" t="s">
        <v>497</v>
      </c>
      <c r="B379" s="561"/>
      <c r="C379" s="292">
        <v>184944.89310799999</v>
      </c>
      <c r="D379" s="293">
        <v>149809.00463400001</v>
      </c>
      <c r="E379" s="293">
        <v>-35135.888473999999</v>
      </c>
      <c r="F379" s="294" t="s">
        <v>1956</v>
      </c>
    </row>
    <row r="380" spans="1:6" hidden="1" outlineLevel="1" collapsed="1" x14ac:dyDescent="0.25">
      <c r="A380" s="321" t="s">
        <v>282</v>
      </c>
      <c r="B380" s="321" t="s">
        <v>358</v>
      </c>
      <c r="C380" s="293">
        <v>132018.39997699999</v>
      </c>
      <c r="D380" s="293">
        <v>105773.677782</v>
      </c>
      <c r="E380" s="293">
        <v>-26244.722194999998</v>
      </c>
      <c r="F380" s="294" t="s">
        <v>1957</v>
      </c>
    </row>
    <row r="381" spans="1:6" hidden="1" outlineLevel="1" collapsed="1" x14ac:dyDescent="0.25">
      <c r="A381" s="321" t="s">
        <v>282</v>
      </c>
      <c r="B381" s="321" t="s">
        <v>360</v>
      </c>
      <c r="C381" s="293">
        <v>17228.401177</v>
      </c>
      <c r="D381" s="293">
        <v>15263.1417</v>
      </c>
      <c r="E381" s="293">
        <v>-1965.2594770000001</v>
      </c>
      <c r="F381" s="294" t="s">
        <v>1958</v>
      </c>
    </row>
    <row r="382" spans="1:6" hidden="1" outlineLevel="1" collapsed="1" x14ac:dyDescent="0.25">
      <c r="A382" s="321" t="s">
        <v>282</v>
      </c>
      <c r="B382" s="321" t="s">
        <v>362</v>
      </c>
      <c r="C382" s="293">
        <v>1914.266777</v>
      </c>
      <c r="D382" s="293">
        <v>1533.7183199999999</v>
      </c>
      <c r="E382" s="293">
        <v>-380.54845699999998</v>
      </c>
      <c r="F382" s="294" t="s">
        <v>1957</v>
      </c>
    </row>
    <row r="383" spans="1:6" hidden="1" outlineLevel="1" collapsed="1" x14ac:dyDescent="0.25">
      <c r="A383" s="321" t="s">
        <v>282</v>
      </c>
      <c r="B383" s="321" t="s">
        <v>363</v>
      </c>
      <c r="C383" s="293">
        <v>816.73919999999998</v>
      </c>
      <c r="D383" s="293">
        <v>633.05999999999995</v>
      </c>
      <c r="E383" s="293">
        <v>-183.67920000000001</v>
      </c>
      <c r="F383" s="294" t="s">
        <v>1959</v>
      </c>
    </row>
    <row r="384" spans="1:6" hidden="1" outlineLevel="1" collapsed="1" x14ac:dyDescent="0.25">
      <c r="A384" s="321" t="s">
        <v>282</v>
      </c>
      <c r="B384" s="321" t="s">
        <v>365</v>
      </c>
      <c r="C384" s="293">
        <v>29437.24</v>
      </c>
      <c r="D384" s="293">
        <v>23938.92</v>
      </c>
      <c r="E384" s="293">
        <v>-5498.32</v>
      </c>
      <c r="F384" s="294" t="s">
        <v>1960</v>
      </c>
    </row>
    <row r="385" spans="1:6" hidden="1" outlineLevel="1" collapsed="1" x14ac:dyDescent="0.25">
      <c r="A385" s="321" t="s">
        <v>282</v>
      </c>
      <c r="B385" s="321" t="s">
        <v>367</v>
      </c>
      <c r="C385" s="293">
        <v>447.61680000000001</v>
      </c>
      <c r="D385" s="293">
        <v>274.32</v>
      </c>
      <c r="E385" s="293">
        <v>-173.29679999999999</v>
      </c>
      <c r="F385" s="294" t="s">
        <v>1961</v>
      </c>
    </row>
    <row r="386" spans="1:6" hidden="1" outlineLevel="1" collapsed="1" x14ac:dyDescent="0.25">
      <c r="A386" s="321" t="s">
        <v>282</v>
      </c>
      <c r="B386" s="321" t="s">
        <v>369</v>
      </c>
      <c r="C386" s="293">
        <v>66.009176999999994</v>
      </c>
      <c r="D386" s="293">
        <v>52.886831999999998</v>
      </c>
      <c r="E386" s="293">
        <v>-13.122344999999999</v>
      </c>
      <c r="F386" s="294" t="s">
        <v>1957</v>
      </c>
    </row>
    <row r="387" spans="1:6" hidden="1" outlineLevel="1" collapsed="1" x14ac:dyDescent="0.25">
      <c r="A387" s="321" t="s">
        <v>282</v>
      </c>
      <c r="B387" s="321" t="s">
        <v>370</v>
      </c>
      <c r="C387" s="293">
        <v>2875</v>
      </c>
      <c r="D387" s="293">
        <v>2250</v>
      </c>
      <c r="E387" s="293">
        <v>-625</v>
      </c>
      <c r="F387" s="294" t="s">
        <v>1962</v>
      </c>
    </row>
    <row r="388" spans="1:6" hidden="1" outlineLevel="1" collapsed="1" x14ac:dyDescent="0.25">
      <c r="A388" s="321" t="s">
        <v>282</v>
      </c>
      <c r="B388" s="321" t="s">
        <v>371</v>
      </c>
      <c r="C388" s="293">
        <v>95.22</v>
      </c>
      <c r="D388" s="293">
        <v>72.72</v>
      </c>
      <c r="E388" s="293">
        <v>-22.5</v>
      </c>
      <c r="F388" s="294" t="s">
        <v>1963</v>
      </c>
    </row>
    <row r="389" spans="1:6" hidden="1" outlineLevel="1" collapsed="1" x14ac:dyDescent="0.25">
      <c r="A389" s="321" t="s">
        <v>282</v>
      </c>
      <c r="B389" s="321" t="s">
        <v>373</v>
      </c>
      <c r="C389" s="293">
        <v>46</v>
      </c>
      <c r="D389" s="293">
        <v>16.559999999999999</v>
      </c>
      <c r="E389" s="293">
        <v>-29.44</v>
      </c>
      <c r="F389" s="294" t="s">
        <v>1964</v>
      </c>
    </row>
    <row r="390" spans="1:6" collapsed="1" x14ac:dyDescent="0.25">
      <c r="A390" s="560" t="s">
        <v>501</v>
      </c>
      <c r="B390" s="561"/>
      <c r="C390" s="292">
        <v>104059.18852</v>
      </c>
      <c r="D390" s="293">
        <v>102386.2473</v>
      </c>
      <c r="E390" s="293">
        <v>-1672.9412199999999</v>
      </c>
      <c r="F390" s="294" t="s">
        <v>447</v>
      </c>
    </row>
    <row r="391" spans="1:6" hidden="1" outlineLevel="1" collapsed="1" x14ac:dyDescent="0.25">
      <c r="A391" s="321" t="s">
        <v>282</v>
      </c>
      <c r="B391" s="321" t="s">
        <v>358</v>
      </c>
      <c r="C391" s="293">
        <v>65971.44</v>
      </c>
      <c r="D391" s="293">
        <v>69102.499200000006</v>
      </c>
      <c r="E391" s="293">
        <v>3131.0592000000001</v>
      </c>
      <c r="F391" s="294" t="s">
        <v>503</v>
      </c>
    </row>
    <row r="392" spans="1:6" hidden="1" outlineLevel="1" collapsed="1" x14ac:dyDescent="0.25">
      <c r="A392" s="321" t="s">
        <v>282</v>
      </c>
      <c r="B392" s="321" t="s">
        <v>360</v>
      </c>
      <c r="C392" s="293">
        <v>8609.2729199999994</v>
      </c>
      <c r="D392" s="293">
        <v>9971.4906300000002</v>
      </c>
      <c r="E392" s="293">
        <v>1362.2177099999999</v>
      </c>
      <c r="F392" s="294" t="s">
        <v>504</v>
      </c>
    </row>
    <row r="393" spans="1:6" hidden="1" outlineLevel="1" collapsed="1" x14ac:dyDescent="0.25">
      <c r="A393" s="321" t="s">
        <v>282</v>
      </c>
      <c r="B393" s="321" t="s">
        <v>362</v>
      </c>
      <c r="C393" s="293">
        <v>956.58587999999997</v>
      </c>
      <c r="D393" s="293">
        <v>1001.98623</v>
      </c>
      <c r="E393" s="293">
        <v>45.400350000000003</v>
      </c>
      <c r="F393" s="294" t="s">
        <v>503</v>
      </c>
    </row>
    <row r="394" spans="1:6" hidden="1" outlineLevel="1" collapsed="1" x14ac:dyDescent="0.25">
      <c r="A394" s="321" t="s">
        <v>282</v>
      </c>
      <c r="B394" s="321" t="s">
        <v>363</v>
      </c>
      <c r="C394" s="293">
        <v>426.12479999999999</v>
      </c>
      <c r="D394" s="293">
        <v>422.04</v>
      </c>
      <c r="E394" s="293">
        <v>-4.0848000000000004</v>
      </c>
      <c r="F394" s="294" t="s">
        <v>364</v>
      </c>
    </row>
    <row r="395" spans="1:6" hidden="1" outlineLevel="1" collapsed="1" x14ac:dyDescent="0.25">
      <c r="A395" s="321" t="s">
        <v>282</v>
      </c>
      <c r="B395" s="321" t="s">
        <v>365</v>
      </c>
      <c r="C395" s="293">
        <v>15358.56</v>
      </c>
      <c r="D395" s="293">
        <v>15959.28</v>
      </c>
      <c r="E395" s="293">
        <v>600.72</v>
      </c>
      <c r="F395" s="294" t="s">
        <v>366</v>
      </c>
    </row>
    <row r="396" spans="1:6" hidden="1" outlineLevel="1" collapsed="1" x14ac:dyDescent="0.25">
      <c r="A396" s="321" t="s">
        <v>282</v>
      </c>
      <c r="B396" s="321" t="s">
        <v>367</v>
      </c>
      <c r="C396" s="293">
        <v>233.53919999999999</v>
      </c>
      <c r="D396" s="293">
        <v>182.88</v>
      </c>
      <c r="E396" s="293">
        <v>-50.659199999999998</v>
      </c>
      <c r="F396" s="294" t="s">
        <v>368</v>
      </c>
    </row>
    <row r="397" spans="1:6" hidden="1" outlineLevel="1" collapsed="1" x14ac:dyDescent="0.25">
      <c r="A397" s="321" t="s">
        <v>282</v>
      </c>
      <c r="B397" s="321" t="s">
        <v>369</v>
      </c>
      <c r="C397" s="293">
        <v>32.985720000000001</v>
      </c>
      <c r="D397" s="293">
        <v>34.55124</v>
      </c>
      <c r="E397" s="293">
        <v>1.56552</v>
      </c>
      <c r="F397" s="294" t="s">
        <v>503</v>
      </c>
    </row>
    <row r="398" spans="1:6" hidden="1" outlineLevel="1" collapsed="1" x14ac:dyDescent="0.25">
      <c r="A398" s="321" t="s">
        <v>282</v>
      </c>
      <c r="B398" s="321" t="s">
        <v>370</v>
      </c>
      <c r="C398" s="293">
        <v>1500</v>
      </c>
      <c r="D398" s="293">
        <v>1500</v>
      </c>
      <c r="E398" s="293">
        <v>0</v>
      </c>
      <c r="F398" s="294" t="s">
        <v>316</v>
      </c>
    </row>
    <row r="399" spans="1:6" hidden="1" outlineLevel="1" collapsed="1" x14ac:dyDescent="0.25">
      <c r="A399" s="321" t="s">
        <v>282</v>
      </c>
      <c r="B399" s="321" t="s">
        <v>371</v>
      </c>
      <c r="C399" s="293">
        <v>49.68</v>
      </c>
      <c r="D399" s="293">
        <v>48.48</v>
      </c>
      <c r="E399" s="293">
        <v>-1.2</v>
      </c>
      <c r="F399" s="294" t="s">
        <v>372</v>
      </c>
    </row>
    <row r="400" spans="1:6" hidden="1" outlineLevel="1" collapsed="1" x14ac:dyDescent="0.25">
      <c r="A400" s="321" t="s">
        <v>282</v>
      </c>
      <c r="B400" s="321" t="s">
        <v>373</v>
      </c>
      <c r="C400" s="293">
        <v>24</v>
      </c>
      <c r="D400" s="293">
        <v>11.04</v>
      </c>
      <c r="E400" s="293">
        <v>-12.96</v>
      </c>
      <c r="F400" s="294" t="s">
        <v>374</v>
      </c>
    </row>
    <row r="401" spans="1:6" hidden="1" outlineLevel="1" collapsed="1" x14ac:dyDescent="0.25">
      <c r="A401" s="321" t="s">
        <v>282</v>
      </c>
      <c r="B401" s="321" t="s">
        <v>505</v>
      </c>
      <c r="C401" s="293">
        <v>544</v>
      </c>
      <c r="D401" s="293">
        <v>544</v>
      </c>
      <c r="E401" s="293">
        <v>0</v>
      </c>
      <c r="F401" s="294" t="s">
        <v>316</v>
      </c>
    </row>
    <row r="402" spans="1:6" hidden="1" outlineLevel="1" collapsed="1" x14ac:dyDescent="0.25">
      <c r="A402" s="321" t="s">
        <v>282</v>
      </c>
      <c r="B402" s="321" t="s">
        <v>375</v>
      </c>
      <c r="C402" s="293">
        <v>0</v>
      </c>
      <c r="D402" s="293">
        <v>545</v>
      </c>
      <c r="E402" s="293">
        <v>545</v>
      </c>
      <c r="F402" s="294" t="s">
        <v>298</v>
      </c>
    </row>
    <row r="403" spans="1:6" hidden="1" outlineLevel="1" collapsed="1" x14ac:dyDescent="0.25">
      <c r="A403" s="321" t="s">
        <v>282</v>
      </c>
      <c r="B403" s="321" t="s">
        <v>376</v>
      </c>
      <c r="C403" s="293">
        <v>1427</v>
      </c>
      <c r="D403" s="293">
        <v>1027</v>
      </c>
      <c r="E403" s="293">
        <v>-400</v>
      </c>
      <c r="F403" s="294" t="s">
        <v>1965</v>
      </c>
    </row>
    <row r="404" spans="1:6" hidden="1" outlineLevel="1" collapsed="1" x14ac:dyDescent="0.25">
      <c r="A404" s="321" t="s">
        <v>282</v>
      </c>
      <c r="B404" s="321" t="s">
        <v>506</v>
      </c>
      <c r="C404" s="293">
        <v>350</v>
      </c>
      <c r="D404" s="293">
        <v>0</v>
      </c>
      <c r="E404" s="293">
        <v>-350</v>
      </c>
      <c r="F404" s="294" t="s">
        <v>286</v>
      </c>
    </row>
    <row r="405" spans="1:6" hidden="1" outlineLevel="1" collapsed="1" x14ac:dyDescent="0.25">
      <c r="A405" s="321" t="s">
        <v>282</v>
      </c>
      <c r="B405" s="321" t="s">
        <v>567</v>
      </c>
      <c r="C405" s="293">
        <v>0</v>
      </c>
      <c r="D405" s="293">
        <v>400</v>
      </c>
      <c r="E405" s="293">
        <v>400</v>
      </c>
      <c r="F405" s="294" t="s">
        <v>298</v>
      </c>
    </row>
    <row r="406" spans="1:6" hidden="1" outlineLevel="1" collapsed="1" x14ac:dyDescent="0.25">
      <c r="A406" s="321" t="s">
        <v>282</v>
      </c>
      <c r="B406" s="321" t="s">
        <v>448</v>
      </c>
      <c r="C406" s="293">
        <v>1286</v>
      </c>
      <c r="D406" s="293">
        <v>1636</v>
      </c>
      <c r="E406" s="293">
        <v>350</v>
      </c>
      <c r="F406" s="294" t="s">
        <v>507</v>
      </c>
    </row>
    <row r="407" spans="1:6" hidden="1" outlineLevel="1" collapsed="1" x14ac:dyDescent="0.25">
      <c r="A407" s="321" t="s">
        <v>282</v>
      </c>
      <c r="B407" s="321" t="s">
        <v>422</v>
      </c>
      <c r="C407" s="293">
        <v>7290</v>
      </c>
      <c r="D407" s="293">
        <v>0</v>
      </c>
      <c r="E407" s="293">
        <v>-7290</v>
      </c>
      <c r="F407" s="294" t="s">
        <v>286</v>
      </c>
    </row>
    <row r="408" spans="1:6" collapsed="1" x14ac:dyDescent="0.25">
      <c r="A408" s="560" t="s">
        <v>508</v>
      </c>
      <c r="B408" s="561"/>
      <c r="C408" s="292">
        <v>629236.9976</v>
      </c>
      <c r="D408" s="293">
        <v>649436.15394999995</v>
      </c>
      <c r="E408" s="293">
        <v>20199.156350000001</v>
      </c>
      <c r="F408" s="294" t="s">
        <v>359</v>
      </c>
    </row>
    <row r="409" spans="1:6" hidden="1" outlineLevel="1" collapsed="1" x14ac:dyDescent="0.25">
      <c r="A409" s="321" t="s">
        <v>282</v>
      </c>
      <c r="B409" s="321" t="s">
        <v>358</v>
      </c>
      <c r="C409" s="293">
        <v>459067.2</v>
      </c>
      <c r="D409" s="293">
        <v>465953.20799999998</v>
      </c>
      <c r="E409" s="293">
        <v>6886.0079999999998</v>
      </c>
      <c r="F409" s="294" t="s">
        <v>510</v>
      </c>
    </row>
    <row r="410" spans="1:6" hidden="1" outlineLevel="1" collapsed="1" x14ac:dyDescent="0.25">
      <c r="A410" s="321" t="s">
        <v>282</v>
      </c>
      <c r="B410" s="321" t="s">
        <v>412</v>
      </c>
      <c r="C410" s="293">
        <v>7000</v>
      </c>
      <c r="D410" s="293">
        <v>7000</v>
      </c>
      <c r="E410" s="293">
        <v>0</v>
      </c>
      <c r="F410" s="294" t="s">
        <v>316</v>
      </c>
    </row>
    <row r="411" spans="1:6" hidden="1" outlineLevel="1" collapsed="1" x14ac:dyDescent="0.25">
      <c r="A411" s="321" t="s">
        <v>282</v>
      </c>
      <c r="B411" s="321" t="s">
        <v>488</v>
      </c>
      <c r="C411" s="293">
        <v>800</v>
      </c>
      <c r="D411" s="293">
        <v>800</v>
      </c>
      <c r="E411" s="293">
        <v>0</v>
      </c>
      <c r="F411" s="294" t="s">
        <v>316</v>
      </c>
    </row>
    <row r="412" spans="1:6" hidden="1" outlineLevel="1" collapsed="1" x14ac:dyDescent="0.25">
      <c r="A412" s="321" t="s">
        <v>282</v>
      </c>
      <c r="B412" s="321" t="s">
        <v>360</v>
      </c>
      <c r="C412" s="293">
        <v>59908.2696</v>
      </c>
      <c r="D412" s="293">
        <v>67237.047890000002</v>
      </c>
      <c r="E412" s="293">
        <v>7328.7782900000002</v>
      </c>
      <c r="F412" s="294" t="s">
        <v>511</v>
      </c>
    </row>
    <row r="413" spans="1:6" hidden="1" outlineLevel="1" collapsed="1" x14ac:dyDescent="0.25">
      <c r="A413" s="321" t="s">
        <v>282</v>
      </c>
      <c r="B413" s="321" t="s">
        <v>362</v>
      </c>
      <c r="C413" s="293">
        <v>6757.9744000000001</v>
      </c>
      <c r="D413" s="293">
        <v>6857.8215</v>
      </c>
      <c r="E413" s="293">
        <v>99.847099999999998</v>
      </c>
      <c r="F413" s="294" t="s">
        <v>512</v>
      </c>
    </row>
    <row r="414" spans="1:6" hidden="1" outlineLevel="1" collapsed="1" x14ac:dyDescent="0.25">
      <c r="A414" s="321" t="s">
        <v>282</v>
      </c>
      <c r="B414" s="321" t="s">
        <v>363</v>
      </c>
      <c r="C414" s="293">
        <v>2130.6239999999998</v>
      </c>
      <c r="D414" s="293">
        <v>2110.1999999999998</v>
      </c>
      <c r="E414" s="293">
        <v>-20.423999999999999</v>
      </c>
      <c r="F414" s="294" t="s">
        <v>364</v>
      </c>
    </row>
    <row r="415" spans="1:6" hidden="1" outlineLevel="1" collapsed="1" x14ac:dyDescent="0.25">
      <c r="A415" s="321" t="s">
        <v>282</v>
      </c>
      <c r="B415" s="321" t="s">
        <v>365</v>
      </c>
      <c r="C415" s="293">
        <v>76792.800000000003</v>
      </c>
      <c r="D415" s="293">
        <v>79796.399999999994</v>
      </c>
      <c r="E415" s="293">
        <v>3003.6</v>
      </c>
      <c r="F415" s="294" t="s">
        <v>366</v>
      </c>
    </row>
    <row r="416" spans="1:6" hidden="1" outlineLevel="1" collapsed="1" x14ac:dyDescent="0.25">
      <c r="A416" s="321" t="s">
        <v>282</v>
      </c>
      <c r="B416" s="321" t="s">
        <v>367</v>
      </c>
      <c r="C416" s="293">
        <v>1167.6959999999999</v>
      </c>
      <c r="D416" s="293">
        <v>914.4</v>
      </c>
      <c r="E416" s="293">
        <v>-253.29599999999999</v>
      </c>
      <c r="F416" s="294" t="s">
        <v>368</v>
      </c>
    </row>
    <row r="417" spans="1:6" hidden="1" outlineLevel="1" collapsed="1" x14ac:dyDescent="0.25">
      <c r="A417" s="321" t="s">
        <v>282</v>
      </c>
      <c r="B417" s="321" t="s">
        <v>444</v>
      </c>
      <c r="C417" s="293">
        <v>0</v>
      </c>
      <c r="D417" s="293">
        <v>72</v>
      </c>
      <c r="E417" s="293">
        <v>72</v>
      </c>
      <c r="F417" s="294" t="s">
        <v>298</v>
      </c>
    </row>
    <row r="418" spans="1:6" hidden="1" outlineLevel="1" collapsed="1" x14ac:dyDescent="0.25">
      <c r="A418" s="321" t="s">
        <v>282</v>
      </c>
      <c r="B418" s="321" t="s">
        <v>369</v>
      </c>
      <c r="C418" s="293">
        <v>233.03360000000001</v>
      </c>
      <c r="D418" s="293">
        <v>236.47656000000001</v>
      </c>
      <c r="E418" s="293">
        <v>3.4429599999999998</v>
      </c>
      <c r="F418" s="294" t="s">
        <v>512</v>
      </c>
    </row>
    <row r="419" spans="1:6" hidden="1" outlineLevel="1" collapsed="1" x14ac:dyDescent="0.25">
      <c r="A419" s="321" t="s">
        <v>282</v>
      </c>
      <c r="B419" s="321" t="s">
        <v>370</v>
      </c>
      <c r="C419" s="293">
        <v>7500</v>
      </c>
      <c r="D419" s="293">
        <v>7500</v>
      </c>
      <c r="E419" s="293">
        <v>0</v>
      </c>
      <c r="F419" s="294" t="s">
        <v>316</v>
      </c>
    </row>
    <row r="420" spans="1:6" hidden="1" outlineLevel="1" collapsed="1" x14ac:dyDescent="0.25">
      <c r="A420" s="321" t="s">
        <v>282</v>
      </c>
      <c r="B420" s="321" t="s">
        <v>371</v>
      </c>
      <c r="C420" s="293">
        <v>248.4</v>
      </c>
      <c r="D420" s="293">
        <v>242.4</v>
      </c>
      <c r="E420" s="293">
        <v>-6</v>
      </c>
      <c r="F420" s="294" t="s">
        <v>372</v>
      </c>
    </row>
    <row r="421" spans="1:6" hidden="1" outlineLevel="1" collapsed="1" x14ac:dyDescent="0.25">
      <c r="A421" s="321" t="s">
        <v>282</v>
      </c>
      <c r="B421" s="321" t="s">
        <v>373</v>
      </c>
      <c r="C421" s="293">
        <v>120</v>
      </c>
      <c r="D421" s="293">
        <v>55.2</v>
      </c>
      <c r="E421" s="293">
        <v>-64.8</v>
      </c>
      <c r="F421" s="294" t="s">
        <v>374</v>
      </c>
    </row>
    <row r="422" spans="1:6" hidden="1" outlineLevel="1" collapsed="1" x14ac:dyDescent="0.25">
      <c r="A422" s="321" t="s">
        <v>282</v>
      </c>
      <c r="B422" s="321" t="s">
        <v>375</v>
      </c>
      <c r="C422" s="293">
        <v>446</v>
      </c>
      <c r="D422" s="293">
        <v>99</v>
      </c>
      <c r="E422" s="293">
        <v>-347</v>
      </c>
      <c r="F422" s="294" t="s">
        <v>513</v>
      </c>
    </row>
    <row r="423" spans="1:6" hidden="1" outlineLevel="1" collapsed="1" x14ac:dyDescent="0.25">
      <c r="A423" s="321" t="s">
        <v>282</v>
      </c>
      <c r="B423" s="321" t="s">
        <v>376</v>
      </c>
      <c r="C423" s="293">
        <v>9</v>
      </c>
      <c r="D423" s="293">
        <v>9</v>
      </c>
      <c r="E423" s="293">
        <v>0</v>
      </c>
      <c r="F423" s="294" t="s">
        <v>316</v>
      </c>
    </row>
    <row r="424" spans="1:6" hidden="1" outlineLevel="1" collapsed="1" x14ac:dyDescent="0.25">
      <c r="A424" s="321" t="s">
        <v>282</v>
      </c>
      <c r="B424" s="321" t="s">
        <v>567</v>
      </c>
      <c r="C424" s="293">
        <v>0</v>
      </c>
      <c r="D424" s="293">
        <v>486</v>
      </c>
      <c r="E424" s="293">
        <v>486</v>
      </c>
      <c r="F424" s="294" t="s">
        <v>298</v>
      </c>
    </row>
    <row r="425" spans="1:6" hidden="1" outlineLevel="1" collapsed="1" x14ac:dyDescent="0.25">
      <c r="A425" s="321" t="s">
        <v>282</v>
      </c>
      <c r="B425" s="321" t="s">
        <v>415</v>
      </c>
      <c r="C425" s="293">
        <v>699</v>
      </c>
      <c r="D425" s="293">
        <v>699</v>
      </c>
      <c r="E425" s="293">
        <v>0</v>
      </c>
      <c r="F425" s="294" t="s">
        <v>316</v>
      </c>
    </row>
    <row r="426" spans="1:6" hidden="1" outlineLevel="1" collapsed="1" x14ac:dyDescent="0.25">
      <c r="A426" s="321" t="s">
        <v>282</v>
      </c>
      <c r="B426" s="321" t="s">
        <v>483</v>
      </c>
      <c r="C426" s="293">
        <v>2892</v>
      </c>
      <c r="D426" s="293">
        <v>2892</v>
      </c>
      <c r="E426" s="293">
        <v>0</v>
      </c>
      <c r="F426" s="294" t="s">
        <v>316</v>
      </c>
    </row>
    <row r="427" spans="1:6" hidden="1" outlineLevel="1" collapsed="1" x14ac:dyDescent="0.25">
      <c r="A427" s="321" t="s">
        <v>282</v>
      </c>
      <c r="B427" s="321" t="s">
        <v>448</v>
      </c>
      <c r="C427" s="293">
        <v>747</v>
      </c>
      <c r="D427" s="293">
        <v>998</v>
      </c>
      <c r="E427" s="293">
        <v>251</v>
      </c>
      <c r="F427" s="294" t="s">
        <v>514</v>
      </c>
    </row>
    <row r="428" spans="1:6" hidden="1" outlineLevel="1" collapsed="1" x14ac:dyDescent="0.25">
      <c r="A428" s="321" t="s">
        <v>282</v>
      </c>
      <c r="B428" s="321" t="s">
        <v>515</v>
      </c>
      <c r="C428" s="293">
        <v>1318</v>
      </c>
      <c r="D428" s="293">
        <v>1318</v>
      </c>
      <c r="E428" s="293">
        <v>0</v>
      </c>
      <c r="F428" s="294" t="s">
        <v>316</v>
      </c>
    </row>
    <row r="429" spans="1:6" hidden="1" outlineLevel="1" collapsed="1" x14ac:dyDescent="0.25">
      <c r="A429" s="321" t="s">
        <v>282</v>
      </c>
      <c r="B429" s="321" t="s">
        <v>403</v>
      </c>
      <c r="C429" s="293">
        <v>1400</v>
      </c>
      <c r="D429" s="293">
        <v>1010</v>
      </c>
      <c r="E429" s="293">
        <v>-390</v>
      </c>
      <c r="F429" s="294" t="s">
        <v>1966</v>
      </c>
    </row>
    <row r="430" spans="1:6" hidden="1" outlineLevel="1" collapsed="1" x14ac:dyDescent="0.25">
      <c r="A430" s="321" t="s">
        <v>282</v>
      </c>
      <c r="B430" s="321" t="s">
        <v>422</v>
      </c>
      <c r="C430" s="293">
        <v>0</v>
      </c>
      <c r="D430" s="293">
        <v>3150</v>
      </c>
      <c r="E430" s="293">
        <v>3150</v>
      </c>
      <c r="F430" s="294" t="s">
        <v>298</v>
      </c>
    </row>
    <row r="431" spans="1:6" collapsed="1" x14ac:dyDescent="0.25">
      <c r="A431" s="560" t="s">
        <v>517</v>
      </c>
      <c r="B431" s="561"/>
      <c r="C431" s="292">
        <v>161182.53142799999</v>
      </c>
      <c r="D431" s="293">
        <v>161181.53148599999</v>
      </c>
      <c r="E431" s="293">
        <v>-0.999942</v>
      </c>
      <c r="F431" s="294" t="s">
        <v>316</v>
      </c>
    </row>
    <row r="432" spans="1:6" hidden="1" outlineLevel="1" collapsed="1" x14ac:dyDescent="0.25">
      <c r="A432" s="321" t="s">
        <v>282</v>
      </c>
      <c r="B432" s="321" t="s">
        <v>358</v>
      </c>
      <c r="C432" s="293">
        <v>66990.960000000006</v>
      </c>
      <c r="D432" s="293">
        <v>70151.684399999998</v>
      </c>
      <c r="E432" s="293">
        <v>3160.7244000000001</v>
      </c>
      <c r="F432" s="294" t="s">
        <v>519</v>
      </c>
    </row>
    <row r="433" spans="1:6" hidden="1" outlineLevel="1" collapsed="1" x14ac:dyDescent="0.25">
      <c r="A433" s="321" t="s">
        <v>282</v>
      </c>
      <c r="B433" s="321" t="s">
        <v>441</v>
      </c>
      <c r="C433" s="293">
        <v>5390</v>
      </c>
      <c r="D433" s="293">
        <v>0</v>
      </c>
      <c r="E433" s="293">
        <v>-5390</v>
      </c>
      <c r="F433" s="294" t="s">
        <v>286</v>
      </c>
    </row>
    <row r="434" spans="1:6" hidden="1" outlineLevel="1" collapsed="1" x14ac:dyDescent="0.25">
      <c r="A434" s="321" t="s">
        <v>282</v>
      </c>
      <c r="B434" s="321" t="s">
        <v>380</v>
      </c>
      <c r="C434" s="293">
        <v>44151.262691999997</v>
      </c>
      <c r="D434" s="293">
        <v>45485.733132000001</v>
      </c>
      <c r="E434" s="293">
        <v>1334.4704400000001</v>
      </c>
      <c r="F434" s="294" t="s">
        <v>520</v>
      </c>
    </row>
    <row r="435" spans="1:6" hidden="1" outlineLevel="1" collapsed="1" x14ac:dyDescent="0.25">
      <c r="A435" s="321" t="s">
        <v>282</v>
      </c>
      <c r="B435" s="321" t="s">
        <v>360</v>
      </c>
      <c r="C435" s="293">
        <v>8742.3202799999999</v>
      </c>
      <c r="D435" s="293">
        <v>10122.88805</v>
      </c>
      <c r="E435" s="293">
        <v>1380.5677700000001</v>
      </c>
      <c r="F435" s="294" t="s">
        <v>521</v>
      </c>
    </row>
    <row r="436" spans="1:6" hidden="1" outlineLevel="1" collapsed="1" x14ac:dyDescent="0.25">
      <c r="A436" s="321" t="s">
        <v>282</v>
      </c>
      <c r="B436" s="321" t="s">
        <v>384</v>
      </c>
      <c r="C436" s="293">
        <v>5554.2288479999997</v>
      </c>
      <c r="D436" s="293">
        <v>0</v>
      </c>
      <c r="E436" s="293">
        <v>-5554.2288479999997</v>
      </c>
      <c r="F436" s="294" t="s">
        <v>286</v>
      </c>
    </row>
    <row r="437" spans="1:6" hidden="1" outlineLevel="1" collapsed="1" x14ac:dyDescent="0.25">
      <c r="A437" s="321" t="s">
        <v>282</v>
      </c>
      <c r="B437" s="321" t="s">
        <v>385</v>
      </c>
      <c r="C437" s="293">
        <v>0</v>
      </c>
      <c r="D437" s="293">
        <v>7064.389212</v>
      </c>
      <c r="E437" s="293">
        <v>7064.389212</v>
      </c>
      <c r="F437" s="294" t="s">
        <v>298</v>
      </c>
    </row>
    <row r="438" spans="1:6" hidden="1" outlineLevel="1" collapsed="1" x14ac:dyDescent="0.25">
      <c r="A438" s="321" t="s">
        <v>282</v>
      </c>
      <c r="B438" s="321" t="s">
        <v>386</v>
      </c>
      <c r="C438" s="293">
        <v>2737.3782839999999</v>
      </c>
      <c r="D438" s="293">
        <v>0</v>
      </c>
      <c r="E438" s="293">
        <v>-2737.3782839999999</v>
      </c>
      <c r="F438" s="294" t="s">
        <v>286</v>
      </c>
    </row>
    <row r="439" spans="1:6" hidden="1" outlineLevel="1" collapsed="1" x14ac:dyDescent="0.25">
      <c r="A439" s="321" t="s">
        <v>282</v>
      </c>
      <c r="B439" s="321" t="s">
        <v>387</v>
      </c>
      <c r="C439" s="293">
        <v>0</v>
      </c>
      <c r="D439" s="293">
        <v>2820.115452</v>
      </c>
      <c r="E439" s="293">
        <v>2820.115452</v>
      </c>
      <c r="F439" s="294" t="s">
        <v>298</v>
      </c>
    </row>
    <row r="440" spans="1:6" hidden="1" outlineLevel="1" collapsed="1" x14ac:dyDescent="0.25">
      <c r="A440" s="321" t="s">
        <v>282</v>
      </c>
      <c r="B440" s="321" t="s">
        <v>362</v>
      </c>
      <c r="C440" s="293">
        <v>971.36892</v>
      </c>
      <c r="D440" s="293">
        <v>1017.19942</v>
      </c>
      <c r="E440" s="293">
        <v>45.830500000000001</v>
      </c>
      <c r="F440" s="294" t="s">
        <v>519</v>
      </c>
    </row>
    <row r="441" spans="1:6" hidden="1" outlineLevel="1" collapsed="1" x14ac:dyDescent="0.25">
      <c r="A441" s="321" t="s">
        <v>282</v>
      </c>
      <c r="B441" s="321" t="s">
        <v>388</v>
      </c>
      <c r="C441" s="293">
        <v>640.19330400000001</v>
      </c>
      <c r="D441" s="293">
        <v>659.54312400000003</v>
      </c>
      <c r="E441" s="293">
        <v>19.349820000000001</v>
      </c>
      <c r="F441" s="294" t="s">
        <v>520</v>
      </c>
    </row>
    <row r="442" spans="1:6" hidden="1" outlineLevel="1" collapsed="1" x14ac:dyDescent="0.25">
      <c r="A442" s="321" t="s">
        <v>282</v>
      </c>
      <c r="B442" s="321" t="s">
        <v>363</v>
      </c>
      <c r="C442" s="293">
        <v>426.12479999999999</v>
      </c>
      <c r="D442" s="293">
        <v>422.04</v>
      </c>
      <c r="E442" s="293">
        <v>-4.0848000000000004</v>
      </c>
      <c r="F442" s="294" t="s">
        <v>364</v>
      </c>
    </row>
    <row r="443" spans="1:6" hidden="1" outlineLevel="1" collapsed="1" x14ac:dyDescent="0.25">
      <c r="A443" s="321" t="s">
        <v>282</v>
      </c>
      <c r="B443" s="321" t="s">
        <v>365</v>
      </c>
      <c r="C443" s="293">
        <v>15358.56</v>
      </c>
      <c r="D443" s="293">
        <v>15959.28</v>
      </c>
      <c r="E443" s="293">
        <v>600.72</v>
      </c>
      <c r="F443" s="294" t="s">
        <v>366</v>
      </c>
    </row>
    <row r="444" spans="1:6" hidden="1" outlineLevel="1" collapsed="1" x14ac:dyDescent="0.25">
      <c r="A444" s="321" t="s">
        <v>282</v>
      </c>
      <c r="B444" s="321" t="s">
        <v>367</v>
      </c>
      <c r="C444" s="293">
        <v>233.53919999999999</v>
      </c>
      <c r="D444" s="293">
        <v>182.88</v>
      </c>
      <c r="E444" s="293">
        <v>-50.659199999999998</v>
      </c>
      <c r="F444" s="294" t="s">
        <v>368</v>
      </c>
    </row>
    <row r="445" spans="1:6" hidden="1" outlineLevel="1" collapsed="1" x14ac:dyDescent="0.25">
      <c r="A445" s="321" t="s">
        <v>282</v>
      </c>
      <c r="B445" s="321" t="s">
        <v>389</v>
      </c>
      <c r="C445" s="293">
        <v>426.12479999999999</v>
      </c>
      <c r="D445" s="293">
        <v>422.04</v>
      </c>
      <c r="E445" s="293">
        <v>-4.0848000000000004</v>
      </c>
      <c r="F445" s="294" t="s">
        <v>364</v>
      </c>
    </row>
    <row r="446" spans="1:6" hidden="1" outlineLevel="1" collapsed="1" x14ac:dyDescent="0.25">
      <c r="A446" s="321" t="s">
        <v>282</v>
      </c>
      <c r="B446" s="321" t="s">
        <v>392</v>
      </c>
      <c r="C446" s="293">
        <v>233.53919999999999</v>
      </c>
      <c r="D446" s="293">
        <v>182.88</v>
      </c>
      <c r="E446" s="293">
        <v>-50.659199999999998</v>
      </c>
      <c r="F446" s="294" t="s">
        <v>368</v>
      </c>
    </row>
    <row r="447" spans="1:6" hidden="1" outlineLevel="1" collapsed="1" x14ac:dyDescent="0.25">
      <c r="A447" s="321" t="s">
        <v>282</v>
      </c>
      <c r="B447" s="321" t="s">
        <v>369</v>
      </c>
      <c r="C447" s="293">
        <v>33.495480000000001</v>
      </c>
      <c r="D447" s="293">
        <v>35.075839999999999</v>
      </c>
      <c r="E447" s="293">
        <v>1.58036</v>
      </c>
      <c r="F447" s="294" t="s">
        <v>519</v>
      </c>
    </row>
    <row r="448" spans="1:6" hidden="1" outlineLevel="1" collapsed="1" x14ac:dyDescent="0.25">
      <c r="A448" s="321" t="s">
        <v>282</v>
      </c>
      <c r="B448" s="321" t="s">
        <v>393</v>
      </c>
      <c r="C448" s="293">
        <v>22.075620000000001</v>
      </c>
      <c r="D448" s="293">
        <v>22.742856</v>
      </c>
      <c r="E448" s="293">
        <v>0.66723600000000005</v>
      </c>
      <c r="F448" s="294" t="s">
        <v>520</v>
      </c>
    </row>
    <row r="449" spans="1:6" hidden="1" outlineLevel="1" collapsed="1" x14ac:dyDescent="0.25">
      <c r="A449" s="321" t="s">
        <v>282</v>
      </c>
      <c r="B449" s="321" t="s">
        <v>370</v>
      </c>
      <c r="C449" s="293">
        <v>1500</v>
      </c>
      <c r="D449" s="293">
        <v>1500</v>
      </c>
      <c r="E449" s="293">
        <v>0</v>
      </c>
      <c r="F449" s="294" t="s">
        <v>316</v>
      </c>
    </row>
    <row r="450" spans="1:6" hidden="1" outlineLevel="1" collapsed="1" x14ac:dyDescent="0.25">
      <c r="A450" s="321" t="s">
        <v>282</v>
      </c>
      <c r="B450" s="321" t="s">
        <v>394</v>
      </c>
      <c r="C450" s="293">
        <v>1500</v>
      </c>
      <c r="D450" s="293">
        <v>0</v>
      </c>
      <c r="E450" s="293">
        <v>-1500</v>
      </c>
      <c r="F450" s="294" t="s">
        <v>286</v>
      </c>
    </row>
    <row r="451" spans="1:6" hidden="1" outlineLevel="1" collapsed="1" x14ac:dyDescent="0.25">
      <c r="A451" s="321" t="s">
        <v>282</v>
      </c>
      <c r="B451" s="321" t="s">
        <v>395</v>
      </c>
      <c r="C451" s="293">
        <v>0</v>
      </c>
      <c r="D451" s="293">
        <v>1500</v>
      </c>
      <c r="E451" s="293">
        <v>1500</v>
      </c>
      <c r="F451" s="294" t="s">
        <v>298</v>
      </c>
    </row>
    <row r="452" spans="1:6" hidden="1" outlineLevel="1" collapsed="1" x14ac:dyDescent="0.25">
      <c r="A452" s="321" t="s">
        <v>282</v>
      </c>
      <c r="B452" s="321" t="s">
        <v>371</v>
      </c>
      <c r="C452" s="293">
        <v>49.68</v>
      </c>
      <c r="D452" s="293">
        <v>48.48</v>
      </c>
      <c r="E452" s="293">
        <v>-1.2</v>
      </c>
      <c r="F452" s="294" t="s">
        <v>372</v>
      </c>
    </row>
    <row r="453" spans="1:6" hidden="1" outlineLevel="1" collapsed="1" x14ac:dyDescent="0.25">
      <c r="A453" s="321" t="s">
        <v>282</v>
      </c>
      <c r="B453" s="321" t="s">
        <v>396</v>
      </c>
      <c r="C453" s="293">
        <v>49.68</v>
      </c>
      <c r="D453" s="293">
        <v>0</v>
      </c>
      <c r="E453" s="293">
        <v>-49.68</v>
      </c>
      <c r="F453" s="294" t="s">
        <v>286</v>
      </c>
    </row>
    <row r="454" spans="1:6" hidden="1" outlineLevel="1" collapsed="1" x14ac:dyDescent="0.25">
      <c r="A454" s="321" t="s">
        <v>282</v>
      </c>
      <c r="B454" s="321" t="s">
        <v>397</v>
      </c>
      <c r="C454" s="293">
        <v>0</v>
      </c>
      <c r="D454" s="293">
        <v>48.48</v>
      </c>
      <c r="E454" s="293">
        <v>48.48</v>
      </c>
      <c r="F454" s="294" t="s">
        <v>298</v>
      </c>
    </row>
    <row r="455" spans="1:6" hidden="1" outlineLevel="1" collapsed="1" x14ac:dyDescent="0.25">
      <c r="A455" s="321" t="s">
        <v>282</v>
      </c>
      <c r="B455" s="321" t="s">
        <v>373</v>
      </c>
      <c r="C455" s="293">
        <v>24</v>
      </c>
      <c r="D455" s="293">
        <v>11.04</v>
      </c>
      <c r="E455" s="293">
        <v>-12.96</v>
      </c>
      <c r="F455" s="294" t="s">
        <v>374</v>
      </c>
    </row>
    <row r="456" spans="1:6" hidden="1" outlineLevel="1" collapsed="1" x14ac:dyDescent="0.25">
      <c r="A456" s="321" t="s">
        <v>282</v>
      </c>
      <c r="B456" s="321" t="s">
        <v>398</v>
      </c>
      <c r="C456" s="293">
        <v>24</v>
      </c>
      <c r="D456" s="293">
        <v>11.04</v>
      </c>
      <c r="E456" s="293">
        <v>-12.96</v>
      </c>
      <c r="F456" s="294" t="s">
        <v>374</v>
      </c>
    </row>
    <row r="457" spans="1:6" hidden="1" outlineLevel="1" collapsed="1" x14ac:dyDescent="0.25">
      <c r="A457" s="321" t="s">
        <v>282</v>
      </c>
      <c r="B457" s="321" t="s">
        <v>522</v>
      </c>
      <c r="C457" s="293">
        <v>3000</v>
      </c>
      <c r="D457" s="293">
        <v>3000</v>
      </c>
      <c r="E457" s="293">
        <v>0</v>
      </c>
      <c r="F457" s="294" t="s">
        <v>316</v>
      </c>
    </row>
    <row r="458" spans="1:6" hidden="1" outlineLevel="1" collapsed="1" x14ac:dyDescent="0.25">
      <c r="A458" s="321" t="s">
        <v>282</v>
      </c>
      <c r="B458" s="321" t="s">
        <v>523</v>
      </c>
      <c r="C458" s="293">
        <v>444</v>
      </c>
      <c r="D458" s="293">
        <v>0</v>
      </c>
      <c r="E458" s="293">
        <v>-444</v>
      </c>
      <c r="F458" s="294" t="s">
        <v>286</v>
      </c>
    </row>
    <row r="459" spans="1:6" hidden="1" outlineLevel="1" collapsed="1" x14ac:dyDescent="0.25">
      <c r="A459" s="321" t="s">
        <v>282</v>
      </c>
      <c r="B459" s="321" t="s">
        <v>375</v>
      </c>
      <c r="C459" s="293">
        <v>2610</v>
      </c>
      <c r="D459" s="293">
        <v>0</v>
      </c>
      <c r="E459" s="293">
        <v>-2610</v>
      </c>
      <c r="F459" s="294" t="s">
        <v>286</v>
      </c>
    </row>
    <row r="460" spans="1:6" hidden="1" outlineLevel="1" collapsed="1" x14ac:dyDescent="0.25">
      <c r="A460" s="321" t="s">
        <v>282</v>
      </c>
      <c r="B460" s="321" t="s">
        <v>567</v>
      </c>
      <c r="C460" s="293">
        <v>0</v>
      </c>
      <c r="D460" s="293">
        <v>514</v>
      </c>
      <c r="E460" s="293">
        <v>514</v>
      </c>
      <c r="F460" s="294" t="s">
        <v>298</v>
      </c>
    </row>
    <row r="461" spans="1:6" hidden="1" outlineLevel="1" collapsed="1" x14ac:dyDescent="0.25">
      <c r="A461" s="321" t="s">
        <v>282</v>
      </c>
      <c r="B461" s="321" t="s">
        <v>483</v>
      </c>
      <c r="C461" s="293">
        <v>70</v>
      </c>
      <c r="D461" s="293">
        <v>0</v>
      </c>
      <c r="E461" s="293">
        <v>-70</v>
      </c>
      <c r="F461" s="294" t="s">
        <v>286</v>
      </c>
    </row>
    <row r="462" spans="1:6" collapsed="1" x14ac:dyDescent="0.25">
      <c r="A462" s="560" t="s">
        <v>524</v>
      </c>
      <c r="B462" s="561"/>
      <c r="C462" s="292">
        <v>85047.986915999994</v>
      </c>
      <c r="D462" s="293">
        <v>93773.255535999997</v>
      </c>
      <c r="E462" s="293">
        <v>8725.2686200000007</v>
      </c>
      <c r="F462" s="294" t="s">
        <v>1967</v>
      </c>
    </row>
    <row r="463" spans="1:6" hidden="1" outlineLevel="1" collapsed="1" x14ac:dyDescent="0.25">
      <c r="A463" s="321" t="s">
        <v>282</v>
      </c>
      <c r="B463" s="321" t="s">
        <v>358</v>
      </c>
      <c r="C463" s="293">
        <v>52738.919988000001</v>
      </c>
      <c r="D463" s="293">
        <v>55671.491388000002</v>
      </c>
      <c r="E463" s="293">
        <v>2932.5713999999998</v>
      </c>
      <c r="F463" s="294" t="s">
        <v>526</v>
      </c>
    </row>
    <row r="464" spans="1:6" hidden="1" outlineLevel="1" collapsed="1" x14ac:dyDescent="0.25">
      <c r="A464" s="321" t="s">
        <v>282</v>
      </c>
      <c r="B464" s="321" t="s">
        <v>384</v>
      </c>
      <c r="C464" s="293">
        <v>6634.5561239999997</v>
      </c>
      <c r="D464" s="293">
        <v>0</v>
      </c>
      <c r="E464" s="293">
        <v>-6634.5561239999997</v>
      </c>
      <c r="F464" s="294" t="s">
        <v>286</v>
      </c>
    </row>
    <row r="465" spans="1:6" hidden="1" outlineLevel="1" collapsed="1" x14ac:dyDescent="0.25">
      <c r="A465" s="321" t="s">
        <v>282</v>
      </c>
      <c r="B465" s="321" t="s">
        <v>385</v>
      </c>
      <c r="C465" s="293">
        <v>0</v>
      </c>
      <c r="D465" s="293">
        <v>8646.3393240000005</v>
      </c>
      <c r="E465" s="293">
        <v>8646.3393240000005</v>
      </c>
      <c r="F465" s="294" t="s">
        <v>298</v>
      </c>
    </row>
    <row r="466" spans="1:6" hidden="1" outlineLevel="1" collapsed="1" x14ac:dyDescent="0.25">
      <c r="A466" s="321" t="s">
        <v>282</v>
      </c>
      <c r="B466" s="321" t="s">
        <v>386</v>
      </c>
      <c r="C466" s="293">
        <v>3269.813028</v>
      </c>
      <c r="D466" s="293">
        <v>0</v>
      </c>
      <c r="E466" s="293">
        <v>-3269.813028</v>
      </c>
      <c r="F466" s="294" t="s">
        <v>286</v>
      </c>
    </row>
    <row r="467" spans="1:6" hidden="1" outlineLevel="1" collapsed="1" x14ac:dyDescent="0.25">
      <c r="A467" s="321" t="s">
        <v>282</v>
      </c>
      <c r="B467" s="321" t="s">
        <v>387</v>
      </c>
      <c r="C467" s="293">
        <v>0</v>
      </c>
      <c r="D467" s="293">
        <v>3451.632462</v>
      </c>
      <c r="E467" s="293">
        <v>3451.632462</v>
      </c>
      <c r="F467" s="294" t="s">
        <v>298</v>
      </c>
    </row>
    <row r="468" spans="1:6" hidden="1" outlineLevel="1" collapsed="1" x14ac:dyDescent="0.25">
      <c r="A468" s="321" t="s">
        <v>282</v>
      </c>
      <c r="B468" s="321" t="s">
        <v>388</v>
      </c>
      <c r="C468" s="293">
        <v>764.71432800000002</v>
      </c>
      <c r="D468" s="293">
        <v>807.23662200000001</v>
      </c>
      <c r="E468" s="293">
        <v>42.522294000000002</v>
      </c>
      <c r="F468" s="294" t="s">
        <v>526</v>
      </c>
    </row>
    <row r="469" spans="1:6" hidden="1" outlineLevel="1" collapsed="1" x14ac:dyDescent="0.25">
      <c r="A469" s="321" t="s">
        <v>282</v>
      </c>
      <c r="B469" s="321" t="s">
        <v>389</v>
      </c>
      <c r="C469" s="293">
        <v>426.12479999999999</v>
      </c>
      <c r="D469" s="293">
        <v>422.04</v>
      </c>
      <c r="E469" s="293">
        <v>-4.0848000000000004</v>
      </c>
      <c r="F469" s="294" t="s">
        <v>364</v>
      </c>
    </row>
    <row r="470" spans="1:6" hidden="1" outlineLevel="1" collapsed="1" x14ac:dyDescent="0.25">
      <c r="A470" s="321" t="s">
        <v>282</v>
      </c>
      <c r="B470" s="321" t="s">
        <v>390</v>
      </c>
      <c r="C470" s="293">
        <v>15485.27</v>
      </c>
      <c r="D470" s="293">
        <v>15959.28</v>
      </c>
      <c r="E470" s="293">
        <v>474.01</v>
      </c>
      <c r="F470" s="294" t="s">
        <v>391</v>
      </c>
    </row>
    <row r="471" spans="1:6" hidden="1" outlineLevel="1" collapsed="1" x14ac:dyDescent="0.25">
      <c r="A471" s="321" t="s">
        <v>282</v>
      </c>
      <c r="B471" s="321" t="s">
        <v>392</v>
      </c>
      <c r="C471" s="293">
        <v>233.53919999999999</v>
      </c>
      <c r="D471" s="293">
        <v>182.88</v>
      </c>
      <c r="E471" s="293">
        <v>-50.659199999999998</v>
      </c>
      <c r="F471" s="294" t="s">
        <v>368</v>
      </c>
    </row>
    <row r="472" spans="1:6" hidden="1" outlineLevel="1" collapsed="1" x14ac:dyDescent="0.25">
      <c r="A472" s="321" t="s">
        <v>282</v>
      </c>
      <c r="B472" s="321" t="s">
        <v>393</v>
      </c>
      <c r="C472" s="293">
        <v>26.369447999999998</v>
      </c>
      <c r="D472" s="293">
        <v>27.835740000000001</v>
      </c>
      <c r="E472" s="293">
        <v>1.4662919999999999</v>
      </c>
      <c r="F472" s="294" t="s">
        <v>526</v>
      </c>
    </row>
    <row r="473" spans="1:6" hidden="1" outlineLevel="1" collapsed="1" x14ac:dyDescent="0.25">
      <c r="A473" s="321" t="s">
        <v>282</v>
      </c>
      <c r="B473" s="321" t="s">
        <v>394</v>
      </c>
      <c r="C473" s="293">
        <v>1500</v>
      </c>
      <c r="D473" s="293">
        <v>0</v>
      </c>
      <c r="E473" s="293">
        <v>-1500</v>
      </c>
      <c r="F473" s="294" t="s">
        <v>286</v>
      </c>
    </row>
    <row r="474" spans="1:6" hidden="1" outlineLevel="1" collapsed="1" x14ac:dyDescent="0.25">
      <c r="A474" s="321" t="s">
        <v>282</v>
      </c>
      <c r="B474" s="321" t="s">
        <v>395</v>
      </c>
      <c r="C474" s="293">
        <v>0</v>
      </c>
      <c r="D474" s="293">
        <v>1500</v>
      </c>
      <c r="E474" s="293">
        <v>1500</v>
      </c>
      <c r="F474" s="294" t="s">
        <v>298</v>
      </c>
    </row>
    <row r="475" spans="1:6" hidden="1" outlineLevel="1" collapsed="1" x14ac:dyDescent="0.25">
      <c r="A475" s="321" t="s">
        <v>282</v>
      </c>
      <c r="B475" s="321" t="s">
        <v>396</v>
      </c>
      <c r="C475" s="293">
        <v>49.68</v>
      </c>
      <c r="D475" s="293">
        <v>0</v>
      </c>
      <c r="E475" s="293">
        <v>-49.68</v>
      </c>
      <c r="F475" s="294" t="s">
        <v>286</v>
      </c>
    </row>
    <row r="476" spans="1:6" hidden="1" outlineLevel="1" collapsed="1" x14ac:dyDescent="0.25">
      <c r="A476" s="321" t="s">
        <v>282</v>
      </c>
      <c r="B476" s="321" t="s">
        <v>397</v>
      </c>
      <c r="C476" s="293">
        <v>0</v>
      </c>
      <c r="D476" s="293">
        <v>48.48</v>
      </c>
      <c r="E476" s="293">
        <v>48.48</v>
      </c>
      <c r="F476" s="294" t="s">
        <v>298</v>
      </c>
    </row>
    <row r="477" spans="1:6" hidden="1" outlineLevel="1" collapsed="1" x14ac:dyDescent="0.25">
      <c r="A477" s="321" t="s">
        <v>282</v>
      </c>
      <c r="B477" s="321" t="s">
        <v>398</v>
      </c>
      <c r="C477" s="293">
        <v>24</v>
      </c>
      <c r="D477" s="293">
        <v>11.04</v>
      </c>
      <c r="E477" s="293">
        <v>-12.96</v>
      </c>
      <c r="F477" s="294" t="s">
        <v>374</v>
      </c>
    </row>
    <row r="478" spans="1:6" hidden="1" outlineLevel="1" collapsed="1" x14ac:dyDescent="0.25">
      <c r="A478" s="321" t="s">
        <v>282</v>
      </c>
      <c r="B478" s="321" t="s">
        <v>375</v>
      </c>
      <c r="C478" s="293">
        <v>0</v>
      </c>
      <c r="D478" s="293">
        <v>1900</v>
      </c>
      <c r="E478" s="293">
        <v>1900</v>
      </c>
      <c r="F478" s="294" t="s">
        <v>298</v>
      </c>
    </row>
    <row r="479" spans="1:6" hidden="1" outlineLevel="1" collapsed="1" x14ac:dyDescent="0.25">
      <c r="A479" s="321" t="s">
        <v>282</v>
      </c>
      <c r="B479" s="321" t="s">
        <v>403</v>
      </c>
      <c r="C479" s="293">
        <v>3382</v>
      </c>
      <c r="D479" s="293">
        <v>1995</v>
      </c>
      <c r="E479" s="293">
        <v>-1387</v>
      </c>
      <c r="F479" s="294" t="s">
        <v>527</v>
      </c>
    </row>
    <row r="480" spans="1:6" hidden="1" outlineLevel="1" collapsed="1" x14ac:dyDescent="0.25">
      <c r="A480" s="321" t="s">
        <v>282</v>
      </c>
      <c r="B480" s="321" t="s">
        <v>422</v>
      </c>
      <c r="C480" s="293">
        <v>513</v>
      </c>
      <c r="D480" s="293">
        <v>3150</v>
      </c>
      <c r="E480" s="293">
        <v>2637</v>
      </c>
      <c r="F480" s="294" t="s">
        <v>1968</v>
      </c>
    </row>
    <row r="481" spans="1:6" collapsed="1" x14ac:dyDescent="0.25">
      <c r="A481" s="560" t="s">
        <v>528</v>
      </c>
      <c r="B481" s="561"/>
      <c r="C481" s="292">
        <v>81082.817592000007</v>
      </c>
      <c r="D481" s="293">
        <v>193732.61397000001</v>
      </c>
      <c r="E481" s="293">
        <v>112649.796378</v>
      </c>
      <c r="F481" s="294" t="s">
        <v>1969</v>
      </c>
    </row>
    <row r="482" spans="1:6" hidden="1" outlineLevel="1" collapsed="1" x14ac:dyDescent="0.25">
      <c r="A482" s="321" t="s">
        <v>282</v>
      </c>
      <c r="B482" s="321" t="s">
        <v>358</v>
      </c>
      <c r="C482" s="293">
        <v>53284.079987999998</v>
      </c>
      <c r="D482" s="293">
        <v>123703.246788</v>
      </c>
      <c r="E482" s="293">
        <v>70419.166800000006</v>
      </c>
      <c r="F482" s="294" t="s">
        <v>530</v>
      </c>
    </row>
    <row r="483" spans="1:6" hidden="1" outlineLevel="1" collapsed="1" x14ac:dyDescent="0.25">
      <c r="A483" s="321" t="s">
        <v>282</v>
      </c>
      <c r="B483" s="321" t="s">
        <v>412</v>
      </c>
      <c r="C483" s="293">
        <v>0</v>
      </c>
      <c r="D483" s="293">
        <v>6000</v>
      </c>
      <c r="E483" s="293">
        <v>6000</v>
      </c>
      <c r="F483" s="294" t="s">
        <v>298</v>
      </c>
    </row>
    <row r="484" spans="1:6" hidden="1" outlineLevel="1" collapsed="1" x14ac:dyDescent="0.25">
      <c r="A484" s="321" t="s">
        <v>282</v>
      </c>
      <c r="B484" s="321" t="s">
        <v>360</v>
      </c>
      <c r="C484" s="293">
        <v>6953.5724280000004</v>
      </c>
      <c r="D484" s="293">
        <v>17850.378502</v>
      </c>
      <c r="E484" s="293">
        <v>10896.806074</v>
      </c>
      <c r="F484" s="294" t="s">
        <v>531</v>
      </c>
    </row>
    <row r="485" spans="1:6" hidden="1" outlineLevel="1" collapsed="1" x14ac:dyDescent="0.25">
      <c r="A485" s="321" t="s">
        <v>282</v>
      </c>
      <c r="B485" s="321" t="s">
        <v>362</v>
      </c>
      <c r="C485" s="293">
        <v>772.619148</v>
      </c>
      <c r="D485" s="293">
        <v>1793.6970679999999</v>
      </c>
      <c r="E485" s="293">
        <v>1021.0779199999999</v>
      </c>
      <c r="F485" s="294" t="s">
        <v>530</v>
      </c>
    </row>
    <row r="486" spans="1:6" hidden="1" outlineLevel="1" collapsed="1" x14ac:dyDescent="0.25">
      <c r="A486" s="321" t="s">
        <v>282</v>
      </c>
      <c r="B486" s="321" t="s">
        <v>363</v>
      </c>
      <c r="C486" s="293">
        <v>426.12479999999999</v>
      </c>
      <c r="D486" s="293">
        <v>844.08</v>
      </c>
      <c r="E486" s="293">
        <v>417.95519999999999</v>
      </c>
      <c r="F486" s="294" t="s">
        <v>532</v>
      </c>
    </row>
    <row r="487" spans="1:6" hidden="1" outlineLevel="1" collapsed="1" x14ac:dyDescent="0.25">
      <c r="A487" s="321" t="s">
        <v>282</v>
      </c>
      <c r="B487" s="321" t="s">
        <v>365</v>
      </c>
      <c r="C487" s="293">
        <v>15358.56</v>
      </c>
      <c r="D487" s="293">
        <v>31918.560000000001</v>
      </c>
      <c r="E487" s="293">
        <v>16560</v>
      </c>
      <c r="F487" s="294" t="s">
        <v>533</v>
      </c>
    </row>
    <row r="488" spans="1:6" hidden="1" outlineLevel="1" collapsed="1" x14ac:dyDescent="0.25">
      <c r="A488" s="321" t="s">
        <v>282</v>
      </c>
      <c r="B488" s="321" t="s">
        <v>367</v>
      </c>
      <c r="C488" s="293">
        <v>233.53919999999999</v>
      </c>
      <c r="D488" s="293">
        <v>365.76</v>
      </c>
      <c r="E488" s="293">
        <v>132.2208</v>
      </c>
      <c r="F488" s="294" t="s">
        <v>534</v>
      </c>
    </row>
    <row r="489" spans="1:6" hidden="1" outlineLevel="1" collapsed="1" x14ac:dyDescent="0.25">
      <c r="A489" s="321" t="s">
        <v>282</v>
      </c>
      <c r="B489" s="321" t="s">
        <v>369</v>
      </c>
      <c r="C489" s="293">
        <v>26.642028</v>
      </c>
      <c r="D489" s="293">
        <v>61.851612000000003</v>
      </c>
      <c r="E489" s="293">
        <v>35.209584</v>
      </c>
      <c r="F489" s="294" t="s">
        <v>530</v>
      </c>
    </row>
    <row r="490" spans="1:6" hidden="1" outlineLevel="1" collapsed="1" x14ac:dyDescent="0.25">
      <c r="A490" s="321" t="s">
        <v>282</v>
      </c>
      <c r="B490" s="321" t="s">
        <v>370</v>
      </c>
      <c r="C490" s="293">
        <v>1500</v>
      </c>
      <c r="D490" s="293">
        <v>3000</v>
      </c>
      <c r="E490" s="293">
        <v>1500</v>
      </c>
      <c r="F490" s="294" t="s">
        <v>298</v>
      </c>
    </row>
    <row r="491" spans="1:6" hidden="1" outlineLevel="1" collapsed="1" x14ac:dyDescent="0.25">
      <c r="A491" s="321" t="s">
        <v>282</v>
      </c>
      <c r="B491" s="321" t="s">
        <v>371</v>
      </c>
      <c r="C491" s="293">
        <v>49.68</v>
      </c>
      <c r="D491" s="293">
        <v>96.96</v>
      </c>
      <c r="E491" s="293">
        <v>47.28</v>
      </c>
      <c r="F491" s="294" t="s">
        <v>535</v>
      </c>
    </row>
    <row r="492" spans="1:6" hidden="1" outlineLevel="1" collapsed="1" x14ac:dyDescent="0.25">
      <c r="A492" s="321" t="s">
        <v>282</v>
      </c>
      <c r="B492" s="321" t="s">
        <v>373</v>
      </c>
      <c r="C492" s="293">
        <v>24</v>
      </c>
      <c r="D492" s="293">
        <v>22.08</v>
      </c>
      <c r="E492" s="293">
        <v>-1.92</v>
      </c>
      <c r="F492" s="294" t="s">
        <v>536</v>
      </c>
    </row>
    <row r="493" spans="1:6" hidden="1" outlineLevel="1" collapsed="1" x14ac:dyDescent="0.25">
      <c r="A493" s="321" t="s">
        <v>282</v>
      </c>
      <c r="B493" s="321" t="s">
        <v>375</v>
      </c>
      <c r="C493" s="293">
        <v>2454</v>
      </c>
      <c r="D493" s="293">
        <v>2454</v>
      </c>
      <c r="E493" s="293">
        <v>0</v>
      </c>
      <c r="F493" s="294" t="s">
        <v>316</v>
      </c>
    </row>
    <row r="494" spans="1:6" hidden="1" outlineLevel="1" collapsed="1" x14ac:dyDescent="0.25">
      <c r="A494" s="321" t="s">
        <v>282</v>
      </c>
      <c r="B494" s="321" t="s">
        <v>415</v>
      </c>
      <c r="C494" s="293">
        <v>0</v>
      </c>
      <c r="D494" s="293">
        <v>829</v>
      </c>
      <c r="E494" s="293">
        <v>829</v>
      </c>
      <c r="F494" s="294" t="s">
        <v>298</v>
      </c>
    </row>
    <row r="495" spans="1:6" hidden="1" outlineLevel="1" collapsed="1" x14ac:dyDescent="0.25">
      <c r="A495" s="321" t="s">
        <v>282</v>
      </c>
      <c r="B495" s="321" t="s">
        <v>403</v>
      </c>
      <c r="C495" s="293">
        <v>0</v>
      </c>
      <c r="D495" s="293">
        <v>2693</v>
      </c>
      <c r="E495" s="293">
        <v>2693</v>
      </c>
      <c r="F495" s="294" t="s">
        <v>298</v>
      </c>
    </row>
    <row r="496" spans="1:6" hidden="1" outlineLevel="1" collapsed="1" x14ac:dyDescent="0.25">
      <c r="A496" s="321" t="s">
        <v>282</v>
      </c>
      <c r="B496" s="321" t="s">
        <v>422</v>
      </c>
      <c r="C496" s="293">
        <v>0</v>
      </c>
      <c r="D496" s="293">
        <v>2100</v>
      </c>
      <c r="E496" s="293">
        <v>2100</v>
      </c>
      <c r="F496" s="294" t="s">
        <v>298</v>
      </c>
    </row>
    <row r="497" spans="1:6" collapsed="1" x14ac:dyDescent="0.25">
      <c r="A497" s="560" t="s">
        <v>537</v>
      </c>
      <c r="B497" s="561"/>
      <c r="C497" s="292">
        <v>251946.6274</v>
      </c>
      <c r="D497" s="293">
        <v>260766.37015999999</v>
      </c>
      <c r="E497" s="293">
        <v>8819.7427599999992</v>
      </c>
      <c r="F497" s="294" t="s">
        <v>538</v>
      </c>
    </row>
    <row r="498" spans="1:6" hidden="1" outlineLevel="1" collapsed="1" x14ac:dyDescent="0.25">
      <c r="A498" s="321" t="s">
        <v>282</v>
      </c>
      <c r="B498" s="321" t="s">
        <v>358</v>
      </c>
      <c r="C498" s="293">
        <v>185566.8</v>
      </c>
      <c r="D498" s="293">
        <v>192273.96720000001</v>
      </c>
      <c r="E498" s="293">
        <v>6707.1671999999999</v>
      </c>
      <c r="F498" s="294" t="s">
        <v>539</v>
      </c>
    </row>
    <row r="499" spans="1:6" hidden="1" outlineLevel="1" collapsed="1" x14ac:dyDescent="0.25">
      <c r="A499" s="321" t="s">
        <v>282</v>
      </c>
      <c r="B499" s="321" t="s">
        <v>412</v>
      </c>
      <c r="C499" s="293">
        <v>5000</v>
      </c>
      <c r="D499" s="293">
        <v>5000</v>
      </c>
      <c r="E499" s="293">
        <v>0</v>
      </c>
      <c r="F499" s="294" t="s">
        <v>316</v>
      </c>
    </row>
    <row r="500" spans="1:6" hidden="1" outlineLevel="1" collapsed="1" x14ac:dyDescent="0.25">
      <c r="A500" s="321" t="s">
        <v>282</v>
      </c>
      <c r="B500" s="321" t="s">
        <v>488</v>
      </c>
      <c r="C500" s="293">
        <v>2323</v>
      </c>
      <c r="D500" s="293">
        <v>0</v>
      </c>
      <c r="E500" s="293">
        <v>-2323</v>
      </c>
      <c r="F500" s="294" t="s">
        <v>286</v>
      </c>
    </row>
    <row r="501" spans="1:6" hidden="1" outlineLevel="1" collapsed="1" x14ac:dyDescent="0.25">
      <c r="A501" s="321" t="s">
        <v>282</v>
      </c>
      <c r="B501" s="321" t="s">
        <v>360</v>
      </c>
      <c r="C501" s="293">
        <v>24216.467400000001</v>
      </c>
      <c r="D501" s="293">
        <v>27745.133460000001</v>
      </c>
      <c r="E501" s="293">
        <v>3528.66606</v>
      </c>
      <c r="F501" s="294" t="s">
        <v>540</v>
      </c>
    </row>
    <row r="502" spans="1:6" hidden="1" outlineLevel="1" collapsed="1" x14ac:dyDescent="0.25">
      <c r="A502" s="321" t="s">
        <v>282</v>
      </c>
      <c r="B502" s="321" t="s">
        <v>362</v>
      </c>
      <c r="C502" s="293">
        <v>2763.2186000000002</v>
      </c>
      <c r="D502" s="293">
        <v>2860.4725199999998</v>
      </c>
      <c r="E502" s="293">
        <v>97.253919999999994</v>
      </c>
      <c r="F502" s="294" t="s">
        <v>541</v>
      </c>
    </row>
    <row r="503" spans="1:6" hidden="1" outlineLevel="1" collapsed="1" x14ac:dyDescent="0.25">
      <c r="A503" s="321" t="s">
        <v>282</v>
      </c>
      <c r="B503" s="321" t="s">
        <v>363</v>
      </c>
      <c r="C503" s="293">
        <v>852.24959999999999</v>
      </c>
      <c r="D503" s="293">
        <v>844.08</v>
      </c>
      <c r="E503" s="293">
        <v>-8.1696000000000009</v>
      </c>
      <c r="F503" s="294" t="s">
        <v>364</v>
      </c>
    </row>
    <row r="504" spans="1:6" hidden="1" outlineLevel="1" collapsed="1" x14ac:dyDescent="0.25">
      <c r="A504" s="321" t="s">
        <v>282</v>
      </c>
      <c r="B504" s="321" t="s">
        <v>365</v>
      </c>
      <c r="C504" s="293">
        <v>15358.56</v>
      </c>
      <c r="D504" s="293">
        <v>15959.28</v>
      </c>
      <c r="E504" s="293">
        <v>600.72</v>
      </c>
      <c r="F504" s="294" t="s">
        <v>366</v>
      </c>
    </row>
    <row r="505" spans="1:6" hidden="1" outlineLevel="1" collapsed="1" x14ac:dyDescent="0.25">
      <c r="A505" s="321" t="s">
        <v>282</v>
      </c>
      <c r="B505" s="321" t="s">
        <v>367</v>
      </c>
      <c r="C505" s="293">
        <v>467.07839999999999</v>
      </c>
      <c r="D505" s="293">
        <v>365.76</v>
      </c>
      <c r="E505" s="293">
        <v>-101.3184</v>
      </c>
      <c r="F505" s="294" t="s">
        <v>368</v>
      </c>
    </row>
    <row r="506" spans="1:6" hidden="1" outlineLevel="1" collapsed="1" x14ac:dyDescent="0.25">
      <c r="A506" s="321" t="s">
        <v>282</v>
      </c>
      <c r="B506" s="321" t="s">
        <v>369</v>
      </c>
      <c r="C506" s="293">
        <v>95.2834</v>
      </c>
      <c r="D506" s="293">
        <v>98.636979999999994</v>
      </c>
      <c r="E506" s="293">
        <v>3.35358</v>
      </c>
      <c r="F506" s="294" t="s">
        <v>541</v>
      </c>
    </row>
    <row r="507" spans="1:6" hidden="1" outlineLevel="1" collapsed="1" x14ac:dyDescent="0.25">
      <c r="A507" s="321" t="s">
        <v>282</v>
      </c>
      <c r="B507" s="321" t="s">
        <v>370</v>
      </c>
      <c r="C507" s="293">
        <v>3000</v>
      </c>
      <c r="D507" s="293">
        <v>3000</v>
      </c>
      <c r="E507" s="293">
        <v>0</v>
      </c>
      <c r="F507" s="294" t="s">
        <v>316</v>
      </c>
    </row>
    <row r="508" spans="1:6" hidden="1" outlineLevel="1" collapsed="1" x14ac:dyDescent="0.25">
      <c r="A508" s="321" t="s">
        <v>282</v>
      </c>
      <c r="B508" s="321" t="s">
        <v>371</v>
      </c>
      <c r="C508" s="293">
        <v>99.36</v>
      </c>
      <c r="D508" s="293">
        <v>96.96</v>
      </c>
      <c r="E508" s="293">
        <v>-2.4</v>
      </c>
      <c r="F508" s="294" t="s">
        <v>372</v>
      </c>
    </row>
    <row r="509" spans="1:6" hidden="1" outlineLevel="1" collapsed="1" x14ac:dyDescent="0.25">
      <c r="A509" s="321" t="s">
        <v>282</v>
      </c>
      <c r="B509" s="321" t="s">
        <v>373</v>
      </c>
      <c r="C509" s="293">
        <v>48</v>
      </c>
      <c r="D509" s="293">
        <v>22.08</v>
      </c>
      <c r="E509" s="293">
        <v>-25.92</v>
      </c>
      <c r="F509" s="294" t="s">
        <v>374</v>
      </c>
    </row>
    <row r="510" spans="1:6" hidden="1" outlineLevel="1" collapsed="1" x14ac:dyDescent="0.25">
      <c r="A510" s="321" t="s">
        <v>282</v>
      </c>
      <c r="B510" s="321" t="s">
        <v>445</v>
      </c>
      <c r="C510" s="293">
        <v>3000</v>
      </c>
      <c r="D510" s="293">
        <v>3000</v>
      </c>
      <c r="E510" s="293">
        <v>0</v>
      </c>
      <c r="F510" s="294" t="s">
        <v>316</v>
      </c>
    </row>
    <row r="511" spans="1:6" hidden="1" outlineLevel="1" collapsed="1" x14ac:dyDescent="0.25">
      <c r="A511" s="321" t="s">
        <v>282</v>
      </c>
      <c r="B511" s="321" t="s">
        <v>399</v>
      </c>
      <c r="C511" s="293">
        <v>207</v>
      </c>
      <c r="D511" s="293">
        <v>207</v>
      </c>
      <c r="E511" s="293">
        <v>0</v>
      </c>
      <c r="F511" s="294" t="s">
        <v>316</v>
      </c>
    </row>
    <row r="512" spans="1:6" hidden="1" outlineLevel="1" collapsed="1" x14ac:dyDescent="0.25">
      <c r="A512" s="321" t="s">
        <v>282</v>
      </c>
      <c r="B512" s="321" t="s">
        <v>375</v>
      </c>
      <c r="C512" s="293">
        <v>4658.6099999999997</v>
      </c>
      <c r="D512" s="293">
        <v>2679</v>
      </c>
      <c r="E512" s="293">
        <v>-1979.61</v>
      </c>
      <c r="F512" s="294" t="s">
        <v>542</v>
      </c>
    </row>
    <row r="513" spans="1:6" hidden="1" outlineLevel="1" collapsed="1" x14ac:dyDescent="0.25">
      <c r="A513" s="321" t="s">
        <v>282</v>
      </c>
      <c r="B513" s="321" t="s">
        <v>496</v>
      </c>
      <c r="C513" s="293">
        <v>65</v>
      </c>
      <c r="D513" s="293">
        <v>65</v>
      </c>
      <c r="E513" s="293">
        <v>0</v>
      </c>
      <c r="F513" s="294" t="s">
        <v>316</v>
      </c>
    </row>
    <row r="514" spans="1:6" hidden="1" outlineLevel="1" collapsed="1" x14ac:dyDescent="0.25">
      <c r="A514" s="321" t="s">
        <v>282</v>
      </c>
      <c r="B514" s="321" t="s">
        <v>376</v>
      </c>
      <c r="C514" s="293">
        <v>171</v>
      </c>
      <c r="D514" s="293">
        <v>171</v>
      </c>
      <c r="E514" s="293">
        <v>0</v>
      </c>
      <c r="F514" s="294" t="s">
        <v>316</v>
      </c>
    </row>
    <row r="515" spans="1:6" hidden="1" outlineLevel="1" collapsed="1" x14ac:dyDescent="0.25">
      <c r="A515" s="321" t="s">
        <v>282</v>
      </c>
      <c r="B515" s="321" t="s">
        <v>401</v>
      </c>
      <c r="C515" s="293">
        <v>0</v>
      </c>
      <c r="D515" s="293">
        <v>898</v>
      </c>
      <c r="E515" s="293">
        <v>898</v>
      </c>
      <c r="F515" s="294" t="s">
        <v>298</v>
      </c>
    </row>
    <row r="516" spans="1:6" hidden="1" outlineLevel="1" collapsed="1" x14ac:dyDescent="0.25">
      <c r="A516" s="321" t="s">
        <v>282</v>
      </c>
      <c r="B516" s="321" t="s">
        <v>543</v>
      </c>
      <c r="C516" s="293">
        <v>0</v>
      </c>
      <c r="D516" s="293">
        <v>1425</v>
      </c>
      <c r="E516" s="293">
        <v>1425</v>
      </c>
      <c r="F516" s="294" t="s">
        <v>298</v>
      </c>
    </row>
    <row r="517" spans="1:6" hidden="1" outlineLevel="1" collapsed="1" x14ac:dyDescent="0.25">
      <c r="A517" s="321" t="s">
        <v>282</v>
      </c>
      <c r="B517" s="321" t="s">
        <v>448</v>
      </c>
      <c r="C517" s="293">
        <v>0</v>
      </c>
      <c r="D517" s="293">
        <v>0</v>
      </c>
      <c r="E517" s="293">
        <v>0</v>
      </c>
      <c r="F517" s="294" t="s">
        <v>316</v>
      </c>
    </row>
    <row r="518" spans="1:6" hidden="1" outlineLevel="1" collapsed="1" x14ac:dyDescent="0.25">
      <c r="A518" s="321" t="s">
        <v>282</v>
      </c>
      <c r="B518" s="321" t="s">
        <v>405</v>
      </c>
      <c r="C518" s="293">
        <v>120</v>
      </c>
      <c r="D518" s="293">
        <v>120</v>
      </c>
      <c r="E518" s="293">
        <v>0</v>
      </c>
      <c r="F518" s="294" t="s">
        <v>316</v>
      </c>
    </row>
    <row r="519" spans="1:6" hidden="1" outlineLevel="1" collapsed="1" x14ac:dyDescent="0.25">
      <c r="A519" s="321" t="s">
        <v>282</v>
      </c>
      <c r="B519" s="321" t="s">
        <v>422</v>
      </c>
      <c r="C519" s="293">
        <v>3935</v>
      </c>
      <c r="D519" s="293">
        <v>3935</v>
      </c>
      <c r="E519" s="293">
        <v>0</v>
      </c>
      <c r="F519" s="294" t="s">
        <v>316</v>
      </c>
    </row>
    <row r="520" spans="1:6" collapsed="1" x14ac:dyDescent="0.25">
      <c r="A520" s="560" t="s">
        <v>544</v>
      </c>
      <c r="B520" s="561"/>
      <c r="C520" s="292">
        <v>131374.006884</v>
      </c>
      <c r="D520" s="293">
        <v>141039.91818800001</v>
      </c>
      <c r="E520" s="293">
        <v>9665.9113039999993</v>
      </c>
      <c r="F520" s="294" t="s">
        <v>1579</v>
      </c>
    </row>
    <row r="521" spans="1:6" hidden="1" outlineLevel="1" collapsed="1" x14ac:dyDescent="0.25">
      <c r="A521" s="321" t="s">
        <v>282</v>
      </c>
      <c r="B521" s="321" t="s">
        <v>546</v>
      </c>
      <c r="C521" s="293">
        <v>50455.649916000002</v>
      </c>
      <c r="D521" s="293">
        <v>53780.837747999998</v>
      </c>
      <c r="E521" s="293">
        <v>3325.1878320000001</v>
      </c>
      <c r="F521" s="294" t="s">
        <v>547</v>
      </c>
    </row>
    <row r="522" spans="1:6" hidden="1" outlineLevel="1" collapsed="1" x14ac:dyDescent="0.25">
      <c r="A522" s="321" t="s">
        <v>282</v>
      </c>
      <c r="B522" s="321" t="s">
        <v>380</v>
      </c>
      <c r="C522" s="293">
        <v>39484.679276000003</v>
      </c>
      <c r="D522" s="293">
        <v>41982.296468</v>
      </c>
      <c r="E522" s="293">
        <v>2497.6171920000002</v>
      </c>
      <c r="F522" s="294" t="s">
        <v>1970</v>
      </c>
    </row>
    <row r="523" spans="1:6" hidden="1" outlineLevel="1" collapsed="1" x14ac:dyDescent="0.25">
      <c r="A523" s="321" t="s">
        <v>282</v>
      </c>
      <c r="B523" s="321" t="s">
        <v>475</v>
      </c>
      <c r="C523" s="293">
        <v>285.5</v>
      </c>
      <c r="D523" s="293">
        <v>0</v>
      </c>
      <c r="E523" s="293">
        <v>-285.5</v>
      </c>
      <c r="F523" s="294" t="s">
        <v>286</v>
      </c>
    </row>
    <row r="524" spans="1:6" hidden="1" outlineLevel="1" collapsed="1" x14ac:dyDescent="0.25">
      <c r="A524" s="321" t="s">
        <v>282</v>
      </c>
      <c r="B524" s="321" t="s">
        <v>384</v>
      </c>
      <c r="C524" s="293">
        <v>11270.814383999999</v>
      </c>
      <c r="D524" s="293">
        <v>0</v>
      </c>
      <c r="E524" s="293">
        <v>-11270.814383999999</v>
      </c>
      <c r="F524" s="294" t="s">
        <v>286</v>
      </c>
    </row>
    <row r="525" spans="1:6" hidden="1" outlineLevel="1" collapsed="1" x14ac:dyDescent="0.25">
      <c r="A525" s="321" t="s">
        <v>282</v>
      </c>
      <c r="B525" s="321" t="s">
        <v>385</v>
      </c>
      <c r="C525" s="293">
        <v>0</v>
      </c>
      <c r="D525" s="293">
        <v>14614.862676000001</v>
      </c>
      <c r="E525" s="293">
        <v>14614.862676000001</v>
      </c>
      <c r="F525" s="294" t="s">
        <v>298</v>
      </c>
    </row>
    <row r="526" spans="1:6" hidden="1" outlineLevel="1" collapsed="1" x14ac:dyDescent="0.25">
      <c r="A526" s="321" t="s">
        <v>282</v>
      </c>
      <c r="B526" s="321" t="s">
        <v>386</v>
      </c>
      <c r="C526" s="293">
        <v>5576.3004000000001</v>
      </c>
      <c r="D526" s="293">
        <v>0</v>
      </c>
      <c r="E526" s="293">
        <v>-5576.3004000000001</v>
      </c>
      <c r="F526" s="294" t="s">
        <v>286</v>
      </c>
    </row>
    <row r="527" spans="1:6" hidden="1" outlineLevel="1" collapsed="1" x14ac:dyDescent="0.25">
      <c r="A527" s="321" t="s">
        <v>282</v>
      </c>
      <c r="B527" s="321" t="s">
        <v>387</v>
      </c>
      <c r="C527" s="293">
        <v>0</v>
      </c>
      <c r="D527" s="293">
        <v>5937.3143040000004</v>
      </c>
      <c r="E527" s="293">
        <v>5937.3143040000004</v>
      </c>
      <c r="F527" s="294" t="s">
        <v>298</v>
      </c>
    </row>
    <row r="528" spans="1:6" hidden="1" outlineLevel="1" collapsed="1" x14ac:dyDescent="0.25">
      <c r="A528" s="321" t="s">
        <v>282</v>
      </c>
      <c r="B528" s="321" t="s">
        <v>388</v>
      </c>
      <c r="C528" s="293">
        <v>1304.1347639999999</v>
      </c>
      <c r="D528" s="293">
        <v>1388.5654320000001</v>
      </c>
      <c r="E528" s="293">
        <v>84.430667999999997</v>
      </c>
      <c r="F528" s="294" t="s">
        <v>545</v>
      </c>
    </row>
    <row r="529" spans="1:6" hidden="1" outlineLevel="1" collapsed="1" x14ac:dyDescent="0.25">
      <c r="A529" s="321" t="s">
        <v>282</v>
      </c>
      <c r="B529" s="321" t="s">
        <v>389</v>
      </c>
      <c r="C529" s="293">
        <v>852.24959999999999</v>
      </c>
      <c r="D529" s="293">
        <v>844.08</v>
      </c>
      <c r="E529" s="293">
        <v>-8.1696000000000009</v>
      </c>
      <c r="F529" s="294" t="s">
        <v>364</v>
      </c>
    </row>
    <row r="530" spans="1:6" hidden="1" outlineLevel="1" collapsed="1" x14ac:dyDescent="0.25">
      <c r="A530" s="321" t="s">
        <v>282</v>
      </c>
      <c r="B530" s="321" t="s">
        <v>390</v>
      </c>
      <c r="C530" s="293">
        <v>15485.27</v>
      </c>
      <c r="D530" s="293">
        <v>15959.28</v>
      </c>
      <c r="E530" s="293">
        <v>474.01</v>
      </c>
      <c r="F530" s="294" t="s">
        <v>391</v>
      </c>
    </row>
    <row r="531" spans="1:6" hidden="1" outlineLevel="1" collapsed="1" x14ac:dyDescent="0.25">
      <c r="A531" s="321" t="s">
        <v>282</v>
      </c>
      <c r="B531" s="321" t="s">
        <v>392</v>
      </c>
      <c r="C531" s="293">
        <v>467.07839999999999</v>
      </c>
      <c r="D531" s="293">
        <v>365.76</v>
      </c>
      <c r="E531" s="293">
        <v>-101.3184</v>
      </c>
      <c r="F531" s="294" t="s">
        <v>368</v>
      </c>
    </row>
    <row r="532" spans="1:6" hidden="1" outlineLevel="1" collapsed="1" x14ac:dyDescent="0.25">
      <c r="A532" s="321" t="s">
        <v>282</v>
      </c>
      <c r="B532" s="321" t="s">
        <v>393</v>
      </c>
      <c r="C532" s="293">
        <v>44.970143999999998</v>
      </c>
      <c r="D532" s="293">
        <v>47.88156</v>
      </c>
      <c r="E532" s="293">
        <v>2.911416</v>
      </c>
      <c r="F532" s="294" t="s">
        <v>545</v>
      </c>
    </row>
    <row r="533" spans="1:6" hidden="1" outlineLevel="1" collapsed="1" x14ac:dyDescent="0.25">
      <c r="A533" s="321" t="s">
        <v>282</v>
      </c>
      <c r="B533" s="321" t="s">
        <v>394</v>
      </c>
      <c r="C533" s="293">
        <v>3000</v>
      </c>
      <c r="D533" s="293">
        <v>0</v>
      </c>
      <c r="E533" s="293">
        <v>-3000</v>
      </c>
      <c r="F533" s="294" t="s">
        <v>286</v>
      </c>
    </row>
    <row r="534" spans="1:6" hidden="1" outlineLevel="1" collapsed="1" x14ac:dyDescent="0.25">
      <c r="A534" s="321" t="s">
        <v>282</v>
      </c>
      <c r="B534" s="321" t="s">
        <v>395</v>
      </c>
      <c r="C534" s="293">
        <v>0</v>
      </c>
      <c r="D534" s="293">
        <v>3000</v>
      </c>
      <c r="E534" s="293">
        <v>3000</v>
      </c>
      <c r="F534" s="294" t="s">
        <v>298</v>
      </c>
    </row>
    <row r="535" spans="1:6" hidden="1" outlineLevel="1" collapsed="1" x14ac:dyDescent="0.25">
      <c r="A535" s="321" t="s">
        <v>282</v>
      </c>
      <c r="B535" s="321" t="s">
        <v>396</v>
      </c>
      <c r="C535" s="293">
        <v>99.36</v>
      </c>
      <c r="D535" s="293">
        <v>0</v>
      </c>
      <c r="E535" s="293">
        <v>-99.36</v>
      </c>
      <c r="F535" s="294" t="s">
        <v>286</v>
      </c>
    </row>
    <row r="536" spans="1:6" hidden="1" outlineLevel="1" collapsed="1" x14ac:dyDescent="0.25">
      <c r="A536" s="321" t="s">
        <v>282</v>
      </c>
      <c r="B536" s="321" t="s">
        <v>397</v>
      </c>
      <c r="C536" s="293">
        <v>0</v>
      </c>
      <c r="D536" s="293">
        <v>96.96</v>
      </c>
      <c r="E536" s="293">
        <v>96.96</v>
      </c>
      <c r="F536" s="294" t="s">
        <v>298</v>
      </c>
    </row>
    <row r="537" spans="1:6" hidden="1" outlineLevel="1" collapsed="1" x14ac:dyDescent="0.25">
      <c r="A537" s="321" t="s">
        <v>282</v>
      </c>
      <c r="B537" s="321" t="s">
        <v>398</v>
      </c>
      <c r="C537" s="293">
        <v>48</v>
      </c>
      <c r="D537" s="293">
        <v>22.08</v>
      </c>
      <c r="E537" s="293">
        <v>-25.92</v>
      </c>
      <c r="F537" s="294" t="s">
        <v>374</v>
      </c>
    </row>
    <row r="538" spans="1:6" hidden="1" outlineLevel="1" collapsed="1" x14ac:dyDescent="0.25">
      <c r="A538" s="321" t="s">
        <v>282</v>
      </c>
      <c r="B538" s="321" t="s">
        <v>522</v>
      </c>
      <c r="C538" s="293">
        <v>3000</v>
      </c>
      <c r="D538" s="293">
        <v>3000</v>
      </c>
      <c r="E538" s="293">
        <v>0</v>
      </c>
      <c r="F538" s="294" t="s">
        <v>316</v>
      </c>
    </row>
    <row r="539" spans="1:6" collapsed="1" x14ac:dyDescent="0.25">
      <c r="A539" s="560" t="s">
        <v>550</v>
      </c>
      <c r="B539" s="561"/>
      <c r="C539" s="292">
        <v>453432.34323200001</v>
      </c>
      <c r="D539" s="293">
        <v>470432.16883099999</v>
      </c>
      <c r="E539" s="293">
        <v>16999.825599</v>
      </c>
      <c r="F539" s="294" t="s">
        <v>1074</v>
      </c>
    </row>
    <row r="540" spans="1:6" hidden="1" outlineLevel="1" collapsed="1" x14ac:dyDescent="0.25">
      <c r="A540" s="321" t="s">
        <v>282</v>
      </c>
      <c r="B540" s="321" t="s">
        <v>358</v>
      </c>
      <c r="C540" s="293">
        <v>284446.08000000002</v>
      </c>
      <c r="D540" s="293">
        <v>291860.32679999998</v>
      </c>
      <c r="E540" s="293">
        <v>7414.2467999999999</v>
      </c>
      <c r="F540" s="294" t="s">
        <v>552</v>
      </c>
    </row>
    <row r="541" spans="1:6" hidden="1" outlineLevel="1" collapsed="1" x14ac:dyDescent="0.25">
      <c r="A541" s="321" t="s">
        <v>282</v>
      </c>
      <c r="B541" s="321" t="s">
        <v>412</v>
      </c>
      <c r="C541" s="293">
        <v>7000</v>
      </c>
      <c r="D541" s="293">
        <v>7000</v>
      </c>
      <c r="E541" s="293">
        <v>0</v>
      </c>
      <c r="F541" s="294" t="s">
        <v>316</v>
      </c>
    </row>
    <row r="542" spans="1:6" hidden="1" outlineLevel="1" collapsed="1" x14ac:dyDescent="0.25">
      <c r="A542" s="321" t="s">
        <v>282</v>
      </c>
      <c r="B542" s="321" t="s">
        <v>380</v>
      </c>
      <c r="C542" s="293">
        <v>34877.355020000003</v>
      </c>
      <c r="D542" s="293">
        <v>35911.875679999997</v>
      </c>
      <c r="E542" s="293">
        <v>1034.5206599999999</v>
      </c>
      <c r="F542" s="294" t="s">
        <v>553</v>
      </c>
    </row>
    <row r="543" spans="1:6" hidden="1" outlineLevel="1" collapsed="1" x14ac:dyDescent="0.25">
      <c r="A543" s="321" t="s">
        <v>282</v>
      </c>
      <c r="B543" s="321" t="s">
        <v>453</v>
      </c>
      <c r="C543" s="293">
        <v>2970</v>
      </c>
      <c r="D543" s="293">
        <v>2970</v>
      </c>
      <c r="E543" s="293">
        <v>0</v>
      </c>
      <c r="F543" s="294" t="s">
        <v>316</v>
      </c>
    </row>
    <row r="544" spans="1:6" hidden="1" outlineLevel="1" collapsed="1" x14ac:dyDescent="0.25">
      <c r="A544" s="321" t="s">
        <v>282</v>
      </c>
      <c r="B544" s="321" t="s">
        <v>360</v>
      </c>
      <c r="C544" s="293">
        <v>37120.21344</v>
      </c>
      <c r="D544" s="293">
        <v>42115.44515</v>
      </c>
      <c r="E544" s="293">
        <v>4995.23171</v>
      </c>
      <c r="F544" s="294" t="s">
        <v>554</v>
      </c>
    </row>
    <row r="545" spans="1:6" hidden="1" outlineLevel="1" collapsed="1" x14ac:dyDescent="0.25">
      <c r="A545" s="321" t="s">
        <v>282</v>
      </c>
      <c r="B545" s="321" t="s">
        <v>384</v>
      </c>
      <c r="C545" s="293">
        <v>4305.8012520000002</v>
      </c>
      <c r="D545" s="293">
        <v>0</v>
      </c>
      <c r="E545" s="293">
        <v>-4305.8012520000002</v>
      </c>
      <c r="F545" s="294" t="s">
        <v>286</v>
      </c>
    </row>
    <row r="546" spans="1:6" hidden="1" outlineLevel="1" collapsed="1" x14ac:dyDescent="0.25">
      <c r="A546" s="321" t="s">
        <v>282</v>
      </c>
      <c r="B546" s="321" t="s">
        <v>385</v>
      </c>
      <c r="C546" s="293">
        <v>0</v>
      </c>
      <c r="D546" s="293">
        <v>5476.5219120000002</v>
      </c>
      <c r="E546" s="293">
        <v>5476.5219120000002</v>
      </c>
      <c r="F546" s="294" t="s">
        <v>298</v>
      </c>
    </row>
    <row r="547" spans="1:6" hidden="1" outlineLevel="1" collapsed="1" x14ac:dyDescent="0.25">
      <c r="A547" s="321" t="s">
        <v>282</v>
      </c>
      <c r="B547" s="321" t="s">
        <v>386</v>
      </c>
      <c r="C547" s="293">
        <v>2162.3960040000002</v>
      </c>
      <c r="D547" s="293">
        <v>0</v>
      </c>
      <c r="E547" s="293">
        <v>-2162.3960040000002</v>
      </c>
      <c r="F547" s="294" t="s">
        <v>286</v>
      </c>
    </row>
    <row r="548" spans="1:6" hidden="1" outlineLevel="1" collapsed="1" x14ac:dyDescent="0.25">
      <c r="A548" s="321" t="s">
        <v>282</v>
      </c>
      <c r="B548" s="321" t="s">
        <v>387</v>
      </c>
      <c r="C548" s="293">
        <v>0</v>
      </c>
      <c r="D548" s="293">
        <v>2226.5362909999999</v>
      </c>
      <c r="E548" s="293">
        <v>2226.5362909999999</v>
      </c>
      <c r="F548" s="294" t="s">
        <v>298</v>
      </c>
    </row>
    <row r="549" spans="1:6" hidden="1" outlineLevel="1" collapsed="1" x14ac:dyDescent="0.25">
      <c r="A549" s="321" t="s">
        <v>282</v>
      </c>
      <c r="B549" s="321" t="s">
        <v>362</v>
      </c>
      <c r="C549" s="293">
        <v>4225.9681600000004</v>
      </c>
      <c r="D549" s="293">
        <v>4333.4747200000002</v>
      </c>
      <c r="E549" s="293">
        <v>107.50655999999999</v>
      </c>
      <c r="F549" s="294" t="s">
        <v>555</v>
      </c>
    </row>
    <row r="550" spans="1:6" hidden="1" outlineLevel="1" collapsed="1" x14ac:dyDescent="0.25">
      <c r="A550" s="321" t="s">
        <v>282</v>
      </c>
      <c r="B550" s="321" t="s">
        <v>388</v>
      </c>
      <c r="C550" s="293">
        <v>505.72163999999998</v>
      </c>
      <c r="D550" s="293">
        <v>520.72219199999995</v>
      </c>
      <c r="E550" s="293">
        <v>15.000552000000001</v>
      </c>
      <c r="F550" s="294" t="s">
        <v>553</v>
      </c>
    </row>
    <row r="551" spans="1:6" hidden="1" outlineLevel="1" collapsed="1" x14ac:dyDescent="0.25">
      <c r="A551" s="321" t="s">
        <v>282</v>
      </c>
      <c r="B551" s="321" t="s">
        <v>363</v>
      </c>
      <c r="C551" s="293">
        <v>1278.3743999999999</v>
      </c>
      <c r="D551" s="293">
        <v>1266.1199999999999</v>
      </c>
      <c r="E551" s="293">
        <v>-12.2544</v>
      </c>
      <c r="F551" s="294" t="s">
        <v>364</v>
      </c>
    </row>
    <row r="552" spans="1:6" hidden="1" outlineLevel="1" collapsed="1" x14ac:dyDescent="0.25">
      <c r="A552" s="321" t="s">
        <v>282</v>
      </c>
      <c r="B552" s="321" t="s">
        <v>365</v>
      </c>
      <c r="C552" s="293">
        <v>46075.68</v>
      </c>
      <c r="D552" s="293">
        <v>47877.84</v>
      </c>
      <c r="E552" s="293">
        <v>1802.16</v>
      </c>
      <c r="F552" s="294" t="s">
        <v>366</v>
      </c>
    </row>
    <row r="553" spans="1:6" hidden="1" outlineLevel="1" collapsed="1" x14ac:dyDescent="0.25">
      <c r="A553" s="321" t="s">
        <v>282</v>
      </c>
      <c r="B553" s="321" t="s">
        <v>367</v>
      </c>
      <c r="C553" s="293">
        <v>700.61760000000004</v>
      </c>
      <c r="D553" s="293">
        <v>548.64</v>
      </c>
      <c r="E553" s="293">
        <v>-151.9776</v>
      </c>
      <c r="F553" s="294" t="s">
        <v>368</v>
      </c>
    </row>
    <row r="554" spans="1:6" hidden="1" outlineLevel="1" collapsed="1" x14ac:dyDescent="0.25">
      <c r="A554" s="321" t="s">
        <v>282</v>
      </c>
      <c r="B554" s="321" t="s">
        <v>444</v>
      </c>
      <c r="C554" s="293">
        <v>267</v>
      </c>
      <c r="D554" s="293">
        <v>267</v>
      </c>
      <c r="E554" s="293">
        <v>0</v>
      </c>
      <c r="F554" s="294" t="s">
        <v>316</v>
      </c>
    </row>
    <row r="555" spans="1:6" hidden="1" outlineLevel="1" collapsed="1" x14ac:dyDescent="0.25">
      <c r="A555" s="321" t="s">
        <v>282</v>
      </c>
      <c r="B555" s="321" t="s">
        <v>389</v>
      </c>
      <c r="C555" s="293">
        <v>426.12479999999999</v>
      </c>
      <c r="D555" s="293">
        <v>422.04</v>
      </c>
      <c r="E555" s="293">
        <v>-4.0848000000000004</v>
      </c>
      <c r="F555" s="294" t="s">
        <v>364</v>
      </c>
    </row>
    <row r="556" spans="1:6" hidden="1" outlineLevel="1" collapsed="1" x14ac:dyDescent="0.25">
      <c r="A556" s="321" t="s">
        <v>282</v>
      </c>
      <c r="B556" s="321" t="s">
        <v>390</v>
      </c>
      <c r="C556" s="293">
        <v>15485.27</v>
      </c>
      <c r="D556" s="293">
        <v>15959.28</v>
      </c>
      <c r="E556" s="293">
        <v>474.01</v>
      </c>
      <c r="F556" s="294" t="s">
        <v>391</v>
      </c>
    </row>
    <row r="557" spans="1:6" hidden="1" outlineLevel="1" collapsed="1" x14ac:dyDescent="0.25">
      <c r="A557" s="321" t="s">
        <v>282</v>
      </c>
      <c r="B557" s="321" t="s">
        <v>392</v>
      </c>
      <c r="C557" s="293">
        <v>233.53919999999999</v>
      </c>
      <c r="D557" s="293">
        <v>182.88</v>
      </c>
      <c r="E557" s="293">
        <v>-50.659199999999998</v>
      </c>
      <c r="F557" s="294" t="s">
        <v>368</v>
      </c>
    </row>
    <row r="558" spans="1:6" hidden="1" outlineLevel="1" collapsed="1" x14ac:dyDescent="0.25">
      <c r="A558" s="321" t="s">
        <v>282</v>
      </c>
      <c r="B558" s="321" t="s">
        <v>369</v>
      </c>
      <c r="C558" s="293">
        <v>145.72304</v>
      </c>
      <c r="D558" s="293">
        <v>149.43015</v>
      </c>
      <c r="E558" s="293">
        <v>3.7071100000000001</v>
      </c>
      <c r="F558" s="294" t="s">
        <v>555</v>
      </c>
    </row>
    <row r="559" spans="1:6" hidden="1" outlineLevel="1" collapsed="1" x14ac:dyDescent="0.25">
      <c r="A559" s="321" t="s">
        <v>282</v>
      </c>
      <c r="B559" s="321" t="s">
        <v>393</v>
      </c>
      <c r="C559" s="293">
        <v>17.438676000000001</v>
      </c>
      <c r="D559" s="293">
        <v>17.955936000000001</v>
      </c>
      <c r="E559" s="293">
        <v>0.51726000000000005</v>
      </c>
      <c r="F559" s="294" t="s">
        <v>553</v>
      </c>
    </row>
    <row r="560" spans="1:6" hidden="1" outlineLevel="1" collapsed="1" x14ac:dyDescent="0.25">
      <c r="A560" s="321" t="s">
        <v>282</v>
      </c>
      <c r="B560" s="321" t="s">
        <v>370</v>
      </c>
      <c r="C560" s="293">
        <v>4500</v>
      </c>
      <c r="D560" s="293">
        <v>4500</v>
      </c>
      <c r="E560" s="293">
        <v>0</v>
      </c>
      <c r="F560" s="294" t="s">
        <v>316</v>
      </c>
    </row>
    <row r="561" spans="1:6" hidden="1" outlineLevel="1" collapsed="1" x14ac:dyDescent="0.25">
      <c r="A561" s="321" t="s">
        <v>282</v>
      </c>
      <c r="B561" s="321" t="s">
        <v>394</v>
      </c>
      <c r="C561" s="293">
        <v>1500</v>
      </c>
      <c r="D561" s="293">
        <v>0</v>
      </c>
      <c r="E561" s="293">
        <v>-1500</v>
      </c>
      <c r="F561" s="294" t="s">
        <v>286</v>
      </c>
    </row>
    <row r="562" spans="1:6" hidden="1" outlineLevel="1" collapsed="1" x14ac:dyDescent="0.25">
      <c r="A562" s="321" t="s">
        <v>282</v>
      </c>
      <c r="B562" s="321" t="s">
        <v>395</v>
      </c>
      <c r="C562" s="293">
        <v>0</v>
      </c>
      <c r="D562" s="293">
        <v>1500</v>
      </c>
      <c r="E562" s="293">
        <v>1500</v>
      </c>
      <c r="F562" s="294" t="s">
        <v>298</v>
      </c>
    </row>
    <row r="563" spans="1:6" hidden="1" outlineLevel="1" collapsed="1" x14ac:dyDescent="0.25">
      <c r="A563" s="321" t="s">
        <v>282</v>
      </c>
      <c r="B563" s="321" t="s">
        <v>371</v>
      </c>
      <c r="C563" s="293">
        <v>149.04</v>
      </c>
      <c r="D563" s="293">
        <v>145.44</v>
      </c>
      <c r="E563" s="293">
        <v>-3.6</v>
      </c>
      <c r="F563" s="294" t="s">
        <v>372</v>
      </c>
    </row>
    <row r="564" spans="1:6" hidden="1" outlineLevel="1" collapsed="1" x14ac:dyDescent="0.25">
      <c r="A564" s="321" t="s">
        <v>282</v>
      </c>
      <c r="B564" s="321" t="s">
        <v>396</v>
      </c>
      <c r="C564" s="293">
        <v>49.68</v>
      </c>
      <c r="D564" s="293">
        <v>0</v>
      </c>
      <c r="E564" s="293">
        <v>-49.68</v>
      </c>
      <c r="F564" s="294" t="s">
        <v>286</v>
      </c>
    </row>
    <row r="565" spans="1:6" hidden="1" outlineLevel="1" collapsed="1" x14ac:dyDescent="0.25">
      <c r="A565" s="321" t="s">
        <v>282</v>
      </c>
      <c r="B565" s="321" t="s">
        <v>397</v>
      </c>
      <c r="C565" s="293">
        <v>0</v>
      </c>
      <c r="D565" s="293">
        <v>48.48</v>
      </c>
      <c r="E565" s="293">
        <v>48.48</v>
      </c>
      <c r="F565" s="294" t="s">
        <v>298</v>
      </c>
    </row>
    <row r="566" spans="1:6" hidden="1" outlineLevel="1" collapsed="1" x14ac:dyDescent="0.25">
      <c r="A566" s="321" t="s">
        <v>282</v>
      </c>
      <c r="B566" s="321" t="s">
        <v>373</v>
      </c>
      <c r="C566" s="293">
        <v>72</v>
      </c>
      <c r="D566" s="293">
        <v>33.119999999999997</v>
      </c>
      <c r="E566" s="293">
        <v>-38.880000000000003</v>
      </c>
      <c r="F566" s="294" t="s">
        <v>374</v>
      </c>
    </row>
    <row r="567" spans="1:6" hidden="1" outlineLevel="1" collapsed="1" x14ac:dyDescent="0.25">
      <c r="A567" s="321" t="s">
        <v>282</v>
      </c>
      <c r="B567" s="321" t="s">
        <v>398</v>
      </c>
      <c r="C567" s="293">
        <v>24</v>
      </c>
      <c r="D567" s="293">
        <v>11.04</v>
      </c>
      <c r="E567" s="293">
        <v>-12.96</v>
      </c>
      <c r="F567" s="294" t="s">
        <v>374</v>
      </c>
    </row>
    <row r="568" spans="1:6" hidden="1" outlineLevel="1" collapsed="1" x14ac:dyDescent="0.25">
      <c r="A568" s="321" t="s">
        <v>282</v>
      </c>
      <c r="B568" s="321" t="s">
        <v>376</v>
      </c>
      <c r="C568" s="293">
        <v>2076.84</v>
      </c>
      <c r="D568" s="293">
        <v>1853</v>
      </c>
      <c r="E568" s="293">
        <v>-223.84</v>
      </c>
      <c r="F568" s="294" t="s">
        <v>556</v>
      </c>
    </row>
    <row r="569" spans="1:6" hidden="1" outlineLevel="1" collapsed="1" x14ac:dyDescent="0.25">
      <c r="A569" s="321" t="s">
        <v>282</v>
      </c>
      <c r="B569" s="321" t="s">
        <v>557</v>
      </c>
      <c r="C569" s="293">
        <v>429</v>
      </c>
      <c r="D569" s="293">
        <v>285</v>
      </c>
      <c r="E569" s="293">
        <v>-144</v>
      </c>
      <c r="F569" s="294" t="s">
        <v>558</v>
      </c>
    </row>
    <row r="570" spans="1:6" hidden="1" outlineLevel="1" collapsed="1" x14ac:dyDescent="0.25">
      <c r="A570" s="321" t="s">
        <v>282</v>
      </c>
      <c r="B570" s="321" t="s">
        <v>422</v>
      </c>
      <c r="C570" s="293">
        <v>2388.48</v>
      </c>
      <c r="D570" s="293">
        <v>2950</v>
      </c>
      <c r="E570" s="293">
        <v>561.52</v>
      </c>
      <c r="F570" s="294" t="s">
        <v>1971</v>
      </c>
    </row>
    <row r="571" spans="1:6" collapsed="1" x14ac:dyDescent="0.25">
      <c r="A571" s="560" t="s">
        <v>560</v>
      </c>
      <c r="B571" s="561"/>
      <c r="C571" s="292">
        <v>129322.94768</v>
      </c>
      <c r="D571" s="293">
        <v>160791.69803999999</v>
      </c>
      <c r="E571" s="293">
        <v>31468.750359999998</v>
      </c>
      <c r="F571" s="294" t="s">
        <v>1264</v>
      </c>
    </row>
    <row r="572" spans="1:6" hidden="1" outlineLevel="1" collapsed="1" x14ac:dyDescent="0.25">
      <c r="A572" s="321" t="s">
        <v>282</v>
      </c>
      <c r="B572" s="321" t="s">
        <v>358</v>
      </c>
      <c r="C572" s="293">
        <v>87168.960000000006</v>
      </c>
      <c r="D572" s="293">
        <v>89956.851599999995</v>
      </c>
      <c r="E572" s="293">
        <v>2787.8915999999999</v>
      </c>
      <c r="F572" s="294" t="s">
        <v>562</v>
      </c>
    </row>
    <row r="573" spans="1:6" hidden="1" outlineLevel="1" collapsed="1" x14ac:dyDescent="0.25">
      <c r="A573" s="321" t="s">
        <v>282</v>
      </c>
      <c r="B573" s="321" t="s">
        <v>412</v>
      </c>
      <c r="C573" s="293">
        <v>7000</v>
      </c>
      <c r="D573" s="293">
        <v>7000</v>
      </c>
      <c r="E573" s="293">
        <v>0</v>
      </c>
      <c r="F573" s="294" t="s">
        <v>316</v>
      </c>
    </row>
    <row r="574" spans="1:6" hidden="1" outlineLevel="1" collapsed="1" x14ac:dyDescent="0.25">
      <c r="A574" s="321" t="s">
        <v>282</v>
      </c>
      <c r="B574" s="321" t="s">
        <v>441</v>
      </c>
      <c r="C574" s="293">
        <v>1141</v>
      </c>
      <c r="D574" s="293">
        <v>20800</v>
      </c>
      <c r="E574" s="293">
        <v>19659</v>
      </c>
      <c r="F574" s="294" t="s">
        <v>1972</v>
      </c>
    </row>
    <row r="575" spans="1:6" hidden="1" outlineLevel="1" collapsed="1" x14ac:dyDescent="0.25">
      <c r="A575" s="321" t="s">
        <v>282</v>
      </c>
      <c r="B575" s="321" t="s">
        <v>360</v>
      </c>
      <c r="C575" s="293">
        <v>11375.549279999999</v>
      </c>
      <c r="D575" s="293">
        <v>12980.77368</v>
      </c>
      <c r="E575" s="293">
        <v>1605.2244000000001</v>
      </c>
      <c r="F575" s="294" t="s">
        <v>563</v>
      </c>
    </row>
    <row r="576" spans="1:6" hidden="1" outlineLevel="1" collapsed="1" x14ac:dyDescent="0.25">
      <c r="A576" s="321" t="s">
        <v>282</v>
      </c>
      <c r="B576" s="321" t="s">
        <v>362</v>
      </c>
      <c r="C576" s="293">
        <v>1365.44992</v>
      </c>
      <c r="D576" s="293">
        <v>1405.8743400000001</v>
      </c>
      <c r="E576" s="293">
        <v>40.424419999999998</v>
      </c>
      <c r="F576" s="294" t="s">
        <v>564</v>
      </c>
    </row>
    <row r="577" spans="1:6" hidden="1" outlineLevel="1" collapsed="1" x14ac:dyDescent="0.25">
      <c r="A577" s="321" t="s">
        <v>282</v>
      </c>
      <c r="B577" s="321" t="s">
        <v>363</v>
      </c>
      <c r="C577" s="293">
        <v>426.12479999999999</v>
      </c>
      <c r="D577" s="293">
        <v>422.04</v>
      </c>
      <c r="E577" s="293">
        <v>-4.0848000000000004</v>
      </c>
      <c r="F577" s="294" t="s">
        <v>364</v>
      </c>
    </row>
    <row r="578" spans="1:6" hidden="1" outlineLevel="1" collapsed="1" x14ac:dyDescent="0.25">
      <c r="A578" s="321" t="s">
        <v>282</v>
      </c>
      <c r="B578" s="321" t="s">
        <v>365</v>
      </c>
      <c r="C578" s="293">
        <v>15358.56</v>
      </c>
      <c r="D578" s="293">
        <v>15959.28</v>
      </c>
      <c r="E578" s="293">
        <v>600.72</v>
      </c>
      <c r="F578" s="294" t="s">
        <v>366</v>
      </c>
    </row>
    <row r="579" spans="1:6" hidden="1" outlineLevel="1" collapsed="1" x14ac:dyDescent="0.25">
      <c r="A579" s="321" t="s">
        <v>282</v>
      </c>
      <c r="B579" s="321" t="s">
        <v>367</v>
      </c>
      <c r="C579" s="293">
        <v>233.53919999999999</v>
      </c>
      <c r="D579" s="293">
        <v>182.88</v>
      </c>
      <c r="E579" s="293">
        <v>-50.659199999999998</v>
      </c>
      <c r="F579" s="294" t="s">
        <v>368</v>
      </c>
    </row>
    <row r="580" spans="1:6" hidden="1" outlineLevel="1" collapsed="1" x14ac:dyDescent="0.25">
      <c r="A580" s="321" t="s">
        <v>282</v>
      </c>
      <c r="B580" s="321" t="s">
        <v>444</v>
      </c>
      <c r="C580" s="293">
        <v>72</v>
      </c>
      <c r="D580" s="293">
        <v>98</v>
      </c>
      <c r="E580" s="293">
        <v>26</v>
      </c>
      <c r="F580" s="294" t="s">
        <v>565</v>
      </c>
    </row>
    <row r="581" spans="1:6" hidden="1" outlineLevel="1" collapsed="1" x14ac:dyDescent="0.25">
      <c r="A581" s="321" t="s">
        <v>282</v>
      </c>
      <c r="B581" s="321" t="s">
        <v>369</v>
      </c>
      <c r="C581" s="293">
        <v>47.084479999999999</v>
      </c>
      <c r="D581" s="293">
        <v>48.47842</v>
      </c>
      <c r="E581" s="293">
        <v>1.39394</v>
      </c>
      <c r="F581" s="294" t="s">
        <v>564</v>
      </c>
    </row>
    <row r="582" spans="1:6" hidden="1" outlineLevel="1" collapsed="1" x14ac:dyDescent="0.25">
      <c r="A582" s="321" t="s">
        <v>282</v>
      </c>
      <c r="B582" s="321" t="s">
        <v>370</v>
      </c>
      <c r="C582" s="293">
        <v>1500</v>
      </c>
      <c r="D582" s="293">
        <v>1500</v>
      </c>
      <c r="E582" s="293">
        <v>0</v>
      </c>
      <c r="F582" s="294" t="s">
        <v>316</v>
      </c>
    </row>
    <row r="583" spans="1:6" hidden="1" outlineLevel="1" collapsed="1" x14ac:dyDescent="0.25">
      <c r="A583" s="321" t="s">
        <v>282</v>
      </c>
      <c r="B583" s="321" t="s">
        <v>371</v>
      </c>
      <c r="C583" s="293">
        <v>49.68</v>
      </c>
      <c r="D583" s="293">
        <v>48.48</v>
      </c>
      <c r="E583" s="293">
        <v>-1.2</v>
      </c>
      <c r="F583" s="294" t="s">
        <v>372</v>
      </c>
    </row>
    <row r="584" spans="1:6" hidden="1" outlineLevel="1" collapsed="1" x14ac:dyDescent="0.25">
      <c r="A584" s="321" t="s">
        <v>282</v>
      </c>
      <c r="B584" s="321" t="s">
        <v>373</v>
      </c>
      <c r="C584" s="293">
        <v>24</v>
      </c>
      <c r="D584" s="293">
        <v>11.04</v>
      </c>
      <c r="E584" s="293">
        <v>-12.96</v>
      </c>
      <c r="F584" s="294" t="s">
        <v>374</v>
      </c>
    </row>
    <row r="585" spans="1:6" hidden="1" outlineLevel="1" collapsed="1" x14ac:dyDescent="0.25">
      <c r="A585" s="321" t="s">
        <v>282</v>
      </c>
      <c r="B585" s="321" t="s">
        <v>376</v>
      </c>
      <c r="C585" s="293">
        <v>2233</v>
      </c>
      <c r="D585" s="293">
        <v>2794</v>
      </c>
      <c r="E585" s="293">
        <v>561</v>
      </c>
      <c r="F585" s="294" t="s">
        <v>566</v>
      </c>
    </row>
    <row r="586" spans="1:6" hidden="1" outlineLevel="1" collapsed="1" x14ac:dyDescent="0.25">
      <c r="A586" s="321" t="s">
        <v>282</v>
      </c>
      <c r="B586" s="321" t="s">
        <v>567</v>
      </c>
      <c r="C586" s="293">
        <v>500</v>
      </c>
      <c r="D586" s="293">
        <v>0</v>
      </c>
      <c r="E586" s="293">
        <v>-500</v>
      </c>
      <c r="F586" s="294" t="s">
        <v>286</v>
      </c>
    </row>
    <row r="587" spans="1:6" hidden="1" outlineLevel="1" collapsed="1" x14ac:dyDescent="0.25">
      <c r="A587" s="321" t="s">
        <v>282</v>
      </c>
      <c r="B587" s="321" t="s">
        <v>403</v>
      </c>
      <c r="C587" s="293">
        <v>638</v>
      </c>
      <c r="D587" s="293">
        <v>500</v>
      </c>
      <c r="E587" s="293">
        <v>-138</v>
      </c>
      <c r="F587" s="294" t="s">
        <v>568</v>
      </c>
    </row>
    <row r="588" spans="1:6" hidden="1" outlineLevel="1" collapsed="1" x14ac:dyDescent="0.25">
      <c r="A588" s="321" t="s">
        <v>282</v>
      </c>
      <c r="B588" s="321" t="s">
        <v>405</v>
      </c>
      <c r="C588" s="293">
        <v>190</v>
      </c>
      <c r="D588" s="293">
        <v>0</v>
      </c>
      <c r="E588" s="293">
        <v>-190</v>
      </c>
      <c r="F588" s="294" t="s">
        <v>286</v>
      </c>
    </row>
    <row r="589" spans="1:6" hidden="1" outlineLevel="1" collapsed="1" x14ac:dyDescent="0.25">
      <c r="A589" s="321" t="s">
        <v>282</v>
      </c>
      <c r="B589" s="321" t="s">
        <v>557</v>
      </c>
      <c r="C589" s="293">
        <v>0</v>
      </c>
      <c r="D589" s="293">
        <v>300</v>
      </c>
      <c r="E589" s="293">
        <v>300</v>
      </c>
      <c r="F589" s="294" t="s">
        <v>298</v>
      </c>
    </row>
    <row r="590" spans="1:6" hidden="1" outlineLevel="1" collapsed="1" x14ac:dyDescent="0.25">
      <c r="A590" s="321" t="s">
        <v>282</v>
      </c>
      <c r="B590" s="321" t="s">
        <v>422</v>
      </c>
      <c r="C590" s="293">
        <v>0</v>
      </c>
      <c r="D590" s="293">
        <v>6784</v>
      </c>
      <c r="E590" s="293">
        <v>6784</v>
      </c>
      <c r="F590" s="294" t="s">
        <v>298</v>
      </c>
    </row>
    <row r="591" spans="1:6" collapsed="1" x14ac:dyDescent="0.25">
      <c r="A591" s="560" t="s">
        <v>569</v>
      </c>
      <c r="B591" s="561"/>
      <c r="C591" s="292">
        <v>126111.58756</v>
      </c>
      <c r="D591" s="293">
        <v>131918.76230999999</v>
      </c>
      <c r="E591" s="293">
        <v>5807.1747500000001</v>
      </c>
      <c r="F591" s="294" t="s">
        <v>1786</v>
      </c>
    </row>
    <row r="592" spans="1:6" hidden="1" outlineLevel="1" collapsed="1" x14ac:dyDescent="0.25">
      <c r="A592" s="321" t="s">
        <v>282</v>
      </c>
      <c r="B592" s="321" t="s">
        <v>358</v>
      </c>
      <c r="C592" s="293">
        <v>88174.32</v>
      </c>
      <c r="D592" s="293">
        <v>91782.146399999998</v>
      </c>
      <c r="E592" s="293">
        <v>3607.8263999999999</v>
      </c>
      <c r="F592" s="294" t="s">
        <v>490</v>
      </c>
    </row>
    <row r="593" spans="1:6" hidden="1" outlineLevel="1" collapsed="1" x14ac:dyDescent="0.25">
      <c r="A593" s="321" t="s">
        <v>282</v>
      </c>
      <c r="B593" s="321" t="s">
        <v>360</v>
      </c>
      <c r="C593" s="293">
        <v>11506.74876</v>
      </c>
      <c r="D593" s="293">
        <v>13244.16372</v>
      </c>
      <c r="E593" s="293">
        <v>1737.4149600000001</v>
      </c>
      <c r="F593" s="294" t="s">
        <v>571</v>
      </c>
    </row>
    <row r="594" spans="1:6" hidden="1" outlineLevel="1" collapsed="1" x14ac:dyDescent="0.25">
      <c r="A594" s="321" t="s">
        <v>282</v>
      </c>
      <c r="B594" s="321" t="s">
        <v>362</v>
      </c>
      <c r="C594" s="293">
        <v>1278.52764</v>
      </c>
      <c r="D594" s="293">
        <v>1330.84112</v>
      </c>
      <c r="E594" s="293">
        <v>52.313479999999998</v>
      </c>
      <c r="F594" s="294" t="s">
        <v>490</v>
      </c>
    </row>
    <row r="595" spans="1:6" hidden="1" outlineLevel="1" collapsed="1" x14ac:dyDescent="0.25">
      <c r="A595" s="321" t="s">
        <v>282</v>
      </c>
      <c r="B595" s="321" t="s">
        <v>363</v>
      </c>
      <c r="C595" s="293">
        <v>426.12479999999999</v>
      </c>
      <c r="D595" s="293">
        <v>422.04</v>
      </c>
      <c r="E595" s="293">
        <v>-4.0848000000000004</v>
      </c>
      <c r="F595" s="294" t="s">
        <v>364</v>
      </c>
    </row>
    <row r="596" spans="1:6" hidden="1" outlineLevel="1" collapsed="1" x14ac:dyDescent="0.25">
      <c r="A596" s="321" t="s">
        <v>282</v>
      </c>
      <c r="B596" s="321" t="s">
        <v>365</v>
      </c>
      <c r="C596" s="293">
        <v>15358.56</v>
      </c>
      <c r="D596" s="293">
        <v>15959.28</v>
      </c>
      <c r="E596" s="293">
        <v>600.72</v>
      </c>
      <c r="F596" s="294" t="s">
        <v>366</v>
      </c>
    </row>
    <row r="597" spans="1:6" hidden="1" outlineLevel="1" collapsed="1" x14ac:dyDescent="0.25">
      <c r="A597" s="321" t="s">
        <v>282</v>
      </c>
      <c r="B597" s="321" t="s">
        <v>367</v>
      </c>
      <c r="C597" s="293">
        <v>233.53919999999999</v>
      </c>
      <c r="D597" s="293">
        <v>182.88</v>
      </c>
      <c r="E597" s="293">
        <v>-50.659199999999998</v>
      </c>
      <c r="F597" s="294" t="s">
        <v>368</v>
      </c>
    </row>
    <row r="598" spans="1:6" hidden="1" outlineLevel="1" collapsed="1" x14ac:dyDescent="0.25">
      <c r="A598" s="321" t="s">
        <v>282</v>
      </c>
      <c r="B598" s="321" t="s">
        <v>369</v>
      </c>
      <c r="C598" s="293">
        <v>44.087159999999997</v>
      </c>
      <c r="D598" s="293">
        <v>45.891069999999999</v>
      </c>
      <c r="E598" s="293">
        <v>1.8039099999999999</v>
      </c>
      <c r="F598" s="294" t="s">
        <v>490</v>
      </c>
    </row>
    <row r="599" spans="1:6" hidden="1" outlineLevel="1" collapsed="1" x14ac:dyDescent="0.25">
      <c r="A599" s="321" t="s">
        <v>282</v>
      </c>
      <c r="B599" s="321" t="s">
        <v>370</v>
      </c>
      <c r="C599" s="293">
        <v>1500</v>
      </c>
      <c r="D599" s="293">
        <v>1500</v>
      </c>
      <c r="E599" s="293">
        <v>0</v>
      </c>
      <c r="F599" s="294" t="s">
        <v>316</v>
      </c>
    </row>
    <row r="600" spans="1:6" hidden="1" outlineLevel="1" collapsed="1" x14ac:dyDescent="0.25">
      <c r="A600" s="321" t="s">
        <v>282</v>
      </c>
      <c r="B600" s="321" t="s">
        <v>371</v>
      </c>
      <c r="C600" s="293">
        <v>49.68</v>
      </c>
      <c r="D600" s="293">
        <v>48.48</v>
      </c>
      <c r="E600" s="293">
        <v>-1.2</v>
      </c>
      <c r="F600" s="294" t="s">
        <v>372</v>
      </c>
    </row>
    <row r="601" spans="1:6" hidden="1" outlineLevel="1" collapsed="1" x14ac:dyDescent="0.25">
      <c r="A601" s="321" t="s">
        <v>282</v>
      </c>
      <c r="B601" s="321" t="s">
        <v>373</v>
      </c>
      <c r="C601" s="293">
        <v>24</v>
      </c>
      <c r="D601" s="293">
        <v>11.04</v>
      </c>
      <c r="E601" s="293">
        <v>-12.96</v>
      </c>
      <c r="F601" s="294" t="s">
        <v>374</v>
      </c>
    </row>
    <row r="602" spans="1:6" hidden="1" outlineLevel="1" collapsed="1" x14ac:dyDescent="0.25">
      <c r="A602" s="321" t="s">
        <v>282</v>
      </c>
      <c r="B602" s="321" t="s">
        <v>375</v>
      </c>
      <c r="C602" s="293">
        <v>0</v>
      </c>
      <c r="D602" s="293">
        <v>376</v>
      </c>
      <c r="E602" s="293">
        <v>376</v>
      </c>
      <c r="F602" s="294" t="s">
        <v>298</v>
      </c>
    </row>
    <row r="603" spans="1:6" hidden="1" outlineLevel="1" collapsed="1" x14ac:dyDescent="0.25">
      <c r="A603" s="321" t="s">
        <v>282</v>
      </c>
      <c r="B603" s="321" t="s">
        <v>376</v>
      </c>
      <c r="C603" s="293">
        <v>1451</v>
      </c>
      <c r="D603" s="293">
        <v>3026</v>
      </c>
      <c r="E603" s="293">
        <v>1575</v>
      </c>
      <c r="F603" s="294" t="s">
        <v>572</v>
      </c>
    </row>
    <row r="604" spans="1:6" hidden="1" outlineLevel="1" collapsed="1" x14ac:dyDescent="0.25">
      <c r="A604" s="321" t="s">
        <v>282</v>
      </c>
      <c r="B604" s="321" t="s">
        <v>567</v>
      </c>
      <c r="C604" s="293">
        <v>235</v>
      </c>
      <c r="D604" s="293">
        <v>1000</v>
      </c>
      <c r="E604" s="293">
        <v>765</v>
      </c>
      <c r="F604" s="294" t="s">
        <v>573</v>
      </c>
    </row>
    <row r="605" spans="1:6" hidden="1" outlineLevel="1" collapsed="1" x14ac:dyDescent="0.25">
      <c r="A605" s="321" t="s">
        <v>282</v>
      </c>
      <c r="B605" s="321" t="s">
        <v>416</v>
      </c>
      <c r="C605" s="293">
        <v>3900</v>
      </c>
      <c r="D605" s="293">
        <v>825</v>
      </c>
      <c r="E605" s="293">
        <v>-3075</v>
      </c>
      <c r="F605" s="294" t="s">
        <v>574</v>
      </c>
    </row>
    <row r="606" spans="1:6" hidden="1" outlineLevel="1" collapsed="1" x14ac:dyDescent="0.25">
      <c r="A606" s="321" t="s">
        <v>282</v>
      </c>
      <c r="B606" s="321" t="s">
        <v>405</v>
      </c>
      <c r="C606" s="293">
        <v>930</v>
      </c>
      <c r="D606" s="293">
        <v>165</v>
      </c>
      <c r="E606" s="293">
        <v>-765</v>
      </c>
      <c r="F606" s="294" t="s">
        <v>575</v>
      </c>
    </row>
    <row r="607" spans="1:6" hidden="1" outlineLevel="1" collapsed="1" x14ac:dyDescent="0.25">
      <c r="A607" s="321" t="s">
        <v>282</v>
      </c>
      <c r="B607" s="321" t="s">
        <v>576</v>
      </c>
      <c r="C607" s="293">
        <v>1000</v>
      </c>
      <c r="D607" s="293">
        <v>2000</v>
      </c>
      <c r="E607" s="293">
        <v>1000</v>
      </c>
      <c r="F607" s="294" t="s">
        <v>298</v>
      </c>
    </row>
    <row r="608" spans="1:6" collapsed="1" x14ac:dyDescent="0.25">
      <c r="A608" s="560" t="s">
        <v>577</v>
      </c>
      <c r="B608" s="561"/>
      <c r="C608" s="292">
        <v>1900</v>
      </c>
      <c r="D608" s="293">
        <v>1900</v>
      </c>
      <c r="E608" s="293">
        <v>0</v>
      </c>
      <c r="F608" s="294" t="s">
        <v>316</v>
      </c>
    </row>
    <row r="609" spans="1:6" hidden="1" outlineLevel="1" collapsed="1" x14ac:dyDescent="0.25">
      <c r="A609" s="321" t="s">
        <v>282</v>
      </c>
      <c r="B609" s="321" t="s">
        <v>375</v>
      </c>
      <c r="C609" s="293">
        <v>950</v>
      </c>
      <c r="D609" s="293">
        <v>950</v>
      </c>
      <c r="E609" s="293">
        <v>0</v>
      </c>
      <c r="F609" s="294" t="s">
        <v>316</v>
      </c>
    </row>
    <row r="610" spans="1:6" hidden="1" outlineLevel="1" collapsed="1" x14ac:dyDescent="0.25">
      <c r="A610" s="321" t="s">
        <v>282</v>
      </c>
      <c r="B610" s="321" t="s">
        <v>376</v>
      </c>
      <c r="C610" s="293">
        <v>950</v>
      </c>
      <c r="D610" s="293">
        <v>950</v>
      </c>
      <c r="E610" s="293">
        <v>0</v>
      </c>
      <c r="F610" s="294" t="s">
        <v>316</v>
      </c>
    </row>
    <row r="611" spans="1:6" collapsed="1" x14ac:dyDescent="0.25">
      <c r="A611" s="560" t="s">
        <v>578</v>
      </c>
      <c r="B611" s="561"/>
      <c r="C611" s="292">
        <v>609224.21068000002</v>
      </c>
      <c r="D611" s="293">
        <v>634322.58773999999</v>
      </c>
      <c r="E611" s="293">
        <v>25098.377059999999</v>
      </c>
      <c r="F611" s="294" t="s">
        <v>579</v>
      </c>
    </row>
    <row r="612" spans="1:6" hidden="1" outlineLevel="1" collapsed="1" x14ac:dyDescent="0.25">
      <c r="A612" s="321" t="s">
        <v>282</v>
      </c>
      <c r="B612" s="321" t="s">
        <v>358</v>
      </c>
      <c r="C612" s="293">
        <v>448602.96</v>
      </c>
      <c r="D612" s="293">
        <v>462618.8112</v>
      </c>
      <c r="E612" s="293">
        <v>14015.851199999999</v>
      </c>
      <c r="F612" s="294" t="s">
        <v>580</v>
      </c>
    </row>
    <row r="613" spans="1:6" hidden="1" outlineLevel="1" collapsed="1" x14ac:dyDescent="0.25">
      <c r="A613" s="321" t="s">
        <v>282</v>
      </c>
      <c r="B613" s="321" t="s">
        <v>412</v>
      </c>
      <c r="C613" s="293">
        <v>7000</v>
      </c>
      <c r="D613" s="293">
        <v>7000</v>
      </c>
      <c r="E613" s="293">
        <v>0</v>
      </c>
      <c r="F613" s="294" t="s">
        <v>316</v>
      </c>
    </row>
    <row r="614" spans="1:6" hidden="1" outlineLevel="1" collapsed="1" x14ac:dyDescent="0.25">
      <c r="A614" s="321" t="s">
        <v>282</v>
      </c>
      <c r="B614" s="321" t="s">
        <v>360</v>
      </c>
      <c r="C614" s="293">
        <v>58542.686280000002</v>
      </c>
      <c r="D614" s="293">
        <v>66755.894419999997</v>
      </c>
      <c r="E614" s="293">
        <v>8213.2081400000006</v>
      </c>
      <c r="F614" s="294" t="s">
        <v>581</v>
      </c>
    </row>
    <row r="615" spans="1:6" hidden="1" outlineLevel="1" collapsed="1" x14ac:dyDescent="0.25">
      <c r="A615" s="321" t="s">
        <v>282</v>
      </c>
      <c r="B615" s="321" t="s">
        <v>362</v>
      </c>
      <c r="C615" s="293">
        <v>6606.2429199999997</v>
      </c>
      <c r="D615" s="293">
        <v>6809.4727400000002</v>
      </c>
      <c r="E615" s="293">
        <v>203.22981999999999</v>
      </c>
      <c r="F615" s="294" t="s">
        <v>582</v>
      </c>
    </row>
    <row r="616" spans="1:6" hidden="1" outlineLevel="1" collapsed="1" x14ac:dyDescent="0.25">
      <c r="A616" s="321" t="s">
        <v>282</v>
      </c>
      <c r="B616" s="321" t="s">
        <v>363</v>
      </c>
      <c r="C616" s="293">
        <v>2130.6239999999998</v>
      </c>
      <c r="D616" s="293">
        <v>2110.1999999999998</v>
      </c>
      <c r="E616" s="293">
        <v>-20.423999999999999</v>
      </c>
      <c r="F616" s="294" t="s">
        <v>364</v>
      </c>
    </row>
    <row r="617" spans="1:6" hidden="1" outlineLevel="1" collapsed="1" x14ac:dyDescent="0.25">
      <c r="A617" s="321" t="s">
        <v>282</v>
      </c>
      <c r="B617" s="321" t="s">
        <v>365</v>
      </c>
      <c r="C617" s="293">
        <v>76792.800000000003</v>
      </c>
      <c r="D617" s="293">
        <v>79796.399999999994</v>
      </c>
      <c r="E617" s="293">
        <v>3003.6</v>
      </c>
      <c r="F617" s="294" t="s">
        <v>366</v>
      </c>
    </row>
    <row r="618" spans="1:6" hidden="1" outlineLevel="1" collapsed="1" x14ac:dyDescent="0.25">
      <c r="A618" s="321" t="s">
        <v>282</v>
      </c>
      <c r="B618" s="321" t="s">
        <v>367</v>
      </c>
      <c r="C618" s="293">
        <v>1167.6959999999999</v>
      </c>
      <c r="D618" s="293">
        <v>914.4</v>
      </c>
      <c r="E618" s="293">
        <v>-253.29599999999999</v>
      </c>
      <c r="F618" s="294" t="s">
        <v>368</v>
      </c>
    </row>
    <row r="619" spans="1:6" hidden="1" outlineLevel="1" collapsed="1" x14ac:dyDescent="0.25">
      <c r="A619" s="321" t="s">
        <v>282</v>
      </c>
      <c r="B619" s="321" t="s">
        <v>369</v>
      </c>
      <c r="C619" s="293">
        <v>227.80148</v>
      </c>
      <c r="D619" s="293">
        <v>234.80938</v>
      </c>
      <c r="E619" s="293">
        <v>7.0079000000000002</v>
      </c>
      <c r="F619" s="294" t="s">
        <v>582</v>
      </c>
    </row>
    <row r="620" spans="1:6" hidden="1" outlineLevel="1" collapsed="1" x14ac:dyDescent="0.25">
      <c r="A620" s="321" t="s">
        <v>282</v>
      </c>
      <c r="B620" s="321" t="s">
        <v>370</v>
      </c>
      <c r="C620" s="293">
        <v>7500</v>
      </c>
      <c r="D620" s="293">
        <v>7500</v>
      </c>
      <c r="E620" s="293">
        <v>0</v>
      </c>
      <c r="F620" s="294" t="s">
        <v>316</v>
      </c>
    </row>
    <row r="621" spans="1:6" hidden="1" outlineLevel="1" collapsed="1" x14ac:dyDescent="0.25">
      <c r="A621" s="321" t="s">
        <v>282</v>
      </c>
      <c r="B621" s="321" t="s">
        <v>371</v>
      </c>
      <c r="C621" s="293">
        <v>248.4</v>
      </c>
      <c r="D621" s="293">
        <v>242.4</v>
      </c>
      <c r="E621" s="293">
        <v>-6</v>
      </c>
      <c r="F621" s="294" t="s">
        <v>372</v>
      </c>
    </row>
    <row r="622" spans="1:6" hidden="1" outlineLevel="1" collapsed="1" x14ac:dyDescent="0.25">
      <c r="A622" s="321" t="s">
        <v>282</v>
      </c>
      <c r="B622" s="321" t="s">
        <v>373</v>
      </c>
      <c r="C622" s="293">
        <v>120</v>
      </c>
      <c r="D622" s="293">
        <v>55.2</v>
      </c>
      <c r="E622" s="293">
        <v>-64.8</v>
      </c>
      <c r="F622" s="294" t="s">
        <v>374</v>
      </c>
    </row>
    <row r="623" spans="1:6" hidden="1" outlineLevel="1" collapsed="1" x14ac:dyDescent="0.25">
      <c r="A623" s="321" t="s">
        <v>282</v>
      </c>
      <c r="B623" s="321" t="s">
        <v>375</v>
      </c>
      <c r="C623" s="293">
        <v>140</v>
      </c>
      <c r="D623" s="293">
        <v>140</v>
      </c>
      <c r="E623" s="293">
        <v>0</v>
      </c>
      <c r="F623" s="294" t="s">
        <v>316</v>
      </c>
    </row>
    <row r="624" spans="1:6" hidden="1" outlineLevel="1" collapsed="1" x14ac:dyDescent="0.25">
      <c r="A624" s="321" t="s">
        <v>282</v>
      </c>
      <c r="B624" s="321" t="s">
        <v>496</v>
      </c>
      <c r="C624" s="293">
        <v>145</v>
      </c>
      <c r="D624" s="293">
        <v>145</v>
      </c>
      <c r="E624" s="293">
        <v>0</v>
      </c>
      <c r="F624" s="294" t="s">
        <v>316</v>
      </c>
    </row>
    <row r="625" spans="1:6" collapsed="1" x14ac:dyDescent="0.25">
      <c r="A625" s="560" t="s">
        <v>583</v>
      </c>
      <c r="B625" s="561"/>
      <c r="C625" s="292">
        <v>17912</v>
      </c>
      <c r="D625" s="293">
        <v>4714</v>
      </c>
      <c r="E625" s="293">
        <v>-13198</v>
      </c>
      <c r="F625" s="294" t="s">
        <v>584</v>
      </c>
    </row>
    <row r="626" spans="1:6" hidden="1" outlineLevel="1" collapsed="1" x14ac:dyDescent="0.25">
      <c r="A626" s="321" t="s">
        <v>282</v>
      </c>
      <c r="B626" s="321" t="s">
        <v>441</v>
      </c>
      <c r="C626" s="293">
        <v>11760</v>
      </c>
      <c r="D626" s="293">
        <v>0</v>
      </c>
      <c r="E626" s="293">
        <v>-11760</v>
      </c>
      <c r="F626" s="294" t="s">
        <v>286</v>
      </c>
    </row>
    <row r="627" spans="1:6" hidden="1" outlineLevel="1" collapsed="1" x14ac:dyDescent="0.25">
      <c r="A627" s="321" t="s">
        <v>282</v>
      </c>
      <c r="B627" s="321" t="s">
        <v>444</v>
      </c>
      <c r="C627" s="293">
        <v>1438</v>
      </c>
      <c r="D627" s="293">
        <v>0</v>
      </c>
      <c r="E627" s="293">
        <v>-1438</v>
      </c>
      <c r="F627" s="294" t="s">
        <v>286</v>
      </c>
    </row>
    <row r="628" spans="1:6" hidden="1" outlineLevel="1" collapsed="1" x14ac:dyDescent="0.25">
      <c r="A628" s="321" t="s">
        <v>282</v>
      </c>
      <c r="B628" s="321" t="s">
        <v>375</v>
      </c>
      <c r="C628" s="293">
        <v>328</v>
      </c>
      <c r="D628" s="293">
        <v>328</v>
      </c>
      <c r="E628" s="293">
        <v>0</v>
      </c>
      <c r="F628" s="294" t="s">
        <v>316</v>
      </c>
    </row>
    <row r="629" spans="1:6" hidden="1" outlineLevel="1" collapsed="1" x14ac:dyDescent="0.25">
      <c r="A629" s="321" t="s">
        <v>282</v>
      </c>
      <c r="B629" s="321" t="s">
        <v>376</v>
      </c>
      <c r="C629" s="293">
        <v>525</v>
      </c>
      <c r="D629" s="293">
        <v>355</v>
      </c>
      <c r="E629" s="293">
        <v>-170</v>
      </c>
      <c r="F629" s="294" t="s">
        <v>1973</v>
      </c>
    </row>
    <row r="630" spans="1:6" hidden="1" outlineLevel="1" collapsed="1" x14ac:dyDescent="0.25">
      <c r="A630" s="321" t="s">
        <v>282</v>
      </c>
      <c r="B630" s="321" t="s">
        <v>426</v>
      </c>
      <c r="C630" s="293">
        <v>200</v>
      </c>
      <c r="D630" s="293">
        <v>200</v>
      </c>
      <c r="E630" s="293">
        <v>0</v>
      </c>
      <c r="F630" s="294" t="s">
        <v>316</v>
      </c>
    </row>
    <row r="631" spans="1:6" hidden="1" outlineLevel="1" collapsed="1" x14ac:dyDescent="0.25">
      <c r="A631" s="321" t="s">
        <v>282</v>
      </c>
      <c r="B631" s="321" t="s">
        <v>405</v>
      </c>
      <c r="C631" s="293">
        <v>3661</v>
      </c>
      <c r="D631" s="293">
        <v>3661</v>
      </c>
      <c r="E631" s="293">
        <v>0</v>
      </c>
      <c r="F631" s="294" t="s">
        <v>316</v>
      </c>
    </row>
    <row r="632" spans="1:6" hidden="1" outlineLevel="1" collapsed="1" x14ac:dyDescent="0.25">
      <c r="A632" s="321" t="s">
        <v>282</v>
      </c>
      <c r="B632" s="321" t="s">
        <v>557</v>
      </c>
      <c r="C632" s="293">
        <v>0</v>
      </c>
      <c r="D632" s="293">
        <v>170</v>
      </c>
      <c r="E632" s="293">
        <v>170</v>
      </c>
      <c r="F632" s="294" t="s">
        <v>298</v>
      </c>
    </row>
    <row r="633" spans="1:6" collapsed="1" x14ac:dyDescent="0.25">
      <c r="A633" s="560" t="s">
        <v>585</v>
      </c>
      <c r="B633" s="561"/>
      <c r="C633" s="292">
        <v>1108896.1751920001</v>
      </c>
      <c r="D633" s="293">
        <v>1303311.3107149999</v>
      </c>
      <c r="E633" s="293">
        <v>194415.135523</v>
      </c>
      <c r="F633" s="294" t="s">
        <v>1974</v>
      </c>
    </row>
    <row r="634" spans="1:6" hidden="1" outlineLevel="1" collapsed="1" x14ac:dyDescent="0.25">
      <c r="A634" s="321" t="s">
        <v>282</v>
      </c>
      <c r="B634" s="321" t="s">
        <v>358</v>
      </c>
      <c r="C634" s="293">
        <v>746028.27998800005</v>
      </c>
      <c r="D634" s="293">
        <v>967662.07270799996</v>
      </c>
      <c r="E634" s="293">
        <v>221633.79272</v>
      </c>
      <c r="F634" s="294" t="s">
        <v>1975</v>
      </c>
    </row>
    <row r="635" spans="1:6" hidden="1" outlineLevel="1" collapsed="1" x14ac:dyDescent="0.25">
      <c r="A635" s="321" t="s">
        <v>282</v>
      </c>
      <c r="B635" s="321" t="s">
        <v>488</v>
      </c>
      <c r="C635" s="293">
        <v>3500</v>
      </c>
      <c r="D635" s="293">
        <v>0</v>
      </c>
      <c r="E635" s="293">
        <v>-3500</v>
      </c>
      <c r="F635" s="294" t="s">
        <v>286</v>
      </c>
    </row>
    <row r="636" spans="1:6" hidden="1" outlineLevel="1" collapsed="1" x14ac:dyDescent="0.25">
      <c r="A636" s="321" t="s">
        <v>282</v>
      </c>
      <c r="B636" s="321" t="s">
        <v>588</v>
      </c>
      <c r="C636" s="293">
        <v>2200</v>
      </c>
      <c r="D636" s="293">
        <v>0</v>
      </c>
      <c r="E636" s="293">
        <v>-2200</v>
      </c>
      <c r="F636" s="294" t="s">
        <v>286</v>
      </c>
    </row>
    <row r="637" spans="1:6" hidden="1" outlineLevel="1" collapsed="1" x14ac:dyDescent="0.25">
      <c r="A637" s="321" t="s">
        <v>282</v>
      </c>
      <c r="B637" s="321" t="s">
        <v>360</v>
      </c>
      <c r="C637" s="293">
        <v>137421.85802799999</v>
      </c>
      <c r="D637" s="293">
        <v>139633.63703099999</v>
      </c>
      <c r="E637" s="293">
        <v>2211.7790030000001</v>
      </c>
      <c r="F637" s="294" t="s">
        <v>1976</v>
      </c>
    </row>
    <row r="638" spans="1:6" hidden="1" outlineLevel="1" collapsed="1" x14ac:dyDescent="0.25">
      <c r="A638" s="321" t="s">
        <v>282</v>
      </c>
      <c r="B638" s="321" t="s">
        <v>362</v>
      </c>
      <c r="C638" s="293">
        <v>15272.317548000001</v>
      </c>
      <c r="D638" s="293">
        <v>14031.099987</v>
      </c>
      <c r="E638" s="293">
        <v>-1241.2175609999999</v>
      </c>
      <c r="F638" s="294" t="s">
        <v>1977</v>
      </c>
    </row>
    <row r="639" spans="1:6" hidden="1" outlineLevel="1" collapsed="1" x14ac:dyDescent="0.25">
      <c r="A639" s="321" t="s">
        <v>282</v>
      </c>
      <c r="B639" s="321" t="s">
        <v>363</v>
      </c>
      <c r="C639" s="293">
        <v>5468.6016</v>
      </c>
      <c r="D639" s="293">
        <v>4677.6099999999997</v>
      </c>
      <c r="E639" s="293">
        <v>-790.99159999999995</v>
      </c>
      <c r="F639" s="294" t="s">
        <v>1978</v>
      </c>
    </row>
    <row r="640" spans="1:6" hidden="1" outlineLevel="1" collapsed="1" x14ac:dyDescent="0.25">
      <c r="A640" s="321" t="s">
        <v>282</v>
      </c>
      <c r="B640" s="321" t="s">
        <v>365</v>
      </c>
      <c r="C640" s="293">
        <v>151025.84</v>
      </c>
      <c r="D640" s="293">
        <v>144963.46</v>
      </c>
      <c r="E640" s="293">
        <v>-6062.38</v>
      </c>
      <c r="F640" s="294" t="s">
        <v>1979</v>
      </c>
    </row>
    <row r="641" spans="1:6" hidden="1" outlineLevel="1" collapsed="1" x14ac:dyDescent="0.25">
      <c r="A641" s="321" t="s">
        <v>282</v>
      </c>
      <c r="B641" s="321" t="s">
        <v>367</v>
      </c>
      <c r="C641" s="293">
        <v>2997.0864000000001</v>
      </c>
      <c r="D641" s="293">
        <v>2026.92</v>
      </c>
      <c r="E641" s="293">
        <v>-970.16639999999995</v>
      </c>
      <c r="F641" s="294" t="s">
        <v>1980</v>
      </c>
    </row>
    <row r="642" spans="1:6" hidden="1" outlineLevel="1" collapsed="1" x14ac:dyDescent="0.25">
      <c r="A642" s="321" t="s">
        <v>282</v>
      </c>
      <c r="B642" s="321" t="s">
        <v>444</v>
      </c>
      <c r="C642" s="293">
        <v>200</v>
      </c>
      <c r="D642" s="293">
        <v>0</v>
      </c>
      <c r="E642" s="293">
        <v>-200</v>
      </c>
      <c r="F642" s="294" t="s">
        <v>286</v>
      </c>
    </row>
    <row r="643" spans="1:6" hidden="1" outlineLevel="1" collapsed="1" x14ac:dyDescent="0.25">
      <c r="A643" s="321" t="s">
        <v>282</v>
      </c>
      <c r="B643" s="321" t="s">
        <v>369</v>
      </c>
      <c r="C643" s="293">
        <v>526.63162799999998</v>
      </c>
      <c r="D643" s="293">
        <v>483.83098899999999</v>
      </c>
      <c r="E643" s="293">
        <v>-42.800638999999997</v>
      </c>
      <c r="F643" s="294" t="s">
        <v>1977</v>
      </c>
    </row>
    <row r="644" spans="1:6" hidden="1" outlineLevel="1" collapsed="1" x14ac:dyDescent="0.25">
      <c r="A644" s="321" t="s">
        <v>282</v>
      </c>
      <c r="B644" s="321" t="s">
        <v>370</v>
      </c>
      <c r="C644" s="293">
        <v>19250</v>
      </c>
      <c r="D644" s="293">
        <v>16625</v>
      </c>
      <c r="E644" s="293">
        <v>-2625</v>
      </c>
      <c r="F644" s="294" t="s">
        <v>1981</v>
      </c>
    </row>
    <row r="645" spans="1:6" hidden="1" outlineLevel="1" collapsed="1" x14ac:dyDescent="0.25">
      <c r="A645" s="321" t="s">
        <v>282</v>
      </c>
      <c r="B645" s="321" t="s">
        <v>371</v>
      </c>
      <c r="C645" s="293">
        <v>637.55999999999995</v>
      </c>
      <c r="D645" s="293">
        <v>537.32000000000005</v>
      </c>
      <c r="E645" s="293">
        <v>-100.24</v>
      </c>
      <c r="F645" s="294" t="s">
        <v>1982</v>
      </c>
    </row>
    <row r="646" spans="1:6" hidden="1" outlineLevel="1" collapsed="1" x14ac:dyDescent="0.25">
      <c r="A646" s="321" t="s">
        <v>282</v>
      </c>
      <c r="B646" s="321" t="s">
        <v>373</v>
      </c>
      <c r="C646" s="293">
        <v>308</v>
      </c>
      <c r="D646" s="293">
        <v>122.36</v>
      </c>
      <c r="E646" s="293">
        <v>-185.64</v>
      </c>
      <c r="F646" s="294" t="s">
        <v>1983</v>
      </c>
    </row>
    <row r="647" spans="1:6" hidden="1" outlineLevel="1" collapsed="1" x14ac:dyDescent="0.25">
      <c r="A647" s="321" t="s">
        <v>282</v>
      </c>
      <c r="B647" s="321" t="s">
        <v>445</v>
      </c>
      <c r="C647" s="293">
        <v>9000</v>
      </c>
      <c r="D647" s="293">
        <v>6000</v>
      </c>
      <c r="E647" s="293">
        <v>-3000</v>
      </c>
      <c r="F647" s="294" t="s">
        <v>858</v>
      </c>
    </row>
    <row r="648" spans="1:6" hidden="1" outlineLevel="1" collapsed="1" x14ac:dyDescent="0.25">
      <c r="A648" s="321" t="s">
        <v>282</v>
      </c>
      <c r="B648" s="321" t="s">
        <v>375</v>
      </c>
      <c r="C648" s="293">
        <v>0</v>
      </c>
      <c r="D648" s="293">
        <v>753</v>
      </c>
      <c r="E648" s="293">
        <v>753</v>
      </c>
      <c r="F648" s="294" t="s">
        <v>298</v>
      </c>
    </row>
    <row r="649" spans="1:6" hidden="1" outlineLevel="1" collapsed="1" x14ac:dyDescent="0.25">
      <c r="A649" s="321" t="s">
        <v>282</v>
      </c>
      <c r="B649" s="321" t="s">
        <v>597</v>
      </c>
      <c r="C649" s="293">
        <v>2335</v>
      </c>
      <c r="D649" s="293">
        <v>4890</v>
      </c>
      <c r="E649" s="293">
        <v>2555</v>
      </c>
      <c r="F649" s="294" t="s">
        <v>598</v>
      </c>
    </row>
    <row r="650" spans="1:6" hidden="1" outlineLevel="1" collapsed="1" x14ac:dyDescent="0.25">
      <c r="A650" s="321" t="s">
        <v>282</v>
      </c>
      <c r="B650" s="321" t="s">
        <v>405</v>
      </c>
      <c r="C650" s="293">
        <v>12725</v>
      </c>
      <c r="D650" s="293">
        <v>170</v>
      </c>
      <c r="E650" s="293">
        <v>-12555</v>
      </c>
      <c r="F650" s="294" t="s">
        <v>599</v>
      </c>
    </row>
    <row r="651" spans="1:6" hidden="1" outlineLevel="1" collapsed="1" x14ac:dyDescent="0.25">
      <c r="A651" s="321" t="s">
        <v>282</v>
      </c>
      <c r="B651" s="321" t="s">
        <v>422</v>
      </c>
      <c r="C651" s="293">
        <v>0</v>
      </c>
      <c r="D651" s="293">
        <v>735</v>
      </c>
      <c r="E651" s="293">
        <v>735</v>
      </c>
      <c r="F651" s="294" t="s">
        <v>298</v>
      </c>
    </row>
    <row r="652" spans="1:6" collapsed="1" x14ac:dyDescent="0.25">
      <c r="A652" s="560" t="s">
        <v>600</v>
      </c>
      <c r="B652" s="561"/>
      <c r="C652" s="292">
        <v>493855.06027999998</v>
      </c>
      <c r="D652" s="293">
        <v>512081.75092999998</v>
      </c>
      <c r="E652" s="293">
        <v>18226.69065</v>
      </c>
      <c r="F652" s="294" t="s">
        <v>1984</v>
      </c>
    </row>
    <row r="653" spans="1:6" hidden="1" outlineLevel="1" collapsed="1" x14ac:dyDescent="0.25">
      <c r="A653" s="321" t="s">
        <v>282</v>
      </c>
      <c r="B653" s="321" t="s">
        <v>358</v>
      </c>
      <c r="C653" s="293">
        <v>365342.16</v>
      </c>
      <c r="D653" s="293">
        <v>376183.19760000001</v>
      </c>
      <c r="E653" s="293">
        <v>10841.0376</v>
      </c>
      <c r="F653" s="294" t="s">
        <v>553</v>
      </c>
    </row>
    <row r="654" spans="1:6" hidden="1" outlineLevel="1" collapsed="1" x14ac:dyDescent="0.25">
      <c r="A654" s="321" t="s">
        <v>282</v>
      </c>
      <c r="B654" s="321" t="s">
        <v>360</v>
      </c>
      <c r="C654" s="293">
        <v>47677.151879999998</v>
      </c>
      <c r="D654" s="293">
        <v>54283.235399999998</v>
      </c>
      <c r="E654" s="293">
        <v>6606.0835200000001</v>
      </c>
      <c r="F654" s="294" t="s">
        <v>602</v>
      </c>
    </row>
    <row r="655" spans="1:6" hidden="1" outlineLevel="1" collapsed="1" x14ac:dyDescent="0.25">
      <c r="A655" s="321" t="s">
        <v>282</v>
      </c>
      <c r="B655" s="321" t="s">
        <v>362</v>
      </c>
      <c r="C655" s="293">
        <v>5297.4613200000003</v>
      </c>
      <c r="D655" s="293">
        <v>5454.6563500000002</v>
      </c>
      <c r="E655" s="293">
        <v>157.19503</v>
      </c>
      <c r="F655" s="294" t="s">
        <v>553</v>
      </c>
    </row>
    <row r="656" spans="1:6" hidden="1" outlineLevel="1" collapsed="1" x14ac:dyDescent="0.25">
      <c r="A656" s="321" t="s">
        <v>282</v>
      </c>
      <c r="B656" s="321" t="s">
        <v>363</v>
      </c>
      <c r="C656" s="293">
        <v>1704.4992</v>
      </c>
      <c r="D656" s="293">
        <v>1652.99</v>
      </c>
      <c r="E656" s="293">
        <v>-51.5092</v>
      </c>
      <c r="F656" s="294" t="s">
        <v>1985</v>
      </c>
    </row>
    <row r="657" spans="1:6" hidden="1" outlineLevel="1" collapsed="1" x14ac:dyDescent="0.25">
      <c r="A657" s="321" t="s">
        <v>282</v>
      </c>
      <c r="B657" s="321" t="s">
        <v>365</v>
      </c>
      <c r="C657" s="293">
        <v>61434.239999999998</v>
      </c>
      <c r="D657" s="293">
        <v>62507.18</v>
      </c>
      <c r="E657" s="293">
        <v>1072.94</v>
      </c>
      <c r="F657" s="294" t="s">
        <v>1742</v>
      </c>
    </row>
    <row r="658" spans="1:6" hidden="1" outlineLevel="1" collapsed="1" x14ac:dyDescent="0.25">
      <c r="A658" s="321" t="s">
        <v>282</v>
      </c>
      <c r="B658" s="321" t="s">
        <v>367</v>
      </c>
      <c r="C658" s="293">
        <v>934.15679999999998</v>
      </c>
      <c r="D658" s="293">
        <v>716.28</v>
      </c>
      <c r="E658" s="293">
        <v>-217.8768</v>
      </c>
      <c r="F658" s="294" t="s">
        <v>1986</v>
      </c>
    </row>
    <row r="659" spans="1:6" hidden="1" outlineLevel="1" collapsed="1" x14ac:dyDescent="0.25">
      <c r="A659" s="321" t="s">
        <v>282</v>
      </c>
      <c r="B659" s="321" t="s">
        <v>369</v>
      </c>
      <c r="C659" s="293">
        <v>182.67107999999999</v>
      </c>
      <c r="D659" s="293">
        <v>188.09157999999999</v>
      </c>
      <c r="E659" s="293">
        <v>5.4204999999999997</v>
      </c>
      <c r="F659" s="294" t="s">
        <v>553</v>
      </c>
    </row>
    <row r="660" spans="1:6" hidden="1" outlineLevel="1" collapsed="1" x14ac:dyDescent="0.25">
      <c r="A660" s="321" t="s">
        <v>282</v>
      </c>
      <c r="B660" s="321" t="s">
        <v>370</v>
      </c>
      <c r="C660" s="293">
        <v>6000</v>
      </c>
      <c r="D660" s="293">
        <v>5875</v>
      </c>
      <c r="E660" s="293">
        <v>-125</v>
      </c>
      <c r="F660" s="294" t="s">
        <v>1987</v>
      </c>
    </row>
    <row r="661" spans="1:6" hidden="1" outlineLevel="1" collapsed="1" x14ac:dyDescent="0.25">
      <c r="A661" s="321" t="s">
        <v>282</v>
      </c>
      <c r="B661" s="321" t="s">
        <v>371</v>
      </c>
      <c r="C661" s="293">
        <v>198.72</v>
      </c>
      <c r="D661" s="293">
        <v>189.88</v>
      </c>
      <c r="E661" s="293">
        <v>-8.84</v>
      </c>
      <c r="F661" s="294" t="s">
        <v>1988</v>
      </c>
    </row>
    <row r="662" spans="1:6" hidden="1" outlineLevel="1" collapsed="1" x14ac:dyDescent="0.25">
      <c r="A662" s="321" t="s">
        <v>282</v>
      </c>
      <c r="B662" s="321" t="s">
        <v>373</v>
      </c>
      <c r="C662" s="293">
        <v>96</v>
      </c>
      <c r="D662" s="293">
        <v>43.24</v>
      </c>
      <c r="E662" s="293">
        <v>-52.76</v>
      </c>
      <c r="F662" s="294" t="s">
        <v>1989</v>
      </c>
    </row>
    <row r="663" spans="1:6" hidden="1" outlineLevel="1" collapsed="1" x14ac:dyDescent="0.25">
      <c r="A663" s="321" t="s">
        <v>282</v>
      </c>
      <c r="B663" s="321" t="s">
        <v>426</v>
      </c>
      <c r="C663" s="293">
        <v>150</v>
      </c>
      <c r="D663" s="293">
        <v>150</v>
      </c>
      <c r="E663" s="293">
        <v>0</v>
      </c>
      <c r="F663" s="294" t="s">
        <v>316</v>
      </c>
    </row>
    <row r="664" spans="1:6" hidden="1" outlineLevel="1" collapsed="1" x14ac:dyDescent="0.25">
      <c r="A664" s="321" t="s">
        <v>282</v>
      </c>
      <c r="B664" s="321" t="s">
        <v>482</v>
      </c>
      <c r="C664" s="293">
        <v>4688</v>
      </c>
      <c r="D664" s="293">
        <v>4688</v>
      </c>
      <c r="E664" s="293">
        <v>0</v>
      </c>
      <c r="F664" s="294" t="s">
        <v>316</v>
      </c>
    </row>
    <row r="665" spans="1:6" hidden="1" outlineLevel="1" collapsed="1" x14ac:dyDescent="0.25">
      <c r="A665" s="321" t="s">
        <v>282</v>
      </c>
      <c r="B665" s="321" t="s">
        <v>405</v>
      </c>
      <c r="C665" s="293">
        <v>150</v>
      </c>
      <c r="D665" s="293">
        <v>150</v>
      </c>
      <c r="E665" s="293">
        <v>0</v>
      </c>
      <c r="F665" s="294" t="s">
        <v>316</v>
      </c>
    </row>
    <row r="666" spans="1:6" collapsed="1" x14ac:dyDescent="0.25">
      <c r="A666" s="560" t="s">
        <v>603</v>
      </c>
      <c r="B666" s="561"/>
      <c r="C666" s="292">
        <v>4339</v>
      </c>
      <c r="D666" s="293">
        <v>4556</v>
      </c>
      <c r="E666" s="293">
        <v>217</v>
      </c>
      <c r="F666" s="294" t="s">
        <v>732</v>
      </c>
    </row>
    <row r="667" spans="1:6" hidden="1" outlineLevel="1" collapsed="1" x14ac:dyDescent="0.25">
      <c r="A667" s="321" t="s">
        <v>282</v>
      </c>
      <c r="B667" s="321" t="s">
        <v>375</v>
      </c>
      <c r="C667" s="293">
        <v>0</v>
      </c>
      <c r="D667" s="293">
        <v>217</v>
      </c>
      <c r="E667" s="293">
        <v>217</v>
      </c>
      <c r="F667" s="294" t="s">
        <v>298</v>
      </c>
    </row>
    <row r="668" spans="1:6" hidden="1" outlineLevel="1" collapsed="1" x14ac:dyDescent="0.25">
      <c r="A668" s="321" t="s">
        <v>282</v>
      </c>
      <c r="B668" s="321" t="s">
        <v>376</v>
      </c>
      <c r="C668" s="293">
        <v>2502</v>
      </c>
      <c r="D668" s="293">
        <v>2502</v>
      </c>
      <c r="E668" s="293">
        <v>0</v>
      </c>
      <c r="F668" s="294" t="s">
        <v>316</v>
      </c>
    </row>
    <row r="669" spans="1:6" hidden="1" outlineLevel="1" collapsed="1" x14ac:dyDescent="0.25">
      <c r="A669" s="321" t="s">
        <v>282</v>
      </c>
      <c r="B669" s="321" t="s">
        <v>604</v>
      </c>
      <c r="C669" s="293">
        <v>367</v>
      </c>
      <c r="D669" s="293">
        <v>367</v>
      </c>
      <c r="E669" s="293">
        <v>0</v>
      </c>
      <c r="F669" s="294" t="s">
        <v>316</v>
      </c>
    </row>
    <row r="670" spans="1:6" hidden="1" outlineLevel="1" collapsed="1" x14ac:dyDescent="0.25">
      <c r="A670" s="321" t="s">
        <v>282</v>
      </c>
      <c r="B670" s="321" t="s">
        <v>483</v>
      </c>
      <c r="C670" s="293">
        <v>1470</v>
      </c>
      <c r="D670" s="293">
        <v>1470</v>
      </c>
      <c r="E670" s="293">
        <v>0</v>
      </c>
      <c r="F670" s="294" t="s">
        <v>316</v>
      </c>
    </row>
    <row r="671" spans="1:6" collapsed="1" x14ac:dyDescent="0.25">
      <c r="A671" s="560" t="s">
        <v>605</v>
      </c>
      <c r="B671" s="561"/>
      <c r="C671" s="292">
        <v>365574.83616000001</v>
      </c>
      <c r="D671" s="293">
        <v>377171.16917000001</v>
      </c>
      <c r="E671" s="293">
        <v>11596.33301</v>
      </c>
      <c r="F671" s="294" t="s">
        <v>606</v>
      </c>
    </row>
    <row r="672" spans="1:6" hidden="1" outlineLevel="1" collapsed="1" x14ac:dyDescent="0.25">
      <c r="A672" s="321" t="s">
        <v>282</v>
      </c>
      <c r="B672" s="321" t="s">
        <v>358</v>
      </c>
      <c r="C672" s="293">
        <v>267227.52000000002</v>
      </c>
      <c r="D672" s="293">
        <v>272673.1728</v>
      </c>
      <c r="E672" s="293">
        <v>5445.6527999999998</v>
      </c>
      <c r="F672" s="294" t="s">
        <v>607</v>
      </c>
    </row>
    <row r="673" spans="1:6" hidden="1" outlineLevel="1" collapsed="1" x14ac:dyDescent="0.25">
      <c r="A673" s="321" t="s">
        <v>282</v>
      </c>
      <c r="B673" s="321" t="s">
        <v>412</v>
      </c>
      <c r="C673" s="293">
        <v>6000</v>
      </c>
      <c r="D673" s="293">
        <v>6000</v>
      </c>
      <c r="E673" s="293">
        <v>0</v>
      </c>
      <c r="F673" s="294" t="s">
        <v>316</v>
      </c>
    </row>
    <row r="674" spans="1:6" hidden="1" outlineLevel="1" collapsed="1" x14ac:dyDescent="0.25">
      <c r="A674" s="321" t="s">
        <v>282</v>
      </c>
      <c r="B674" s="321" t="s">
        <v>360</v>
      </c>
      <c r="C674" s="293">
        <v>34873.191359999997</v>
      </c>
      <c r="D674" s="293">
        <v>39346.738819999999</v>
      </c>
      <c r="E674" s="293">
        <v>4473.5474599999998</v>
      </c>
      <c r="F674" s="294" t="s">
        <v>608</v>
      </c>
    </row>
    <row r="675" spans="1:6" hidden="1" outlineLevel="1" collapsed="1" x14ac:dyDescent="0.25">
      <c r="A675" s="321" t="s">
        <v>282</v>
      </c>
      <c r="B675" s="321" t="s">
        <v>362</v>
      </c>
      <c r="C675" s="293">
        <v>3961.7990399999999</v>
      </c>
      <c r="D675" s="293">
        <v>4040.7609900000002</v>
      </c>
      <c r="E675" s="293">
        <v>78.961950000000002</v>
      </c>
      <c r="F675" s="294" t="s">
        <v>609</v>
      </c>
    </row>
    <row r="676" spans="1:6" hidden="1" outlineLevel="1" collapsed="1" x14ac:dyDescent="0.25">
      <c r="A676" s="321" t="s">
        <v>282</v>
      </c>
      <c r="B676" s="321" t="s">
        <v>363</v>
      </c>
      <c r="C676" s="293">
        <v>1278.3743999999999</v>
      </c>
      <c r="D676" s="293">
        <v>1266.1199999999999</v>
      </c>
      <c r="E676" s="293">
        <v>-12.2544</v>
      </c>
      <c r="F676" s="294" t="s">
        <v>364</v>
      </c>
    </row>
    <row r="677" spans="1:6" hidden="1" outlineLevel="1" collapsed="1" x14ac:dyDescent="0.25">
      <c r="A677" s="321" t="s">
        <v>282</v>
      </c>
      <c r="B677" s="321" t="s">
        <v>365</v>
      </c>
      <c r="C677" s="293">
        <v>46075.68</v>
      </c>
      <c r="D677" s="293">
        <v>47877.84</v>
      </c>
      <c r="E677" s="293">
        <v>1802.16</v>
      </c>
      <c r="F677" s="294" t="s">
        <v>366</v>
      </c>
    </row>
    <row r="678" spans="1:6" hidden="1" outlineLevel="1" collapsed="1" x14ac:dyDescent="0.25">
      <c r="A678" s="321" t="s">
        <v>282</v>
      </c>
      <c r="B678" s="321" t="s">
        <v>367</v>
      </c>
      <c r="C678" s="293">
        <v>700.61760000000004</v>
      </c>
      <c r="D678" s="293">
        <v>548.64</v>
      </c>
      <c r="E678" s="293">
        <v>-151.9776</v>
      </c>
      <c r="F678" s="294" t="s">
        <v>368</v>
      </c>
    </row>
    <row r="679" spans="1:6" hidden="1" outlineLevel="1" collapsed="1" x14ac:dyDescent="0.25">
      <c r="A679" s="321" t="s">
        <v>282</v>
      </c>
      <c r="B679" s="321" t="s">
        <v>369</v>
      </c>
      <c r="C679" s="293">
        <v>136.61376000000001</v>
      </c>
      <c r="D679" s="293">
        <v>139.33655999999999</v>
      </c>
      <c r="E679" s="293">
        <v>2.7227999999999999</v>
      </c>
      <c r="F679" s="294" t="s">
        <v>609</v>
      </c>
    </row>
    <row r="680" spans="1:6" hidden="1" outlineLevel="1" collapsed="1" x14ac:dyDescent="0.25">
      <c r="A680" s="321" t="s">
        <v>282</v>
      </c>
      <c r="B680" s="321" t="s">
        <v>370</v>
      </c>
      <c r="C680" s="293">
        <v>4500</v>
      </c>
      <c r="D680" s="293">
        <v>4500</v>
      </c>
      <c r="E680" s="293">
        <v>0</v>
      </c>
      <c r="F680" s="294" t="s">
        <v>316</v>
      </c>
    </row>
    <row r="681" spans="1:6" hidden="1" outlineLevel="1" collapsed="1" x14ac:dyDescent="0.25">
      <c r="A681" s="321" t="s">
        <v>282</v>
      </c>
      <c r="B681" s="321" t="s">
        <v>371</v>
      </c>
      <c r="C681" s="293">
        <v>149.04</v>
      </c>
      <c r="D681" s="293">
        <v>145.44</v>
      </c>
      <c r="E681" s="293">
        <v>-3.6</v>
      </c>
      <c r="F681" s="294" t="s">
        <v>372</v>
      </c>
    </row>
    <row r="682" spans="1:6" hidden="1" outlineLevel="1" collapsed="1" x14ac:dyDescent="0.25">
      <c r="A682" s="321" t="s">
        <v>282</v>
      </c>
      <c r="B682" s="321" t="s">
        <v>373</v>
      </c>
      <c r="C682" s="293">
        <v>72</v>
      </c>
      <c r="D682" s="293">
        <v>33.119999999999997</v>
      </c>
      <c r="E682" s="293">
        <v>-38.880000000000003</v>
      </c>
      <c r="F682" s="294" t="s">
        <v>374</v>
      </c>
    </row>
    <row r="683" spans="1:6" hidden="1" outlineLevel="1" collapsed="1" x14ac:dyDescent="0.25">
      <c r="A683" s="321" t="s">
        <v>282</v>
      </c>
      <c r="B683" s="321" t="s">
        <v>505</v>
      </c>
      <c r="C683" s="293">
        <v>60</v>
      </c>
      <c r="D683" s="293">
        <v>0</v>
      </c>
      <c r="E683" s="293">
        <v>-60</v>
      </c>
      <c r="F683" s="294" t="s">
        <v>286</v>
      </c>
    </row>
    <row r="684" spans="1:6" hidden="1" outlineLevel="1" collapsed="1" x14ac:dyDescent="0.25">
      <c r="A684" s="321" t="s">
        <v>282</v>
      </c>
      <c r="B684" s="321" t="s">
        <v>375</v>
      </c>
      <c r="C684" s="293">
        <v>540</v>
      </c>
      <c r="D684" s="293">
        <v>600</v>
      </c>
      <c r="E684" s="293">
        <v>60</v>
      </c>
      <c r="F684" s="294" t="s">
        <v>610</v>
      </c>
    </row>
    <row r="685" spans="1:6" collapsed="1" x14ac:dyDescent="0.25">
      <c r="A685" s="560" t="s">
        <v>611</v>
      </c>
      <c r="B685" s="561"/>
      <c r="C685" s="292">
        <v>184422.47818000001</v>
      </c>
      <c r="D685" s="293">
        <v>232142.64082</v>
      </c>
      <c r="E685" s="293">
        <v>47720.162640000002</v>
      </c>
      <c r="F685" s="294" t="s">
        <v>1990</v>
      </c>
    </row>
    <row r="686" spans="1:6" hidden="1" outlineLevel="1" collapsed="1" x14ac:dyDescent="0.25">
      <c r="A686" s="321" t="s">
        <v>282</v>
      </c>
      <c r="B686" s="321" t="s">
        <v>358</v>
      </c>
      <c r="C686" s="293">
        <v>92110.8</v>
      </c>
      <c r="D686" s="293">
        <v>95059.053599999999</v>
      </c>
      <c r="E686" s="293">
        <v>2948.2536</v>
      </c>
      <c r="F686" s="294" t="s">
        <v>562</v>
      </c>
    </row>
    <row r="687" spans="1:6" hidden="1" outlineLevel="1" collapsed="1" x14ac:dyDescent="0.25">
      <c r="A687" s="321" t="s">
        <v>282</v>
      </c>
      <c r="B687" s="321" t="s">
        <v>412</v>
      </c>
      <c r="C687" s="293">
        <v>5000</v>
      </c>
      <c r="D687" s="293">
        <v>5000</v>
      </c>
      <c r="E687" s="293">
        <v>0</v>
      </c>
      <c r="F687" s="294" t="s">
        <v>316</v>
      </c>
    </row>
    <row r="688" spans="1:6" hidden="1" outlineLevel="1" collapsed="1" x14ac:dyDescent="0.25">
      <c r="A688" s="321" t="s">
        <v>282</v>
      </c>
      <c r="B688" s="321" t="s">
        <v>380</v>
      </c>
      <c r="C688" s="293">
        <v>46816.934485999998</v>
      </c>
      <c r="D688" s="293">
        <v>50641.672978000002</v>
      </c>
      <c r="E688" s="293">
        <v>3824.738492</v>
      </c>
      <c r="F688" s="294" t="s">
        <v>613</v>
      </c>
    </row>
    <row r="689" spans="1:6" hidden="1" outlineLevel="1" collapsed="1" x14ac:dyDescent="0.25">
      <c r="A689" s="321" t="s">
        <v>282</v>
      </c>
      <c r="B689" s="321" t="s">
        <v>360</v>
      </c>
      <c r="C689" s="293">
        <v>12020.4594</v>
      </c>
      <c r="D689" s="293">
        <v>13717.021430000001</v>
      </c>
      <c r="E689" s="293">
        <v>1696.56203</v>
      </c>
      <c r="F689" s="294" t="s">
        <v>563</v>
      </c>
    </row>
    <row r="690" spans="1:6" hidden="1" outlineLevel="1" collapsed="1" x14ac:dyDescent="0.25">
      <c r="A690" s="321" t="s">
        <v>282</v>
      </c>
      <c r="B690" s="321" t="s">
        <v>384</v>
      </c>
      <c r="C690" s="293">
        <v>5889.5703560000002</v>
      </c>
      <c r="D690" s="293">
        <v>0</v>
      </c>
      <c r="E690" s="293">
        <v>-5889.5703560000002</v>
      </c>
      <c r="F690" s="294" t="s">
        <v>286</v>
      </c>
    </row>
    <row r="691" spans="1:6" hidden="1" outlineLevel="1" collapsed="1" x14ac:dyDescent="0.25">
      <c r="A691" s="321" t="s">
        <v>282</v>
      </c>
      <c r="B691" s="321" t="s">
        <v>385</v>
      </c>
      <c r="C691" s="293">
        <v>0</v>
      </c>
      <c r="D691" s="293">
        <v>7865.1582269999999</v>
      </c>
      <c r="E691" s="293">
        <v>7865.1582269999999</v>
      </c>
      <c r="F691" s="294" t="s">
        <v>298</v>
      </c>
    </row>
    <row r="692" spans="1:6" hidden="1" outlineLevel="1" collapsed="1" x14ac:dyDescent="0.25">
      <c r="A692" s="321" t="s">
        <v>282</v>
      </c>
      <c r="B692" s="321" t="s">
        <v>386</v>
      </c>
      <c r="C692" s="293">
        <v>2902.6499370000001</v>
      </c>
      <c r="D692" s="293">
        <v>0</v>
      </c>
      <c r="E692" s="293">
        <v>-2902.6499370000001</v>
      </c>
      <c r="F692" s="294" t="s">
        <v>286</v>
      </c>
    </row>
    <row r="693" spans="1:6" hidden="1" outlineLevel="1" collapsed="1" x14ac:dyDescent="0.25">
      <c r="A693" s="321" t="s">
        <v>282</v>
      </c>
      <c r="B693" s="321" t="s">
        <v>387</v>
      </c>
      <c r="C693" s="293">
        <v>0</v>
      </c>
      <c r="D693" s="293">
        <v>3139.783719</v>
      </c>
      <c r="E693" s="293">
        <v>3139.783719</v>
      </c>
      <c r="F693" s="294" t="s">
        <v>298</v>
      </c>
    </row>
    <row r="694" spans="1:6" hidden="1" outlineLevel="1" collapsed="1" x14ac:dyDescent="0.25">
      <c r="A694" s="321" t="s">
        <v>282</v>
      </c>
      <c r="B694" s="321" t="s">
        <v>362</v>
      </c>
      <c r="C694" s="293">
        <v>1408.1066000000001</v>
      </c>
      <c r="D694" s="293">
        <v>1450.85627</v>
      </c>
      <c r="E694" s="293">
        <v>42.749670000000002</v>
      </c>
      <c r="F694" s="294" t="s">
        <v>419</v>
      </c>
    </row>
    <row r="695" spans="1:6" hidden="1" outlineLevel="1" collapsed="1" x14ac:dyDescent="0.25">
      <c r="A695" s="321" t="s">
        <v>282</v>
      </c>
      <c r="B695" s="321" t="s">
        <v>388</v>
      </c>
      <c r="C695" s="293">
        <v>678.84554300000002</v>
      </c>
      <c r="D695" s="293">
        <v>734.30424700000003</v>
      </c>
      <c r="E695" s="293">
        <v>55.458703999999997</v>
      </c>
      <c r="F695" s="294" t="s">
        <v>613</v>
      </c>
    </row>
    <row r="696" spans="1:6" hidden="1" outlineLevel="1" collapsed="1" x14ac:dyDescent="0.25">
      <c r="A696" s="321" t="s">
        <v>282</v>
      </c>
      <c r="B696" s="321" t="s">
        <v>363</v>
      </c>
      <c r="C696" s="293">
        <v>426.12479999999999</v>
      </c>
      <c r="D696" s="293">
        <v>422.04</v>
      </c>
      <c r="E696" s="293">
        <v>-4.0848000000000004</v>
      </c>
      <c r="F696" s="294" t="s">
        <v>364</v>
      </c>
    </row>
    <row r="697" spans="1:6" hidden="1" outlineLevel="1" collapsed="1" x14ac:dyDescent="0.25">
      <c r="A697" s="321" t="s">
        <v>282</v>
      </c>
      <c r="B697" s="321" t="s">
        <v>365</v>
      </c>
      <c r="C697" s="293">
        <v>15358.56</v>
      </c>
      <c r="D697" s="293">
        <v>15959.28</v>
      </c>
      <c r="E697" s="293">
        <v>600.72</v>
      </c>
      <c r="F697" s="294" t="s">
        <v>366</v>
      </c>
    </row>
    <row r="698" spans="1:6" hidden="1" outlineLevel="1" collapsed="1" x14ac:dyDescent="0.25">
      <c r="A698" s="321" t="s">
        <v>282</v>
      </c>
      <c r="B698" s="321" t="s">
        <v>367</v>
      </c>
      <c r="C698" s="293">
        <v>233.53919999999999</v>
      </c>
      <c r="D698" s="293">
        <v>182.88</v>
      </c>
      <c r="E698" s="293">
        <v>-50.659199999999998</v>
      </c>
      <c r="F698" s="294" t="s">
        <v>368</v>
      </c>
    </row>
    <row r="699" spans="1:6" hidden="1" outlineLevel="1" collapsed="1" x14ac:dyDescent="0.25">
      <c r="A699" s="321" t="s">
        <v>282</v>
      </c>
      <c r="B699" s="321" t="s">
        <v>389</v>
      </c>
      <c r="C699" s="293">
        <v>426.12479999999999</v>
      </c>
      <c r="D699" s="293">
        <v>422.04</v>
      </c>
      <c r="E699" s="293">
        <v>-4.0848000000000004</v>
      </c>
      <c r="F699" s="294" t="s">
        <v>364</v>
      </c>
    </row>
    <row r="700" spans="1:6" hidden="1" outlineLevel="1" collapsed="1" x14ac:dyDescent="0.25">
      <c r="A700" s="321" t="s">
        <v>282</v>
      </c>
      <c r="B700" s="321" t="s">
        <v>390</v>
      </c>
      <c r="C700" s="293">
        <v>15485.27</v>
      </c>
      <c r="D700" s="293">
        <v>15959.28</v>
      </c>
      <c r="E700" s="293">
        <v>474.01</v>
      </c>
      <c r="F700" s="294" t="s">
        <v>391</v>
      </c>
    </row>
    <row r="701" spans="1:6" hidden="1" outlineLevel="1" collapsed="1" x14ac:dyDescent="0.25">
      <c r="A701" s="321" t="s">
        <v>282</v>
      </c>
      <c r="B701" s="321" t="s">
        <v>392</v>
      </c>
      <c r="C701" s="293">
        <v>233.53919999999999</v>
      </c>
      <c r="D701" s="293">
        <v>182.88</v>
      </c>
      <c r="E701" s="293">
        <v>-50.659199999999998</v>
      </c>
      <c r="F701" s="294" t="s">
        <v>368</v>
      </c>
    </row>
    <row r="702" spans="1:6" hidden="1" outlineLevel="1" collapsed="1" x14ac:dyDescent="0.25">
      <c r="A702" s="321" t="s">
        <v>282</v>
      </c>
      <c r="B702" s="321" t="s">
        <v>369</v>
      </c>
      <c r="C702" s="293">
        <v>48.555399999999999</v>
      </c>
      <c r="D702" s="293">
        <v>50.029519999999998</v>
      </c>
      <c r="E702" s="293">
        <v>1.4741200000000001</v>
      </c>
      <c r="F702" s="294" t="s">
        <v>419</v>
      </c>
    </row>
    <row r="703" spans="1:6" hidden="1" outlineLevel="1" collapsed="1" x14ac:dyDescent="0.25">
      <c r="A703" s="321" t="s">
        <v>282</v>
      </c>
      <c r="B703" s="321" t="s">
        <v>393</v>
      </c>
      <c r="C703" s="293">
        <v>23.408458</v>
      </c>
      <c r="D703" s="293">
        <v>25.320829</v>
      </c>
      <c r="E703" s="293">
        <v>1.912371</v>
      </c>
      <c r="F703" s="294" t="s">
        <v>613</v>
      </c>
    </row>
    <row r="704" spans="1:6" hidden="1" outlineLevel="1" collapsed="1" x14ac:dyDescent="0.25">
      <c r="A704" s="321" t="s">
        <v>282</v>
      </c>
      <c r="B704" s="321" t="s">
        <v>370</v>
      </c>
      <c r="C704" s="293">
        <v>1500</v>
      </c>
      <c r="D704" s="293">
        <v>1500</v>
      </c>
      <c r="E704" s="293">
        <v>0</v>
      </c>
      <c r="F704" s="294" t="s">
        <v>316</v>
      </c>
    </row>
    <row r="705" spans="1:6" hidden="1" outlineLevel="1" collapsed="1" x14ac:dyDescent="0.25">
      <c r="A705" s="321" t="s">
        <v>282</v>
      </c>
      <c r="B705" s="321" t="s">
        <v>394</v>
      </c>
      <c r="C705" s="293">
        <v>1500</v>
      </c>
      <c r="D705" s="293">
        <v>0</v>
      </c>
      <c r="E705" s="293">
        <v>-1500</v>
      </c>
      <c r="F705" s="294" t="s">
        <v>286</v>
      </c>
    </row>
    <row r="706" spans="1:6" hidden="1" outlineLevel="1" collapsed="1" x14ac:dyDescent="0.25">
      <c r="A706" s="321" t="s">
        <v>282</v>
      </c>
      <c r="B706" s="321" t="s">
        <v>395</v>
      </c>
      <c r="C706" s="293">
        <v>0</v>
      </c>
      <c r="D706" s="293">
        <v>1500</v>
      </c>
      <c r="E706" s="293">
        <v>1500</v>
      </c>
      <c r="F706" s="294" t="s">
        <v>298</v>
      </c>
    </row>
    <row r="707" spans="1:6" hidden="1" outlineLevel="1" collapsed="1" x14ac:dyDescent="0.25">
      <c r="A707" s="321" t="s">
        <v>282</v>
      </c>
      <c r="B707" s="321" t="s">
        <v>371</v>
      </c>
      <c r="C707" s="293">
        <v>49.68</v>
      </c>
      <c r="D707" s="293">
        <v>48.48</v>
      </c>
      <c r="E707" s="293">
        <v>-1.2</v>
      </c>
      <c r="F707" s="294" t="s">
        <v>372</v>
      </c>
    </row>
    <row r="708" spans="1:6" hidden="1" outlineLevel="1" collapsed="1" x14ac:dyDescent="0.25">
      <c r="A708" s="321" t="s">
        <v>282</v>
      </c>
      <c r="B708" s="321" t="s">
        <v>396</v>
      </c>
      <c r="C708" s="293">
        <v>49.68</v>
      </c>
      <c r="D708" s="293">
        <v>0</v>
      </c>
      <c r="E708" s="293">
        <v>-49.68</v>
      </c>
      <c r="F708" s="294" t="s">
        <v>286</v>
      </c>
    </row>
    <row r="709" spans="1:6" hidden="1" outlineLevel="1" collapsed="1" x14ac:dyDescent="0.25">
      <c r="A709" s="321" t="s">
        <v>282</v>
      </c>
      <c r="B709" s="321" t="s">
        <v>397</v>
      </c>
      <c r="C709" s="293">
        <v>0</v>
      </c>
      <c r="D709" s="293">
        <v>48.48</v>
      </c>
      <c r="E709" s="293">
        <v>48.48</v>
      </c>
      <c r="F709" s="294" t="s">
        <v>298</v>
      </c>
    </row>
    <row r="710" spans="1:6" hidden="1" outlineLevel="1" collapsed="1" x14ac:dyDescent="0.25">
      <c r="A710" s="321" t="s">
        <v>282</v>
      </c>
      <c r="B710" s="321" t="s">
        <v>373</v>
      </c>
      <c r="C710" s="293">
        <v>24</v>
      </c>
      <c r="D710" s="293">
        <v>11.04</v>
      </c>
      <c r="E710" s="293">
        <v>-12.96</v>
      </c>
      <c r="F710" s="294" t="s">
        <v>374</v>
      </c>
    </row>
    <row r="711" spans="1:6" hidden="1" outlineLevel="1" collapsed="1" x14ac:dyDescent="0.25">
      <c r="A711" s="321" t="s">
        <v>282</v>
      </c>
      <c r="B711" s="321" t="s">
        <v>398</v>
      </c>
      <c r="C711" s="293">
        <v>24</v>
      </c>
      <c r="D711" s="293">
        <v>11.04</v>
      </c>
      <c r="E711" s="293">
        <v>-12.96</v>
      </c>
      <c r="F711" s="294" t="s">
        <v>374</v>
      </c>
    </row>
    <row r="712" spans="1:6" hidden="1" outlineLevel="1" collapsed="1" x14ac:dyDescent="0.25">
      <c r="A712" s="321" t="s">
        <v>282</v>
      </c>
      <c r="B712" s="321" t="s">
        <v>376</v>
      </c>
      <c r="C712" s="293">
        <v>2237</v>
      </c>
      <c r="D712" s="293">
        <v>2237</v>
      </c>
      <c r="E712" s="293">
        <v>0</v>
      </c>
      <c r="F712" s="294" t="s">
        <v>316</v>
      </c>
    </row>
    <row r="713" spans="1:6" hidden="1" outlineLevel="1" collapsed="1" x14ac:dyDescent="0.25">
      <c r="A713" s="321" t="s">
        <v>282</v>
      </c>
      <c r="B713" s="321" t="s">
        <v>614</v>
      </c>
      <c r="C713" s="293">
        <v>13846.1</v>
      </c>
      <c r="D713" s="293">
        <v>12384</v>
      </c>
      <c r="E713" s="293">
        <v>-1462.1</v>
      </c>
      <c r="F713" s="294" t="s">
        <v>1991</v>
      </c>
    </row>
    <row r="714" spans="1:6" hidden="1" outlineLevel="1" collapsed="1" x14ac:dyDescent="0.25">
      <c r="A714" s="321" t="s">
        <v>282</v>
      </c>
      <c r="B714" s="321" t="s">
        <v>616</v>
      </c>
      <c r="C714" s="293">
        <v>798</v>
      </c>
      <c r="D714" s="293">
        <v>798</v>
      </c>
      <c r="E714" s="293">
        <v>0</v>
      </c>
      <c r="F714" s="294" t="s">
        <v>316</v>
      </c>
    </row>
    <row r="715" spans="1:6" hidden="1" outlineLevel="1" collapsed="1" x14ac:dyDescent="0.25">
      <c r="A715" s="321" t="s">
        <v>282</v>
      </c>
      <c r="B715" s="321" t="s">
        <v>403</v>
      </c>
      <c r="C715" s="293">
        <v>0</v>
      </c>
      <c r="D715" s="293">
        <v>2793</v>
      </c>
      <c r="E715" s="293">
        <v>2793</v>
      </c>
      <c r="F715" s="294" t="s">
        <v>298</v>
      </c>
    </row>
    <row r="716" spans="1:6" hidden="1" outlineLevel="1" collapsed="1" x14ac:dyDescent="0.25">
      <c r="A716" s="321" t="s">
        <v>282</v>
      </c>
      <c r="B716" s="321" t="s">
        <v>422</v>
      </c>
      <c r="C716" s="293">
        <v>-34668.47</v>
      </c>
      <c r="D716" s="293">
        <v>0</v>
      </c>
      <c r="E716" s="293">
        <v>34668.47</v>
      </c>
      <c r="F716" s="294" t="s">
        <v>286</v>
      </c>
    </row>
    <row r="717" spans="1:6" collapsed="1" x14ac:dyDescent="0.25">
      <c r="A717" s="560" t="s">
        <v>617</v>
      </c>
      <c r="B717" s="561"/>
      <c r="C717" s="292">
        <v>2011512.7462249999</v>
      </c>
      <c r="D717" s="293">
        <v>2115080.3642210001</v>
      </c>
      <c r="E717" s="293">
        <v>103567.617996</v>
      </c>
      <c r="F717" s="294" t="s">
        <v>618</v>
      </c>
    </row>
    <row r="718" spans="1:6" hidden="1" outlineLevel="1" collapsed="1" x14ac:dyDescent="0.25">
      <c r="A718" s="321" t="s">
        <v>282</v>
      </c>
      <c r="B718" s="321" t="s">
        <v>358</v>
      </c>
      <c r="C718" s="293">
        <v>1439187.2548799999</v>
      </c>
      <c r="D718" s="293">
        <v>1501822.3794</v>
      </c>
      <c r="E718" s="293">
        <v>62635.124519999998</v>
      </c>
      <c r="F718" s="294" t="s">
        <v>493</v>
      </c>
    </row>
    <row r="719" spans="1:6" hidden="1" outlineLevel="1" collapsed="1" x14ac:dyDescent="0.25">
      <c r="A719" s="321" t="s">
        <v>282</v>
      </c>
      <c r="B719" s="321" t="s">
        <v>412</v>
      </c>
      <c r="C719" s="293">
        <v>14000</v>
      </c>
      <c r="D719" s="293">
        <v>14000</v>
      </c>
      <c r="E719" s="293">
        <v>0</v>
      </c>
      <c r="F719" s="294" t="s">
        <v>316</v>
      </c>
    </row>
    <row r="720" spans="1:6" hidden="1" outlineLevel="1" collapsed="1" x14ac:dyDescent="0.25">
      <c r="A720" s="321" t="s">
        <v>282</v>
      </c>
      <c r="B720" s="321" t="s">
        <v>453</v>
      </c>
      <c r="C720" s="293">
        <v>68807</v>
      </c>
      <c r="D720" s="293">
        <v>68807</v>
      </c>
      <c r="E720" s="293">
        <v>0</v>
      </c>
      <c r="F720" s="294" t="s">
        <v>316</v>
      </c>
    </row>
    <row r="721" spans="1:6" hidden="1" outlineLevel="1" collapsed="1" x14ac:dyDescent="0.25">
      <c r="A721" s="321" t="s">
        <v>282</v>
      </c>
      <c r="B721" s="321" t="s">
        <v>360</v>
      </c>
      <c r="C721" s="293">
        <v>187813.936762</v>
      </c>
      <c r="D721" s="293">
        <v>216712.96927999999</v>
      </c>
      <c r="E721" s="293">
        <v>28899.032518</v>
      </c>
      <c r="F721" s="294" t="s">
        <v>619</v>
      </c>
    </row>
    <row r="722" spans="1:6" hidden="1" outlineLevel="1" collapsed="1" x14ac:dyDescent="0.25">
      <c r="A722" s="321" t="s">
        <v>282</v>
      </c>
      <c r="B722" s="321" t="s">
        <v>362</v>
      </c>
      <c r="C722" s="293">
        <v>21071.215195000001</v>
      </c>
      <c r="D722" s="293">
        <v>21979.424411</v>
      </c>
      <c r="E722" s="293">
        <v>908.20921599999997</v>
      </c>
      <c r="F722" s="294" t="s">
        <v>570</v>
      </c>
    </row>
    <row r="723" spans="1:6" hidden="1" outlineLevel="1" collapsed="1" x14ac:dyDescent="0.25">
      <c r="A723" s="321" t="s">
        <v>282</v>
      </c>
      <c r="B723" s="321" t="s">
        <v>363</v>
      </c>
      <c r="C723" s="293">
        <v>7165.2885120000001</v>
      </c>
      <c r="D723" s="293">
        <v>7174.68</v>
      </c>
      <c r="E723" s="293">
        <v>9.3914880000000007</v>
      </c>
      <c r="F723" s="294" t="s">
        <v>620</v>
      </c>
    </row>
    <row r="724" spans="1:6" hidden="1" outlineLevel="1" collapsed="1" x14ac:dyDescent="0.25">
      <c r="A724" s="321" t="s">
        <v>282</v>
      </c>
      <c r="B724" s="321" t="s">
        <v>365</v>
      </c>
      <c r="C724" s="293">
        <v>227537.06640000001</v>
      </c>
      <c r="D724" s="293">
        <v>239389.2</v>
      </c>
      <c r="E724" s="293">
        <v>11852.133599999999</v>
      </c>
      <c r="F724" s="294" t="s">
        <v>621</v>
      </c>
    </row>
    <row r="725" spans="1:6" hidden="1" outlineLevel="1" collapsed="1" x14ac:dyDescent="0.25">
      <c r="A725" s="321" t="s">
        <v>282</v>
      </c>
      <c r="B725" s="321" t="s">
        <v>367</v>
      </c>
      <c r="C725" s="293">
        <v>3926.961648</v>
      </c>
      <c r="D725" s="293">
        <v>3108.96</v>
      </c>
      <c r="E725" s="293">
        <v>-818.00164800000005</v>
      </c>
      <c r="F725" s="294" t="s">
        <v>622</v>
      </c>
    </row>
    <row r="726" spans="1:6" hidden="1" outlineLevel="1" collapsed="1" x14ac:dyDescent="0.25">
      <c r="A726" s="321" t="s">
        <v>282</v>
      </c>
      <c r="B726" s="321" t="s">
        <v>444</v>
      </c>
      <c r="C726" s="293">
        <v>6193</v>
      </c>
      <c r="D726" s="293">
        <v>6193</v>
      </c>
      <c r="E726" s="293">
        <v>0</v>
      </c>
      <c r="F726" s="294" t="s">
        <v>316</v>
      </c>
    </row>
    <row r="727" spans="1:6" hidden="1" outlineLevel="1" collapsed="1" x14ac:dyDescent="0.25">
      <c r="A727" s="321" t="s">
        <v>282</v>
      </c>
      <c r="B727" s="321" t="s">
        <v>369</v>
      </c>
      <c r="C727" s="293">
        <v>726.59362799999997</v>
      </c>
      <c r="D727" s="293">
        <v>757.91112999999996</v>
      </c>
      <c r="E727" s="293">
        <v>31.317502000000001</v>
      </c>
      <c r="F727" s="294" t="s">
        <v>570</v>
      </c>
    </row>
    <row r="728" spans="1:6" hidden="1" outlineLevel="1" collapsed="1" x14ac:dyDescent="0.25">
      <c r="A728" s="321" t="s">
        <v>282</v>
      </c>
      <c r="B728" s="321" t="s">
        <v>370</v>
      </c>
      <c r="C728" s="293">
        <v>25222.5</v>
      </c>
      <c r="D728" s="293">
        <v>25500</v>
      </c>
      <c r="E728" s="293">
        <v>277.5</v>
      </c>
      <c r="F728" s="294" t="s">
        <v>623</v>
      </c>
    </row>
    <row r="729" spans="1:6" hidden="1" outlineLevel="1" collapsed="1" x14ac:dyDescent="0.25">
      <c r="A729" s="321" t="s">
        <v>282</v>
      </c>
      <c r="B729" s="321" t="s">
        <v>371</v>
      </c>
      <c r="C729" s="293">
        <v>835.36919999999998</v>
      </c>
      <c r="D729" s="293">
        <v>824.16</v>
      </c>
      <c r="E729" s="293">
        <v>-11.209199999999999</v>
      </c>
      <c r="F729" s="294" t="s">
        <v>624</v>
      </c>
    </row>
    <row r="730" spans="1:6" hidden="1" outlineLevel="1" collapsed="1" x14ac:dyDescent="0.25">
      <c r="A730" s="321" t="s">
        <v>282</v>
      </c>
      <c r="B730" s="321" t="s">
        <v>373</v>
      </c>
      <c r="C730" s="293">
        <v>403.56</v>
      </c>
      <c r="D730" s="293">
        <v>187.68</v>
      </c>
      <c r="E730" s="293">
        <v>-215.88</v>
      </c>
      <c r="F730" s="294" t="s">
        <v>625</v>
      </c>
    </row>
    <row r="731" spans="1:6" hidden="1" outlineLevel="1" collapsed="1" x14ac:dyDescent="0.25">
      <c r="A731" s="321" t="s">
        <v>282</v>
      </c>
      <c r="B731" s="321" t="s">
        <v>445</v>
      </c>
      <c r="C731" s="293">
        <v>6000</v>
      </c>
      <c r="D731" s="293">
        <v>6000</v>
      </c>
      <c r="E731" s="293">
        <v>0</v>
      </c>
      <c r="F731" s="294" t="s">
        <v>316</v>
      </c>
    </row>
    <row r="732" spans="1:6" hidden="1" outlineLevel="1" collapsed="1" x14ac:dyDescent="0.25">
      <c r="A732" s="321" t="s">
        <v>282</v>
      </c>
      <c r="B732" s="321" t="s">
        <v>523</v>
      </c>
      <c r="C732" s="293">
        <v>80</v>
      </c>
      <c r="D732" s="293">
        <v>80</v>
      </c>
      <c r="E732" s="293">
        <v>0</v>
      </c>
      <c r="F732" s="294" t="s">
        <v>316</v>
      </c>
    </row>
    <row r="733" spans="1:6" hidden="1" outlineLevel="1" collapsed="1" x14ac:dyDescent="0.25">
      <c r="A733" s="321" t="s">
        <v>282</v>
      </c>
      <c r="B733" s="321" t="s">
        <v>375</v>
      </c>
      <c r="C733" s="293">
        <v>500</v>
      </c>
      <c r="D733" s="293">
        <v>500</v>
      </c>
      <c r="E733" s="293">
        <v>0</v>
      </c>
      <c r="F733" s="294" t="s">
        <v>316</v>
      </c>
    </row>
    <row r="734" spans="1:6" hidden="1" outlineLevel="1" collapsed="1" x14ac:dyDescent="0.25">
      <c r="A734" s="321" t="s">
        <v>282</v>
      </c>
      <c r="B734" s="321" t="s">
        <v>496</v>
      </c>
      <c r="C734" s="293">
        <v>260</v>
      </c>
      <c r="D734" s="293">
        <v>260</v>
      </c>
      <c r="E734" s="293">
        <v>0</v>
      </c>
      <c r="F734" s="294" t="s">
        <v>316</v>
      </c>
    </row>
    <row r="735" spans="1:6" hidden="1" outlineLevel="1" collapsed="1" x14ac:dyDescent="0.25">
      <c r="A735" s="321" t="s">
        <v>282</v>
      </c>
      <c r="B735" s="321" t="s">
        <v>376</v>
      </c>
      <c r="C735" s="293">
        <v>1276</v>
      </c>
      <c r="D735" s="293">
        <v>1276</v>
      </c>
      <c r="E735" s="293">
        <v>0</v>
      </c>
      <c r="F735" s="294" t="s">
        <v>316</v>
      </c>
    </row>
    <row r="736" spans="1:6" hidden="1" outlineLevel="1" collapsed="1" x14ac:dyDescent="0.25">
      <c r="A736" s="321" t="s">
        <v>282</v>
      </c>
      <c r="B736" s="321" t="s">
        <v>597</v>
      </c>
      <c r="C736" s="293">
        <v>50</v>
      </c>
      <c r="D736" s="293">
        <v>50</v>
      </c>
      <c r="E736" s="293">
        <v>0</v>
      </c>
      <c r="F736" s="294" t="s">
        <v>316</v>
      </c>
    </row>
    <row r="737" spans="1:6" hidden="1" outlineLevel="1" collapsed="1" x14ac:dyDescent="0.25">
      <c r="A737" s="321" t="s">
        <v>282</v>
      </c>
      <c r="B737" s="321" t="s">
        <v>626</v>
      </c>
      <c r="C737" s="293">
        <v>275</v>
      </c>
      <c r="D737" s="293">
        <v>275</v>
      </c>
      <c r="E737" s="293">
        <v>0</v>
      </c>
      <c r="F737" s="294" t="s">
        <v>316</v>
      </c>
    </row>
    <row r="738" spans="1:6" hidden="1" outlineLevel="1" collapsed="1" x14ac:dyDescent="0.25">
      <c r="A738" s="321" t="s">
        <v>282</v>
      </c>
      <c r="B738" s="321" t="s">
        <v>405</v>
      </c>
      <c r="C738" s="293">
        <v>100</v>
      </c>
      <c r="D738" s="293">
        <v>100</v>
      </c>
      <c r="E738" s="293">
        <v>0</v>
      </c>
      <c r="F738" s="294" t="s">
        <v>316</v>
      </c>
    </row>
    <row r="739" spans="1:6" hidden="1" outlineLevel="1" collapsed="1" x14ac:dyDescent="0.25">
      <c r="A739" s="321" t="s">
        <v>282</v>
      </c>
      <c r="B739" s="321" t="s">
        <v>557</v>
      </c>
      <c r="C739" s="293">
        <v>82</v>
      </c>
      <c r="D739" s="293">
        <v>82</v>
      </c>
      <c r="E739" s="293">
        <v>0</v>
      </c>
      <c r="F739" s="294" t="s">
        <v>316</v>
      </c>
    </row>
    <row r="740" spans="1:6" collapsed="1" x14ac:dyDescent="0.25">
      <c r="A740" s="560" t="s">
        <v>627</v>
      </c>
      <c r="B740" s="561"/>
      <c r="C740" s="292">
        <v>473971.22882399999</v>
      </c>
      <c r="D740" s="293">
        <v>492791.60479200003</v>
      </c>
      <c r="E740" s="293">
        <v>18820.375968</v>
      </c>
      <c r="F740" s="294" t="s">
        <v>628</v>
      </c>
    </row>
    <row r="741" spans="1:6" hidden="1" outlineLevel="1" collapsed="1" x14ac:dyDescent="0.25">
      <c r="A741" s="321" t="s">
        <v>282</v>
      </c>
      <c r="B741" s="321" t="s">
        <v>358</v>
      </c>
      <c r="C741" s="293">
        <v>349834.12800000003</v>
      </c>
      <c r="D741" s="293">
        <v>360160.84607999999</v>
      </c>
      <c r="E741" s="293">
        <v>10326.718080000001</v>
      </c>
      <c r="F741" s="294" t="s">
        <v>465</v>
      </c>
    </row>
    <row r="742" spans="1:6" hidden="1" outlineLevel="1" collapsed="1" x14ac:dyDescent="0.25">
      <c r="A742" s="321" t="s">
        <v>282</v>
      </c>
      <c r="B742" s="321" t="s">
        <v>412</v>
      </c>
      <c r="C742" s="293">
        <v>5600</v>
      </c>
      <c r="D742" s="293">
        <v>5600</v>
      </c>
      <c r="E742" s="293">
        <v>0</v>
      </c>
      <c r="F742" s="294" t="s">
        <v>316</v>
      </c>
    </row>
    <row r="743" spans="1:6" hidden="1" outlineLevel="1" collapsed="1" x14ac:dyDescent="0.25">
      <c r="A743" s="321" t="s">
        <v>282</v>
      </c>
      <c r="B743" s="321" t="s">
        <v>360</v>
      </c>
      <c r="C743" s="293">
        <v>45653.353704000001</v>
      </c>
      <c r="D743" s="293">
        <v>51971.210074000002</v>
      </c>
      <c r="E743" s="293">
        <v>6317.8563700000004</v>
      </c>
      <c r="F743" s="294" t="s">
        <v>629</v>
      </c>
    </row>
    <row r="744" spans="1:6" hidden="1" outlineLevel="1" collapsed="1" x14ac:dyDescent="0.25">
      <c r="A744" s="321" t="s">
        <v>282</v>
      </c>
      <c r="B744" s="321" t="s">
        <v>362</v>
      </c>
      <c r="C744" s="293">
        <v>5153.7948560000004</v>
      </c>
      <c r="D744" s="293">
        <v>5303.5322420000002</v>
      </c>
      <c r="E744" s="293">
        <v>149.73738599999999</v>
      </c>
      <c r="F744" s="294" t="s">
        <v>630</v>
      </c>
    </row>
    <row r="745" spans="1:6" hidden="1" outlineLevel="1" collapsed="1" x14ac:dyDescent="0.25">
      <c r="A745" s="321" t="s">
        <v>282</v>
      </c>
      <c r="B745" s="321" t="s">
        <v>363</v>
      </c>
      <c r="C745" s="293">
        <v>1619.27424</v>
      </c>
      <c r="D745" s="293">
        <v>1603.752</v>
      </c>
      <c r="E745" s="293">
        <v>-15.52224</v>
      </c>
      <c r="F745" s="294" t="s">
        <v>364</v>
      </c>
    </row>
    <row r="746" spans="1:6" hidden="1" outlineLevel="1" collapsed="1" x14ac:dyDescent="0.25">
      <c r="A746" s="321" t="s">
        <v>282</v>
      </c>
      <c r="B746" s="321" t="s">
        <v>365</v>
      </c>
      <c r="C746" s="293">
        <v>58362.527999999998</v>
      </c>
      <c r="D746" s="293">
        <v>60645.264000000003</v>
      </c>
      <c r="E746" s="293">
        <v>2282.7359999999999</v>
      </c>
      <c r="F746" s="294" t="s">
        <v>366</v>
      </c>
    </row>
    <row r="747" spans="1:6" hidden="1" outlineLevel="1" collapsed="1" x14ac:dyDescent="0.25">
      <c r="A747" s="321" t="s">
        <v>282</v>
      </c>
      <c r="B747" s="321" t="s">
        <v>367</v>
      </c>
      <c r="C747" s="293">
        <v>887.44896000000006</v>
      </c>
      <c r="D747" s="293">
        <v>694.94399999999996</v>
      </c>
      <c r="E747" s="293">
        <v>-192.50496000000001</v>
      </c>
      <c r="F747" s="294" t="s">
        <v>368</v>
      </c>
    </row>
    <row r="748" spans="1:6" hidden="1" outlineLevel="1" collapsed="1" x14ac:dyDescent="0.25">
      <c r="A748" s="321" t="s">
        <v>282</v>
      </c>
      <c r="B748" s="321" t="s">
        <v>369</v>
      </c>
      <c r="C748" s="293">
        <v>177.71706399999999</v>
      </c>
      <c r="D748" s="293">
        <v>182.88039599999999</v>
      </c>
      <c r="E748" s="293">
        <v>5.1633319999999996</v>
      </c>
      <c r="F748" s="294" t="s">
        <v>630</v>
      </c>
    </row>
    <row r="749" spans="1:6" hidden="1" outlineLevel="1" collapsed="1" x14ac:dyDescent="0.25">
      <c r="A749" s="321" t="s">
        <v>282</v>
      </c>
      <c r="B749" s="321" t="s">
        <v>370</v>
      </c>
      <c r="C749" s="293">
        <v>5700</v>
      </c>
      <c r="D749" s="293">
        <v>5700</v>
      </c>
      <c r="E749" s="293">
        <v>0</v>
      </c>
      <c r="F749" s="294" t="s">
        <v>316</v>
      </c>
    </row>
    <row r="750" spans="1:6" hidden="1" outlineLevel="1" collapsed="1" x14ac:dyDescent="0.25">
      <c r="A750" s="321" t="s">
        <v>282</v>
      </c>
      <c r="B750" s="321" t="s">
        <v>371</v>
      </c>
      <c r="C750" s="293">
        <v>188.78399999999999</v>
      </c>
      <c r="D750" s="293">
        <v>184.22399999999999</v>
      </c>
      <c r="E750" s="293">
        <v>-4.5599999999999996</v>
      </c>
      <c r="F750" s="294" t="s">
        <v>372</v>
      </c>
    </row>
    <row r="751" spans="1:6" hidden="1" outlineLevel="1" collapsed="1" x14ac:dyDescent="0.25">
      <c r="A751" s="321" t="s">
        <v>282</v>
      </c>
      <c r="B751" s="321" t="s">
        <v>373</v>
      </c>
      <c r="C751" s="293">
        <v>91.2</v>
      </c>
      <c r="D751" s="293">
        <v>41.951999999999998</v>
      </c>
      <c r="E751" s="293">
        <v>-49.247999999999998</v>
      </c>
      <c r="F751" s="294" t="s">
        <v>374</v>
      </c>
    </row>
    <row r="752" spans="1:6" hidden="1" outlineLevel="1" collapsed="1" x14ac:dyDescent="0.25">
      <c r="A752" s="321" t="s">
        <v>282</v>
      </c>
      <c r="B752" s="321" t="s">
        <v>375</v>
      </c>
      <c r="C752" s="293">
        <v>200</v>
      </c>
      <c r="D752" s="293">
        <v>200</v>
      </c>
      <c r="E752" s="293">
        <v>0</v>
      </c>
      <c r="F752" s="294" t="s">
        <v>316</v>
      </c>
    </row>
    <row r="753" spans="1:6" hidden="1" outlineLevel="1" collapsed="1" x14ac:dyDescent="0.25">
      <c r="A753" s="321" t="s">
        <v>282</v>
      </c>
      <c r="B753" s="321" t="s">
        <v>557</v>
      </c>
      <c r="C753" s="293">
        <v>503</v>
      </c>
      <c r="D753" s="293">
        <v>503</v>
      </c>
      <c r="E753" s="293">
        <v>0</v>
      </c>
      <c r="F753" s="294" t="s">
        <v>316</v>
      </c>
    </row>
    <row r="754" spans="1:6" collapsed="1" x14ac:dyDescent="0.25">
      <c r="A754" s="560" t="s">
        <v>631</v>
      </c>
      <c r="B754" s="561"/>
      <c r="C754" s="292">
        <v>215366.71881799999</v>
      </c>
      <c r="D754" s="293">
        <v>246811.88305999999</v>
      </c>
      <c r="E754" s="293">
        <v>31445.164241999999</v>
      </c>
      <c r="F754" s="294" t="s">
        <v>1992</v>
      </c>
    </row>
    <row r="755" spans="1:6" hidden="1" outlineLevel="1" collapsed="1" x14ac:dyDescent="0.25">
      <c r="A755" s="321" t="s">
        <v>282</v>
      </c>
      <c r="B755" s="321" t="s">
        <v>358</v>
      </c>
      <c r="C755" s="293">
        <v>157880.8848</v>
      </c>
      <c r="D755" s="293">
        <v>181609.6464</v>
      </c>
      <c r="E755" s="293">
        <v>23728.761600000002</v>
      </c>
      <c r="F755" s="294" t="s">
        <v>633</v>
      </c>
    </row>
    <row r="756" spans="1:6" hidden="1" outlineLevel="1" collapsed="1" x14ac:dyDescent="0.25">
      <c r="A756" s="321" t="s">
        <v>282</v>
      </c>
      <c r="B756" s="321" t="s">
        <v>412</v>
      </c>
      <c r="C756" s="293">
        <v>2460</v>
      </c>
      <c r="D756" s="293">
        <v>3000</v>
      </c>
      <c r="E756" s="293">
        <v>540</v>
      </c>
      <c r="F756" s="294" t="s">
        <v>634</v>
      </c>
    </row>
    <row r="757" spans="1:6" hidden="1" outlineLevel="1" collapsed="1" x14ac:dyDescent="0.25">
      <c r="A757" s="321" t="s">
        <v>282</v>
      </c>
      <c r="B757" s="321" t="s">
        <v>360</v>
      </c>
      <c r="C757" s="293">
        <v>20603.455465999999</v>
      </c>
      <c r="D757" s="293">
        <v>26206.271970000002</v>
      </c>
      <c r="E757" s="293">
        <v>5602.8165040000004</v>
      </c>
      <c r="F757" s="294" t="s">
        <v>635</v>
      </c>
    </row>
    <row r="758" spans="1:6" hidden="1" outlineLevel="1" collapsed="1" x14ac:dyDescent="0.25">
      <c r="A758" s="321" t="s">
        <v>282</v>
      </c>
      <c r="B758" s="321" t="s">
        <v>362</v>
      </c>
      <c r="C758" s="293">
        <v>2324.94283</v>
      </c>
      <c r="D758" s="293">
        <v>2676.8398699999998</v>
      </c>
      <c r="E758" s="293">
        <v>351.89704</v>
      </c>
      <c r="F758" s="294" t="s">
        <v>636</v>
      </c>
    </row>
    <row r="759" spans="1:6" hidden="1" outlineLevel="1" collapsed="1" x14ac:dyDescent="0.25">
      <c r="A759" s="321" t="s">
        <v>282</v>
      </c>
      <c r="B759" s="321" t="s">
        <v>363</v>
      </c>
      <c r="C759" s="293">
        <v>775.54713600000002</v>
      </c>
      <c r="D759" s="293">
        <v>773.74</v>
      </c>
      <c r="E759" s="293">
        <v>-1.8071360000000001</v>
      </c>
      <c r="F759" s="294" t="s">
        <v>1993</v>
      </c>
    </row>
    <row r="760" spans="1:6" hidden="1" outlineLevel="1" collapsed="1" x14ac:dyDescent="0.25">
      <c r="A760" s="321" t="s">
        <v>282</v>
      </c>
      <c r="B760" s="321" t="s">
        <v>365</v>
      </c>
      <c r="C760" s="293">
        <v>27952.5792</v>
      </c>
      <c r="D760" s="293">
        <v>29258.68</v>
      </c>
      <c r="E760" s="293">
        <v>1306.1007999999999</v>
      </c>
      <c r="F760" s="294" t="s">
        <v>1435</v>
      </c>
    </row>
    <row r="761" spans="1:6" hidden="1" outlineLevel="1" collapsed="1" x14ac:dyDescent="0.25">
      <c r="A761" s="321" t="s">
        <v>282</v>
      </c>
      <c r="B761" s="321" t="s">
        <v>367</v>
      </c>
      <c r="C761" s="293">
        <v>425.04134399999998</v>
      </c>
      <c r="D761" s="293">
        <v>335.28</v>
      </c>
      <c r="E761" s="293">
        <v>-89.761343999999994</v>
      </c>
      <c r="F761" s="294" t="s">
        <v>1994</v>
      </c>
    </row>
    <row r="762" spans="1:6" hidden="1" outlineLevel="1" collapsed="1" x14ac:dyDescent="0.25">
      <c r="A762" s="321" t="s">
        <v>282</v>
      </c>
      <c r="B762" s="321" t="s">
        <v>369</v>
      </c>
      <c r="C762" s="293">
        <v>80.170441999999994</v>
      </c>
      <c r="D762" s="293">
        <v>92.304820000000007</v>
      </c>
      <c r="E762" s="293">
        <v>12.134378</v>
      </c>
      <c r="F762" s="294" t="s">
        <v>636</v>
      </c>
    </row>
    <row r="763" spans="1:6" hidden="1" outlineLevel="1" collapsed="1" x14ac:dyDescent="0.25">
      <c r="A763" s="321" t="s">
        <v>282</v>
      </c>
      <c r="B763" s="321" t="s">
        <v>370</v>
      </c>
      <c r="C763" s="293">
        <v>2730</v>
      </c>
      <c r="D763" s="293">
        <v>2750</v>
      </c>
      <c r="E763" s="293">
        <v>20</v>
      </c>
      <c r="F763" s="294" t="s">
        <v>1995</v>
      </c>
    </row>
    <row r="764" spans="1:6" hidden="1" outlineLevel="1" collapsed="1" x14ac:dyDescent="0.25">
      <c r="A764" s="321" t="s">
        <v>282</v>
      </c>
      <c r="B764" s="321" t="s">
        <v>371</v>
      </c>
      <c r="C764" s="293">
        <v>90.417599999999993</v>
      </c>
      <c r="D764" s="293">
        <v>88.88</v>
      </c>
      <c r="E764" s="293">
        <v>-1.5376000000000001</v>
      </c>
      <c r="F764" s="294" t="s">
        <v>1996</v>
      </c>
    </row>
    <row r="765" spans="1:6" hidden="1" outlineLevel="1" collapsed="1" x14ac:dyDescent="0.25">
      <c r="A765" s="321" t="s">
        <v>282</v>
      </c>
      <c r="B765" s="321" t="s">
        <v>373</v>
      </c>
      <c r="C765" s="293">
        <v>43.68</v>
      </c>
      <c r="D765" s="293">
        <v>20.239999999999998</v>
      </c>
      <c r="E765" s="293">
        <v>-23.44</v>
      </c>
      <c r="F765" s="294" t="s">
        <v>1997</v>
      </c>
    </row>
    <row r="766" spans="1:6" collapsed="1" x14ac:dyDescent="0.25">
      <c r="A766" s="560" t="s">
        <v>643</v>
      </c>
      <c r="B766" s="561"/>
      <c r="C766" s="292">
        <v>1806562.7746009999</v>
      </c>
      <c r="D766" s="293">
        <v>1924602.007799</v>
      </c>
      <c r="E766" s="293">
        <v>118039.233198</v>
      </c>
      <c r="F766" s="294" t="s">
        <v>644</v>
      </c>
    </row>
    <row r="767" spans="1:6" hidden="1" outlineLevel="1" collapsed="1" x14ac:dyDescent="0.25">
      <c r="A767" s="321" t="s">
        <v>282</v>
      </c>
      <c r="B767" s="321" t="s">
        <v>358</v>
      </c>
      <c r="C767" s="293">
        <v>1296418.799994</v>
      </c>
      <c r="D767" s="293">
        <v>1364558.7731880001</v>
      </c>
      <c r="E767" s="293">
        <v>68139.973194000006</v>
      </c>
      <c r="F767" s="294" t="s">
        <v>645</v>
      </c>
    </row>
    <row r="768" spans="1:6" hidden="1" outlineLevel="1" collapsed="1" x14ac:dyDescent="0.25">
      <c r="A768" s="321" t="s">
        <v>282</v>
      </c>
      <c r="B768" s="321" t="s">
        <v>646</v>
      </c>
      <c r="C768" s="293">
        <v>47479.329599999997</v>
      </c>
      <c r="D768" s="293">
        <v>49010.372662000002</v>
      </c>
      <c r="E768" s="293">
        <v>1531.043062</v>
      </c>
      <c r="F768" s="294" t="s">
        <v>647</v>
      </c>
    </row>
    <row r="769" spans="1:6" hidden="1" outlineLevel="1" collapsed="1" x14ac:dyDescent="0.25">
      <c r="A769" s="321" t="s">
        <v>282</v>
      </c>
      <c r="B769" s="321" t="s">
        <v>412</v>
      </c>
      <c r="C769" s="293">
        <v>14000</v>
      </c>
      <c r="D769" s="293">
        <v>14000</v>
      </c>
      <c r="E769" s="293">
        <v>0</v>
      </c>
      <c r="F769" s="294" t="s">
        <v>316</v>
      </c>
    </row>
    <row r="770" spans="1:6" hidden="1" outlineLevel="1" collapsed="1" x14ac:dyDescent="0.25">
      <c r="A770" s="321" t="s">
        <v>282</v>
      </c>
      <c r="B770" s="321" t="s">
        <v>360</v>
      </c>
      <c r="C770" s="293">
        <v>175378.705907</v>
      </c>
      <c r="D770" s="293">
        <v>203978.02768500001</v>
      </c>
      <c r="E770" s="293">
        <v>28599.321778000001</v>
      </c>
      <c r="F770" s="294" t="s">
        <v>648</v>
      </c>
    </row>
    <row r="771" spans="1:6" hidden="1" outlineLevel="1" collapsed="1" x14ac:dyDescent="0.25">
      <c r="A771" s="321" t="s">
        <v>282</v>
      </c>
      <c r="B771" s="321" t="s">
        <v>362</v>
      </c>
      <c r="C771" s="293">
        <v>19689.522873000002</v>
      </c>
      <c r="D771" s="293">
        <v>20699.752530999998</v>
      </c>
      <c r="E771" s="293">
        <v>1010.229658</v>
      </c>
      <c r="F771" s="294" t="s">
        <v>649</v>
      </c>
    </row>
    <row r="772" spans="1:6" hidden="1" outlineLevel="1" collapsed="1" x14ac:dyDescent="0.25">
      <c r="A772" s="321" t="s">
        <v>282</v>
      </c>
      <c r="B772" s="321" t="s">
        <v>363</v>
      </c>
      <c r="C772" s="293">
        <v>6377.8098819999996</v>
      </c>
      <c r="D772" s="293">
        <v>6527.6926800000001</v>
      </c>
      <c r="E772" s="293">
        <v>149.88279800000001</v>
      </c>
      <c r="F772" s="294" t="s">
        <v>650</v>
      </c>
    </row>
    <row r="773" spans="1:6" hidden="1" outlineLevel="1" collapsed="1" x14ac:dyDescent="0.25">
      <c r="A773" s="321" t="s">
        <v>282</v>
      </c>
      <c r="B773" s="321" t="s">
        <v>365</v>
      </c>
      <c r="C773" s="293">
        <v>214513.00752000001</v>
      </c>
      <c r="D773" s="293">
        <v>230882.90375999999</v>
      </c>
      <c r="E773" s="293">
        <v>16369.89624</v>
      </c>
      <c r="F773" s="294" t="s">
        <v>651</v>
      </c>
    </row>
    <row r="774" spans="1:6" hidden="1" outlineLevel="1" collapsed="1" x14ac:dyDescent="0.25">
      <c r="A774" s="321" t="s">
        <v>282</v>
      </c>
      <c r="B774" s="321" t="s">
        <v>367</v>
      </c>
      <c r="C774" s="293">
        <v>3495.381206</v>
      </c>
      <c r="D774" s="293">
        <v>2828.6049600000001</v>
      </c>
      <c r="E774" s="293">
        <v>-666.77624600000001</v>
      </c>
      <c r="F774" s="294" t="s">
        <v>652</v>
      </c>
    </row>
    <row r="775" spans="1:6" hidden="1" outlineLevel="1" collapsed="1" x14ac:dyDescent="0.25">
      <c r="A775" s="321" t="s">
        <v>282</v>
      </c>
      <c r="B775" s="321" t="s">
        <v>369</v>
      </c>
      <c r="C775" s="293">
        <v>678.94905900000003</v>
      </c>
      <c r="D775" s="293">
        <v>713.784493</v>
      </c>
      <c r="E775" s="293">
        <v>34.835433999999999</v>
      </c>
      <c r="F775" s="294" t="s">
        <v>649</v>
      </c>
    </row>
    <row r="776" spans="1:6" hidden="1" outlineLevel="1" collapsed="1" x14ac:dyDescent="0.25">
      <c r="A776" s="321" t="s">
        <v>282</v>
      </c>
      <c r="B776" s="321" t="s">
        <v>370</v>
      </c>
      <c r="C776" s="293">
        <v>22450.5</v>
      </c>
      <c r="D776" s="293">
        <v>23200.5</v>
      </c>
      <c r="E776" s="293">
        <v>750</v>
      </c>
      <c r="F776" s="294" t="s">
        <v>653</v>
      </c>
    </row>
    <row r="777" spans="1:6" hidden="1" outlineLevel="1" collapsed="1" x14ac:dyDescent="0.25">
      <c r="A777" s="321" t="s">
        <v>282</v>
      </c>
      <c r="B777" s="321" t="s">
        <v>371</v>
      </c>
      <c r="C777" s="293">
        <v>743.56056000000001</v>
      </c>
      <c r="D777" s="293">
        <v>749.84015999999997</v>
      </c>
      <c r="E777" s="293">
        <v>6.2796000000000003</v>
      </c>
      <c r="F777" s="294" t="s">
        <v>654</v>
      </c>
    </row>
    <row r="778" spans="1:6" hidden="1" outlineLevel="1" collapsed="1" x14ac:dyDescent="0.25">
      <c r="A778" s="321" t="s">
        <v>282</v>
      </c>
      <c r="B778" s="321" t="s">
        <v>373</v>
      </c>
      <c r="C778" s="293">
        <v>359.20800000000003</v>
      </c>
      <c r="D778" s="293">
        <v>170.75568000000001</v>
      </c>
      <c r="E778" s="293">
        <v>-188.45231999999999</v>
      </c>
      <c r="F778" s="294" t="s">
        <v>655</v>
      </c>
    </row>
    <row r="779" spans="1:6" hidden="1" outlineLevel="1" collapsed="1" x14ac:dyDescent="0.25">
      <c r="A779" s="321" t="s">
        <v>282</v>
      </c>
      <c r="B779" s="321" t="s">
        <v>445</v>
      </c>
      <c r="C779" s="293">
        <v>3000</v>
      </c>
      <c r="D779" s="293">
        <v>3000</v>
      </c>
      <c r="E779" s="293">
        <v>0</v>
      </c>
      <c r="F779" s="294" t="s">
        <v>316</v>
      </c>
    </row>
    <row r="780" spans="1:6" hidden="1" outlineLevel="1" collapsed="1" x14ac:dyDescent="0.25">
      <c r="A780" s="321" t="s">
        <v>282</v>
      </c>
      <c r="B780" s="321" t="s">
        <v>375</v>
      </c>
      <c r="C780" s="293">
        <v>1073</v>
      </c>
      <c r="D780" s="293">
        <v>1173</v>
      </c>
      <c r="E780" s="293">
        <v>100</v>
      </c>
      <c r="F780" s="294" t="s">
        <v>656</v>
      </c>
    </row>
    <row r="781" spans="1:6" hidden="1" outlineLevel="1" collapsed="1" x14ac:dyDescent="0.25">
      <c r="A781" s="321" t="s">
        <v>282</v>
      </c>
      <c r="B781" s="321" t="s">
        <v>431</v>
      </c>
      <c r="C781" s="293">
        <v>0</v>
      </c>
      <c r="D781" s="293">
        <v>100</v>
      </c>
      <c r="E781" s="293">
        <v>100</v>
      </c>
      <c r="F781" s="294" t="s">
        <v>298</v>
      </c>
    </row>
    <row r="782" spans="1:6" hidden="1" outlineLevel="1" collapsed="1" x14ac:dyDescent="0.25">
      <c r="A782" s="321" t="s">
        <v>282</v>
      </c>
      <c r="B782" s="321" t="s">
        <v>496</v>
      </c>
      <c r="C782" s="293">
        <v>0</v>
      </c>
      <c r="D782" s="293">
        <v>2000</v>
      </c>
      <c r="E782" s="293">
        <v>2000</v>
      </c>
      <c r="F782" s="294" t="s">
        <v>298</v>
      </c>
    </row>
    <row r="783" spans="1:6" hidden="1" outlineLevel="1" collapsed="1" x14ac:dyDescent="0.25">
      <c r="A783" s="321" t="s">
        <v>282</v>
      </c>
      <c r="B783" s="321" t="s">
        <v>376</v>
      </c>
      <c r="C783" s="293">
        <v>905</v>
      </c>
      <c r="D783" s="293">
        <v>905</v>
      </c>
      <c r="E783" s="293">
        <v>0</v>
      </c>
      <c r="F783" s="294" t="s">
        <v>316</v>
      </c>
    </row>
    <row r="784" spans="1:6" hidden="1" outlineLevel="1" collapsed="1" x14ac:dyDescent="0.25">
      <c r="A784" s="321" t="s">
        <v>282</v>
      </c>
      <c r="B784" s="321" t="s">
        <v>422</v>
      </c>
      <c r="C784" s="293">
        <v>0</v>
      </c>
      <c r="D784" s="293">
        <v>103</v>
      </c>
      <c r="E784" s="293">
        <v>103</v>
      </c>
      <c r="F784" s="294" t="s">
        <v>298</v>
      </c>
    </row>
    <row r="785" spans="1:6" collapsed="1" x14ac:dyDescent="0.25">
      <c r="A785" s="560" t="s">
        <v>657</v>
      </c>
      <c r="B785" s="561"/>
      <c r="C785" s="292">
        <v>60051</v>
      </c>
      <c r="D785" s="293">
        <v>44051</v>
      </c>
      <c r="E785" s="293">
        <v>-16000</v>
      </c>
      <c r="F785" s="294" t="s">
        <v>658</v>
      </c>
    </row>
    <row r="786" spans="1:6" hidden="1" outlineLevel="1" collapsed="1" x14ac:dyDescent="0.25">
      <c r="A786" s="321" t="s">
        <v>282</v>
      </c>
      <c r="B786" s="321" t="s">
        <v>475</v>
      </c>
      <c r="C786" s="293">
        <v>800</v>
      </c>
      <c r="D786" s="293">
        <v>0</v>
      </c>
      <c r="E786" s="293">
        <v>-800</v>
      </c>
      <c r="F786" s="294" t="s">
        <v>286</v>
      </c>
    </row>
    <row r="787" spans="1:6" hidden="1" outlineLevel="1" collapsed="1" x14ac:dyDescent="0.25">
      <c r="A787" s="321" t="s">
        <v>282</v>
      </c>
      <c r="B787" s="321" t="s">
        <v>452</v>
      </c>
      <c r="C787" s="293">
        <v>43051</v>
      </c>
      <c r="D787" s="293">
        <v>43851</v>
      </c>
      <c r="E787" s="293">
        <v>800</v>
      </c>
      <c r="F787" s="294" t="s">
        <v>1998</v>
      </c>
    </row>
    <row r="788" spans="1:6" hidden="1" outlineLevel="1" collapsed="1" x14ac:dyDescent="0.25">
      <c r="A788" s="321" t="s">
        <v>282</v>
      </c>
      <c r="B788" s="321" t="s">
        <v>376</v>
      </c>
      <c r="C788" s="293">
        <v>100</v>
      </c>
      <c r="D788" s="293">
        <v>100</v>
      </c>
      <c r="E788" s="293">
        <v>0</v>
      </c>
      <c r="F788" s="294" t="s">
        <v>316</v>
      </c>
    </row>
    <row r="789" spans="1:6" hidden="1" outlineLevel="1" collapsed="1" x14ac:dyDescent="0.25">
      <c r="A789" s="321" t="s">
        <v>282</v>
      </c>
      <c r="B789" s="321" t="s">
        <v>448</v>
      </c>
      <c r="C789" s="293">
        <v>16000</v>
      </c>
      <c r="D789" s="293">
        <v>0</v>
      </c>
      <c r="E789" s="293">
        <v>-16000</v>
      </c>
      <c r="F789" s="294" t="s">
        <v>286</v>
      </c>
    </row>
    <row r="790" spans="1:6" hidden="1" outlineLevel="1" collapsed="1" x14ac:dyDescent="0.25">
      <c r="A790" s="321" t="s">
        <v>282</v>
      </c>
      <c r="B790" s="321" t="s">
        <v>405</v>
      </c>
      <c r="C790" s="293">
        <v>100</v>
      </c>
      <c r="D790" s="293">
        <v>100</v>
      </c>
      <c r="E790" s="293">
        <v>0</v>
      </c>
      <c r="F790" s="294" t="s">
        <v>316</v>
      </c>
    </row>
    <row r="791" spans="1:6" collapsed="1" x14ac:dyDescent="0.25">
      <c r="A791" s="560" t="s">
        <v>659</v>
      </c>
      <c r="B791" s="561"/>
      <c r="C791" s="292">
        <v>14757</v>
      </c>
      <c r="D791" s="293">
        <v>15602</v>
      </c>
      <c r="E791" s="293">
        <v>845</v>
      </c>
      <c r="F791" s="294" t="s">
        <v>1514</v>
      </c>
    </row>
    <row r="792" spans="1:6" hidden="1" outlineLevel="1" collapsed="1" x14ac:dyDescent="0.25">
      <c r="A792" s="321" t="s">
        <v>282</v>
      </c>
      <c r="B792" s="321" t="s">
        <v>375</v>
      </c>
      <c r="C792" s="293">
        <v>476.99</v>
      </c>
      <c r="D792" s="293">
        <v>800</v>
      </c>
      <c r="E792" s="293">
        <v>323.01</v>
      </c>
      <c r="F792" s="294" t="s">
        <v>660</v>
      </c>
    </row>
    <row r="793" spans="1:6" hidden="1" outlineLevel="1" collapsed="1" x14ac:dyDescent="0.25">
      <c r="A793" s="321" t="s">
        <v>282</v>
      </c>
      <c r="B793" s="321" t="s">
        <v>376</v>
      </c>
      <c r="C793" s="293">
        <v>4750</v>
      </c>
      <c r="D793" s="293">
        <v>6848</v>
      </c>
      <c r="E793" s="293">
        <v>2098</v>
      </c>
      <c r="F793" s="294" t="s">
        <v>661</v>
      </c>
    </row>
    <row r="794" spans="1:6" hidden="1" outlineLevel="1" collapsed="1" x14ac:dyDescent="0.25">
      <c r="A794" s="321" t="s">
        <v>282</v>
      </c>
      <c r="B794" s="321" t="s">
        <v>662</v>
      </c>
      <c r="C794" s="293">
        <v>0</v>
      </c>
      <c r="D794" s="293">
        <v>0</v>
      </c>
      <c r="E794" s="293">
        <v>0</v>
      </c>
      <c r="F794" s="294" t="s">
        <v>316</v>
      </c>
    </row>
    <row r="795" spans="1:6" hidden="1" outlineLevel="1" collapsed="1" x14ac:dyDescent="0.25">
      <c r="A795" s="321" t="s">
        <v>282</v>
      </c>
      <c r="B795" s="321" t="s">
        <v>483</v>
      </c>
      <c r="C795" s="293">
        <v>2730</v>
      </c>
      <c r="D795" s="293">
        <v>3500</v>
      </c>
      <c r="E795" s="293">
        <v>770</v>
      </c>
      <c r="F795" s="294" t="s">
        <v>1999</v>
      </c>
    </row>
    <row r="796" spans="1:6" hidden="1" outlineLevel="1" collapsed="1" x14ac:dyDescent="0.25">
      <c r="A796" s="321" t="s">
        <v>282</v>
      </c>
      <c r="B796" s="321" t="s">
        <v>401</v>
      </c>
      <c r="C796" s="293">
        <v>1810</v>
      </c>
      <c r="D796" s="293">
        <v>2900</v>
      </c>
      <c r="E796" s="293">
        <v>1090</v>
      </c>
      <c r="F796" s="294" t="s">
        <v>663</v>
      </c>
    </row>
    <row r="797" spans="1:6" hidden="1" outlineLevel="1" collapsed="1" x14ac:dyDescent="0.25">
      <c r="A797" s="321" t="s">
        <v>282</v>
      </c>
      <c r="B797" s="321" t="s">
        <v>403</v>
      </c>
      <c r="C797" s="293">
        <v>0</v>
      </c>
      <c r="D797" s="293">
        <v>1029</v>
      </c>
      <c r="E797" s="293">
        <v>1029</v>
      </c>
      <c r="F797" s="294" t="s">
        <v>298</v>
      </c>
    </row>
    <row r="798" spans="1:6" hidden="1" outlineLevel="1" collapsed="1" x14ac:dyDescent="0.25">
      <c r="A798" s="321" t="s">
        <v>282</v>
      </c>
      <c r="B798" s="321" t="s">
        <v>405</v>
      </c>
      <c r="C798" s="293">
        <v>450</v>
      </c>
      <c r="D798" s="293">
        <v>0</v>
      </c>
      <c r="E798" s="293">
        <v>-450</v>
      </c>
      <c r="F798" s="294" t="s">
        <v>286</v>
      </c>
    </row>
    <row r="799" spans="1:6" hidden="1" outlineLevel="1" collapsed="1" x14ac:dyDescent="0.25">
      <c r="A799" s="321" t="s">
        <v>282</v>
      </c>
      <c r="B799" s="321" t="s">
        <v>422</v>
      </c>
      <c r="C799" s="293">
        <v>4540.01</v>
      </c>
      <c r="D799" s="293">
        <v>525</v>
      </c>
      <c r="E799" s="293">
        <v>-4015.01</v>
      </c>
      <c r="F799" s="294" t="s">
        <v>2000</v>
      </c>
    </row>
    <row r="800" spans="1:6" collapsed="1" x14ac:dyDescent="0.25">
      <c r="A800" s="560" t="s">
        <v>664</v>
      </c>
      <c r="B800" s="561"/>
      <c r="C800" s="292">
        <v>286842.40310400003</v>
      </c>
      <c r="D800" s="293">
        <v>292917.72414599999</v>
      </c>
      <c r="E800" s="293">
        <v>6075.3210419999996</v>
      </c>
      <c r="F800" s="294" t="s">
        <v>2001</v>
      </c>
    </row>
    <row r="801" spans="1:6" hidden="1" outlineLevel="1" collapsed="1" x14ac:dyDescent="0.25">
      <c r="A801" s="321" t="s">
        <v>282</v>
      </c>
      <c r="B801" s="321" t="s">
        <v>358</v>
      </c>
      <c r="C801" s="293">
        <v>174932.64</v>
      </c>
      <c r="D801" s="293">
        <v>179698.11720000001</v>
      </c>
      <c r="E801" s="293">
        <v>4765.4772000000003</v>
      </c>
      <c r="F801" s="294" t="s">
        <v>666</v>
      </c>
    </row>
    <row r="802" spans="1:6" hidden="1" outlineLevel="1" collapsed="1" x14ac:dyDescent="0.25">
      <c r="A802" s="321" t="s">
        <v>282</v>
      </c>
      <c r="B802" s="321" t="s">
        <v>412</v>
      </c>
      <c r="C802" s="293">
        <v>6000</v>
      </c>
      <c r="D802" s="293">
        <v>6000</v>
      </c>
      <c r="E802" s="293">
        <v>0</v>
      </c>
      <c r="F802" s="294" t="s">
        <v>316</v>
      </c>
    </row>
    <row r="803" spans="1:6" hidden="1" outlineLevel="1" collapsed="1" x14ac:dyDescent="0.25">
      <c r="A803" s="321" t="s">
        <v>282</v>
      </c>
      <c r="B803" s="321" t="s">
        <v>380</v>
      </c>
      <c r="C803" s="293">
        <v>31190.734627999998</v>
      </c>
      <c r="D803" s="293">
        <v>27124.519752</v>
      </c>
      <c r="E803" s="293">
        <v>-4066.214876</v>
      </c>
      <c r="F803" s="294" t="s">
        <v>667</v>
      </c>
    </row>
    <row r="804" spans="1:6" hidden="1" outlineLevel="1" collapsed="1" x14ac:dyDescent="0.25">
      <c r="A804" s="321" t="s">
        <v>282</v>
      </c>
      <c r="B804" s="321" t="s">
        <v>424</v>
      </c>
      <c r="C804" s="293">
        <v>500</v>
      </c>
      <c r="D804" s="293">
        <v>500</v>
      </c>
      <c r="E804" s="293">
        <v>0</v>
      </c>
      <c r="F804" s="294" t="s">
        <v>316</v>
      </c>
    </row>
    <row r="805" spans="1:6" hidden="1" outlineLevel="1" collapsed="1" x14ac:dyDescent="0.25">
      <c r="A805" s="321" t="s">
        <v>282</v>
      </c>
      <c r="B805" s="321" t="s">
        <v>360</v>
      </c>
      <c r="C805" s="293">
        <v>22828.70952</v>
      </c>
      <c r="D805" s="293">
        <v>25930.438300000002</v>
      </c>
      <c r="E805" s="293">
        <v>3101.7287799999999</v>
      </c>
      <c r="F805" s="294" t="s">
        <v>668</v>
      </c>
    </row>
    <row r="806" spans="1:6" hidden="1" outlineLevel="1" collapsed="1" x14ac:dyDescent="0.25">
      <c r="A806" s="321" t="s">
        <v>282</v>
      </c>
      <c r="B806" s="321" t="s">
        <v>384</v>
      </c>
      <c r="C806" s="293">
        <v>3944.1548120000002</v>
      </c>
      <c r="D806" s="293">
        <v>0</v>
      </c>
      <c r="E806" s="293">
        <v>-3944.1548120000002</v>
      </c>
      <c r="F806" s="294" t="s">
        <v>286</v>
      </c>
    </row>
    <row r="807" spans="1:6" hidden="1" outlineLevel="1" collapsed="1" x14ac:dyDescent="0.25">
      <c r="A807" s="321" t="s">
        <v>282</v>
      </c>
      <c r="B807" s="321" t="s">
        <v>385</v>
      </c>
      <c r="C807" s="293">
        <v>0</v>
      </c>
      <c r="D807" s="293">
        <v>4212.7091520000004</v>
      </c>
      <c r="E807" s="293">
        <v>4212.7091520000004</v>
      </c>
      <c r="F807" s="294" t="s">
        <v>298</v>
      </c>
    </row>
    <row r="808" spans="1:6" hidden="1" outlineLevel="1" collapsed="1" x14ac:dyDescent="0.25">
      <c r="A808" s="321" t="s">
        <v>282</v>
      </c>
      <c r="B808" s="321" t="s">
        <v>386</v>
      </c>
      <c r="C808" s="293">
        <v>1632.3815400000001</v>
      </c>
      <c r="D808" s="293">
        <v>0</v>
      </c>
      <c r="E808" s="293">
        <v>-1632.3815400000001</v>
      </c>
      <c r="F808" s="294" t="s">
        <v>286</v>
      </c>
    </row>
    <row r="809" spans="1:6" hidden="1" outlineLevel="1" collapsed="1" x14ac:dyDescent="0.25">
      <c r="A809" s="321" t="s">
        <v>282</v>
      </c>
      <c r="B809" s="321" t="s">
        <v>387</v>
      </c>
      <c r="C809" s="293">
        <v>0</v>
      </c>
      <c r="D809" s="293">
        <v>1681.7202239999999</v>
      </c>
      <c r="E809" s="293">
        <v>1681.7202239999999</v>
      </c>
      <c r="F809" s="294" t="s">
        <v>298</v>
      </c>
    </row>
    <row r="810" spans="1:6" hidden="1" outlineLevel="1" collapsed="1" x14ac:dyDescent="0.25">
      <c r="A810" s="321" t="s">
        <v>282</v>
      </c>
      <c r="B810" s="321" t="s">
        <v>362</v>
      </c>
      <c r="C810" s="293">
        <v>2623.5232799999999</v>
      </c>
      <c r="D810" s="293">
        <v>2692.6226900000001</v>
      </c>
      <c r="E810" s="293">
        <v>69.099410000000006</v>
      </c>
      <c r="F810" s="294" t="s">
        <v>669</v>
      </c>
    </row>
    <row r="811" spans="1:6" hidden="1" outlineLevel="1" collapsed="1" x14ac:dyDescent="0.25">
      <c r="A811" s="321" t="s">
        <v>282</v>
      </c>
      <c r="B811" s="321" t="s">
        <v>388</v>
      </c>
      <c r="C811" s="293">
        <v>381.76664399999999</v>
      </c>
      <c r="D811" s="293">
        <v>393.30553200000003</v>
      </c>
      <c r="E811" s="293">
        <v>11.538888</v>
      </c>
      <c r="F811" s="294" t="s">
        <v>520</v>
      </c>
    </row>
    <row r="812" spans="1:6" hidden="1" outlineLevel="1" collapsed="1" x14ac:dyDescent="0.25">
      <c r="A812" s="321" t="s">
        <v>282</v>
      </c>
      <c r="B812" s="321" t="s">
        <v>363</v>
      </c>
      <c r="C812" s="293">
        <v>852.24959999999999</v>
      </c>
      <c r="D812" s="293">
        <v>844.08</v>
      </c>
      <c r="E812" s="293">
        <v>-8.1696000000000009</v>
      </c>
      <c r="F812" s="294" t="s">
        <v>364</v>
      </c>
    </row>
    <row r="813" spans="1:6" hidden="1" outlineLevel="1" collapsed="1" x14ac:dyDescent="0.25">
      <c r="A813" s="321" t="s">
        <v>282</v>
      </c>
      <c r="B813" s="321" t="s">
        <v>365</v>
      </c>
      <c r="C813" s="293">
        <v>15358.56</v>
      </c>
      <c r="D813" s="293">
        <v>15959.28</v>
      </c>
      <c r="E813" s="293">
        <v>600.72</v>
      </c>
      <c r="F813" s="294" t="s">
        <v>366</v>
      </c>
    </row>
    <row r="814" spans="1:6" hidden="1" outlineLevel="1" collapsed="1" x14ac:dyDescent="0.25">
      <c r="A814" s="321" t="s">
        <v>282</v>
      </c>
      <c r="B814" s="321" t="s">
        <v>367</v>
      </c>
      <c r="C814" s="293">
        <v>467.07839999999999</v>
      </c>
      <c r="D814" s="293">
        <v>365.76</v>
      </c>
      <c r="E814" s="293">
        <v>-101.3184</v>
      </c>
      <c r="F814" s="294" t="s">
        <v>368</v>
      </c>
    </row>
    <row r="815" spans="1:6" hidden="1" outlineLevel="1" collapsed="1" x14ac:dyDescent="0.25">
      <c r="A815" s="321" t="s">
        <v>282</v>
      </c>
      <c r="B815" s="321" t="s">
        <v>444</v>
      </c>
      <c r="C815" s="293">
        <v>45</v>
      </c>
      <c r="D815" s="293">
        <v>0</v>
      </c>
      <c r="E815" s="293">
        <v>-45</v>
      </c>
      <c r="F815" s="294" t="s">
        <v>286</v>
      </c>
    </row>
    <row r="816" spans="1:6" hidden="1" outlineLevel="1" collapsed="1" x14ac:dyDescent="0.25">
      <c r="A816" s="321" t="s">
        <v>282</v>
      </c>
      <c r="B816" s="321" t="s">
        <v>389</v>
      </c>
      <c r="C816" s="293">
        <v>426.12479999999999</v>
      </c>
      <c r="D816" s="293">
        <v>422.04</v>
      </c>
      <c r="E816" s="293">
        <v>-4.0848000000000004</v>
      </c>
      <c r="F816" s="294" t="s">
        <v>364</v>
      </c>
    </row>
    <row r="817" spans="1:6" hidden="1" outlineLevel="1" collapsed="1" x14ac:dyDescent="0.25">
      <c r="A817" s="321" t="s">
        <v>282</v>
      </c>
      <c r="B817" s="321" t="s">
        <v>390</v>
      </c>
      <c r="C817" s="293">
        <v>15485.27</v>
      </c>
      <c r="D817" s="293">
        <v>15959.28</v>
      </c>
      <c r="E817" s="293">
        <v>474.01</v>
      </c>
      <c r="F817" s="294" t="s">
        <v>391</v>
      </c>
    </row>
    <row r="818" spans="1:6" hidden="1" outlineLevel="1" collapsed="1" x14ac:dyDescent="0.25">
      <c r="A818" s="321" t="s">
        <v>282</v>
      </c>
      <c r="B818" s="321" t="s">
        <v>392</v>
      </c>
      <c r="C818" s="293">
        <v>233.53919999999999</v>
      </c>
      <c r="D818" s="293">
        <v>182.88</v>
      </c>
      <c r="E818" s="293">
        <v>-50.659199999999998</v>
      </c>
      <c r="F818" s="294" t="s">
        <v>368</v>
      </c>
    </row>
    <row r="819" spans="1:6" hidden="1" outlineLevel="1" collapsed="1" x14ac:dyDescent="0.25">
      <c r="A819" s="321" t="s">
        <v>282</v>
      </c>
      <c r="B819" s="321" t="s">
        <v>369</v>
      </c>
      <c r="C819" s="293">
        <v>90.466319999999996</v>
      </c>
      <c r="D819" s="293">
        <v>92.849040000000002</v>
      </c>
      <c r="E819" s="293">
        <v>2.3827199999999999</v>
      </c>
      <c r="F819" s="294" t="s">
        <v>669</v>
      </c>
    </row>
    <row r="820" spans="1:6" hidden="1" outlineLevel="1" collapsed="1" x14ac:dyDescent="0.25">
      <c r="A820" s="321" t="s">
        <v>282</v>
      </c>
      <c r="B820" s="321" t="s">
        <v>393</v>
      </c>
      <c r="C820" s="293">
        <v>13.16436</v>
      </c>
      <c r="D820" s="293">
        <v>13.562256</v>
      </c>
      <c r="E820" s="293">
        <v>0.39789600000000003</v>
      </c>
      <c r="F820" s="294" t="s">
        <v>520</v>
      </c>
    </row>
    <row r="821" spans="1:6" hidden="1" outlineLevel="1" collapsed="1" x14ac:dyDescent="0.25">
      <c r="A821" s="321" t="s">
        <v>282</v>
      </c>
      <c r="B821" s="321" t="s">
        <v>370</v>
      </c>
      <c r="C821" s="293">
        <v>3000</v>
      </c>
      <c r="D821" s="293">
        <v>3000</v>
      </c>
      <c r="E821" s="293">
        <v>0</v>
      </c>
      <c r="F821" s="294" t="s">
        <v>316</v>
      </c>
    </row>
    <row r="822" spans="1:6" hidden="1" outlineLevel="1" collapsed="1" x14ac:dyDescent="0.25">
      <c r="A822" s="321" t="s">
        <v>282</v>
      </c>
      <c r="B822" s="321" t="s">
        <v>394</v>
      </c>
      <c r="C822" s="293">
        <v>1500</v>
      </c>
      <c r="D822" s="293">
        <v>0</v>
      </c>
      <c r="E822" s="293">
        <v>-1500</v>
      </c>
      <c r="F822" s="294" t="s">
        <v>286</v>
      </c>
    </row>
    <row r="823" spans="1:6" hidden="1" outlineLevel="1" collapsed="1" x14ac:dyDescent="0.25">
      <c r="A823" s="321" t="s">
        <v>282</v>
      </c>
      <c r="B823" s="321" t="s">
        <v>395</v>
      </c>
      <c r="C823" s="293">
        <v>0</v>
      </c>
      <c r="D823" s="293">
        <v>1500</v>
      </c>
      <c r="E823" s="293">
        <v>1500</v>
      </c>
      <c r="F823" s="294" t="s">
        <v>298</v>
      </c>
    </row>
    <row r="824" spans="1:6" hidden="1" outlineLevel="1" collapsed="1" x14ac:dyDescent="0.25">
      <c r="A824" s="321" t="s">
        <v>282</v>
      </c>
      <c r="B824" s="321" t="s">
        <v>371</v>
      </c>
      <c r="C824" s="293">
        <v>99.36</v>
      </c>
      <c r="D824" s="293">
        <v>96.96</v>
      </c>
      <c r="E824" s="293">
        <v>-2.4</v>
      </c>
      <c r="F824" s="294" t="s">
        <v>372</v>
      </c>
    </row>
    <row r="825" spans="1:6" hidden="1" outlineLevel="1" collapsed="1" x14ac:dyDescent="0.25">
      <c r="A825" s="321" t="s">
        <v>282</v>
      </c>
      <c r="B825" s="321" t="s">
        <v>396</v>
      </c>
      <c r="C825" s="293">
        <v>49.68</v>
      </c>
      <c r="D825" s="293">
        <v>0</v>
      </c>
      <c r="E825" s="293">
        <v>-49.68</v>
      </c>
      <c r="F825" s="294" t="s">
        <v>286</v>
      </c>
    </row>
    <row r="826" spans="1:6" hidden="1" outlineLevel="1" collapsed="1" x14ac:dyDescent="0.25">
      <c r="A826" s="321" t="s">
        <v>282</v>
      </c>
      <c r="B826" s="321" t="s">
        <v>397</v>
      </c>
      <c r="C826" s="293">
        <v>0</v>
      </c>
      <c r="D826" s="293">
        <v>48.48</v>
      </c>
      <c r="E826" s="293">
        <v>48.48</v>
      </c>
      <c r="F826" s="294" t="s">
        <v>298</v>
      </c>
    </row>
    <row r="827" spans="1:6" hidden="1" outlineLevel="1" collapsed="1" x14ac:dyDescent="0.25">
      <c r="A827" s="321" t="s">
        <v>282</v>
      </c>
      <c r="B827" s="321" t="s">
        <v>373</v>
      </c>
      <c r="C827" s="293">
        <v>48</v>
      </c>
      <c r="D827" s="293">
        <v>22.08</v>
      </c>
      <c r="E827" s="293">
        <v>-25.92</v>
      </c>
      <c r="F827" s="294" t="s">
        <v>374</v>
      </c>
    </row>
    <row r="828" spans="1:6" hidden="1" outlineLevel="1" collapsed="1" x14ac:dyDescent="0.25">
      <c r="A828" s="321" t="s">
        <v>282</v>
      </c>
      <c r="B828" s="321" t="s">
        <v>398</v>
      </c>
      <c r="C828" s="293">
        <v>24</v>
      </c>
      <c r="D828" s="293">
        <v>11.04</v>
      </c>
      <c r="E828" s="293">
        <v>-12.96</v>
      </c>
      <c r="F828" s="294" t="s">
        <v>374</v>
      </c>
    </row>
    <row r="829" spans="1:6" hidden="1" outlineLevel="1" collapsed="1" x14ac:dyDescent="0.25">
      <c r="A829" s="321" t="s">
        <v>282</v>
      </c>
      <c r="B829" s="321" t="s">
        <v>445</v>
      </c>
      <c r="C829" s="293">
        <v>3000</v>
      </c>
      <c r="D829" s="293">
        <v>3000</v>
      </c>
      <c r="E829" s="293">
        <v>0</v>
      </c>
      <c r="F829" s="294" t="s">
        <v>316</v>
      </c>
    </row>
    <row r="830" spans="1:6" hidden="1" outlineLevel="1" collapsed="1" x14ac:dyDescent="0.25">
      <c r="A830" s="321" t="s">
        <v>282</v>
      </c>
      <c r="B830" s="321" t="s">
        <v>375</v>
      </c>
      <c r="C830" s="293">
        <v>28.32</v>
      </c>
      <c r="D830" s="293">
        <v>0</v>
      </c>
      <c r="E830" s="293">
        <v>-28.32</v>
      </c>
      <c r="F830" s="294" t="s">
        <v>286</v>
      </c>
    </row>
    <row r="831" spans="1:6" hidden="1" outlineLevel="1" collapsed="1" x14ac:dyDescent="0.25">
      <c r="A831" s="321" t="s">
        <v>282</v>
      </c>
      <c r="B831" s="321" t="s">
        <v>431</v>
      </c>
      <c r="C831" s="293">
        <v>67</v>
      </c>
      <c r="D831" s="293">
        <v>0</v>
      </c>
      <c r="E831" s="293">
        <v>-67</v>
      </c>
      <c r="F831" s="294" t="s">
        <v>286</v>
      </c>
    </row>
    <row r="832" spans="1:6" hidden="1" outlineLevel="1" collapsed="1" x14ac:dyDescent="0.25">
      <c r="A832" s="321" t="s">
        <v>282</v>
      </c>
      <c r="B832" s="321" t="s">
        <v>376</v>
      </c>
      <c r="C832" s="293">
        <v>1163.2</v>
      </c>
      <c r="D832" s="293">
        <v>1116</v>
      </c>
      <c r="E832" s="293">
        <v>-47.2</v>
      </c>
      <c r="F832" s="294" t="s">
        <v>670</v>
      </c>
    </row>
    <row r="833" spans="1:6" hidden="1" outlineLevel="1" collapsed="1" x14ac:dyDescent="0.25">
      <c r="A833" s="321" t="s">
        <v>282</v>
      </c>
      <c r="B833" s="321" t="s">
        <v>422</v>
      </c>
      <c r="C833" s="293">
        <v>857.48</v>
      </c>
      <c r="D833" s="293">
        <v>2050</v>
      </c>
      <c r="E833" s="293">
        <v>1192.52</v>
      </c>
      <c r="F833" s="294" t="s">
        <v>2002</v>
      </c>
    </row>
    <row r="834" spans="1:6" collapsed="1" x14ac:dyDescent="0.25">
      <c r="A834" s="560" t="s">
        <v>672</v>
      </c>
      <c r="B834" s="561"/>
      <c r="C834" s="292">
        <v>710794.00832499994</v>
      </c>
      <c r="D834" s="293">
        <v>787792.13804300001</v>
      </c>
      <c r="E834" s="293">
        <v>76998.129717999997</v>
      </c>
      <c r="F834" s="294" t="s">
        <v>2003</v>
      </c>
    </row>
    <row r="835" spans="1:6" hidden="1" outlineLevel="1" collapsed="1" x14ac:dyDescent="0.25">
      <c r="A835" s="321" t="s">
        <v>282</v>
      </c>
      <c r="B835" s="321" t="s">
        <v>358</v>
      </c>
      <c r="C835" s="293">
        <v>337702.74622899998</v>
      </c>
      <c r="D835" s="293">
        <v>380070.93178799999</v>
      </c>
      <c r="E835" s="293">
        <v>42368.185558999998</v>
      </c>
      <c r="F835" s="294" t="s">
        <v>674</v>
      </c>
    </row>
    <row r="836" spans="1:6" hidden="1" outlineLevel="1" collapsed="1" x14ac:dyDescent="0.25">
      <c r="A836" s="321" t="s">
        <v>282</v>
      </c>
      <c r="B836" s="321" t="s">
        <v>675</v>
      </c>
      <c r="C836" s="293">
        <v>58996.224000000002</v>
      </c>
      <c r="D836" s="293">
        <v>60890.109839999997</v>
      </c>
      <c r="E836" s="293">
        <v>1893.8858399999999</v>
      </c>
      <c r="F836" s="294" t="s">
        <v>359</v>
      </c>
    </row>
    <row r="837" spans="1:6" hidden="1" outlineLevel="1" collapsed="1" x14ac:dyDescent="0.25">
      <c r="A837" s="321" t="s">
        <v>282</v>
      </c>
      <c r="B837" s="321" t="s">
        <v>412</v>
      </c>
      <c r="C837" s="293">
        <v>4800</v>
      </c>
      <c r="D837" s="293">
        <v>4800</v>
      </c>
      <c r="E837" s="293">
        <v>0</v>
      </c>
      <c r="F837" s="294" t="s">
        <v>316</v>
      </c>
    </row>
    <row r="838" spans="1:6" hidden="1" outlineLevel="1" collapsed="1" x14ac:dyDescent="0.25">
      <c r="A838" s="321" t="s">
        <v>282</v>
      </c>
      <c r="B838" s="321" t="s">
        <v>380</v>
      </c>
      <c r="C838" s="293">
        <v>101211.373754</v>
      </c>
      <c r="D838" s="293">
        <v>106627.68249399999</v>
      </c>
      <c r="E838" s="293">
        <v>5416.3087400000004</v>
      </c>
      <c r="F838" s="294" t="s">
        <v>676</v>
      </c>
    </row>
    <row r="839" spans="1:6" hidden="1" outlineLevel="1" collapsed="1" x14ac:dyDescent="0.25">
      <c r="A839" s="321" t="s">
        <v>282</v>
      </c>
      <c r="B839" s="321" t="s">
        <v>382</v>
      </c>
      <c r="C839" s="293">
        <v>4997</v>
      </c>
      <c r="D839" s="293">
        <v>5000</v>
      </c>
      <c r="E839" s="293">
        <v>3</v>
      </c>
      <c r="F839" s="294" t="s">
        <v>848</v>
      </c>
    </row>
    <row r="840" spans="1:6" hidden="1" outlineLevel="1" collapsed="1" x14ac:dyDescent="0.25">
      <c r="A840" s="321" t="s">
        <v>282</v>
      </c>
      <c r="B840" s="321" t="s">
        <v>360</v>
      </c>
      <c r="C840" s="293">
        <v>51769.215604999998</v>
      </c>
      <c r="D840" s="293">
        <v>63630.678289000003</v>
      </c>
      <c r="E840" s="293">
        <v>11861.462684</v>
      </c>
      <c r="F840" s="294" t="s">
        <v>677</v>
      </c>
    </row>
    <row r="841" spans="1:6" hidden="1" outlineLevel="1" collapsed="1" x14ac:dyDescent="0.25">
      <c r="A841" s="321" t="s">
        <v>282</v>
      </c>
      <c r="B841" s="321" t="s">
        <v>384</v>
      </c>
      <c r="C841" s="293">
        <v>12513.87998</v>
      </c>
      <c r="D841" s="293">
        <v>0</v>
      </c>
      <c r="E841" s="293">
        <v>-12513.87998</v>
      </c>
      <c r="F841" s="294" t="s">
        <v>286</v>
      </c>
    </row>
    <row r="842" spans="1:6" hidden="1" outlineLevel="1" collapsed="1" x14ac:dyDescent="0.25">
      <c r="A842" s="321" t="s">
        <v>282</v>
      </c>
      <c r="B842" s="321" t="s">
        <v>385</v>
      </c>
      <c r="C842" s="293">
        <v>0</v>
      </c>
      <c r="D842" s="293">
        <v>16290.576542999999</v>
      </c>
      <c r="E842" s="293">
        <v>16290.576542999999</v>
      </c>
      <c r="F842" s="294" t="s">
        <v>298</v>
      </c>
    </row>
    <row r="843" spans="1:6" hidden="1" outlineLevel="1" collapsed="1" x14ac:dyDescent="0.25">
      <c r="A843" s="321" t="s">
        <v>282</v>
      </c>
      <c r="B843" s="321" t="s">
        <v>386</v>
      </c>
      <c r="C843" s="293">
        <v>6275.105157</v>
      </c>
      <c r="D843" s="293">
        <v>0</v>
      </c>
      <c r="E843" s="293">
        <v>-6275.105157</v>
      </c>
      <c r="F843" s="294" t="s">
        <v>286</v>
      </c>
    </row>
    <row r="844" spans="1:6" hidden="1" outlineLevel="1" collapsed="1" x14ac:dyDescent="0.25">
      <c r="A844" s="321" t="s">
        <v>282</v>
      </c>
      <c r="B844" s="321" t="s">
        <v>387</v>
      </c>
      <c r="C844" s="293">
        <v>0</v>
      </c>
      <c r="D844" s="293">
        <v>6610.9163070000004</v>
      </c>
      <c r="E844" s="293">
        <v>6610.9163070000004</v>
      </c>
      <c r="F844" s="294" t="s">
        <v>298</v>
      </c>
    </row>
    <row r="845" spans="1:6" hidden="1" outlineLevel="1" collapsed="1" x14ac:dyDescent="0.25">
      <c r="A845" s="321" t="s">
        <v>282</v>
      </c>
      <c r="B845" s="321" t="s">
        <v>362</v>
      </c>
      <c r="C845" s="293">
        <v>5821.7350569999999</v>
      </c>
      <c r="D845" s="293">
        <v>6463.5350820000003</v>
      </c>
      <c r="E845" s="293">
        <v>641.80002500000001</v>
      </c>
      <c r="F845" s="294" t="s">
        <v>678</v>
      </c>
    </row>
    <row r="846" spans="1:6" hidden="1" outlineLevel="1" collapsed="1" x14ac:dyDescent="0.25">
      <c r="A846" s="321" t="s">
        <v>282</v>
      </c>
      <c r="B846" s="321" t="s">
        <v>388</v>
      </c>
      <c r="C846" s="293">
        <v>1467.5649100000001</v>
      </c>
      <c r="D846" s="293">
        <v>1546.1013849999999</v>
      </c>
      <c r="E846" s="293">
        <v>78.536474999999996</v>
      </c>
      <c r="F846" s="294" t="s">
        <v>676</v>
      </c>
    </row>
    <row r="847" spans="1:6" hidden="1" outlineLevel="1" collapsed="1" x14ac:dyDescent="0.25">
      <c r="A847" s="321" t="s">
        <v>282</v>
      </c>
      <c r="B847" s="321" t="s">
        <v>363</v>
      </c>
      <c r="C847" s="293">
        <v>2039.7173760000001</v>
      </c>
      <c r="D847" s="293">
        <v>2152.404</v>
      </c>
      <c r="E847" s="293">
        <v>112.68662399999999</v>
      </c>
      <c r="F847" s="294" t="s">
        <v>679</v>
      </c>
    </row>
    <row r="848" spans="1:6" hidden="1" outlineLevel="1" collapsed="1" x14ac:dyDescent="0.25">
      <c r="A848" s="321" t="s">
        <v>282</v>
      </c>
      <c r="B848" s="321" t="s">
        <v>365</v>
      </c>
      <c r="C848" s="293">
        <v>73516.307199999996</v>
      </c>
      <c r="D848" s="293">
        <v>81392.327999999994</v>
      </c>
      <c r="E848" s="293">
        <v>7876.0208000000002</v>
      </c>
      <c r="F848" s="294" t="s">
        <v>680</v>
      </c>
    </row>
    <row r="849" spans="1:6" hidden="1" outlineLevel="1" collapsed="1" x14ac:dyDescent="0.25">
      <c r="A849" s="321" t="s">
        <v>282</v>
      </c>
      <c r="B849" s="321" t="s">
        <v>367</v>
      </c>
      <c r="C849" s="293">
        <v>1117.8743039999999</v>
      </c>
      <c r="D849" s="293">
        <v>932.68799999999999</v>
      </c>
      <c r="E849" s="293">
        <v>-185.18630400000001</v>
      </c>
      <c r="F849" s="294" t="s">
        <v>681</v>
      </c>
    </row>
    <row r="850" spans="1:6" hidden="1" outlineLevel="1" collapsed="1" x14ac:dyDescent="0.25">
      <c r="A850" s="321" t="s">
        <v>282</v>
      </c>
      <c r="B850" s="321" t="s">
        <v>444</v>
      </c>
      <c r="C850" s="293">
        <v>150</v>
      </c>
      <c r="D850" s="293">
        <v>450</v>
      </c>
      <c r="E850" s="293">
        <v>300</v>
      </c>
      <c r="F850" s="294" t="s">
        <v>787</v>
      </c>
    </row>
    <row r="851" spans="1:6" hidden="1" outlineLevel="1" collapsed="1" x14ac:dyDescent="0.25">
      <c r="A851" s="321" t="s">
        <v>282</v>
      </c>
      <c r="B851" s="321" t="s">
        <v>389</v>
      </c>
      <c r="C851" s="293">
        <v>852.24959999999999</v>
      </c>
      <c r="D851" s="293">
        <v>844.08</v>
      </c>
      <c r="E851" s="293">
        <v>-8.1696000000000009</v>
      </c>
      <c r="F851" s="294" t="s">
        <v>364</v>
      </c>
    </row>
    <row r="852" spans="1:6" hidden="1" outlineLevel="1" collapsed="1" x14ac:dyDescent="0.25">
      <c r="A852" s="321" t="s">
        <v>282</v>
      </c>
      <c r="B852" s="321" t="s">
        <v>390</v>
      </c>
      <c r="C852" s="293">
        <v>30970.54</v>
      </c>
      <c r="D852" s="293">
        <v>31918.560000000001</v>
      </c>
      <c r="E852" s="293">
        <v>948.02</v>
      </c>
      <c r="F852" s="294" t="s">
        <v>391</v>
      </c>
    </row>
    <row r="853" spans="1:6" hidden="1" outlineLevel="1" collapsed="1" x14ac:dyDescent="0.25">
      <c r="A853" s="321" t="s">
        <v>282</v>
      </c>
      <c r="B853" s="321" t="s">
        <v>392</v>
      </c>
      <c r="C853" s="293">
        <v>467.07839999999999</v>
      </c>
      <c r="D853" s="293">
        <v>365.76</v>
      </c>
      <c r="E853" s="293">
        <v>-101.3184</v>
      </c>
      <c r="F853" s="294" t="s">
        <v>368</v>
      </c>
    </row>
    <row r="854" spans="1:6" hidden="1" outlineLevel="1" collapsed="1" x14ac:dyDescent="0.25">
      <c r="A854" s="321" t="s">
        <v>282</v>
      </c>
      <c r="B854" s="321" t="s">
        <v>369</v>
      </c>
      <c r="C854" s="293">
        <v>200.74947499999999</v>
      </c>
      <c r="D854" s="293">
        <v>222.880493</v>
      </c>
      <c r="E854" s="293">
        <v>22.131018000000001</v>
      </c>
      <c r="F854" s="294" t="s">
        <v>678</v>
      </c>
    </row>
    <row r="855" spans="1:6" hidden="1" outlineLevel="1" collapsed="1" x14ac:dyDescent="0.25">
      <c r="A855" s="321" t="s">
        <v>282</v>
      </c>
      <c r="B855" s="321" t="s">
        <v>393</v>
      </c>
      <c r="C855" s="293">
        <v>50.605677999999997</v>
      </c>
      <c r="D855" s="293">
        <v>53.313822000000002</v>
      </c>
      <c r="E855" s="293">
        <v>2.7081439999999999</v>
      </c>
      <c r="F855" s="294" t="s">
        <v>676</v>
      </c>
    </row>
    <row r="856" spans="1:6" hidden="1" outlineLevel="1" collapsed="1" x14ac:dyDescent="0.25">
      <c r="A856" s="321" t="s">
        <v>282</v>
      </c>
      <c r="B856" s="321" t="s">
        <v>370</v>
      </c>
      <c r="C856" s="293">
        <v>7180</v>
      </c>
      <c r="D856" s="293">
        <v>7650</v>
      </c>
      <c r="E856" s="293">
        <v>470</v>
      </c>
      <c r="F856" s="294" t="s">
        <v>682</v>
      </c>
    </row>
    <row r="857" spans="1:6" hidden="1" outlineLevel="1" collapsed="1" x14ac:dyDescent="0.25">
      <c r="A857" s="321" t="s">
        <v>282</v>
      </c>
      <c r="B857" s="321" t="s">
        <v>394</v>
      </c>
      <c r="C857" s="293">
        <v>3000</v>
      </c>
      <c r="D857" s="293">
        <v>0</v>
      </c>
      <c r="E857" s="293">
        <v>-3000</v>
      </c>
      <c r="F857" s="294" t="s">
        <v>286</v>
      </c>
    </row>
    <row r="858" spans="1:6" hidden="1" outlineLevel="1" collapsed="1" x14ac:dyDescent="0.25">
      <c r="A858" s="321" t="s">
        <v>282</v>
      </c>
      <c r="B858" s="321" t="s">
        <v>395</v>
      </c>
      <c r="C858" s="293">
        <v>0</v>
      </c>
      <c r="D858" s="293">
        <v>3000</v>
      </c>
      <c r="E858" s="293">
        <v>3000</v>
      </c>
      <c r="F858" s="294" t="s">
        <v>298</v>
      </c>
    </row>
    <row r="859" spans="1:6" hidden="1" outlineLevel="1" collapsed="1" x14ac:dyDescent="0.25">
      <c r="A859" s="321" t="s">
        <v>282</v>
      </c>
      <c r="B859" s="321" t="s">
        <v>371</v>
      </c>
      <c r="C859" s="293">
        <v>237.80160000000001</v>
      </c>
      <c r="D859" s="293">
        <v>247.24799999999999</v>
      </c>
      <c r="E859" s="293">
        <v>9.4464000000000006</v>
      </c>
      <c r="F859" s="294" t="s">
        <v>628</v>
      </c>
    </row>
    <row r="860" spans="1:6" hidden="1" outlineLevel="1" collapsed="1" x14ac:dyDescent="0.25">
      <c r="A860" s="321" t="s">
        <v>282</v>
      </c>
      <c r="B860" s="321" t="s">
        <v>396</v>
      </c>
      <c r="C860" s="293">
        <v>99.36</v>
      </c>
      <c r="D860" s="293">
        <v>0</v>
      </c>
      <c r="E860" s="293">
        <v>-99.36</v>
      </c>
      <c r="F860" s="294" t="s">
        <v>286</v>
      </c>
    </row>
    <row r="861" spans="1:6" hidden="1" outlineLevel="1" collapsed="1" x14ac:dyDescent="0.25">
      <c r="A861" s="321" t="s">
        <v>282</v>
      </c>
      <c r="B861" s="321" t="s">
        <v>397</v>
      </c>
      <c r="C861" s="293">
        <v>0</v>
      </c>
      <c r="D861" s="293">
        <v>96.96</v>
      </c>
      <c r="E861" s="293">
        <v>96.96</v>
      </c>
      <c r="F861" s="294" t="s">
        <v>298</v>
      </c>
    </row>
    <row r="862" spans="1:6" hidden="1" outlineLevel="1" collapsed="1" x14ac:dyDescent="0.25">
      <c r="A862" s="321" t="s">
        <v>282</v>
      </c>
      <c r="B862" s="321" t="s">
        <v>373</v>
      </c>
      <c r="C862" s="293">
        <v>114.88</v>
      </c>
      <c r="D862" s="293">
        <v>56.304000000000002</v>
      </c>
      <c r="E862" s="293">
        <v>-58.576000000000001</v>
      </c>
      <c r="F862" s="294" t="s">
        <v>683</v>
      </c>
    </row>
    <row r="863" spans="1:6" hidden="1" outlineLevel="1" collapsed="1" x14ac:dyDescent="0.25">
      <c r="A863" s="321" t="s">
        <v>282</v>
      </c>
      <c r="B863" s="321" t="s">
        <v>398</v>
      </c>
      <c r="C863" s="293">
        <v>48</v>
      </c>
      <c r="D863" s="293">
        <v>22.08</v>
      </c>
      <c r="E863" s="293">
        <v>-25.92</v>
      </c>
      <c r="F863" s="294" t="s">
        <v>374</v>
      </c>
    </row>
    <row r="864" spans="1:6" hidden="1" outlineLevel="1" collapsed="1" x14ac:dyDescent="0.25">
      <c r="A864" s="321" t="s">
        <v>282</v>
      </c>
      <c r="B864" s="321" t="s">
        <v>399</v>
      </c>
      <c r="C864" s="293">
        <v>302</v>
      </c>
      <c r="D864" s="293">
        <v>600</v>
      </c>
      <c r="E864" s="293">
        <v>298</v>
      </c>
      <c r="F864" s="294" t="s">
        <v>684</v>
      </c>
    </row>
    <row r="865" spans="1:6" hidden="1" outlineLevel="1" collapsed="1" x14ac:dyDescent="0.25">
      <c r="A865" s="321" t="s">
        <v>282</v>
      </c>
      <c r="B865" s="321" t="s">
        <v>375</v>
      </c>
      <c r="C865" s="293">
        <v>320</v>
      </c>
      <c r="D865" s="293">
        <v>244</v>
      </c>
      <c r="E865" s="293">
        <v>-76</v>
      </c>
      <c r="F865" s="294" t="s">
        <v>2004</v>
      </c>
    </row>
    <row r="866" spans="1:6" hidden="1" outlineLevel="1" collapsed="1" x14ac:dyDescent="0.25">
      <c r="A866" s="321" t="s">
        <v>282</v>
      </c>
      <c r="B866" s="321" t="s">
        <v>376</v>
      </c>
      <c r="C866" s="293">
        <v>38</v>
      </c>
      <c r="D866" s="293">
        <v>544</v>
      </c>
      <c r="E866" s="293">
        <v>506</v>
      </c>
      <c r="F866" s="294" t="s">
        <v>685</v>
      </c>
    </row>
    <row r="867" spans="1:6" hidden="1" outlineLevel="1" collapsed="1" x14ac:dyDescent="0.25">
      <c r="A867" s="321" t="s">
        <v>282</v>
      </c>
      <c r="B867" s="321" t="s">
        <v>415</v>
      </c>
      <c r="C867" s="293">
        <v>2004</v>
      </c>
      <c r="D867" s="293">
        <v>1200</v>
      </c>
      <c r="E867" s="293">
        <v>-804</v>
      </c>
      <c r="F867" s="294" t="s">
        <v>686</v>
      </c>
    </row>
    <row r="868" spans="1:6" hidden="1" outlineLevel="1" collapsed="1" x14ac:dyDescent="0.25">
      <c r="A868" s="321" t="s">
        <v>282</v>
      </c>
      <c r="B868" s="321" t="s">
        <v>403</v>
      </c>
      <c r="C868" s="293">
        <v>2530</v>
      </c>
      <c r="D868" s="293">
        <v>2530</v>
      </c>
      <c r="E868" s="293">
        <v>0</v>
      </c>
      <c r="F868" s="294" t="s">
        <v>316</v>
      </c>
    </row>
    <row r="869" spans="1:6" hidden="1" outlineLevel="1" collapsed="1" x14ac:dyDescent="0.25">
      <c r="A869" s="321" t="s">
        <v>282</v>
      </c>
      <c r="B869" s="321" t="s">
        <v>422</v>
      </c>
      <c r="C869" s="293">
        <v>0</v>
      </c>
      <c r="D869" s="293">
        <v>1339</v>
      </c>
      <c r="E869" s="293">
        <v>1339</v>
      </c>
      <c r="F869" s="294" t="s">
        <v>298</v>
      </c>
    </row>
    <row r="870" spans="1:6" collapsed="1" x14ac:dyDescent="0.25">
      <c r="A870" s="560" t="s">
        <v>687</v>
      </c>
      <c r="B870" s="561"/>
      <c r="C870" s="292">
        <v>67434.897440000001</v>
      </c>
      <c r="D870" s="293">
        <v>74863.001749999996</v>
      </c>
      <c r="E870" s="293">
        <v>7428.1043099999997</v>
      </c>
      <c r="F870" s="294" t="s">
        <v>678</v>
      </c>
    </row>
    <row r="871" spans="1:6" hidden="1" outlineLevel="1" collapsed="1" x14ac:dyDescent="0.25">
      <c r="A871" s="321" t="s">
        <v>282</v>
      </c>
      <c r="B871" s="321" t="s">
        <v>358</v>
      </c>
      <c r="C871" s="293">
        <v>55903.68</v>
      </c>
      <c r="D871" s="293">
        <v>58898.095200000003</v>
      </c>
      <c r="E871" s="293">
        <v>2994.4151999999999</v>
      </c>
      <c r="F871" s="294" t="s">
        <v>689</v>
      </c>
    </row>
    <row r="872" spans="1:6" hidden="1" outlineLevel="1" collapsed="1" x14ac:dyDescent="0.25">
      <c r="A872" s="321" t="s">
        <v>282</v>
      </c>
      <c r="B872" s="321" t="s">
        <v>360</v>
      </c>
      <c r="C872" s="293">
        <v>7295.4302399999997</v>
      </c>
      <c r="D872" s="293">
        <v>8498.9951299999993</v>
      </c>
      <c r="E872" s="293">
        <v>1203.5648900000001</v>
      </c>
      <c r="F872" s="294" t="s">
        <v>690</v>
      </c>
    </row>
    <row r="873" spans="1:6" hidden="1" outlineLevel="1" collapsed="1" x14ac:dyDescent="0.25">
      <c r="A873" s="321" t="s">
        <v>282</v>
      </c>
      <c r="B873" s="321" t="s">
        <v>362</v>
      </c>
      <c r="C873" s="293">
        <v>810.60335999999995</v>
      </c>
      <c r="D873" s="293">
        <v>854.02238</v>
      </c>
      <c r="E873" s="293">
        <v>43.419020000000003</v>
      </c>
      <c r="F873" s="294" t="s">
        <v>689</v>
      </c>
    </row>
    <row r="874" spans="1:6" hidden="1" outlineLevel="1" collapsed="1" x14ac:dyDescent="0.25">
      <c r="A874" s="321" t="s">
        <v>282</v>
      </c>
      <c r="B874" s="321" t="s">
        <v>363</v>
      </c>
      <c r="C874" s="293">
        <v>390.61439999999999</v>
      </c>
      <c r="D874" s="293">
        <v>422.04</v>
      </c>
      <c r="E874" s="293">
        <v>31.425599999999999</v>
      </c>
      <c r="F874" s="294" t="s">
        <v>691</v>
      </c>
    </row>
    <row r="875" spans="1:6" hidden="1" outlineLevel="1" collapsed="1" x14ac:dyDescent="0.25">
      <c r="A875" s="321" t="s">
        <v>282</v>
      </c>
      <c r="B875" s="321" t="s">
        <v>367</v>
      </c>
      <c r="C875" s="293">
        <v>214.07759999999999</v>
      </c>
      <c r="D875" s="293">
        <v>182.88</v>
      </c>
      <c r="E875" s="293">
        <v>-31.197600000000001</v>
      </c>
      <c r="F875" s="294" t="s">
        <v>692</v>
      </c>
    </row>
    <row r="876" spans="1:6" hidden="1" outlineLevel="1" collapsed="1" x14ac:dyDescent="0.25">
      <c r="A876" s="321" t="s">
        <v>282</v>
      </c>
      <c r="B876" s="321" t="s">
        <v>369</v>
      </c>
      <c r="C876" s="293">
        <v>27.951840000000001</v>
      </c>
      <c r="D876" s="293">
        <v>29.44904</v>
      </c>
      <c r="E876" s="293">
        <v>1.4972000000000001</v>
      </c>
      <c r="F876" s="294" t="s">
        <v>689</v>
      </c>
    </row>
    <row r="877" spans="1:6" hidden="1" outlineLevel="1" collapsed="1" x14ac:dyDescent="0.25">
      <c r="A877" s="321" t="s">
        <v>282</v>
      </c>
      <c r="B877" s="321" t="s">
        <v>370</v>
      </c>
      <c r="C877" s="293">
        <v>1375</v>
      </c>
      <c r="D877" s="293">
        <v>1500</v>
      </c>
      <c r="E877" s="293">
        <v>125</v>
      </c>
      <c r="F877" s="294" t="s">
        <v>693</v>
      </c>
    </row>
    <row r="878" spans="1:6" hidden="1" outlineLevel="1" collapsed="1" x14ac:dyDescent="0.25">
      <c r="A878" s="321" t="s">
        <v>282</v>
      </c>
      <c r="B878" s="321" t="s">
        <v>371</v>
      </c>
      <c r="C878" s="293">
        <v>45.54</v>
      </c>
      <c r="D878" s="293">
        <v>48.48</v>
      </c>
      <c r="E878" s="293">
        <v>2.94</v>
      </c>
      <c r="F878" s="294" t="s">
        <v>694</v>
      </c>
    </row>
    <row r="879" spans="1:6" hidden="1" outlineLevel="1" collapsed="1" x14ac:dyDescent="0.25">
      <c r="A879" s="321" t="s">
        <v>282</v>
      </c>
      <c r="B879" s="321" t="s">
        <v>373</v>
      </c>
      <c r="C879" s="293">
        <v>22</v>
      </c>
      <c r="D879" s="293">
        <v>11.04</v>
      </c>
      <c r="E879" s="293">
        <v>-10.96</v>
      </c>
      <c r="F879" s="294" t="s">
        <v>695</v>
      </c>
    </row>
    <row r="880" spans="1:6" hidden="1" outlineLevel="1" collapsed="1" x14ac:dyDescent="0.25">
      <c r="A880" s="321" t="s">
        <v>282</v>
      </c>
      <c r="B880" s="321" t="s">
        <v>445</v>
      </c>
      <c r="C880" s="293">
        <v>0</v>
      </c>
      <c r="D880" s="293">
        <v>3000</v>
      </c>
      <c r="E880" s="293">
        <v>3000</v>
      </c>
      <c r="F880" s="294" t="s">
        <v>298</v>
      </c>
    </row>
    <row r="881" spans="1:6" hidden="1" outlineLevel="1" collapsed="1" x14ac:dyDescent="0.25">
      <c r="A881" s="321" t="s">
        <v>282</v>
      </c>
      <c r="B881" s="321" t="s">
        <v>375</v>
      </c>
      <c r="C881" s="293">
        <v>50</v>
      </c>
      <c r="D881" s="293">
        <v>118</v>
      </c>
      <c r="E881" s="293">
        <v>68</v>
      </c>
      <c r="F881" s="294" t="s">
        <v>2005</v>
      </c>
    </row>
    <row r="882" spans="1:6" hidden="1" outlineLevel="1" collapsed="1" x14ac:dyDescent="0.25">
      <c r="A882" s="321" t="s">
        <v>282</v>
      </c>
      <c r="B882" s="321" t="s">
        <v>496</v>
      </c>
      <c r="C882" s="293">
        <v>50</v>
      </c>
      <c r="D882" s="293">
        <v>50</v>
      </c>
      <c r="E882" s="293">
        <v>0</v>
      </c>
      <c r="F882" s="294" t="s">
        <v>316</v>
      </c>
    </row>
    <row r="883" spans="1:6" hidden="1" outlineLevel="1" collapsed="1" x14ac:dyDescent="0.25">
      <c r="A883" s="321" t="s">
        <v>282</v>
      </c>
      <c r="B883" s="321" t="s">
        <v>376</v>
      </c>
      <c r="C883" s="293">
        <v>50</v>
      </c>
      <c r="D883" s="293">
        <v>50</v>
      </c>
      <c r="E883" s="293">
        <v>0</v>
      </c>
      <c r="F883" s="294" t="s">
        <v>316</v>
      </c>
    </row>
    <row r="884" spans="1:6" hidden="1" outlineLevel="1" collapsed="1" x14ac:dyDescent="0.25">
      <c r="A884" s="321" t="s">
        <v>282</v>
      </c>
      <c r="B884" s="321" t="s">
        <v>401</v>
      </c>
      <c r="C884" s="293">
        <v>1100</v>
      </c>
      <c r="D884" s="293">
        <v>1100</v>
      </c>
      <c r="E884" s="293">
        <v>0</v>
      </c>
      <c r="F884" s="294" t="s">
        <v>316</v>
      </c>
    </row>
    <row r="885" spans="1:6" hidden="1" outlineLevel="1" collapsed="1" x14ac:dyDescent="0.25">
      <c r="A885" s="321" t="s">
        <v>282</v>
      </c>
      <c r="B885" s="321" t="s">
        <v>405</v>
      </c>
      <c r="C885" s="293">
        <v>50</v>
      </c>
      <c r="D885" s="293">
        <v>50</v>
      </c>
      <c r="E885" s="293">
        <v>0</v>
      </c>
      <c r="F885" s="294" t="s">
        <v>316</v>
      </c>
    </row>
    <row r="886" spans="1:6" hidden="1" outlineLevel="1" collapsed="1" x14ac:dyDescent="0.25">
      <c r="A886" s="321" t="s">
        <v>282</v>
      </c>
      <c r="B886" s="321" t="s">
        <v>422</v>
      </c>
      <c r="C886" s="293">
        <v>50</v>
      </c>
      <c r="D886" s="293">
        <v>50</v>
      </c>
      <c r="E886" s="293">
        <v>0</v>
      </c>
      <c r="F886" s="294" t="s">
        <v>316</v>
      </c>
    </row>
    <row r="887" spans="1:6" collapsed="1" x14ac:dyDescent="0.25">
      <c r="A887" s="560" t="s">
        <v>696</v>
      </c>
      <c r="B887" s="561"/>
      <c r="C887" s="292">
        <v>260143.38868</v>
      </c>
      <c r="D887" s="293">
        <v>269638.02056999999</v>
      </c>
      <c r="E887" s="293">
        <v>9494.6318900000006</v>
      </c>
      <c r="F887" s="294" t="s">
        <v>697</v>
      </c>
    </row>
    <row r="888" spans="1:6" hidden="1" outlineLevel="1" collapsed="1" x14ac:dyDescent="0.25">
      <c r="A888" s="321" t="s">
        <v>282</v>
      </c>
      <c r="B888" s="321" t="s">
        <v>358</v>
      </c>
      <c r="C888" s="293">
        <v>190182.96</v>
      </c>
      <c r="D888" s="293">
        <v>195191.5644</v>
      </c>
      <c r="E888" s="293">
        <v>5008.6044000000002</v>
      </c>
      <c r="F888" s="294" t="s">
        <v>669</v>
      </c>
    </row>
    <row r="889" spans="1:6" hidden="1" outlineLevel="1" collapsed="1" x14ac:dyDescent="0.25">
      <c r="A889" s="321" t="s">
        <v>282</v>
      </c>
      <c r="B889" s="321" t="s">
        <v>412</v>
      </c>
      <c r="C889" s="293">
        <v>7000</v>
      </c>
      <c r="D889" s="293">
        <v>7000</v>
      </c>
      <c r="E889" s="293">
        <v>0</v>
      </c>
      <c r="F889" s="294" t="s">
        <v>316</v>
      </c>
    </row>
    <row r="890" spans="1:6" hidden="1" outlineLevel="1" collapsed="1" x14ac:dyDescent="0.25">
      <c r="A890" s="321" t="s">
        <v>282</v>
      </c>
      <c r="B890" s="321" t="s">
        <v>360</v>
      </c>
      <c r="C890" s="293">
        <v>24818.87628</v>
      </c>
      <c r="D890" s="293">
        <v>28166.14273</v>
      </c>
      <c r="E890" s="293">
        <v>3347.2664500000001</v>
      </c>
      <c r="F890" s="294" t="s">
        <v>698</v>
      </c>
    </row>
    <row r="891" spans="1:6" hidden="1" outlineLevel="1" collapsed="1" x14ac:dyDescent="0.25">
      <c r="A891" s="321" t="s">
        <v>282</v>
      </c>
      <c r="B891" s="321" t="s">
        <v>362</v>
      </c>
      <c r="C891" s="293">
        <v>2859.15292</v>
      </c>
      <c r="D891" s="293">
        <v>2931.7776699999999</v>
      </c>
      <c r="E891" s="293">
        <v>72.624750000000006</v>
      </c>
      <c r="F891" s="294" t="s">
        <v>555</v>
      </c>
    </row>
    <row r="892" spans="1:6" hidden="1" outlineLevel="1" collapsed="1" x14ac:dyDescent="0.25">
      <c r="A892" s="321" t="s">
        <v>282</v>
      </c>
      <c r="B892" s="321" t="s">
        <v>363</v>
      </c>
      <c r="C892" s="293">
        <v>852.24959999999999</v>
      </c>
      <c r="D892" s="293">
        <v>844.08</v>
      </c>
      <c r="E892" s="293">
        <v>-8.1696000000000009</v>
      </c>
      <c r="F892" s="294" t="s">
        <v>364</v>
      </c>
    </row>
    <row r="893" spans="1:6" hidden="1" outlineLevel="1" collapsed="1" x14ac:dyDescent="0.25">
      <c r="A893" s="321" t="s">
        <v>282</v>
      </c>
      <c r="B893" s="321" t="s">
        <v>365</v>
      </c>
      <c r="C893" s="293">
        <v>30717.119999999999</v>
      </c>
      <c r="D893" s="293">
        <v>31918.560000000001</v>
      </c>
      <c r="E893" s="293">
        <v>1201.44</v>
      </c>
      <c r="F893" s="294" t="s">
        <v>366</v>
      </c>
    </row>
    <row r="894" spans="1:6" hidden="1" outlineLevel="1" collapsed="1" x14ac:dyDescent="0.25">
      <c r="A894" s="321" t="s">
        <v>282</v>
      </c>
      <c r="B894" s="321" t="s">
        <v>367</v>
      </c>
      <c r="C894" s="293">
        <v>467.07839999999999</v>
      </c>
      <c r="D894" s="293">
        <v>365.76</v>
      </c>
      <c r="E894" s="293">
        <v>-101.3184</v>
      </c>
      <c r="F894" s="294" t="s">
        <v>368</v>
      </c>
    </row>
    <row r="895" spans="1:6" hidden="1" outlineLevel="1" collapsed="1" x14ac:dyDescent="0.25">
      <c r="A895" s="321" t="s">
        <v>282</v>
      </c>
      <c r="B895" s="321" t="s">
        <v>369</v>
      </c>
      <c r="C895" s="293">
        <v>98.591480000000004</v>
      </c>
      <c r="D895" s="293">
        <v>101.09577</v>
      </c>
      <c r="E895" s="293">
        <v>2.5042900000000001</v>
      </c>
      <c r="F895" s="294" t="s">
        <v>555</v>
      </c>
    </row>
    <row r="896" spans="1:6" hidden="1" outlineLevel="1" collapsed="1" x14ac:dyDescent="0.25">
      <c r="A896" s="321" t="s">
        <v>282</v>
      </c>
      <c r="B896" s="321" t="s">
        <v>370</v>
      </c>
      <c r="C896" s="293">
        <v>3000</v>
      </c>
      <c r="D896" s="293">
        <v>3000</v>
      </c>
      <c r="E896" s="293">
        <v>0</v>
      </c>
      <c r="F896" s="294" t="s">
        <v>316</v>
      </c>
    </row>
    <row r="897" spans="1:6" hidden="1" outlineLevel="1" collapsed="1" x14ac:dyDescent="0.25">
      <c r="A897" s="321" t="s">
        <v>282</v>
      </c>
      <c r="B897" s="321" t="s">
        <v>371</v>
      </c>
      <c r="C897" s="293">
        <v>99.36</v>
      </c>
      <c r="D897" s="293">
        <v>96.96</v>
      </c>
      <c r="E897" s="293">
        <v>-2.4</v>
      </c>
      <c r="F897" s="294" t="s">
        <v>372</v>
      </c>
    </row>
    <row r="898" spans="1:6" hidden="1" outlineLevel="1" collapsed="1" x14ac:dyDescent="0.25">
      <c r="A898" s="321" t="s">
        <v>282</v>
      </c>
      <c r="B898" s="321" t="s">
        <v>373</v>
      </c>
      <c r="C898" s="293">
        <v>48</v>
      </c>
      <c r="D898" s="293">
        <v>22.08</v>
      </c>
      <c r="E898" s="293">
        <v>-25.92</v>
      </c>
      <c r="F898" s="294" t="s">
        <v>374</v>
      </c>
    </row>
    <row r="899" spans="1:6" collapsed="1" x14ac:dyDescent="0.25">
      <c r="A899" s="560" t="s">
        <v>699</v>
      </c>
      <c r="B899" s="561"/>
      <c r="C899" s="292">
        <v>119226.23084</v>
      </c>
      <c r="D899" s="293">
        <v>124053.34183</v>
      </c>
      <c r="E899" s="293">
        <v>4827.1109900000001</v>
      </c>
      <c r="F899" s="294" t="s">
        <v>700</v>
      </c>
    </row>
    <row r="900" spans="1:6" hidden="1" outlineLevel="1" collapsed="1" x14ac:dyDescent="0.25">
      <c r="A900" s="321" t="s">
        <v>282</v>
      </c>
      <c r="B900" s="321" t="s">
        <v>358</v>
      </c>
      <c r="C900" s="293">
        <v>84294.48</v>
      </c>
      <c r="D900" s="293">
        <v>86996.137199999997</v>
      </c>
      <c r="E900" s="293">
        <v>2701.6572000000001</v>
      </c>
      <c r="F900" s="294" t="s">
        <v>359</v>
      </c>
    </row>
    <row r="901" spans="1:6" hidden="1" outlineLevel="1" collapsed="1" x14ac:dyDescent="0.25">
      <c r="A901" s="321" t="s">
        <v>282</v>
      </c>
      <c r="B901" s="321" t="s">
        <v>412</v>
      </c>
      <c r="C901" s="293">
        <v>5000</v>
      </c>
      <c r="D901" s="293">
        <v>5000</v>
      </c>
      <c r="E901" s="293">
        <v>0</v>
      </c>
      <c r="F901" s="294" t="s">
        <v>316</v>
      </c>
    </row>
    <row r="902" spans="1:6" hidden="1" outlineLevel="1" collapsed="1" x14ac:dyDescent="0.25">
      <c r="A902" s="321" t="s">
        <v>282</v>
      </c>
      <c r="B902" s="321" t="s">
        <v>360</v>
      </c>
      <c r="C902" s="293">
        <v>11000.42964</v>
      </c>
      <c r="D902" s="293">
        <v>12553.542589999999</v>
      </c>
      <c r="E902" s="293">
        <v>1553.11295</v>
      </c>
      <c r="F902" s="294" t="s">
        <v>701</v>
      </c>
    </row>
    <row r="903" spans="1:6" hidden="1" outlineLevel="1" collapsed="1" x14ac:dyDescent="0.25">
      <c r="A903" s="321" t="s">
        <v>282</v>
      </c>
      <c r="B903" s="321" t="s">
        <v>362</v>
      </c>
      <c r="C903" s="293">
        <v>1294.7699600000001</v>
      </c>
      <c r="D903" s="293">
        <v>1333.94398</v>
      </c>
      <c r="E903" s="293">
        <v>39.174019999999999</v>
      </c>
      <c r="F903" s="294" t="s">
        <v>702</v>
      </c>
    </row>
    <row r="904" spans="1:6" hidden="1" outlineLevel="1" collapsed="1" x14ac:dyDescent="0.25">
      <c r="A904" s="321" t="s">
        <v>282</v>
      </c>
      <c r="B904" s="321" t="s">
        <v>363</v>
      </c>
      <c r="C904" s="293">
        <v>426.12479999999999</v>
      </c>
      <c r="D904" s="293">
        <v>422.04</v>
      </c>
      <c r="E904" s="293">
        <v>-4.0848000000000004</v>
      </c>
      <c r="F904" s="294" t="s">
        <v>364</v>
      </c>
    </row>
    <row r="905" spans="1:6" hidden="1" outlineLevel="1" collapsed="1" x14ac:dyDescent="0.25">
      <c r="A905" s="321" t="s">
        <v>282</v>
      </c>
      <c r="B905" s="321" t="s">
        <v>365</v>
      </c>
      <c r="C905" s="293">
        <v>15358.56</v>
      </c>
      <c r="D905" s="293">
        <v>15959.28</v>
      </c>
      <c r="E905" s="293">
        <v>600.72</v>
      </c>
      <c r="F905" s="294" t="s">
        <v>366</v>
      </c>
    </row>
    <row r="906" spans="1:6" hidden="1" outlineLevel="1" collapsed="1" x14ac:dyDescent="0.25">
      <c r="A906" s="321" t="s">
        <v>282</v>
      </c>
      <c r="B906" s="321" t="s">
        <v>367</v>
      </c>
      <c r="C906" s="293">
        <v>233.53919999999999</v>
      </c>
      <c r="D906" s="293">
        <v>182.88</v>
      </c>
      <c r="E906" s="293">
        <v>-50.659199999999998</v>
      </c>
      <c r="F906" s="294" t="s">
        <v>368</v>
      </c>
    </row>
    <row r="907" spans="1:6" hidden="1" outlineLevel="1" collapsed="1" x14ac:dyDescent="0.25">
      <c r="A907" s="321" t="s">
        <v>282</v>
      </c>
      <c r="B907" s="321" t="s">
        <v>369</v>
      </c>
      <c r="C907" s="293">
        <v>44.647239999999996</v>
      </c>
      <c r="D907" s="293">
        <v>45.998060000000002</v>
      </c>
      <c r="E907" s="293">
        <v>1.3508199999999999</v>
      </c>
      <c r="F907" s="294" t="s">
        <v>702</v>
      </c>
    </row>
    <row r="908" spans="1:6" hidden="1" outlineLevel="1" collapsed="1" x14ac:dyDescent="0.25">
      <c r="A908" s="321" t="s">
        <v>282</v>
      </c>
      <c r="B908" s="321" t="s">
        <v>370</v>
      </c>
      <c r="C908" s="293">
        <v>1500</v>
      </c>
      <c r="D908" s="293">
        <v>1500</v>
      </c>
      <c r="E908" s="293">
        <v>0</v>
      </c>
      <c r="F908" s="294" t="s">
        <v>316</v>
      </c>
    </row>
    <row r="909" spans="1:6" hidden="1" outlineLevel="1" collapsed="1" x14ac:dyDescent="0.25">
      <c r="A909" s="321" t="s">
        <v>282</v>
      </c>
      <c r="B909" s="321" t="s">
        <v>371</v>
      </c>
      <c r="C909" s="293">
        <v>49.68</v>
      </c>
      <c r="D909" s="293">
        <v>48.48</v>
      </c>
      <c r="E909" s="293">
        <v>-1.2</v>
      </c>
      <c r="F909" s="294" t="s">
        <v>372</v>
      </c>
    </row>
    <row r="910" spans="1:6" hidden="1" outlineLevel="1" collapsed="1" x14ac:dyDescent="0.25">
      <c r="A910" s="321" t="s">
        <v>282</v>
      </c>
      <c r="B910" s="321" t="s">
        <v>373</v>
      </c>
      <c r="C910" s="293">
        <v>24</v>
      </c>
      <c r="D910" s="293">
        <v>11.04</v>
      </c>
      <c r="E910" s="293">
        <v>-12.96</v>
      </c>
      <c r="F910" s="294" t="s">
        <v>374</v>
      </c>
    </row>
    <row r="911" spans="1:6" collapsed="1" x14ac:dyDescent="0.25">
      <c r="A911" s="560" t="s">
        <v>703</v>
      </c>
      <c r="B911" s="561"/>
      <c r="C911" s="292">
        <v>6736</v>
      </c>
      <c r="D911" s="293">
        <v>7725</v>
      </c>
      <c r="E911" s="293">
        <v>989</v>
      </c>
      <c r="F911" s="294" t="s">
        <v>1539</v>
      </c>
    </row>
    <row r="912" spans="1:6" hidden="1" outlineLevel="1" collapsed="1" x14ac:dyDescent="0.25">
      <c r="A912" s="321" t="s">
        <v>282</v>
      </c>
      <c r="B912" s="321" t="s">
        <v>505</v>
      </c>
      <c r="C912" s="293">
        <v>500</v>
      </c>
      <c r="D912" s="293">
        <v>0</v>
      </c>
      <c r="E912" s="293">
        <v>-500</v>
      </c>
      <c r="F912" s="294" t="s">
        <v>286</v>
      </c>
    </row>
    <row r="913" spans="1:6" hidden="1" outlineLevel="1" collapsed="1" x14ac:dyDescent="0.25">
      <c r="A913" s="321" t="s">
        <v>282</v>
      </c>
      <c r="B913" s="321" t="s">
        <v>375</v>
      </c>
      <c r="C913" s="293">
        <v>1736</v>
      </c>
      <c r="D913" s="293">
        <v>2100</v>
      </c>
      <c r="E913" s="293">
        <v>364</v>
      </c>
      <c r="F913" s="294" t="s">
        <v>324</v>
      </c>
    </row>
    <row r="914" spans="1:6" hidden="1" outlineLevel="1" collapsed="1" x14ac:dyDescent="0.25">
      <c r="A914" s="321" t="s">
        <v>282</v>
      </c>
      <c r="B914" s="321" t="s">
        <v>496</v>
      </c>
      <c r="C914" s="293">
        <v>600</v>
      </c>
      <c r="D914" s="293">
        <v>600</v>
      </c>
      <c r="E914" s="293">
        <v>0</v>
      </c>
      <c r="F914" s="294" t="s">
        <v>316</v>
      </c>
    </row>
    <row r="915" spans="1:6" hidden="1" outlineLevel="1" collapsed="1" x14ac:dyDescent="0.25">
      <c r="A915" s="321" t="s">
        <v>282</v>
      </c>
      <c r="B915" s="321" t="s">
        <v>376</v>
      </c>
      <c r="C915" s="293">
        <v>2200</v>
      </c>
      <c r="D915" s="293">
        <v>3125</v>
      </c>
      <c r="E915" s="293">
        <v>925</v>
      </c>
      <c r="F915" s="294" t="s">
        <v>2006</v>
      </c>
    </row>
    <row r="916" spans="1:6" hidden="1" outlineLevel="1" collapsed="1" x14ac:dyDescent="0.25">
      <c r="A916" s="321" t="s">
        <v>282</v>
      </c>
      <c r="B916" s="321" t="s">
        <v>426</v>
      </c>
      <c r="C916" s="293">
        <v>1400</v>
      </c>
      <c r="D916" s="293">
        <v>1000</v>
      </c>
      <c r="E916" s="293">
        <v>-400</v>
      </c>
      <c r="F916" s="294" t="s">
        <v>706</v>
      </c>
    </row>
    <row r="917" spans="1:6" hidden="1" outlineLevel="1" collapsed="1" x14ac:dyDescent="0.25">
      <c r="A917" s="321" t="s">
        <v>282</v>
      </c>
      <c r="B917" s="321" t="s">
        <v>707</v>
      </c>
      <c r="C917" s="293">
        <v>0</v>
      </c>
      <c r="D917" s="293">
        <v>600</v>
      </c>
      <c r="E917" s="293">
        <v>600</v>
      </c>
      <c r="F917" s="294" t="s">
        <v>298</v>
      </c>
    </row>
    <row r="918" spans="1:6" hidden="1" outlineLevel="1" collapsed="1" x14ac:dyDescent="0.25">
      <c r="A918" s="321" t="s">
        <v>282</v>
      </c>
      <c r="B918" s="321" t="s">
        <v>597</v>
      </c>
      <c r="C918" s="293">
        <v>300</v>
      </c>
      <c r="D918" s="293">
        <v>300</v>
      </c>
      <c r="E918" s="293">
        <v>0</v>
      </c>
      <c r="F918" s="294" t="s">
        <v>316</v>
      </c>
    </row>
    <row r="919" spans="1:6" collapsed="1" x14ac:dyDescent="0.25">
      <c r="A919" s="560" t="s">
        <v>708</v>
      </c>
      <c r="B919" s="561"/>
      <c r="C919" s="292">
        <v>109639.895</v>
      </c>
      <c r="D919" s="293">
        <v>115036.08822999999</v>
      </c>
      <c r="E919" s="293">
        <v>5396.1932299999999</v>
      </c>
      <c r="F919" s="294" t="s">
        <v>1193</v>
      </c>
    </row>
    <row r="920" spans="1:6" hidden="1" outlineLevel="1" collapsed="1" x14ac:dyDescent="0.25">
      <c r="A920" s="321" t="s">
        <v>282</v>
      </c>
      <c r="B920" s="321" t="s">
        <v>358</v>
      </c>
      <c r="C920" s="293">
        <v>75402</v>
      </c>
      <c r="D920" s="293">
        <v>78674.517600000006</v>
      </c>
      <c r="E920" s="293">
        <v>3272.5176000000001</v>
      </c>
      <c r="F920" s="294" t="s">
        <v>710</v>
      </c>
    </row>
    <row r="921" spans="1:6" hidden="1" outlineLevel="1" collapsed="1" x14ac:dyDescent="0.25">
      <c r="A921" s="321" t="s">
        <v>282</v>
      </c>
      <c r="B921" s="321" t="s">
        <v>412</v>
      </c>
      <c r="C921" s="293">
        <v>5000</v>
      </c>
      <c r="D921" s="293">
        <v>5000</v>
      </c>
      <c r="E921" s="293">
        <v>0</v>
      </c>
      <c r="F921" s="294" t="s">
        <v>316</v>
      </c>
    </row>
    <row r="922" spans="1:6" hidden="1" outlineLevel="1" collapsed="1" x14ac:dyDescent="0.25">
      <c r="A922" s="321" t="s">
        <v>282</v>
      </c>
      <c r="B922" s="321" t="s">
        <v>360</v>
      </c>
      <c r="C922" s="293">
        <v>9839.9609999999993</v>
      </c>
      <c r="D922" s="293">
        <v>11352.73288</v>
      </c>
      <c r="E922" s="293">
        <v>1512.77188</v>
      </c>
      <c r="F922" s="294" t="s">
        <v>711</v>
      </c>
    </row>
    <row r="923" spans="1:6" hidden="1" outlineLevel="1" collapsed="1" x14ac:dyDescent="0.25">
      <c r="A923" s="321" t="s">
        <v>282</v>
      </c>
      <c r="B923" s="321" t="s">
        <v>362</v>
      </c>
      <c r="C923" s="293">
        <v>1165.829</v>
      </c>
      <c r="D923" s="293">
        <v>1213.2805000000001</v>
      </c>
      <c r="E923" s="293">
        <v>47.451500000000003</v>
      </c>
      <c r="F923" s="294" t="s">
        <v>411</v>
      </c>
    </row>
    <row r="924" spans="1:6" hidden="1" outlineLevel="1" collapsed="1" x14ac:dyDescent="0.25">
      <c r="A924" s="321" t="s">
        <v>282</v>
      </c>
      <c r="B924" s="321" t="s">
        <v>363</v>
      </c>
      <c r="C924" s="293">
        <v>426.12479999999999</v>
      </c>
      <c r="D924" s="293">
        <v>422.04</v>
      </c>
      <c r="E924" s="293">
        <v>-4.0848000000000004</v>
      </c>
      <c r="F924" s="294" t="s">
        <v>364</v>
      </c>
    </row>
    <row r="925" spans="1:6" hidden="1" outlineLevel="1" collapsed="1" x14ac:dyDescent="0.25">
      <c r="A925" s="321" t="s">
        <v>282</v>
      </c>
      <c r="B925" s="321" t="s">
        <v>365</v>
      </c>
      <c r="C925" s="293">
        <v>15358.56</v>
      </c>
      <c r="D925" s="293">
        <v>15959.28</v>
      </c>
      <c r="E925" s="293">
        <v>600.72</v>
      </c>
      <c r="F925" s="294" t="s">
        <v>366</v>
      </c>
    </row>
    <row r="926" spans="1:6" hidden="1" outlineLevel="1" collapsed="1" x14ac:dyDescent="0.25">
      <c r="A926" s="321" t="s">
        <v>282</v>
      </c>
      <c r="B926" s="321" t="s">
        <v>367</v>
      </c>
      <c r="C926" s="293">
        <v>233.53919999999999</v>
      </c>
      <c r="D926" s="293">
        <v>182.88</v>
      </c>
      <c r="E926" s="293">
        <v>-50.659199999999998</v>
      </c>
      <c r="F926" s="294" t="s">
        <v>368</v>
      </c>
    </row>
    <row r="927" spans="1:6" hidden="1" outlineLevel="1" collapsed="1" x14ac:dyDescent="0.25">
      <c r="A927" s="321" t="s">
        <v>282</v>
      </c>
      <c r="B927" s="321" t="s">
        <v>369</v>
      </c>
      <c r="C927" s="293">
        <v>40.201000000000001</v>
      </c>
      <c r="D927" s="293">
        <v>41.837249999999997</v>
      </c>
      <c r="E927" s="293">
        <v>1.63625</v>
      </c>
      <c r="F927" s="294" t="s">
        <v>411</v>
      </c>
    </row>
    <row r="928" spans="1:6" hidden="1" outlineLevel="1" collapsed="1" x14ac:dyDescent="0.25">
      <c r="A928" s="321" t="s">
        <v>282</v>
      </c>
      <c r="B928" s="321" t="s">
        <v>370</v>
      </c>
      <c r="C928" s="293">
        <v>1500</v>
      </c>
      <c r="D928" s="293">
        <v>1500</v>
      </c>
      <c r="E928" s="293">
        <v>0</v>
      </c>
      <c r="F928" s="294" t="s">
        <v>316</v>
      </c>
    </row>
    <row r="929" spans="1:6" hidden="1" outlineLevel="1" collapsed="1" x14ac:dyDescent="0.25">
      <c r="A929" s="321" t="s">
        <v>282</v>
      </c>
      <c r="B929" s="321" t="s">
        <v>371</v>
      </c>
      <c r="C929" s="293">
        <v>49.68</v>
      </c>
      <c r="D929" s="293">
        <v>48.48</v>
      </c>
      <c r="E929" s="293">
        <v>-1.2</v>
      </c>
      <c r="F929" s="294" t="s">
        <v>372</v>
      </c>
    </row>
    <row r="930" spans="1:6" hidden="1" outlineLevel="1" collapsed="1" x14ac:dyDescent="0.25">
      <c r="A930" s="321" t="s">
        <v>282</v>
      </c>
      <c r="B930" s="321" t="s">
        <v>373</v>
      </c>
      <c r="C930" s="293">
        <v>24</v>
      </c>
      <c r="D930" s="293">
        <v>11.04</v>
      </c>
      <c r="E930" s="293">
        <v>-12.96</v>
      </c>
      <c r="F930" s="294" t="s">
        <v>374</v>
      </c>
    </row>
    <row r="931" spans="1:6" hidden="1" outlineLevel="1" collapsed="1" x14ac:dyDescent="0.25">
      <c r="A931" s="321" t="s">
        <v>282</v>
      </c>
      <c r="B931" s="321" t="s">
        <v>375</v>
      </c>
      <c r="C931" s="293">
        <v>600</v>
      </c>
      <c r="D931" s="293">
        <v>630</v>
      </c>
      <c r="E931" s="293">
        <v>30</v>
      </c>
      <c r="F931" s="294" t="s">
        <v>732</v>
      </c>
    </row>
    <row r="932" spans="1:6" collapsed="1" x14ac:dyDescent="0.25">
      <c r="A932" s="560" t="s">
        <v>712</v>
      </c>
      <c r="B932" s="561"/>
      <c r="C932" s="292">
        <v>223729.63608</v>
      </c>
      <c r="D932" s="293">
        <v>237145.36877999999</v>
      </c>
      <c r="E932" s="293">
        <v>13415.7327</v>
      </c>
      <c r="F932" s="294" t="s">
        <v>713</v>
      </c>
    </row>
    <row r="933" spans="1:6" hidden="1" outlineLevel="1" collapsed="1" x14ac:dyDescent="0.25">
      <c r="A933" s="321" t="s">
        <v>282</v>
      </c>
      <c r="B933" s="321" t="s">
        <v>358</v>
      </c>
      <c r="C933" s="293">
        <v>175385.76</v>
      </c>
      <c r="D933" s="293">
        <v>180158.03400000001</v>
      </c>
      <c r="E933" s="293">
        <v>4772.2740000000003</v>
      </c>
      <c r="F933" s="294" t="s">
        <v>666</v>
      </c>
    </row>
    <row r="934" spans="1:6" hidden="1" outlineLevel="1" collapsed="1" x14ac:dyDescent="0.25">
      <c r="A934" s="321" t="s">
        <v>282</v>
      </c>
      <c r="B934" s="321" t="s">
        <v>412</v>
      </c>
      <c r="C934" s="293">
        <v>0</v>
      </c>
      <c r="D934" s="293">
        <v>5000</v>
      </c>
      <c r="E934" s="293">
        <v>5000</v>
      </c>
      <c r="F934" s="294" t="s">
        <v>298</v>
      </c>
    </row>
    <row r="935" spans="1:6" hidden="1" outlineLevel="1" collapsed="1" x14ac:dyDescent="0.25">
      <c r="A935" s="321" t="s">
        <v>282</v>
      </c>
      <c r="B935" s="321" t="s">
        <v>360</v>
      </c>
      <c r="C935" s="293">
        <v>22887.841680000001</v>
      </c>
      <c r="D935" s="293">
        <v>25996.8043</v>
      </c>
      <c r="E935" s="293">
        <v>3108.9626199999998</v>
      </c>
      <c r="F935" s="294" t="s">
        <v>714</v>
      </c>
    </row>
    <row r="936" spans="1:6" hidden="1" outlineLevel="1" collapsed="1" x14ac:dyDescent="0.25">
      <c r="A936" s="321" t="s">
        <v>282</v>
      </c>
      <c r="B936" s="321" t="s">
        <v>362</v>
      </c>
      <c r="C936" s="293">
        <v>2543.0935199999999</v>
      </c>
      <c r="D936" s="293">
        <v>2612.2914799999999</v>
      </c>
      <c r="E936" s="293">
        <v>69.197959999999995</v>
      </c>
      <c r="F936" s="294" t="s">
        <v>666</v>
      </c>
    </row>
    <row r="937" spans="1:6" hidden="1" outlineLevel="1" collapsed="1" x14ac:dyDescent="0.25">
      <c r="A937" s="321" t="s">
        <v>282</v>
      </c>
      <c r="B937" s="321" t="s">
        <v>363</v>
      </c>
      <c r="C937" s="293">
        <v>852.24959999999999</v>
      </c>
      <c r="D937" s="293">
        <v>844.08</v>
      </c>
      <c r="E937" s="293">
        <v>-8.1696000000000009</v>
      </c>
      <c r="F937" s="294" t="s">
        <v>364</v>
      </c>
    </row>
    <row r="938" spans="1:6" hidden="1" outlineLevel="1" collapsed="1" x14ac:dyDescent="0.25">
      <c r="A938" s="321" t="s">
        <v>282</v>
      </c>
      <c r="B938" s="321" t="s">
        <v>365</v>
      </c>
      <c r="C938" s="293">
        <v>15358.56</v>
      </c>
      <c r="D938" s="293">
        <v>15959.28</v>
      </c>
      <c r="E938" s="293">
        <v>600.72</v>
      </c>
      <c r="F938" s="294" t="s">
        <v>366</v>
      </c>
    </row>
    <row r="939" spans="1:6" hidden="1" outlineLevel="1" collapsed="1" x14ac:dyDescent="0.25">
      <c r="A939" s="321" t="s">
        <v>282</v>
      </c>
      <c r="B939" s="321" t="s">
        <v>367</v>
      </c>
      <c r="C939" s="293">
        <v>467.07839999999999</v>
      </c>
      <c r="D939" s="293">
        <v>365.76</v>
      </c>
      <c r="E939" s="293">
        <v>-101.3184</v>
      </c>
      <c r="F939" s="294" t="s">
        <v>368</v>
      </c>
    </row>
    <row r="940" spans="1:6" hidden="1" outlineLevel="1" collapsed="1" x14ac:dyDescent="0.25">
      <c r="A940" s="321" t="s">
        <v>282</v>
      </c>
      <c r="B940" s="321" t="s">
        <v>369</v>
      </c>
      <c r="C940" s="293">
        <v>87.692880000000002</v>
      </c>
      <c r="D940" s="293">
        <v>90.078999999999994</v>
      </c>
      <c r="E940" s="293">
        <v>2.38612</v>
      </c>
      <c r="F940" s="294" t="s">
        <v>666</v>
      </c>
    </row>
    <row r="941" spans="1:6" hidden="1" outlineLevel="1" collapsed="1" x14ac:dyDescent="0.25">
      <c r="A941" s="321" t="s">
        <v>282</v>
      </c>
      <c r="B941" s="321" t="s">
        <v>370</v>
      </c>
      <c r="C941" s="293">
        <v>3000</v>
      </c>
      <c r="D941" s="293">
        <v>3000</v>
      </c>
      <c r="E941" s="293">
        <v>0</v>
      </c>
      <c r="F941" s="294" t="s">
        <v>316</v>
      </c>
    </row>
    <row r="942" spans="1:6" hidden="1" outlineLevel="1" collapsed="1" x14ac:dyDescent="0.25">
      <c r="A942" s="321" t="s">
        <v>282</v>
      </c>
      <c r="B942" s="321" t="s">
        <v>371</v>
      </c>
      <c r="C942" s="293">
        <v>99.36</v>
      </c>
      <c r="D942" s="293">
        <v>96.96</v>
      </c>
      <c r="E942" s="293">
        <v>-2.4</v>
      </c>
      <c r="F942" s="294" t="s">
        <v>372</v>
      </c>
    </row>
    <row r="943" spans="1:6" hidden="1" outlineLevel="1" collapsed="1" x14ac:dyDescent="0.25">
      <c r="A943" s="321" t="s">
        <v>282</v>
      </c>
      <c r="B943" s="321" t="s">
        <v>373</v>
      </c>
      <c r="C943" s="293">
        <v>48</v>
      </c>
      <c r="D943" s="293">
        <v>22.08</v>
      </c>
      <c r="E943" s="293">
        <v>-25.92</v>
      </c>
      <c r="F943" s="294" t="s">
        <v>374</v>
      </c>
    </row>
    <row r="944" spans="1:6" hidden="1" outlineLevel="1" collapsed="1" x14ac:dyDescent="0.25">
      <c r="A944" s="321" t="s">
        <v>282</v>
      </c>
      <c r="B944" s="321" t="s">
        <v>445</v>
      </c>
      <c r="C944" s="293">
        <v>3000</v>
      </c>
      <c r="D944" s="293">
        <v>3000</v>
      </c>
      <c r="E944" s="293">
        <v>0</v>
      </c>
      <c r="F944" s="294" t="s">
        <v>316</v>
      </c>
    </row>
    <row r="945" spans="1:6" collapsed="1" x14ac:dyDescent="0.25">
      <c r="A945" s="560" t="s">
        <v>715</v>
      </c>
      <c r="B945" s="561"/>
      <c r="C945" s="292">
        <v>478259.51452000003</v>
      </c>
      <c r="D945" s="293">
        <v>498247.36528000003</v>
      </c>
      <c r="E945" s="293">
        <v>19987.850760000001</v>
      </c>
      <c r="F945" s="294" t="s">
        <v>716</v>
      </c>
    </row>
    <row r="946" spans="1:6" hidden="1" outlineLevel="1" collapsed="1" x14ac:dyDescent="0.25">
      <c r="A946" s="321" t="s">
        <v>282</v>
      </c>
      <c r="B946" s="321" t="s">
        <v>358</v>
      </c>
      <c r="C946" s="293">
        <v>349879.44</v>
      </c>
      <c r="D946" s="293">
        <v>361120.92239999998</v>
      </c>
      <c r="E946" s="293">
        <v>11241.482400000001</v>
      </c>
      <c r="F946" s="294" t="s">
        <v>359</v>
      </c>
    </row>
    <row r="947" spans="1:6" hidden="1" outlineLevel="1" collapsed="1" x14ac:dyDescent="0.25">
      <c r="A947" s="321" t="s">
        <v>282</v>
      </c>
      <c r="B947" s="321" t="s">
        <v>412</v>
      </c>
      <c r="C947" s="293">
        <v>7000</v>
      </c>
      <c r="D947" s="293">
        <v>7000</v>
      </c>
      <c r="E947" s="293">
        <v>0</v>
      </c>
      <c r="F947" s="294" t="s">
        <v>316</v>
      </c>
    </row>
    <row r="948" spans="1:6" hidden="1" outlineLevel="1" collapsed="1" x14ac:dyDescent="0.25">
      <c r="A948" s="321" t="s">
        <v>282</v>
      </c>
      <c r="B948" s="321" t="s">
        <v>360</v>
      </c>
      <c r="C948" s="293">
        <v>45659.266920000002</v>
      </c>
      <c r="D948" s="293">
        <v>52109.749089999998</v>
      </c>
      <c r="E948" s="293">
        <v>6450.4821700000002</v>
      </c>
      <c r="F948" s="294" t="s">
        <v>361</v>
      </c>
    </row>
    <row r="949" spans="1:6" hidden="1" outlineLevel="1" collapsed="1" x14ac:dyDescent="0.25">
      <c r="A949" s="321" t="s">
        <v>282</v>
      </c>
      <c r="B949" s="321" t="s">
        <v>362</v>
      </c>
      <c r="C949" s="293">
        <v>5174.7518799999998</v>
      </c>
      <c r="D949" s="293">
        <v>5337.7533599999997</v>
      </c>
      <c r="E949" s="293">
        <v>163.00147999999999</v>
      </c>
      <c r="F949" s="294" t="s">
        <v>717</v>
      </c>
    </row>
    <row r="950" spans="1:6" hidden="1" outlineLevel="1" collapsed="1" x14ac:dyDescent="0.25">
      <c r="A950" s="321" t="s">
        <v>282</v>
      </c>
      <c r="B950" s="321" t="s">
        <v>363</v>
      </c>
      <c r="C950" s="293">
        <v>1704.4992</v>
      </c>
      <c r="D950" s="293">
        <v>1688.16</v>
      </c>
      <c r="E950" s="293">
        <v>-16.339200000000002</v>
      </c>
      <c r="F950" s="294" t="s">
        <v>364</v>
      </c>
    </row>
    <row r="951" spans="1:6" hidden="1" outlineLevel="1" collapsed="1" x14ac:dyDescent="0.25">
      <c r="A951" s="321" t="s">
        <v>282</v>
      </c>
      <c r="B951" s="321" t="s">
        <v>365</v>
      </c>
      <c r="C951" s="293">
        <v>61434.239999999998</v>
      </c>
      <c r="D951" s="293">
        <v>63837.120000000003</v>
      </c>
      <c r="E951" s="293">
        <v>2402.88</v>
      </c>
      <c r="F951" s="294" t="s">
        <v>366</v>
      </c>
    </row>
    <row r="952" spans="1:6" hidden="1" outlineLevel="1" collapsed="1" x14ac:dyDescent="0.25">
      <c r="A952" s="321" t="s">
        <v>282</v>
      </c>
      <c r="B952" s="321" t="s">
        <v>367</v>
      </c>
      <c r="C952" s="293">
        <v>934.15679999999998</v>
      </c>
      <c r="D952" s="293">
        <v>731.52</v>
      </c>
      <c r="E952" s="293">
        <v>-202.63679999999999</v>
      </c>
      <c r="F952" s="294" t="s">
        <v>368</v>
      </c>
    </row>
    <row r="953" spans="1:6" hidden="1" outlineLevel="1" collapsed="1" x14ac:dyDescent="0.25">
      <c r="A953" s="321" t="s">
        <v>282</v>
      </c>
      <c r="B953" s="321" t="s">
        <v>369</v>
      </c>
      <c r="C953" s="293">
        <v>178.43971999999999</v>
      </c>
      <c r="D953" s="293">
        <v>184.06043</v>
      </c>
      <c r="E953" s="293">
        <v>5.6207099999999999</v>
      </c>
      <c r="F953" s="294" t="s">
        <v>717</v>
      </c>
    </row>
    <row r="954" spans="1:6" hidden="1" outlineLevel="1" collapsed="1" x14ac:dyDescent="0.25">
      <c r="A954" s="321" t="s">
        <v>282</v>
      </c>
      <c r="B954" s="321" t="s">
        <v>370</v>
      </c>
      <c r="C954" s="293">
        <v>6000</v>
      </c>
      <c r="D954" s="293">
        <v>6000</v>
      </c>
      <c r="E954" s="293">
        <v>0</v>
      </c>
      <c r="F954" s="294" t="s">
        <v>316</v>
      </c>
    </row>
    <row r="955" spans="1:6" hidden="1" outlineLevel="1" collapsed="1" x14ac:dyDescent="0.25">
      <c r="A955" s="321" t="s">
        <v>282</v>
      </c>
      <c r="B955" s="321" t="s">
        <v>371</v>
      </c>
      <c r="C955" s="293">
        <v>198.72</v>
      </c>
      <c r="D955" s="293">
        <v>193.92</v>
      </c>
      <c r="E955" s="293">
        <v>-4.8</v>
      </c>
      <c r="F955" s="294" t="s">
        <v>372</v>
      </c>
    </row>
    <row r="956" spans="1:6" hidden="1" outlineLevel="1" collapsed="1" x14ac:dyDescent="0.25">
      <c r="A956" s="321" t="s">
        <v>282</v>
      </c>
      <c r="B956" s="321" t="s">
        <v>373</v>
      </c>
      <c r="C956" s="293">
        <v>96</v>
      </c>
      <c r="D956" s="293">
        <v>44.16</v>
      </c>
      <c r="E956" s="293">
        <v>-51.84</v>
      </c>
      <c r="F956" s="294" t="s">
        <v>374</v>
      </c>
    </row>
    <row r="957" spans="1:6" collapsed="1" x14ac:dyDescent="0.25">
      <c r="A957" s="560" t="s">
        <v>718</v>
      </c>
      <c r="B957" s="561"/>
      <c r="C957" s="292">
        <v>230434.23775999999</v>
      </c>
      <c r="D957" s="293">
        <v>216270.99265</v>
      </c>
      <c r="E957" s="293">
        <v>-14163.24511</v>
      </c>
      <c r="F957" s="294" t="s">
        <v>2007</v>
      </c>
    </row>
    <row r="958" spans="1:6" hidden="1" outlineLevel="1" collapsed="1" x14ac:dyDescent="0.25">
      <c r="A958" s="321" t="s">
        <v>282</v>
      </c>
      <c r="B958" s="321" t="s">
        <v>358</v>
      </c>
      <c r="C958" s="293">
        <v>161310.72</v>
      </c>
      <c r="D958" s="293">
        <v>158067.65520000001</v>
      </c>
      <c r="E958" s="293">
        <v>-3243.0648000000001</v>
      </c>
      <c r="F958" s="294" t="s">
        <v>2008</v>
      </c>
    </row>
    <row r="959" spans="1:6" hidden="1" outlineLevel="1" collapsed="1" x14ac:dyDescent="0.25">
      <c r="A959" s="321" t="s">
        <v>282</v>
      </c>
      <c r="B959" s="321" t="s">
        <v>412</v>
      </c>
      <c r="C959" s="293">
        <v>6000</v>
      </c>
      <c r="D959" s="293">
        <v>6000</v>
      </c>
      <c r="E959" s="293">
        <v>0</v>
      </c>
      <c r="F959" s="294" t="s">
        <v>316</v>
      </c>
    </row>
    <row r="960" spans="1:6" hidden="1" outlineLevel="1" collapsed="1" x14ac:dyDescent="0.25">
      <c r="A960" s="321" t="s">
        <v>282</v>
      </c>
      <c r="B960" s="321" t="s">
        <v>360</v>
      </c>
      <c r="C960" s="293">
        <v>21051.04896</v>
      </c>
      <c r="D960" s="293">
        <v>22809.162639999999</v>
      </c>
      <c r="E960" s="293">
        <v>1758.1136799999999</v>
      </c>
      <c r="F960" s="294" t="s">
        <v>2009</v>
      </c>
    </row>
    <row r="961" spans="1:6" hidden="1" outlineLevel="1" collapsed="1" x14ac:dyDescent="0.25">
      <c r="A961" s="321" t="s">
        <v>282</v>
      </c>
      <c r="B961" s="321" t="s">
        <v>362</v>
      </c>
      <c r="C961" s="293">
        <v>2426.0054399999999</v>
      </c>
      <c r="D961" s="293">
        <v>2378.98099</v>
      </c>
      <c r="E961" s="293">
        <v>-47.024450000000002</v>
      </c>
      <c r="F961" s="294" t="s">
        <v>2010</v>
      </c>
    </row>
    <row r="962" spans="1:6" hidden="1" outlineLevel="1" collapsed="1" x14ac:dyDescent="0.25">
      <c r="A962" s="321" t="s">
        <v>282</v>
      </c>
      <c r="B962" s="321" t="s">
        <v>363</v>
      </c>
      <c r="C962" s="293">
        <v>852.24959999999999</v>
      </c>
      <c r="D962" s="293">
        <v>844.08</v>
      </c>
      <c r="E962" s="293">
        <v>-8.1696000000000009</v>
      </c>
      <c r="F962" s="294" t="s">
        <v>364</v>
      </c>
    </row>
    <row r="963" spans="1:6" hidden="1" outlineLevel="1" collapsed="1" x14ac:dyDescent="0.25">
      <c r="A963" s="321" t="s">
        <v>282</v>
      </c>
      <c r="B963" s="321" t="s">
        <v>365</v>
      </c>
      <c r="C963" s="293">
        <v>30717.119999999999</v>
      </c>
      <c r="D963" s="293">
        <v>15959.28</v>
      </c>
      <c r="E963" s="293">
        <v>-14757.84</v>
      </c>
      <c r="F963" s="294" t="s">
        <v>2011</v>
      </c>
    </row>
    <row r="964" spans="1:6" hidden="1" outlineLevel="1" collapsed="1" x14ac:dyDescent="0.25">
      <c r="A964" s="321" t="s">
        <v>282</v>
      </c>
      <c r="B964" s="321" t="s">
        <v>367</v>
      </c>
      <c r="C964" s="293">
        <v>467.07839999999999</v>
      </c>
      <c r="D964" s="293">
        <v>365.76</v>
      </c>
      <c r="E964" s="293">
        <v>-101.3184</v>
      </c>
      <c r="F964" s="294" t="s">
        <v>368</v>
      </c>
    </row>
    <row r="965" spans="1:6" hidden="1" outlineLevel="1" collapsed="1" x14ac:dyDescent="0.25">
      <c r="A965" s="321" t="s">
        <v>282</v>
      </c>
      <c r="B965" s="321" t="s">
        <v>369</v>
      </c>
      <c r="C965" s="293">
        <v>83.655360000000002</v>
      </c>
      <c r="D965" s="293">
        <v>82.033820000000006</v>
      </c>
      <c r="E965" s="293">
        <v>-1.62154</v>
      </c>
      <c r="F965" s="294" t="s">
        <v>2010</v>
      </c>
    </row>
    <row r="966" spans="1:6" hidden="1" outlineLevel="1" collapsed="1" x14ac:dyDescent="0.25">
      <c r="A966" s="321" t="s">
        <v>282</v>
      </c>
      <c r="B966" s="321" t="s">
        <v>370</v>
      </c>
      <c r="C966" s="293">
        <v>3000</v>
      </c>
      <c r="D966" s="293">
        <v>3000</v>
      </c>
      <c r="E966" s="293">
        <v>0</v>
      </c>
      <c r="F966" s="294" t="s">
        <v>316</v>
      </c>
    </row>
    <row r="967" spans="1:6" hidden="1" outlineLevel="1" collapsed="1" x14ac:dyDescent="0.25">
      <c r="A967" s="321" t="s">
        <v>282</v>
      </c>
      <c r="B967" s="321" t="s">
        <v>371</v>
      </c>
      <c r="C967" s="293">
        <v>99.36</v>
      </c>
      <c r="D967" s="293">
        <v>96.96</v>
      </c>
      <c r="E967" s="293">
        <v>-2.4</v>
      </c>
      <c r="F967" s="294" t="s">
        <v>372</v>
      </c>
    </row>
    <row r="968" spans="1:6" hidden="1" outlineLevel="1" collapsed="1" x14ac:dyDescent="0.25">
      <c r="A968" s="321" t="s">
        <v>282</v>
      </c>
      <c r="B968" s="321" t="s">
        <v>373</v>
      </c>
      <c r="C968" s="293">
        <v>48</v>
      </c>
      <c r="D968" s="293">
        <v>22.08</v>
      </c>
      <c r="E968" s="293">
        <v>-25.92</v>
      </c>
      <c r="F968" s="294" t="s">
        <v>374</v>
      </c>
    </row>
    <row r="969" spans="1:6" hidden="1" outlineLevel="1" collapsed="1" x14ac:dyDescent="0.25">
      <c r="A969" s="321" t="s">
        <v>282</v>
      </c>
      <c r="B969" s="321" t="s">
        <v>445</v>
      </c>
      <c r="C969" s="293">
        <v>0</v>
      </c>
      <c r="D969" s="293">
        <v>3000</v>
      </c>
      <c r="E969" s="293">
        <v>3000</v>
      </c>
      <c r="F969" s="294" t="s">
        <v>298</v>
      </c>
    </row>
    <row r="970" spans="1:6" hidden="1" outlineLevel="1" collapsed="1" x14ac:dyDescent="0.25">
      <c r="A970" s="321" t="s">
        <v>282</v>
      </c>
      <c r="B970" s="321" t="s">
        <v>375</v>
      </c>
      <c r="C970" s="293">
        <v>100</v>
      </c>
      <c r="D970" s="293">
        <v>274</v>
      </c>
      <c r="E970" s="293">
        <v>174</v>
      </c>
      <c r="F970" s="294" t="s">
        <v>2012</v>
      </c>
    </row>
    <row r="971" spans="1:6" hidden="1" outlineLevel="1" collapsed="1" x14ac:dyDescent="0.25">
      <c r="A971" s="321" t="s">
        <v>282</v>
      </c>
      <c r="B971" s="321" t="s">
        <v>496</v>
      </c>
      <c r="C971" s="293">
        <v>100</v>
      </c>
      <c r="D971" s="293">
        <v>50</v>
      </c>
      <c r="E971" s="293">
        <v>-50</v>
      </c>
      <c r="F971" s="294" t="s">
        <v>722</v>
      </c>
    </row>
    <row r="972" spans="1:6" hidden="1" outlineLevel="1" collapsed="1" x14ac:dyDescent="0.25">
      <c r="A972" s="321" t="s">
        <v>282</v>
      </c>
      <c r="B972" s="321" t="s">
        <v>376</v>
      </c>
      <c r="C972" s="293">
        <v>100</v>
      </c>
      <c r="D972" s="293">
        <v>50</v>
      </c>
      <c r="E972" s="293">
        <v>-50</v>
      </c>
      <c r="F972" s="294" t="s">
        <v>722</v>
      </c>
    </row>
    <row r="973" spans="1:6" hidden="1" outlineLevel="1" collapsed="1" x14ac:dyDescent="0.25">
      <c r="A973" s="321" t="s">
        <v>282</v>
      </c>
      <c r="B973" s="321" t="s">
        <v>597</v>
      </c>
      <c r="C973" s="293">
        <v>100</v>
      </c>
      <c r="D973" s="293">
        <v>50</v>
      </c>
      <c r="E973" s="293">
        <v>-50</v>
      </c>
      <c r="F973" s="294" t="s">
        <v>722</v>
      </c>
    </row>
    <row r="974" spans="1:6" hidden="1" outlineLevel="1" collapsed="1" x14ac:dyDescent="0.25">
      <c r="A974" s="321" t="s">
        <v>282</v>
      </c>
      <c r="B974" s="321" t="s">
        <v>401</v>
      </c>
      <c r="C974" s="293">
        <v>3071</v>
      </c>
      <c r="D974" s="293">
        <v>3071</v>
      </c>
      <c r="E974" s="293">
        <v>0</v>
      </c>
      <c r="F974" s="294" t="s">
        <v>316</v>
      </c>
    </row>
    <row r="975" spans="1:6" hidden="1" outlineLevel="1" collapsed="1" x14ac:dyDescent="0.25">
      <c r="A975" s="321" t="s">
        <v>282</v>
      </c>
      <c r="B975" s="321" t="s">
        <v>405</v>
      </c>
      <c r="C975" s="293">
        <v>0</v>
      </c>
      <c r="D975" s="293">
        <v>50</v>
      </c>
      <c r="E975" s="293">
        <v>50</v>
      </c>
      <c r="F975" s="294" t="s">
        <v>298</v>
      </c>
    </row>
    <row r="976" spans="1:6" hidden="1" outlineLevel="1" collapsed="1" x14ac:dyDescent="0.25">
      <c r="A976" s="321" t="s">
        <v>282</v>
      </c>
      <c r="B976" s="321" t="s">
        <v>422</v>
      </c>
      <c r="C976" s="293">
        <v>908</v>
      </c>
      <c r="D976" s="293">
        <v>100</v>
      </c>
      <c r="E976" s="293">
        <v>-808</v>
      </c>
      <c r="F976" s="294" t="s">
        <v>723</v>
      </c>
    </row>
    <row r="977" spans="1:6" collapsed="1" x14ac:dyDescent="0.25">
      <c r="A977" s="560" t="s">
        <v>724</v>
      </c>
      <c r="B977" s="561"/>
      <c r="C977" s="292">
        <v>109829.10444</v>
      </c>
      <c r="D977" s="293">
        <v>115008.2365</v>
      </c>
      <c r="E977" s="293">
        <v>5179.1320599999999</v>
      </c>
      <c r="F977" s="294" t="s">
        <v>519</v>
      </c>
    </row>
    <row r="978" spans="1:6" hidden="1" outlineLevel="1" collapsed="1" x14ac:dyDescent="0.25">
      <c r="A978" s="321" t="s">
        <v>282</v>
      </c>
      <c r="B978" s="321" t="s">
        <v>358</v>
      </c>
      <c r="C978" s="293">
        <v>85993.68</v>
      </c>
      <c r="D978" s="293">
        <v>89496.934800000003</v>
      </c>
      <c r="E978" s="293">
        <v>3503.2548000000002</v>
      </c>
      <c r="F978" s="294" t="s">
        <v>411</v>
      </c>
    </row>
    <row r="979" spans="1:6" hidden="1" outlineLevel="1" collapsed="1" x14ac:dyDescent="0.25">
      <c r="A979" s="321" t="s">
        <v>282</v>
      </c>
      <c r="B979" s="321" t="s">
        <v>412</v>
      </c>
      <c r="C979" s="293">
        <v>6000</v>
      </c>
      <c r="D979" s="293">
        <v>6000</v>
      </c>
      <c r="E979" s="293">
        <v>0</v>
      </c>
      <c r="F979" s="294" t="s">
        <v>316</v>
      </c>
    </row>
    <row r="980" spans="1:6" hidden="1" outlineLevel="1" collapsed="1" x14ac:dyDescent="0.25">
      <c r="A980" s="321" t="s">
        <v>282</v>
      </c>
      <c r="B980" s="321" t="s">
        <v>360</v>
      </c>
      <c r="C980" s="293">
        <v>11222.17524</v>
      </c>
      <c r="D980" s="293">
        <v>12914.40769</v>
      </c>
      <c r="E980" s="293">
        <v>1692.23245</v>
      </c>
      <c r="F980" s="294" t="s">
        <v>725</v>
      </c>
    </row>
    <row r="981" spans="1:6" hidden="1" outlineLevel="1" collapsed="1" x14ac:dyDescent="0.25">
      <c r="A981" s="321" t="s">
        <v>282</v>
      </c>
      <c r="B981" s="321" t="s">
        <v>362</v>
      </c>
      <c r="C981" s="293">
        <v>1333.9083599999999</v>
      </c>
      <c r="D981" s="293">
        <v>1384.7055499999999</v>
      </c>
      <c r="E981" s="293">
        <v>50.797190000000001</v>
      </c>
      <c r="F981" s="294" t="s">
        <v>726</v>
      </c>
    </row>
    <row r="982" spans="1:6" hidden="1" outlineLevel="1" collapsed="1" x14ac:dyDescent="0.25">
      <c r="A982" s="321" t="s">
        <v>282</v>
      </c>
      <c r="B982" s="321" t="s">
        <v>363</v>
      </c>
      <c r="C982" s="293">
        <v>426.12479999999999</v>
      </c>
      <c r="D982" s="293">
        <v>422.04</v>
      </c>
      <c r="E982" s="293">
        <v>-4.0848000000000004</v>
      </c>
      <c r="F982" s="294" t="s">
        <v>364</v>
      </c>
    </row>
    <row r="983" spans="1:6" hidden="1" outlineLevel="1" collapsed="1" x14ac:dyDescent="0.25">
      <c r="A983" s="321" t="s">
        <v>282</v>
      </c>
      <c r="B983" s="321" t="s">
        <v>367</v>
      </c>
      <c r="C983" s="293">
        <v>233.53919999999999</v>
      </c>
      <c r="D983" s="293">
        <v>182.88</v>
      </c>
      <c r="E983" s="293">
        <v>-50.659199999999998</v>
      </c>
      <c r="F983" s="294" t="s">
        <v>368</v>
      </c>
    </row>
    <row r="984" spans="1:6" hidden="1" outlineLevel="1" collapsed="1" x14ac:dyDescent="0.25">
      <c r="A984" s="321" t="s">
        <v>282</v>
      </c>
      <c r="B984" s="321" t="s">
        <v>369</v>
      </c>
      <c r="C984" s="293">
        <v>45.996839999999999</v>
      </c>
      <c r="D984" s="293">
        <v>47.748460000000001</v>
      </c>
      <c r="E984" s="293">
        <v>1.75162</v>
      </c>
      <c r="F984" s="294" t="s">
        <v>726</v>
      </c>
    </row>
    <row r="985" spans="1:6" hidden="1" outlineLevel="1" collapsed="1" x14ac:dyDescent="0.25">
      <c r="A985" s="321" t="s">
        <v>282</v>
      </c>
      <c r="B985" s="321" t="s">
        <v>370</v>
      </c>
      <c r="C985" s="293">
        <v>1500</v>
      </c>
      <c r="D985" s="293">
        <v>1500</v>
      </c>
      <c r="E985" s="293">
        <v>0</v>
      </c>
      <c r="F985" s="294" t="s">
        <v>316</v>
      </c>
    </row>
    <row r="986" spans="1:6" hidden="1" outlineLevel="1" collapsed="1" x14ac:dyDescent="0.25">
      <c r="A986" s="321" t="s">
        <v>282</v>
      </c>
      <c r="B986" s="321" t="s">
        <v>371</v>
      </c>
      <c r="C986" s="293">
        <v>49.68</v>
      </c>
      <c r="D986" s="293">
        <v>48.48</v>
      </c>
      <c r="E986" s="293">
        <v>-1.2</v>
      </c>
      <c r="F986" s="294" t="s">
        <v>372</v>
      </c>
    </row>
    <row r="987" spans="1:6" hidden="1" outlineLevel="1" collapsed="1" x14ac:dyDescent="0.25">
      <c r="A987" s="321" t="s">
        <v>282</v>
      </c>
      <c r="B987" s="321" t="s">
        <v>373</v>
      </c>
      <c r="C987" s="293">
        <v>24</v>
      </c>
      <c r="D987" s="293">
        <v>11.04</v>
      </c>
      <c r="E987" s="293">
        <v>-12.96</v>
      </c>
      <c r="F987" s="294" t="s">
        <v>374</v>
      </c>
    </row>
    <row r="988" spans="1:6" hidden="1" outlineLevel="1" collapsed="1" x14ac:dyDescent="0.25">
      <c r="A988" s="321" t="s">
        <v>282</v>
      </c>
      <c r="B988" s="321" t="s">
        <v>445</v>
      </c>
      <c r="C988" s="293">
        <v>3000</v>
      </c>
      <c r="D988" s="293">
        <v>3000</v>
      </c>
      <c r="E988" s="293">
        <v>0</v>
      </c>
      <c r="F988" s="294" t="s">
        <v>316</v>
      </c>
    </row>
    <row r="989" spans="1:6" collapsed="1" x14ac:dyDescent="0.25">
      <c r="A989" s="560" t="s">
        <v>727</v>
      </c>
      <c r="B989" s="561"/>
      <c r="C989" s="292">
        <v>74980.472771999994</v>
      </c>
      <c r="D989" s="293">
        <v>84293.422202000002</v>
      </c>
      <c r="E989" s="293">
        <v>9312.9494300000006</v>
      </c>
      <c r="F989" s="294" t="s">
        <v>728</v>
      </c>
    </row>
    <row r="990" spans="1:6" hidden="1" outlineLevel="1" collapsed="1" x14ac:dyDescent="0.25">
      <c r="A990" s="321" t="s">
        <v>282</v>
      </c>
      <c r="B990" s="321" t="s">
        <v>358</v>
      </c>
      <c r="C990" s="293">
        <v>60626.039987999997</v>
      </c>
      <c r="D990" s="293">
        <v>63684.104388</v>
      </c>
      <c r="E990" s="293">
        <v>3058.0644000000002</v>
      </c>
      <c r="F990" s="294" t="s">
        <v>729</v>
      </c>
    </row>
    <row r="991" spans="1:6" hidden="1" outlineLevel="1" collapsed="1" x14ac:dyDescent="0.25">
      <c r="A991" s="321" t="s">
        <v>282</v>
      </c>
      <c r="B991" s="321" t="s">
        <v>412</v>
      </c>
      <c r="C991" s="293">
        <v>0</v>
      </c>
      <c r="D991" s="293">
        <v>5000</v>
      </c>
      <c r="E991" s="293">
        <v>5000</v>
      </c>
      <c r="F991" s="294" t="s">
        <v>298</v>
      </c>
    </row>
    <row r="992" spans="1:6" hidden="1" outlineLevel="1" collapsed="1" x14ac:dyDescent="0.25">
      <c r="A992" s="321" t="s">
        <v>282</v>
      </c>
      <c r="B992" s="321" t="s">
        <v>360</v>
      </c>
      <c r="C992" s="293">
        <v>7911.6982079999998</v>
      </c>
      <c r="D992" s="293">
        <v>9189.6162600000007</v>
      </c>
      <c r="E992" s="293">
        <v>1277.918052</v>
      </c>
      <c r="F992" s="294" t="s">
        <v>730</v>
      </c>
    </row>
    <row r="993" spans="1:6" hidden="1" outlineLevel="1" collapsed="1" x14ac:dyDescent="0.25">
      <c r="A993" s="321" t="s">
        <v>282</v>
      </c>
      <c r="B993" s="321" t="s">
        <v>362</v>
      </c>
      <c r="C993" s="293">
        <v>879.07756800000004</v>
      </c>
      <c r="D993" s="293">
        <v>923.41950599999996</v>
      </c>
      <c r="E993" s="293">
        <v>44.341937999999999</v>
      </c>
      <c r="F993" s="294" t="s">
        <v>729</v>
      </c>
    </row>
    <row r="994" spans="1:6" hidden="1" outlineLevel="1" collapsed="1" x14ac:dyDescent="0.25">
      <c r="A994" s="321" t="s">
        <v>282</v>
      </c>
      <c r="B994" s="321" t="s">
        <v>363</v>
      </c>
      <c r="C994" s="293">
        <v>426.12479999999999</v>
      </c>
      <c r="D994" s="293">
        <v>422.04</v>
      </c>
      <c r="E994" s="293">
        <v>-4.0848000000000004</v>
      </c>
      <c r="F994" s="294" t="s">
        <v>364</v>
      </c>
    </row>
    <row r="995" spans="1:6" hidden="1" outlineLevel="1" collapsed="1" x14ac:dyDescent="0.25">
      <c r="A995" s="321" t="s">
        <v>282</v>
      </c>
      <c r="B995" s="321" t="s">
        <v>367</v>
      </c>
      <c r="C995" s="293">
        <v>233.53919999999999</v>
      </c>
      <c r="D995" s="293">
        <v>182.88</v>
      </c>
      <c r="E995" s="293">
        <v>-50.659199999999998</v>
      </c>
      <c r="F995" s="294" t="s">
        <v>368</v>
      </c>
    </row>
    <row r="996" spans="1:6" hidden="1" outlineLevel="1" collapsed="1" x14ac:dyDescent="0.25">
      <c r="A996" s="321" t="s">
        <v>282</v>
      </c>
      <c r="B996" s="321" t="s">
        <v>369</v>
      </c>
      <c r="C996" s="293">
        <v>30.313008</v>
      </c>
      <c r="D996" s="293">
        <v>31.842047999999998</v>
      </c>
      <c r="E996" s="293">
        <v>1.52904</v>
      </c>
      <c r="F996" s="294" t="s">
        <v>729</v>
      </c>
    </row>
    <row r="997" spans="1:6" hidden="1" outlineLevel="1" collapsed="1" x14ac:dyDescent="0.25">
      <c r="A997" s="321" t="s">
        <v>282</v>
      </c>
      <c r="B997" s="321" t="s">
        <v>370</v>
      </c>
      <c r="C997" s="293">
        <v>1500</v>
      </c>
      <c r="D997" s="293">
        <v>1500</v>
      </c>
      <c r="E997" s="293">
        <v>0</v>
      </c>
      <c r="F997" s="294" t="s">
        <v>316</v>
      </c>
    </row>
    <row r="998" spans="1:6" hidden="1" outlineLevel="1" collapsed="1" x14ac:dyDescent="0.25">
      <c r="A998" s="321" t="s">
        <v>282</v>
      </c>
      <c r="B998" s="321" t="s">
        <v>371</v>
      </c>
      <c r="C998" s="293">
        <v>49.68</v>
      </c>
      <c r="D998" s="293">
        <v>48.48</v>
      </c>
      <c r="E998" s="293">
        <v>-1.2</v>
      </c>
      <c r="F998" s="294" t="s">
        <v>372</v>
      </c>
    </row>
    <row r="999" spans="1:6" hidden="1" outlineLevel="1" collapsed="1" x14ac:dyDescent="0.25">
      <c r="A999" s="321" t="s">
        <v>282</v>
      </c>
      <c r="B999" s="321" t="s">
        <v>373</v>
      </c>
      <c r="C999" s="293">
        <v>24</v>
      </c>
      <c r="D999" s="293">
        <v>11.04</v>
      </c>
      <c r="E999" s="293">
        <v>-12.96</v>
      </c>
      <c r="F999" s="294" t="s">
        <v>374</v>
      </c>
    </row>
    <row r="1000" spans="1:6" hidden="1" outlineLevel="1" collapsed="1" x14ac:dyDescent="0.25">
      <c r="A1000" s="321" t="s">
        <v>282</v>
      </c>
      <c r="B1000" s="321" t="s">
        <v>445</v>
      </c>
      <c r="C1000" s="293">
        <v>3000</v>
      </c>
      <c r="D1000" s="293">
        <v>3000</v>
      </c>
      <c r="E1000" s="293">
        <v>0</v>
      </c>
      <c r="F1000" s="294" t="s">
        <v>316</v>
      </c>
    </row>
    <row r="1001" spans="1:6" hidden="1" outlineLevel="1" collapsed="1" x14ac:dyDescent="0.25">
      <c r="A1001" s="321" t="s">
        <v>282</v>
      </c>
      <c r="B1001" s="321" t="s">
        <v>375</v>
      </c>
      <c r="C1001" s="293">
        <v>300</v>
      </c>
      <c r="D1001" s="293">
        <v>300</v>
      </c>
      <c r="E1001" s="293">
        <v>0</v>
      </c>
      <c r="F1001" s="294" t="s">
        <v>316</v>
      </c>
    </row>
    <row r="1002" spans="1:6" collapsed="1" x14ac:dyDescent="0.25">
      <c r="A1002" s="560" t="s">
        <v>731</v>
      </c>
      <c r="B1002" s="561"/>
      <c r="C1002" s="292">
        <v>194816.27184</v>
      </c>
      <c r="D1002" s="293">
        <v>212489.00091999999</v>
      </c>
      <c r="E1002" s="293">
        <v>17672.729080000001</v>
      </c>
      <c r="F1002" s="294" t="s">
        <v>2013</v>
      </c>
    </row>
    <row r="1003" spans="1:6" hidden="1" outlineLevel="1" collapsed="1" x14ac:dyDescent="0.25">
      <c r="A1003" s="321" t="s">
        <v>282</v>
      </c>
      <c r="B1003" s="321" t="s">
        <v>358</v>
      </c>
      <c r="C1003" s="293">
        <v>144828.48000000001</v>
      </c>
      <c r="D1003" s="293">
        <v>146770.94880000001</v>
      </c>
      <c r="E1003" s="293">
        <v>1942.4688000000001</v>
      </c>
      <c r="F1003" s="294" t="s">
        <v>2014</v>
      </c>
    </row>
    <row r="1004" spans="1:6" hidden="1" outlineLevel="1" collapsed="1" x14ac:dyDescent="0.25">
      <c r="A1004" s="321" t="s">
        <v>282</v>
      </c>
      <c r="B1004" s="321" t="s">
        <v>412</v>
      </c>
      <c r="C1004" s="293">
        <v>6000</v>
      </c>
      <c r="D1004" s="293">
        <v>6000</v>
      </c>
      <c r="E1004" s="293">
        <v>0</v>
      </c>
      <c r="F1004" s="294" t="s">
        <v>316</v>
      </c>
    </row>
    <row r="1005" spans="1:6" hidden="1" outlineLevel="1" collapsed="1" x14ac:dyDescent="0.25">
      <c r="A1005" s="321" t="s">
        <v>282</v>
      </c>
      <c r="B1005" s="321" t="s">
        <v>360</v>
      </c>
      <c r="C1005" s="293">
        <v>18900.11664</v>
      </c>
      <c r="D1005" s="293">
        <v>21179.047900000001</v>
      </c>
      <c r="E1005" s="293">
        <v>2278.9312599999998</v>
      </c>
      <c r="F1005" s="294" t="s">
        <v>2015</v>
      </c>
    </row>
    <row r="1006" spans="1:6" hidden="1" outlineLevel="1" collapsed="1" x14ac:dyDescent="0.25">
      <c r="A1006" s="321" t="s">
        <v>282</v>
      </c>
      <c r="B1006" s="321" t="s">
        <v>362</v>
      </c>
      <c r="C1006" s="293">
        <v>2187.01296</v>
      </c>
      <c r="D1006" s="293">
        <v>2215.17875</v>
      </c>
      <c r="E1006" s="293">
        <v>28.165790000000001</v>
      </c>
      <c r="F1006" s="294" t="s">
        <v>2016</v>
      </c>
    </row>
    <row r="1007" spans="1:6" hidden="1" outlineLevel="1" collapsed="1" x14ac:dyDescent="0.25">
      <c r="A1007" s="321" t="s">
        <v>282</v>
      </c>
      <c r="B1007" s="321" t="s">
        <v>363</v>
      </c>
      <c r="C1007" s="293">
        <v>852.24959999999999</v>
      </c>
      <c r="D1007" s="293">
        <v>844.08</v>
      </c>
      <c r="E1007" s="293">
        <v>-8.1696000000000009</v>
      </c>
      <c r="F1007" s="294" t="s">
        <v>364</v>
      </c>
    </row>
    <row r="1008" spans="1:6" hidden="1" outlineLevel="1" collapsed="1" x14ac:dyDescent="0.25">
      <c r="A1008" s="321" t="s">
        <v>282</v>
      </c>
      <c r="B1008" s="321" t="s">
        <v>365</v>
      </c>
      <c r="C1008" s="293">
        <v>15358.56</v>
      </c>
      <c r="D1008" s="293">
        <v>31918.560000000001</v>
      </c>
      <c r="E1008" s="293">
        <v>16560</v>
      </c>
      <c r="F1008" s="294" t="s">
        <v>533</v>
      </c>
    </row>
    <row r="1009" spans="1:6" hidden="1" outlineLevel="1" collapsed="1" x14ac:dyDescent="0.25">
      <c r="A1009" s="321" t="s">
        <v>282</v>
      </c>
      <c r="B1009" s="321" t="s">
        <v>367</v>
      </c>
      <c r="C1009" s="293">
        <v>467.07839999999999</v>
      </c>
      <c r="D1009" s="293">
        <v>365.76</v>
      </c>
      <c r="E1009" s="293">
        <v>-101.3184</v>
      </c>
      <c r="F1009" s="294" t="s">
        <v>368</v>
      </c>
    </row>
    <row r="1010" spans="1:6" hidden="1" outlineLevel="1" collapsed="1" x14ac:dyDescent="0.25">
      <c r="A1010" s="321" t="s">
        <v>282</v>
      </c>
      <c r="B1010" s="321" t="s">
        <v>369</v>
      </c>
      <c r="C1010" s="293">
        <v>75.414240000000007</v>
      </c>
      <c r="D1010" s="293">
        <v>76.385469999999998</v>
      </c>
      <c r="E1010" s="293">
        <v>0.97123000000000004</v>
      </c>
      <c r="F1010" s="294" t="s">
        <v>2016</v>
      </c>
    </row>
    <row r="1011" spans="1:6" hidden="1" outlineLevel="1" collapsed="1" x14ac:dyDescent="0.25">
      <c r="A1011" s="321" t="s">
        <v>282</v>
      </c>
      <c r="B1011" s="321" t="s">
        <v>370</v>
      </c>
      <c r="C1011" s="293">
        <v>3000</v>
      </c>
      <c r="D1011" s="293">
        <v>3000</v>
      </c>
      <c r="E1011" s="293">
        <v>0</v>
      </c>
      <c r="F1011" s="294" t="s">
        <v>316</v>
      </c>
    </row>
    <row r="1012" spans="1:6" hidden="1" outlineLevel="1" collapsed="1" x14ac:dyDescent="0.25">
      <c r="A1012" s="321" t="s">
        <v>282</v>
      </c>
      <c r="B1012" s="321" t="s">
        <v>371</v>
      </c>
      <c r="C1012" s="293">
        <v>99.36</v>
      </c>
      <c r="D1012" s="293">
        <v>96.96</v>
      </c>
      <c r="E1012" s="293">
        <v>-2.4</v>
      </c>
      <c r="F1012" s="294" t="s">
        <v>372</v>
      </c>
    </row>
    <row r="1013" spans="1:6" hidden="1" outlineLevel="1" collapsed="1" x14ac:dyDescent="0.25">
      <c r="A1013" s="321" t="s">
        <v>282</v>
      </c>
      <c r="B1013" s="321" t="s">
        <v>373</v>
      </c>
      <c r="C1013" s="293">
        <v>48</v>
      </c>
      <c r="D1013" s="293">
        <v>22.08</v>
      </c>
      <c r="E1013" s="293">
        <v>-25.92</v>
      </c>
      <c r="F1013" s="294" t="s">
        <v>374</v>
      </c>
    </row>
    <row r="1014" spans="1:6" hidden="1" outlineLevel="1" collapsed="1" x14ac:dyDescent="0.25">
      <c r="A1014" s="321" t="s">
        <v>282</v>
      </c>
      <c r="B1014" s="321" t="s">
        <v>445</v>
      </c>
      <c r="C1014" s="293">
        <v>3000</v>
      </c>
      <c r="D1014" s="293">
        <v>0</v>
      </c>
      <c r="E1014" s="293">
        <v>-3000</v>
      </c>
      <c r="F1014" s="294" t="s">
        <v>286</v>
      </c>
    </row>
    <row r="1015" spans="1:6" collapsed="1" x14ac:dyDescent="0.25">
      <c r="A1015" s="560" t="s">
        <v>734</v>
      </c>
      <c r="B1015" s="561"/>
      <c r="C1015" s="292">
        <v>9238540.3604899999</v>
      </c>
      <c r="D1015" s="293">
        <v>9925569.8482900001</v>
      </c>
      <c r="E1015" s="293">
        <v>687029.4878</v>
      </c>
      <c r="F1015" s="294" t="s">
        <v>2017</v>
      </c>
    </row>
    <row r="1016" spans="1:6" hidden="1" outlineLevel="1" collapsed="1" x14ac:dyDescent="0.25">
      <c r="A1016" s="321" t="s">
        <v>282</v>
      </c>
      <c r="B1016" s="321" t="s">
        <v>735</v>
      </c>
      <c r="C1016" s="293">
        <v>6557828.9999900004</v>
      </c>
      <c r="D1016" s="293">
        <v>6939478.9999900004</v>
      </c>
      <c r="E1016" s="293">
        <v>381650</v>
      </c>
      <c r="F1016" s="294" t="s">
        <v>1485</v>
      </c>
    </row>
    <row r="1017" spans="1:6" hidden="1" outlineLevel="1" collapsed="1" x14ac:dyDescent="0.25">
      <c r="A1017" s="321" t="s">
        <v>282</v>
      </c>
      <c r="B1017" s="321" t="s">
        <v>737</v>
      </c>
      <c r="C1017" s="293">
        <v>1200000</v>
      </c>
      <c r="D1017" s="293">
        <v>1392000</v>
      </c>
      <c r="E1017" s="293">
        <v>192000</v>
      </c>
      <c r="F1017" s="294" t="s">
        <v>632</v>
      </c>
    </row>
    <row r="1018" spans="1:6" hidden="1" outlineLevel="1" collapsed="1" x14ac:dyDescent="0.25">
      <c r="A1018" s="321" t="s">
        <v>282</v>
      </c>
      <c r="B1018" s="321" t="s">
        <v>739</v>
      </c>
      <c r="C1018" s="293">
        <v>417291</v>
      </c>
      <c r="D1018" s="293">
        <v>429810</v>
      </c>
      <c r="E1018" s="293">
        <v>12519</v>
      </c>
      <c r="F1018" s="294" t="s">
        <v>548</v>
      </c>
    </row>
    <row r="1019" spans="1:6" hidden="1" outlineLevel="1" collapsed="1" x14ac:dyDescent="0.25">
      <c r="A1019" s="321" t="s">
        <v>282</v>
      </c>
      <c r="B1019" s="321" t="s">
        <v>360</v>
      </c>
      <c r="C1019" s="293">
        <v>953789.39549999998</v>
      </c>
      <c r="D1019" s="293">
        <v>1054649.8833000001</v>
      </c>
      <c r="E1019" s="293">
        <v>100860.4878</v>
      </c>
      <c r="F1019" s="294" t="s">
        <v>740</v>
      </c>
    </row>
    <row r="1020" spans="1:6" hidden="1" outlineLevel="1" collapsed="1" x14ac:dyDescent="0.25">
      <c r="A1020" s="321" t="s">
        <v>282</v>
      </c>
      <c r="B1020" s="321" t="s">
        <v>362</v>
      </c>
      <c r="C1020" s="293">
        <v>105976.5995</v>
      </c>
      <c r="D1020" s="293">
        <v>105976.5995</v>
      </c>
      <c r="E1020" s="293">
        <v>0</v>
      </c>
      <c r="F1020" s="294" t="s">
        <v>316</v>
      </c>
    </row>
    <row r="1021" spans="1:6" hidden="1" outlineLevel="1" collapsed="1" x14ac:dyDescent="0.25">
      <c r="A1021" s="321" t="s">
        <v>282</v>
      </c>
      <c r="B1021" s="321" t="s">
        <v>369</v>
      </c>
      <c r="C1021" s="293">
        <v>3654.3654999999999</v>
      </c>
      <c r="D1021" s="293">
        <v>3654.3654999999999</v>
      </c>
      <c r="E1021" s="293">
        <v>0</v>
      </c>
      <c r="F1021" s="294" t="s">
        <v>316</v>
      </c>
    </row>
    <row r="1022" spans="1:6" collapsed="1" x14ac:dyDescent="0.25">
      <c r="A1022" s="560" t="s">
        <v>741</v>
      </c>
      <c r="B1022" s="561"/>
      <c r="C1022" s="292">
        <v>99894.320043999993</v>
      </c>
      <c r="D1022" s="293">
        <v>37896.843846000003</v>
      </c>
      <c r="E1022" s="293">
        <v>-61997.476197999997</v>
      </c>
      <c r="F1022" s="294" t="s">
        <v>2018</v>
      </c>
    </row>
    <row r="1023" spans="1:6" hidden="1" outlineLevel="1" collapsed="1" x14ac:dyDescent="0.25">
      <c r="A1023" s="321" t="s">
        <v>282</v>
      </c>
      <c r="B1023" s="321" t="s">
        <v>380</v>
      </c>
      <c r="C1023" s="293">
        <v>42576.243827999999</v>
      </c>
      <c r="D1023" s="293">
        <v>23399.131595999999</v>
      </c>
      <c r="E1023" s="293">
        <v>-19177.112231999999</v>
      </c>
      <c r="F1023" s="294" t="s">
        <v>2019</v>
      </c>
    </row>
    <row r="1024" spans="1:6" hidden="1" outlineLevel="1" collapsed="1" x14ac:dyDescent="0.25">
      <c r="A1024" s="321" t="s">
        <v>282</v>
      </c>
      <c r="B1024" s="321" t="s">
        <v>452</v>
      </c>
      <c r="C1024" s="293">
        <v>19000</v>
      </c>
      <c r="D1024" s="293">
        <v>0</v>
      </c>
      <c r="E1024" s="293">
        <v>-19000</v>
      </c>
      <c r="F1024" s="294" t="s">
        <v>286</v>
      </c>
    </row>
    <row r="1025" spans="1:6" hidden="1" outlineLevel="1" collapsed="1" x14ac:dyDescent="0.25">
      <c r="A1025" s="321" t="s">
        <v>282</v>
      </c>
      <c r="B1025" s="321" t="s">
        <v>453</v>
      </c>
      <c r="C1025" s="293">
        <v>11965</v>
      </c>
      <c r="D1025" s="293">
        <v>0</v>
      </c>
      <c r="E1025" s="293">
        <v>-11965</v>
      </c>
      <c r="F1025" s="294" t="s">
        <v>286</v>
      </c>
    </row>
    <row r="1026" spans="1:6" hidden="1" outlineLevel="1" collapsed="1" x14ac:dyDescent="0.25">
      <c r="A1026" s="321" t="s">
        <v>282</v>
      </c>
      <c r="B1026" s="321" t="s">
        <v>384</v>
      </c>
      <c r="C1026" s="293">
        <v>5356.0914720000001</v>
      </c>
      <c r="D1026" s="293">
        <v>0</v>
      </c>
      <c r="E1026" s="293">
        <v>-5356.0914720000001</v>
      </c>
      <c r="F1026" s="294" t="s">
        <v>286</v>
      </c>
    </row>
    <row r="1027" spans="1:6" hidden="1" outlineLevel="1" collapsed="1" x14ac:dyDescent="0.25">
      <c r="A1027" s="321" t="s">
        <v>282</v>
      </c>
      <c r="B1027" s="321" t="s">
        <v>385</v>
      </c>
      <c r="C1027" s="293">
        <v>0</v>
      </c>
      <c r="D1027" s="293">
        <v>3634.1191260000001</v>
      </c>
      <c r="E1027" s="293">
        <v>3634.1191260000001</v>
      </c>
      <c r="F1027" s="294" t="s">
        <v>298</v>
      </c>
    </row>
    <row r="1028" spans="1:6" hidden="1" outlineLevel="1" collapsed="1" x14ac:dyDescent="0.25">
      <c r="A1028" s="321" t="s">
        <v>282</v>
      </c>
      <c r="B1028" s="321" t="s">
        <v>386</v>
      </c>
      <c r="C1028" s="293">
        <v>2639.727108</v>
      </c>
      <c r="D1028" s="293">
        <v>0</v>
      </c>
      <c r="E1028" s="293">
        <v>-2639.727108</v>
      </c>
      <c r="F1028" s="294" t="s">
        <v>286</v>
      </c>
    </row>
    <row r="1029" spans="1:6" hidden="1" outlineLevel="1" collapsed="1" x14ac:dyDescent="0.25">
      <c r="A1029" s="321" t="s">
        <v>282</v>
      </c>
      <c r="B1029" s="321" t="s">
        <v>387</v>
      </c>
      <c r="C1029" s="293">
        <v>0</v>
      </c>
      <c r="D1029" s="293">
        <v>1450.7461559999999</v>
      </c>
      <c r="E1029" s="293">
        <v>1450.7461559999999</v>
      </c>
      <c r="F1029" s="294" t="s">
        <v>298</v>
      </c>
    </row>
    <row r="1030" spans="1:6" hidden="1" outlineLevel="1" collapsed="1" x14ac:dyDescent="0.25">
      <c r="A1030" s="321" t="s">
        <v>282</v>
      </c>
      <c r="B1030" s="321" t="s">
        <v>388</v>
      </c>
      <c r="C1030" s="293">
        <v>617.35552399999995</v>
      </c>
      <c r="D1030" s="293">
        <v>339.28740599999998</v>
      </c>
      <c r="E1030" s="293">
        <v>-278.06811800000003</v>
      </c>
      <c r="F1030" s="294" t="s">
        <v>2019</v>
      </c>
    </row>
    <row r="1031" spans="1:6" hidden="1" outlineLevel="1" collapsed="1" x14ac:dyDescent="0.25">
      <c r="A1031" s="321" t="s">
        <v>282</v>
      </c>
      <c r="B1031" s="321" t="s">
        <v>389</v>
      </c>
      <c r="C1031" s="293">
        <v>426.12479999999999</v>
      </c>
      <c r="D1031" s="293">
        <v>211.02</v>
      </c>
      <c r="E1031" s="293">
        <v>-215.10480000000001</v>
      </c>
      <c r="F1031" s="294" t="s">
        <v>2020</v>
      </c>
    </row>
    <row r="1032" spans="1:6" hidden="1" outlineLevel="1" collapsed="1" x14ac:dyDescent="0.25">
      <c r="A1032" s="321" t="s">
        <v>282</v>
      </c>
      <c r="B1032" s="321" t="s">
        <v>390</v>
      </c>
      <c r="C1032" s="293">
        <v>15485.27</v>
      </c>
      <c r="D1032" s="293">
        <v>7979.64</v>
      </c>
      <c r="E1032" s="293">
        <v>-7505.63</v>
      </c>
      <c r="F1032" s="294" t="s">
        <v>2021</v>
      </c>
    </row>
    <row r="1033" spans="1:6" hidden="1" outlineLevel="1" collapsed="1" x14ac:dyDescent="0.25">
      <c r="A1033" s="321" t="s">
        <v>282</v>
      </c>
      <c r="B1033" s="321" t="s">
        <v>392</v>
      </c>
      <c r="C1033" s="293">
        <v>233.53919999999999</v>
      </c>
      <c r="D1033" s="293">
        <v>91.44</v>
      </c>
      <c r="E1033" s="293">
        <v>-142.0992</v>
      </c>
      <c r="F1033" s="294" t="s">
        <v>2022</v>
      </c>
    </row>
    <row r="1034" spans="1:6" hidden="1" outlineLevel="1" collapsed="1" x14ac:dyDescent="0.25">
      <c r="A1034" s="321" t="s">
        <v>282</v>
      </c>
      <c r="B1034" s="321" t="s">
        <v>393</v>
      </c>
      <c r="C1034" s="293">
        <v>21.288112000000002</v>
      </c>
      <c r="D1034" s="293">
        <v>11.699562</v>
      </c>
      <c r="E1034" s="293">
        <v>-9.5885499999999997</v>
      </c>
      <c r="F1034" s="294" t="s">
        <v>2019</v>
      </c>
    </row>
    <row r="1035" spans="1:6" hidden="1" outlineLevel="1" collapsed="1" x14ac:dyDescent="0.25">
      <c r="A1035" s="321" t="s">
        <v>282</v>
      </c>
      <c r="B1035" s="321" t="s">
        <v>394</v>
      </c>
      <c r="C1035" s="293">
        <v>1500</v>
      </c>
      <c r="D1035" s="293">
        <v>0</v>
      </c>
      <c r="E1035" s="293">
        <v>-1500</v>
      </c>
      <c r="F1035" s="294" t="s">
        <v>286</v>
      </c>
    </row>
    <row r="1036" spans="1:6" hidden="1" outlineLevel="1" collapsed="1" x14ac:dyDescent="0.25">
      <c r="A1036" s="321" t="s">
        <v>282</v>
      </c>
      <c r="B1036" s="321" t="s">
        <v>395</v>
      </c>
      <c r="C1036" s="293">
        <v>0</v>
      </c>
      <c r="D1036" s="293">
        <v>750</v>
      </c>
      <c r="E1036" s="293">
        <v>750</v>
      </c>
      <c r="F1036" s="294" t="s">
        <v>298</v>
      </c>
    </row>
    <row r="1037" spans="1:6" hidden="1" outlineLevel="1" collapsed="1" x14ac:dyDescent="0.25">
      <c r="A1037" s="321" t="s">
        <v>282</v>
      </c>
      <c r="B1037" s="321" t="s">
        <v>396</v>
      </c>
      <c r="C1037" s="293">
        <v>49.68</v>
      </c>
      <c r="D1037" s="293">
        <v>0</v>
      </c>
      <c r="E1037" s="293">
        <v>-49.68</v>
      </c>
      <c r="F1037" s="294" t="s">
        <v>286</v>
      </c>
    </row>
    <row r="1038" spans="1:6" hidden="1" outlineLevel="1" collapsed="1" x14ac:dyDescent="0.25">
      <c r="A1038" s="321" t="s">
        <v>282</v>
      </c>
      <c r="B1038" s="321" t="s">
        <v>397</v>
      </c>
      <c r="C1038" s="293">
        <v>0</v>
      </c>
      <c r="D1038" s="293">
        <v>24.24</v>
      </c>
      <c r="E1038" s="293">
        <v>24.24</v>
      </c>
      <c r="F1038" s="294" t="s">
        <v>298</v>
      </c>
    </row>
    <row r="1039" spans="1:6" hidden="1" outlineLevel="1" collapsed="1" x14ac:dyDescent="0.25">
      <c r="A1039" s="321" t="s">
        <v>282</v>
      </c>
      <c r="B1039" s="321" t="s">
        <v>398</v>
      </c>
      <c r="C1039" s="293">
        <v>24</v>
      </c>
      <c r="D1039" s="293">
        <v>5.52</v>
      </c>
      <c r="E1039" s="293">
        <v>-18.48</v>
      </c>
      <c r="F1039" s="294" t="s">
        <v>2023</v>
      </c>
    </row>
    <row r="1040" spans="1:6" collapsed="1" x14ac:dyDescent="0.25">
      <c r="A1040" s="560" t="s">
        <v>748</v>
      </c>
      <c r="B1040" s="561"/>
      <c r="C1040" s="292">
        <v>28455.488292999999</v>
      </c>
      <c r="D1040" s="293">
        <v>29648.436917999999</v>
      </c>
      <c r="E1040" s="293">
        <v>1192.948625</v>
      </c>
      <c r="F1040" s="294" t="s">
        <v>749</v>
      </c>
    </row>
    <row r="1041" spans="1:6" hidden="1" outlineLevel="1" collapsed="1" x14ac:dyDescent="0.25">
      <c r="A1041" s="321" t="s">
        <v>282</v>
      </c>
      <c r="B1041" s="321" t="s">
        <v>750</v>
      </c>
      <c r="C1041" s="293">
        <v>20725.791998000001</v>
      </c>
      <c r="D1041" s="293">
        <v>21389.086878999999</v>
      </c>
      <c r="E1041" s="293">
        <v>663.29488100000003</v>
      </c>
      <c r="F1041" s="294" t="s">
        <v>562</v>
      </c>
    </row>
    <row r="1042" spans="1:6" hidden="1" outlineLevel="1" collapsed="1" x14ac:dyDescent="0.25">
      <c r="A1042" s="321" t="s">
        <v>282</v>
      </c>
      <c r="B1042" s="321" t="s">
        <v>751</v>
      </c>
      <c r="C1042" s="293">
        <v>2704.7158530000002</v>
      </c>
      <c r="D1042" s="293">
        <v>0</v>
      </c>
      <c r="E1042" s="293">
        <v>-2704.7158530000002</v>
      </c>
      <c r="F1042" s="294" t="s">
        <v>286</v>
      </c>
    </row>
    <row r="1043" spans="1:6" hidden="1" outlineLevel="1" collapsed="1" x14ac:dyDescent="0.25">
      <c r="A1043" s="321" t="s">
        <v>282</v>
      </c>
      <c r="B1043" s="321" t="s">
        <v>752</v>
      </c>
      <c r="C1043" s="293">
        <v>0</v>
      </c>
      <c r="D1043" s="293">
        <v>3086.4452339999998</v>
      </c>
      <c r="E1043" s="293">
        <v>3086.4452339999998</v>
      </c>
      <c r="F1043" s="294" t="s">
        <v>298</v>
      </c>
    </row>
    <row r="1044" spans="1:6" hidden="1" outlineLevel="1" collapsed="1" x14ac:dyDescent="0.25">
      <c r="A1044" s="321" t="s">
        <v>282</v>
      </c>
      <c r="B1044" s="321" t="s">
        <v>753</v>
      </c>
      <c r="C1044" s="293">
        <v>1284.999102</v>
      </c>
      <c r="D1044" s="293">
        <v>1326.1233850000001</v>
      </c>
      <c r="E1044" s="293">
        <v>41.124282999999998</v>
      </c>
      <c r="F1044" s="294" t="s">
        <v>562</v>
      </c>
    </row>
    <row r="1045" spans="1:6" hidden="1" outlineLevel="1" collapsed="1" x14ac:dyDescent="0.25">
      <c r="A1045" s="321" t="s">
        <v>282</v>
      </c>
      <c r="B1045" s="321" t="s">
        <v>388</v>
      </c>
      <c r="C1045" s="293">
        <v>300.52398199999999</v>
      </c>
      <c r="D1045" s="293">
        <v>310.14175799999998</v>
      </c>
      <c r="E1045" s="293">
        <v>9.6177759999999992</v>
      </c>
      <c r="F1045" s="294" t="s">
        <v>562</v>
      </c>
    </row>
    <row r="1046" spans="1:6" hidden="1" outlineLevel="1" collapsed="1" x14ac:dyDescent="0.25">
      <c r="A1046" s="321" t="s">
        <v>282</v>
      </c>
      <c r="B1046" s="321" t="s">
        <v>754</v>
      </c>
      <c r="C1046" s="293">
        <v>2856.6921600000001</v>
      </c>
      <c r="D1046" s="293">
        <v>2968.4260800000002</v>
      </c>
      <c r="E1046" s="293">
        <v>111.73392</v>
      </c>
      <c r="F1046" s="294" t="s">
        <v>366</v>
      </c>
    </row>
    <row r="1047" spans="1:6" hidden="1" outlineLevel="1" collapsed="1" x14ac:dyDescent="0.25">
      <c r="A1047" s="321" t="s">
        <v>282</v>
      </c>
      <c r="B1047" s="321" t="s">
        <v>755</v>
      </c>
      <c r="C1047" s="293">
        <v>92.042957000000001</v>
      </c>
      <c r="D1047" s="293">
        <v>91.160640000000001</v>
      </c>
      <c r="E1047" s="293">
        <v>-0.88231700000000002</v>
      </c>
      <c r="F1047" s="294" t="s">
        <v>364</v>
      </c>
    </row>
    <row r="1048" spans="1:6" hidden="1" outlineLevel="1" collapsed="1" x14ac:dyDescent="0.25">
      <c r="A1048" s="321" t="s">
        <v>282</v>
      </c>
      <c r="B1048" s="321" t="s">
        <v>756</v>
      </c>
      <c r="C1048" s="293">
        <v>50.444467000000003</v>
      </c>
      <c r="D1048" s="293">
        <v>39.502079999999999</v>
      </c>
      <c r="E1048" s="293">
        <v>-10.942387</v>
      </c>
      <c r="F1048" s="294" t="s">
        <v>368</v>
      </c>
    </row>
    <row r="1049" spans="1:6" hidden="1" outlineLevel="1" collapsed="1" x14ac:dyDescent="0.25">
      <c r="A1049" s="321" t="s">
        <v>282</v>
      </c>
      <c r="B1049" s="321" t="s">
        <v>757</v>
      </c>
      <c r="C1049" s="293">
        <v>10.362894000000001</v>
      </c>
      <c r="D1049" s="293">
        <v>0</v>
      </c>
      <c r="E1049" s="293">
        <v>-10.362894000000001</v>
      </c>
      <c r="F1049" s="294" t="s">
        <v>286</v>
      </c>
    </row>
    <row r="1050" spans="1:6" hidden="1" outlineLevel="1" collapsed="1" x14ac:dyDescent="0.25">
      <c r="A1050" s="321" t="s">
        <v>282</v>
      </c>
      <c r="B1050" s="321" t="s">
        <v>758</v>
      </c>
      <c r="C1050" s="293">
        <v>0</v>
      </c>
      <c r="D1050" s="293">
        <v>10.694542</v>
      </c>
      <c r="E1050" s="293">
        <v>10.694542</v>
      </c>
      <c r="F1050" s="294" t="s">
        <v>298</v>
      </c>
    </row>
    <row r="1051" spans="1:6" hidden="1" outlineLevel="1" collapsed="1" x14ac:dyDescent="0.25">
      <c r="A1051" s="321" t="s">
        <v>282</v>
      </c>
      <c r="B1051" s="321" t="s">
        <v>759</v>
      </c>
      <c r="C1051" s="293">
        <v>324</v>
      </c>
      <c r="D1051" s="293">
        <v>0</v>
      </c>
      <c r="E1051" s="293">
        <v>-324</v>
      </c>
      <c r="F1051" s="294" t="s">
        <v>286</v>
      </c>
    </row>
    <row r="1052" spans="1:6" hidden="1" outlineLevel="1" collapsed="1" x14ac:dyDescent="0.25">
      <c r="A1052" s="321" t="s">
        <v>282</v>
      </c>
      <c r="B1052" s="321" t="s">
        <v>760</v>
      </c>
      <c r="C1052" s="293">
        <v>0</v>
      </c>
      <c r="D1052" s="293">
        <v>324</v>
      </c>
      <c r="E1052" s="293">
        <v>324</v>
      </c>
      <c r="F1052" s="294" t="s">
        <v>298</v>
      </c>
    </row>
    <row r="1053" spans="1:6" hidden="1" outlineLevel="1" collapsed="1" x14ac:dyDescent="0.25">
      <c r="A1053" s="321" t="s">
        <v>282</v>
      </c>
      <c r="B1053" s="321" t="s">
        <v>761</v>
      </c>
      <c r="C1053" s="293">
        <v>10.730880000000001</v>
      </c>
      <c r="D1053" s="293">
        <v>0</v>
      </c>
      <c r="E1053" s="293">
        <v>-10.730880000000001</v>
      </c>
      <c r="F1053" s="294" t="s">
        <v>286</v>
      </c>
    </row>
    <row r="1054" spans="1:6" hidden="1" outlineLevel="1" collapsed="1" x14ac:dyDescent="0.25">
      <c r="A1054" s="321" t="s">
        <v>282</v>
      </c>
      <c r="B1054" s="321" t="s">
        <v>762</v>
      </c>
      <c r="C1054" s="293">
        <v>0</v>
      </c>
      <c r="D1054" s="293">
        <v>10.471679999999999</v>
      </c>
      <c r="E1054" s="293">
        <v>10.471679999999999</v>
      </c>
      <c r="F1054" s="294" t="s">
        <v>298</v>
      </c>
    </row>
    <row r="1055" spans="1:6" hidden="1" outlineLevel="1" collapsed="1" x14ac:dyDescent="0.25">
      <c r="A1055" s="321" t="s">
        <v>282</v>
      </c>
      <c r="B1055" s="321" t="s">
        <v>763</v>
      </c>
      <c r="C1055" s="293">
        <v>5.1840000000000002</v>
      </c>
      <c r="D1055" s="293">
        <v>2.3846400000000001</v>
      </c>
      <c r="E1055" s="293">
        <v>-2.7993600000000001</v>
      </c>
      <c r="F1055" s="294" t="s">
        <v>374</v>
      </c>
    </row>
    <row r="1056" spans="1:6" hidden="1" outlineLevel="1" collapsed="1" x14ac:dyDescent="0.25">
      <c r="A1056" s="321" t="s">
        <v>282</v>
      </c>
      <c r="B1056" s="321" t="s">
        <v>522</v>
      </c>
      <c r="C1056" s="293">
        <v>90</v>
      </c>
      <c r="D1056" s="293">
        <v>90</v>
      </c>
      <c r="E1056" s="293">
        <v>0</v>
      </c>
      <c r="F1056" s="294" t="s">
        <v>316</v>
      </c>
    </row>
    <row r="1057" spans="1:6" collapsed="1" x14ac:dyDescent="0.25">
      <c r="A1057" s="560" t="s">
        <v>764</v>
      </c>
      <c r="B1057" s="561"/>
      <c r="C1057" s="292">
        <v>88516.257100000003</v>
      </c>
      <c r="D1057" s="293">
        <v>92802.878142999994</v>
      </c>
      <c r="E1057" s="293">
        <v>4286.6210430000001</v>
      </c>
      <c r="F1057" s="294" t="s">
        <v>1684</v>
      </c>
    </row>
    <row r="1058" spans="1:6" hidden="1" outlineLevel="1" collapsed="1" x14ac:dyDescent="0.25">
      <c r="A1058" s="321" t="s">
        <v>282</v>
      </c>
      <c r="B1058" s="321" t="s">
        <v>380</v>
      </c>
      <c r="C1058" s="293">
        <v>58944.365755999999</v>
      </c>
      <c r="D1058" s="293">
        <v>60701.776471999998</v>
      </c>
      <c r="E1058" s="293">
        <v>1757.4107160000001</v>
      </c>
      <c r="F1058" s="294" t="s">
        <v>381</v>
      </c>
    </row>
    <row r="1059" spans="1:6" hidden="1" outlineLevel="1" collapsed="1" x14ac:dyDescent="0.25">
      <c r="A1059" s="321" t="s">
        <v>282</v>
      </c>
      <c r="B1059" s="321" t="s">
        <v>384</v>
      </c>
      <c r="C1059" s="293">
        <v>7314.5612039999996</v>
      </c>
      <c r="D1059" s="293">
        <v>0</v>
      </c>
      <c r="E1059" s="293">
        <v>-7314.5612039999996</v>
      </c>
      <c r="F1059" s="294" t="s">
        <v>286</v>
      </c>
    </row>
    <row r="1060" spans="1:6" hidden="1" outlineLevel="1" collapsed="1" x14ac:dyDescent="0.25">
      <c r="A1060" s="321" t="s">
        <v>282</v>
      </c>
      <c r="B1060" s="321" t="s">
        <v>385</v>
      </c>
      <c r="C1060" s="293">
        <v>0</v>
      </c>
      <c r="D1060" s="293">
        <v>9303.3449039999996</v>
      </c>
      <c r="E1060" s="293">
        <v>9303.3449039999996</v>
      </c>
      <c r="F1060" s="294" t="s">
        <v>298</v>
      </c>
    </row>
    <row r="1061" spans="1:6" hidden="1" outlineLevel="1" collapsed="1" x14ac:dyDescent="0.25">
      <c r="A1061" s="321" t="s">
        <v>282</v>
      </c>
      <c r="B1061" s="321" t="s">
        <v>386</v>
      </c>
      <c r="C1061" s="293">
        <v>3654.5506679999999</v>
      </c>
      <c r="D1061" s="293">
        <v>0</v>
      </c>
      <c r="E1061" s="293">
        <v>-3654.5506679999999</v>
      </c>
      <c r="F1061" s="294" t="s">
        <v>286</v>
      </c>
    </row>
    <row r="1062" spans="1:6" hidden="1" outlineLevel="1" collapsed="1" x14ac:dyDescent="0.25">
      <c r="A1062" s="321" t="s">
        <v>282</v>
      </c>
      <c r="B1062" s="321" t="s">
        <v>387</v>
      </c>
      <c r="C1062" s="293">
        <v>0</v>
      </c>
      <c r="D1062" s="293">
        <v>3763.510139</v>
      </c>
      <c r="E1062" s="293">
        <v>3763.510139</v>
      </c>
      <c r="F1062" s="294" t="s">
        <v>298</v>
      </c>
    </row>
    <row r="1063" spans="1:6" hidden="1" outlineLevel="1" collapsed="1" x14ac:dyDescent="0.25">
      <c r="A1063" s="321" t="s">
        <v>282</v>
      </c>
      <c r="B1063" s="321" t="s">
        <v>388</v>
      </c>
      <c r="C1063" s="293">
        <v>854.69329200000004</v>
      </c>
      <c r="D1063" s="293">
        <v>880.175748</v>
      </c>
      <c r="E1063" s="293">
        <v>25.482455999999999</v>
      </c>
      <c r="F1063" s="294" t="s">
        <v>381</v>
      </c>
    </row>
    <row r="1064" spans="1:6" hidden="1" outlineLevel="1" collapsed="1" x14ac:dyDescent="0.25">
      <c r="A1064" s="321" t="s">
        <v>282</v>
      </c>
      <c r="B1064" s="321" t="s">
        <v>389</v>
      </c>
      <c r="C1064" s="293">
        <v>426.12479999999999</v>
      </c>
      <c r="D1064" s="293">
        <v>422.04</v>
      </c>
      <c r="E1064" s="293">
        <v>-4.0848000000000004</v>
      </c>
      <c r="F1064" s="294" t="s">
        <v>364</v>
      </c>
    </row>
    <row r="1065" spans="1:6" hidden="1" outlineLevel="1" collapsed="1" x14ac:dyDescent="0.25">
      <c r="A1065" s="321" t="s">
        <v>282</v>
      </c>
      <c r="B1065" s="321" t="s">
        <v>390</v>
      </c>
      <c r="C1065" s="293">
        <v>15485.27</v>
      </c>
      <c r="D1065" s="293">
        <v>15959.28</v>
      </c>
      <c r="E1065" s="293">
        <v>474.01</v>
      </c>
      <c r="F1065" s="294" t="s">
        <v>391</v>
      </c>
    </row>
    <row r="1066" spans="1:6" hidden="1" outlineLevel="1" collapsed="1" x14ac:dyDescent="0.25">
      <c r="A1066" s="321" t="s">
        <v>282</v>
      </c>
      <c r="B1066" s="321" t="s">
        <v>392</v>
      </c>
      <c r="C1066" s="293">
        <v>233.53919999999999</v>
      </c>
      <c r="D1066" s="293">
        <v>182.88</v>
      </c>
      <c r="E1066" s="293">
        <v>-50.659199999999998</v>
      </c>
      <c r="F1066" s="294" t="s">
        <v>368</v>
      </c>
    </row>
    <row r="1067" spans="1:6" hidden="1" outlineLevel="1" collapsed="1" x14ac:dyDescent="0.25">
      <c r="A1067" s="321" t="s">
        <v>282</v>
      </c>
      <c r="B1067" s="321" t="s">
        <v>393</v>
      </c>
      <c r="C1067" s="293">
        <v>29.472180000000002</v>
      </c>
      <c r="D1067" s="293">
        <v>30.35088</v>
      </c>
      <c r="E1067" s="293">
        <v>0.87870000000000004</v>
      </c>
      <c r="F1067" s="294" t="s">
        <v>381</v>
      </c>
    </row>
    <row r="1068" spans="1:6" hidden="1" outlineLevel="1" collapsed="1" x14ac:dyDescent="0.25">
      <c r="A1068" s="321" t="s">
        <v>282</v>
      </c>
      <c r="B1068" s="321" t="s">
        <v>394</v>
      </c>
      <c r="C1068" s="293">
        <v>1500</v>
      </c>
      <c r="D1068" s="293">
        <v>0</v>
      </c>
      <c r="E1068" s="293">
        <v>-1500</v>
      </c>
      <c r="F1068" s="294" t="s">
        <v>286</v>
      </c>
    </row>
    <row r="1069" spans="1:6" hidden="1" outlineLevel="1" collapsed="1" x14ac:dyDescent="0.25">
      <c r="A1069" s="321" t="s">
        <v>282</v>
      </c>
      <c r="B1069" s="321" t="s">
        <v>395</v>
      </c>
      <c r="C1069" s="293">
        <v>0</v>
      </c>
      <c r="D1069" s="293">
        <v>1500</v>
      </c>
      <c r="E1069" s="293">
        <v>1500</v>
      </c>
      <c r="F1069" s="294" t="s">
        <v>298</v>
      </c>
    </row>
    <row r="1070" spans="1:6" hidden="1" outlineLevel="1" collapsed="1" x14ac:dyDescent="0.25">
      <c r="A1070" s="321" t="s">
        <v>282</v>
      </c>
      <c r="B1070" s="321" t="s">
        <v>396</v>
      </c>
      <c r="C1070" s="293">
        <v>49.68</v>
      </c>
      <c r="D1070" s="293">
        <v>0</v>
      </c>
      <c r="E1070" s="293">
        <v>-49.68</v>
      </c>
      <c r="F1070" s="294" t="s">
        <v>286</v>
      </c>
    </row>
    <row r="1071" spans="1:6" hidden="1" outlineLevel="1" collapsed="1" x14ac:dyDescent="0.25">
      <c r="A1071" s="321" t="s">
        <v>282</v>
      </c>
      <c r="B1071" s="321" t="s">
        <v>397</v>
      </c>
      <c r="C1071" s="293">
        <v>0</v>
      </c>
      <c r="D1071" s="293">
        <v>48.48</v>
      </c>
      <c r="E1071" s="293">
        <v>48.48</v>
      </c>
      <c r="F1071" s="294" t="s">
        <v>298</v>
      </c>
    </row>
    <row r="1072" spans="1:6" hidden="1" outlineLevel="1" collapsed="1" x14ac:dyDescent="0.25">
      <c r="A1072" s="321" t="s">
        <v>282</v>
      </c>
      <c r="B1072" s="321" t="s">
        <v>398</v>
      </c>
      <c r="C1072" s="293">
        <v>24</v>
      </c>
      <c r="D1072" s="293">
        <v>11.04</v>
      </c>
      <c r="E1072" s="293">
        <v>-12.96</v>
      </c>
      <c r="F1072" s="294" t="s">
        <v>374</v>
      </c>
    </row>
    <row r="1073" spans="1:6" collapsed="1" x14ac:dyDescent="0.25">
      <c r="A1073" s="560" t="s">
        <v>766</v>
      </c>
      <c r="B1073" s="561"/>
      <c r="C1073" s="292">
        <v>534700.85426000005</v>
      </c>
      <c r="D1073" s="293">
        <v>497108.44247900002</v>
      </c>
      <c r="E1073" s="293">
        <v>-37592.411781000003</v>
      </c>
      <c r="F1073" s="294" t="s">
        <v>2024</v>
      </c>
    </row>
    <row r="1074" spans="1:6" hidden="1" outlineLevel="1" collapsed="1" x14ac:dyDescent="0.25">
      <c r="A1074" s="321" t="s">
        <v>282</v>
      </c>
      <c r="B1074" s="321" t="s">
        <v>358</v>
      </c>
      <c r="C1074" s="293">
        <v>341921.52</v>
      </c>
      <c r="D1074" s="293">
        <v>308745.02231999999</v>
      </c>
      <c r="E1074" s="293">
        <v>-33176.49768</v>
      </c>
      <c r="F1074" s="294" t="s">
        <v>2025</v>
      </c>
    </row>
    <row r="1075" spans="1:6" hidden="1" outlineLevel="1" collapsed="1" x14ac:dyDescent="0.25">
      <c r="A1075" s="321" t="s">
        <v>282</v>
      </c>
      <c r="B1075" s="321" t="s">
        <v>412</v>
      </c>
      <c r="C1075" s="293">
        <v>7000</v>
      </c>
      <c r="D1075" s="293">
        <v>7000</v>
      </c>
      <c r="E1075" s="293">
        <v>0</v>
      </c>
      <c r="F1075" s="294" t="s">
        <v>316</v>
      </c>
    </row>
    <row r="1076" spans="1:6" hidden="1" outlineLevel="1" collapsed="1" x14ac:dyDescent="0.25">
      <c r="A1076" s="321" t="s">
        <v>282</v>
      </c>
      <c r="B1076" s="321" t="s">
        <v>380</v>
      </c>
      <c r="C1076" s="293">
        <v>58944.365755999999</v>
      </c>
      <c r="D1076" s="293">
        <v>60701.776471999998</v>
      </c>
      <c r="E1076" s="293">
        <v>1757.4107160000001</v>
      </c>
      <c r="F1076" s="294" t="s">
        <v>381</v>
      </c>
    </row>
    <row r="1077" spans="1:6" hidden="1" outlineLevel="1" collapsed="1" x14ac:dyDescent="0.25">
      <c r="A1077" s="321" t="s">
        <v>282</v>
      </c>
      <c r="B1077" s="321" t="s">
        <v>360</v>
      </c>
      <c r="C1077" s="293">
        <v>44620.75836</v>
      </c>
      <c r="D1077" s="293">
        <v>44551.9067</v>
      </c>
      <c r="E1077" s="293">
        <v>-68.851659999999995</v>
      </c>
      <c r="F1077" s="294" t="s">
        <v>2026</v>
      </c>
    </row>
    <row r="1078" spans="1:6" hidden="1" outlineLevel="1" collapsed="1" x14ac:dyDescent="0.25">
      <c r="A1078" s="321" t="s">
        <v>282</v>
      </c>
      <c r="B1078" s="321" t="s">
        <v>384</v>
      </c>
      <c r="C1078" s="293">
        <v>7314.5612039999996</v>
      </c>
      <c r="D1078" s="293">
        <v>0</v>
      </c>
      <c r="E1078" s="293">
        <v>-7314.5612039999996</v>
      </c>
      <c r="F1078" s="294" t="s">
        <v>286</v>
      </c>
    </row>
    <row r="1079" spans="1:6" hidden="1" outlineLevel="1" collapsed="1" x14ac:dyDescent="0.25">
      <c r="A1079" s="321" t="s">
        <v>282</v>
      </c>
      <c r="B1079" s="321" t="s">
        <v>385</v>
      </c>
      <c r="C1079" s="293">
        <v>0</v>
      </c>
      <c r="D1079" s="293">
        <v>9303.3449039999996</v>
      </c>
      <c r="E1079" s="293">
        <v>9303.3449039999996</v>
      </c>
      <c r="F1079" s="294" t="s">
        <v>298</v>
      </c>
    </row>
    <row r="1080" spans="1:6" hidden="1" outlineLevel="1" collapsed="1" x14ac:dyDescent="0.25">
      <c r="A1080" s="321" t="s">
        <v>282</v>
      </c>
      <c r="B1080" s="321" t="s">
        <v>386</v>
      </c>
      <c r="C1080" s="293">
        <v>3654.5506679999999</v>
      </c>
      <c r="D1080" s="293">
        <v>0</v>
      </c>
      <c r="E1080" s="293">
        <v>-3654.5506679999999</v>
      </c>
      <c r="F1080" s="294" t="s">
        <v>286</v>
      </c>
    </row>
    <row r="1081" spans="1:6" hidden="1" outlineLevel="1" collapsed="1" x14ac:dyDescent="0.25">
      <c r="A1081" s="321" t="s">
        <v>282</v>
      </c>
      <c r="B1081" s="321" t="s">
        <v>387</v>
      </c>
      <c r="C1081" s="293">
        <v>0</v>
      </c>
      <c r="D1081" s="293">
        <v>3763.510139</v>
      </c>
      <c r="E1081" s="293">
        <v>3763.510139</v>
      </c>
      <c r="F1081" s="294" t="s">
        <v>298</v>
      </c>
    </row>
    <row r="1082" spans="1:6" hidden="1" outlineLevel="1" collapsed="1" x14ac:dyDescent="0.25">
      <c r="A1082" s="321" t="s">
        <v>282</v>
      </c>
      <c r="B1082" s="321" t="s">
        <v>362</v>
      </c>
      <c r="C1082" s="293">
        <v>5059.36204</v>
      </c>
      <c r="D1082" s="293">
        <v>4578.3028080000004</v>
      </c>
      <c r="E1082" s="293">
        <v>-481.05923200000001</v>
      </c>
      <c r="F1082" s="294" t="s">
        <v>2027</v>
      </c>
    </row>
    <row r="1083" spans="1:6" hidden="1" outlineLevel="1" collapsed="1" x14ac:dyDescent="0.25">
      <c r="A1083" s="321" t="s">
        <v>282</v>
      </c>
      <c r="B1083" s="321" t="s">
        <v>388</v>
      </c>
      <c r="C1083" s="293">
        <v>854.69329200000004</v>
      </c>
      <c r="D1083" s="293">
        <v>880.175748</v>
      </c>
      <c r="E1083" s="293">
        <v>25.482455999999999</v>
      </c>
      <c r="F1083" s="294" t="s">
        <v>381</v>
      </c>
    </row>
    <row r="1084" spans="1:6" hidden="1" outlineLevel="1" collapsed="1" x14ac:dyDescent="0.25">
      <c r="A1084" s="321" t="s">
        <v>282</v>
      </c>
      <c r="B1084" s="321" t="s">
        <v>363</v>
      </c>
      <c r="C1084" s="293">
        <v>1704.4992</v>
      </c>
      <c r="D1084" s="293">
        <v>1477.14</v>
      </c>
      <c r="E1084" s="293">
        <v>-227.35919999999999</v>
      </c>
      <c r="F1084" s="294" t="s">
        <v>2028</v>
      </c>
    </row>
    <row r="1085" spans="1:6" hidden="1" outlineLevel="1" collapsed="1" x14ac:dyDescent="0.25">
      <c r="A1085" s="321" t="s">
        <v>282</v>
      </c>
      <c r="B1085" s="321" t="s">
        <v>365</v>
      </c>
      <c r="C1085" s="293">
        <v>30717.119999999999</v>
      </c>
      <c r="D1085" s="293">
        <v>23938.92</v>
      </c>
      <c r="E1085" s="293">
        <v>-6778.2</v>
      </c>
      <c r="F1085" s="294" t="s">
        <v>2029</v>
      </c>
    </row>
    <row r="1086" spans="1:6" hidden="1" outlineLevel="1" collapsed="1" x14ac:dyDescent="0.25">
      <c r="A1086" s="321" t="s">
        <v>282</v>
      </c>
      <c r="B1086" s="321" t="s">
        <v>367</v>
      </c>
      <c r="C1086" s="293">
        <v>934.15679999999998</v>
      </c>
      <c r="D1086" s="293">
        <v>640.08000000000004</v>
      </c>
      <c r="E1086" s="293">
        <v>-294.07679999999999</v>
      </c>
      <c r="F1086" s="294" t="s">
        <v>2030</v>
      </c>
    </row>
    <row r="1087" spans="1:6" hidden="1" outlineLevel="1" collapsed="1" x14ac:dyDescent="0.25">
      <c r="A1087" s="321" t="s">
        <v>282</v>
      </c>
      <c r="B1087" s="321" t="s">
        <v>389</v>
      </c>
      <c r="C1087" s="293">
        <v>426.12479999999999</v>
      </c>
      <c r="D1087" s="293">
        <v>422.04</v>
      </c>
      <c r="E1087" s="293">
        <v>-4.0848000000000004</v>
      </c>
      <c r="F1087" s="294" t="s">
        <v>364</v>
      </c>
    </row>
    <row r="1088" spans="1:6" hidden="1" outlineLevel="1" collapsed="1" x14ac:dyDescent="0.25">
      <c r="A1088" s="321" t="s">
        <v>282</v>
      </c>
      <c r="B1088" s="321" t="s">
        <v>390</v>
      </c>
      <c r="C1088" s="293">
        <v>15485.27</v>
      </c>
      <c r="D1088" s="293">
        <v>15959.28</v>
      </c>
      <c r="E1088" s="293">
        <v>474.01</v>
      </c>
      <c r="F1088" s="294" t="s">
        <v>391</v>
      </c>
    </row>
    <row r="1089" spans="1:6" hidden="1" outlineLevel="1" collapsed="1" x14ac:dyDescent="0.25">
      <c r="A1089" s="321" t="s">
        <v>282</v>
      </c>
      <c r="B1089" s="321" t="s">
        <v>392</v>
      </c>
      <c r="C1089" s="293">
        <v>233.53919999999999</v>
      </c>
      <c r="D1089" s="293">
        <v>182.88</v>
      </c>
      <c r="E1089" s="293">
        <v>-50.659199999999998</v>
      </c>
      <c r="F1089" s="294" t="s">
        <v>368</v>
      </c>
    </row>
    <row r="1090" spans="1:6" hidden="1" outlineLevel="1" collapsed="1" x14ac:dyDescent="0.25">
      <c r="A1090" s="321" t="s">
        <v>282</v>
      </c>
      <c r="B1090" s="321" t="s">
        <v>369</v>
      </c>
      <c r="C1090" s="293">
        <v>174.46075999999999</v>
      </c>
      <c r="D1090" s="293">
        <v>157.87250800000001</v>
      </c>
      <c r="E1090" s="293">
        <v>-16.588252000000001</v>
      </c>
      <c r="F1090" s="294" t="s">
        <v>2027</v>
      </c>
    </row>
    <row r="1091" spans="1:6" hidden="1" outlineLevel="1" collapsed="1" x14ac:dyDescent="0.25">
      <c r="A1091" s="321" t="s">
        <v>282</v>
      </c>
      <c r="B1091" s="321" t="s">
        <v>393</v>
      </c>
      <c r="C1091" s="293">
        <v>29.472180000000002</v>
      </c>
      <c r="D1091" s="293">
        <v>30.35088</v>
      </c>
      <c r="E1091" s="293">
        <v>0.87870000000000004</v>
      </c>
      <c r="F1091" s="294" t="s">
        <v>381</v>
      </c>
    </row>
    <row r="1092" spans="1:6" hidden="1" outlineLevel="1" collapsed="1" x14ac:dyDescent="0.25">
      <c r="A1092" s="321" t="s">
        <v>282</v>
      </c>
      <c r="B1092" s="321" t="s">
        <v>370</v>
      </c>
      <c r="C1092" s="293">
        <v>6000</v>
      </c>
      <c r="D1092" s="293">
        <v>5250</v>
      </c>
      <c r="E1092" s="293">
        <v>-750</v>
      </c>
      <c r="F1092" s="294" t="s">
        <v>1102</v>
      </c>
    </row>
    <row r="1093" spans="1:6" hidden="1" outlineLevel="1" collapsed="1" x14ac:dyDescent="0.25">
      <c r="A1093" s="321" t="s">
        <v>282</v>
      </c>
      <c r="B1093" s="321" t="s">
        <v>394</v>
      </c>
      <c r="C1093" s="293">
        <v>1500</v>
      </c>
      <c r="D1093" s="293">
        <v>0</v>
      </c>
      <c r="E1093" s="293">
        <v>-1500</v>
      </c>
      <c r="F1093" s="294" t="s">
        <v>286</v>
      </c>
    </row>
    <row r="1094" spans="1:6" hidden="1" outlineLevel="1" collapsed="1" x14ac:dyDescent="0.25">
      <c r="A1094" s="321" t="s">
        <v>282</v>
      </c>
      <c r="B1094" s="321" t="s">
        <v>395</v>
      </c>
      <c r="C1094" s="293">
        <v>0</v>
      </c>
      <c r="D1094" s="293">
        <v>1500</v>
      </c>
      <c r="E1094" s="293">
        <v>1500</v>
      </c>
      <c r="F1094" s="294" t="s">
        <v>298</v>
      </c>
    </row>
    <row r="1095" spans="1:6" hidden="1" outlineLevel="1" collapsed="1" x14ac:dyDescent="0.25">
      <c r="A1095" s="321" t="s">
        <v>282</v>
      </c>
      <c r="B1095" s="321" t="s">
        <v>371</v>
      </c>
      <c r="C1095" s="293">
        <v>198.72</v>
      </c>
      <c r="D1095" s="293">
        <v>169.68</v>
      </c>
      <c r="E1095" s="293">
        <v>-29.04</v>
      </c>
      <c r="F1095" s="294" t="s">
        <v>2031</v>
      </c>
    </row>
    <row r="1096" spans="1:6" hidden="1" outlineLevel="1" collapsed="1" x14ac:dyDescent="0.25">
      <c r="A1096" s="321" t="s">
        <v>282</v>
      </c>
      <c r="B1096" s="321" t="s">
        <v>396</v>
      </c>
      <c r="C1096" s="293">
        <v>49.68</v>
      </c>
      <c r="D1096" s="293">
        <v>0</v>
      </c>
      <c r="E1096" s="293">
        <v>-49.68</v>
      </c>
      <c r="F1096" s="294" t="s">
        <v>286</v>
      </c>
    </row>
    <row r="1097" spans="1:6" hidden="1" outlineLevel="1" collapsed="1" x14ac:dyDescent="0.25">
      <c r="A1097" s="321" t="s">
        <v>282</v>
      </c>
      <c r="B1097" s="321" t="s">
        <v>397</v>
      </c>
      <c r="C1097" s="293">
        <v>0</v>
      </c>
      <c r="D1097" s="293">
        <v>48.48</v>
      </c>
      <c r="E1097" s="293">
        <v>48.48</v>
      </c>
      <c r="F1097" s="294" t="s">
        <v>298</v>
      </c>
    </row>
    <row r="1098" spans="1:6" hidden="1" outlineLevel="1" collapsed="1" x14ac:dyDescent="0.25">
      <c r="A1098" s="321" t="s">
        <v>282</v>
      </c>
      <c r="B1098" s="321" t="s">
        <v>373</v>
      </c>
      <c r="C1098" s="293">
        <v>96</v>
      </c>
      <c r="D1098" s="293">
        <v>38.64</v>
      </c>
      <c r="E1098" s="293">
        <v>-57.36</v>
      </c>
      <c r="F1098" s="294" t="s">
        <v>2032</v>
      </c>
    </row>
    <row r="1099" spans="1:6" hidden="1" outlineLevel="1" collapsed="1" x14ac:dyDescent="0.25">
      <c r="A1099" s="321" t="s">
        <v>282</v>
      </c>
      <c r="B1099" s="321" t="s">
        <v>398</v>
      </c>
      <c r="C1099" s="293">
        <v>24</v>
      </c>
      <c r="D1099" s="293">
        <v>11.04</v>
      </c>
      <c r="E1099" s="293">
        <v>-12.96</v>
      </c>
      <c r="F1099" s="294" t="s">
        <v>374</v>
      </c>
    </row>
    <row r="1100" spans="1:6" hidden="1" outlineLevel="1" collapsed="1" x14ac:dyDescent="0.25">
      <c r="A1100" s="321" t="s">
        <v>282</v>
      </c>
      <c r="B1100" s="321" t="s">
        <v>445</v>
      </c>
      <c r="C1100" s="293">
        <v>6000</v>
      </c>
      <c r="D1100" s="293">
        <v>6000</v>
      </c>
      <c r="E1100" s="293">
        <v>0</v>
      </c>
      <c r="F1100" s="294" t="s">
        <v>316</v>
      </c>
    </row>
    <row r="1101" spans="1:6" hidden="1" outlineLevel="1" collapsed="1" x14ac:dyDescent="0.25">
      <c r="A1101" s="321" t="s">
        <v>282</v>
      </c>
      <c r="B1101" s="321" t="s">
        <v>523</v>
      </c>
      <c r="C1101" s="293">
        <v>50</v>
      </c>
      <c r="D1101" s="293">
        <v>50</v>
      </c>
      <c r="E1101" s="293">
        <v>0</v>
      </c>
      <c r="F1101" s="294" t="s">
        <v>316</v>
      </c>
    </row>
    <row r="1102" spans="1:6" hidden="1" outlineLevel="1" collapsed="1" x14ac:dyDescent="0.25">
      <c r="A1102" s="321" t="s">
        <v>282</v>
      </c>
      <c r="B1102" s="321" t="s">
        <v>375</v>
      </c>
      <c r="C1102" s="293">
        <v>743</v>
      </c>
      <c r="D1102" s="293">
        <v>743</v>
      </c>
      <c r="E1102" s="293">
        <v>0</v>
      </c>
      <c r="F1102" s="294" t="s">
        <v>316</v>
      </c>
    </row>
    <row r="1103" spans="1:6" hidden="1" outlineLevel="1" collapsed="1" x14ac:dyDescent="0.25">
      <c r="A1103" s="321" t="s">
        <v>282</v>
      </c>
      <c r="B1103" s="321" t="s">
        <v>376</v>
      </c>
      <c r="C1103" s="293">
        <v>516</v>
      </c>
      <c r="D1103" s="293">
        <v>265</v>
      </c>
      <c r="E1103" s="293">
        <v>-251</v>
      </c>
      <c r="F1103" s="294" t="s">
        <v>2033</v>
      </c>
    </row>
    <row r="1104" spans="1:6" hidden="1" outlineLevel="1" collapsed="1" x14ac:dyDescent="0.25">
      <c r="A1104" s="321" t="s">
        <v>282</v>
      </c>
      <c r="B1104" s="321" t="s">
        <v>506</v>
      </c>
      <c r="C1104" s="293">
        <v>0</v>
      </c>
      <c r="D1104" s="293">
        <v>250</v>
      </c>
      <c r="E1104" s="293">
        <v>250</v>
      </c>
      <c r="F1104" s="294" t="s">
        <v>298</v>
      </c>
    </row>
    <row r="1105" spans="1:6" hidden="1" outlineLevel="1" collapsed="1" x14ac:dyDescent="0.25">
      <c r="A1105" s="321" t="s">
        <v>282</v>
      </c>
      <c r="B1105" s="321" t="s">
        <v>426</v>
      </c>
      <c r="C1105" s="293">
        <v>250</v>
      </c>
      <c r="D1105" s="293">
        <v>0</v>
      </c>
      <c r="E1105" s="293">
        <v>-250</v>
      </c>
      <c r="F1105" s="294" t="s">
        <v>286</v>
      </c>
    </row>
    <row r="1106" spans="1:6" hidden="1" outlineLevel="1" collapsed="1" x14ac:dyDescent="0.25">
      <c r="A1106" s="321" t="s">
        <v>282</v>
      </c>
      <c r="B1106" s="321" t="s">
        <v>482</v>
      </c>
      <c r="C1106" s="293">
        <v>50</v>
      </c>
      <c r="D1106" s="293">
        <v>50</v>
      </c>
      <c r="E1106" s="293">
        <v>0</v>
      </c>
      <c r="F1106" s="294" t="s">
        <v>316</v>
      </c>
    </row>
    <row r="1107" spans="1:6" hidden="1" outlineLevel="1" collapsed="1" x14ac:dyDescent="0.25">
      <c r="A1107" s="321" t="s">
        <v>282</v>
      </c>
      <c r="B1107" s="321" t="s">
        <v>557</v>
      </c>
      <c r="C1107" s="293">
        <v>0</v>
      </c>
      <c r="D1107" s="293">
        <v>400</v>
      </c>
      <c r="E1107" s="293">
        <v>400</v>
      </c>
      <c r="F1107" s="294" t="s">
        <v>298</v>
      </c>
    </row>
    <row r="1108" spans="1:6" hidden="1" outlineLevel="1" collapsed="1" x14ac:dyDescent="0.25">
      <c r="A1108" s="321" t="s">
        <v>282</v>
      </c>
      <c r="B1108" s="321" t="s">
        <v>770</v>
      </c>
      <c r="C1108" s="293">
        <v>149</v>
      </c>
      <c r="D1108" s="293">
        <v>0</v>
      </c>
      <c r="E1108" s="293">
        <v>-149</v>
      </c>
      <c r="F1108" s="294" t="s">
        <v>286</v>
      </c>
    </row>
    <row r="1109" spans="1:6" collapsed="1" x14ac:dyDescent="0.25">
      <c r="A1109" s="560" t="s">
        <v>771</v>
      </c>
      <c r="B1109" s="561"/>
      <c r="C1109" s="292">
        <v>102405.31411199999</v>
      </c>
      <c r="D1109" s="293">
        <v>107136.28329000001</v>
      </c>
      <c r="E1109" s="293">
        <v>4730.9691780000003</v>
      </c>
      <c r="F1109" s="294" t="s">
        <v>1473</v>
      </c>
    </row>
    <row r="1110" spans="1:6" hidden="1" outlineLevel="1" collapsed="1" x14ac:dyDescent="0.25">
      <c r="A1110" s="321" t="s">
        <v>282</v>
      </c>
      <c r="B1110" s="321" t="s">
        <v>464</v>
      </c>
      <c r="C1110" s="293">
        <v>63191.435105999997</v>
      </c>
      <c r="D1110" s="293">
        <v>65058.321426000002</v>
      </c>
      <c r="E1110" s="293">
        <v>1866.8863200000001</v>
      </c>
      <c r="F1110" s="294" t="s">
        <v>465</v>
      </c>
    </row>
    <row r="1111" spans="1:6" hidden="1" outlineLevel="1" collapsed="1" x14ac:dyDescent="0.25">
      <c r="A1111" s="321" t="s">
        <v>282</v>
      </c>
      <c r="B1111" s="321" t="s">
        <v>384</v>
      </c>
      <c r="C1111" s="293">
        <v>7770.2175360000001</v>
      </c>
      <c r="D1111" s="293">
        <v>0</v>
      </c>
      <c r="E1111" s="293">
        <v>-7770.2175360000001</v>
      </c>
      <c r="F1111" s="294" t="s">
        <v>286</v>
      </c>
    </row>
    <row r="1112" spans="1:6" hidden="1" outlineLevel="1" collapsed="1" x14ac:dyDescent="0.25">
      <c r="A1112" s="321" t="s">
        <v>282</v>
      </c>
      <c r="B1112" s="321" t="s">
        <v>385</v>
      </c>
      <c r="C1112" s="293">
        <v>0</v>
      </c>
      <c r="D1112" s="293">
        <v>9882.8911499999995</v>
      </c>
      <c r="E1112" s="293">
        <v>9882.8911499999995</v>
      </c>
      <c r="F1112" s="294" t="s">
        <v>298</v>
      </c>
    </row>
    <row r="1113" spans="1:6" hidden="1" outlineLevel="1" collapsed="1" x14ac:dyDescent="0.25">
      <c r="A1113" s="321" t="s">
        <v>282</v>
      </c>
      <c r="B1113" s="321" t="s">
        <v>386</v>
      </c>
      <c r="C1113" s="293">
        <v>3917.868966</v>
      </c>
      <c r="D1113" s="293">
        <v>0</v>
      </c>
      <c r="E1113" s="293">
        <v>-3917.868966</v>
      </c>
      <c r="F1113" s="294" t="s">
        <v>286</v>
      </c>
    </row>
    <row r="1114" spans="1:6" hidden="1" outlineLevel="1" collapsed="1" x14ac:dyDescent="0.25">
      <c r="A1114" s="321" t="s">
        <v>282</v>
      </c>
      <c r="B1114" s="321" t="s">
        <v>387</v>
      </c>
      <c r="C1114" s="293">
        <v>0</v>
      </c>
      <c r="D1114" s="293">
        <v>4033.615914</v>
      </c>
      <c r="E1114" s="293">
        <v>4033.615914</v>
      </c>
      <c r="F1114" s="294" t="s">
        <v>298</v>
      </c>
    </row>
    <row r="1115" spans="1:6" hidden="1" outlineLevel="1" collapsed="1" x14ac:dyDescent="0.25">
      <c r="A1115" s="321" t="s">
        <v>282</v>
      </c>
      <c r="B1115" s="321" t="s">
        <v>388</v>
      </c>
      <c r="C1115" s="293">
        <v>916.27579800000001</v>
      </c>
      <c r="D1115" s="293">
        <v>943.34564999999998</v>
      </c>
      <c r="E1115" s="293">
        <v>27.069852000000001</v>
      </c>
      <c r="F1115" s="294" t="s">
        <v>465</v>
      </c>
    </row>
    <row r="1116" spans="1:6" hidden="1" outlineLevel="1" collapsed="1" x14ac:dyDescent="0.25">
      <c r="A1116" s="321" t="s">
        <v>282</v>
      </c>
      <c r="B1116" s="321" t="s">
        <v>389</v>
      </c>
      <c r="C1116" s="293">
        <v>639.18719999999996</v>
      </c>
      <c r="D1116" s="293">
        <v>633.05999999999995</v>
      </c>
      <c r="E1116" s="293">
        <v>-6.1272000000000002</v>
      </c>
      <c r="F1116" s="294" t="s">
        <v>364</v>
      </c>
    </row>
    <row r="1117" spans="1:6" hidden="1" outlineLevel="1" collapsed="1" x14ac:dyDescent="0.25">
      <c r="A1117" s="321" t="s">
        <v>282</v>
      </c>
      <c r="B1117" s="321" t="s">
        <v>390</v>
      </c>
      <c r="C1117" s="293">
        <v>23227.904999999999</v>
      </c>
      <c r="D1117" s="293">
        <v>23938.92</v>
      </c>
      <c r="E1117" s="293">
        <v>711.01499999999999</v>
      </c>
      <c r="F1117" s="294" t="s">
        <v>391</v>
      </c>
    </row>
    <row r="1118" spans="1:6" hidden="1" outlineLevel="1" collapsed="1" x14ac:dyDescent="0.25">
      <c r="A1118" s="321" t="s">
        <v>282</v>
      </c>
      <c r="B1118" s="321" t="s">
        <v>392</v>
      </c>
      <c r="C1118" s="293">
        <v>350.30880000000002</v>
      </c>
      <c r="D1118" s="293">
        <v>274.32</v>
      </c>
      <c r="E1118" s="293">
        <v>-75.988799999999998</v>
      </c>
      <c r="F1118" s="294" t="s">
        <v>368</v>
      </c>
    </row>
    <row r="1119" spans="1:6" hidden="1" outlineLevel="1" collapsed="1" x14ac:dyDescent="0.25">
      <c r="A1119" s="321" t="s">
        <v>282</v>
      </c>
      <c r="B1119" s="321" t="s">
        <v>393</v>
      </c>
      <c r="C1119" s="293">
        <v>31.595706</v>
      </c>
      <c r="D1119" s="293">
        <v>32.529150000000001</v>
      </c>
      <c r="E1119" s="293">
        <v>0.93344400000000005</v>
      </c>
      <c r="F1119" s="294" t="s">
        <v>465</v>
      </c>
    </row>
    <row r="1120" spans="1:6" hidden="1" outlineLevel="1" collapsed="1" x14ac:dyDescent="0.25">
      <c r="A1120" s="321" t="s">
        <v>282</v>
      </c>
      <c r="B1120" s="321" t="s">
        <v>394</v>
      </c>
      <c r="C1120" s="293">
        <v>2250</v>
      </c>
      <c r="D1120" s="293">
        <v>0</v>
      </c>
      <c r="E1120" s="293">
        <v>-2250</v>
      </c>
      <c r="F1120" s="294" t="s">
        <v>286</v>
      </c>
    </row>
    <row r="1121" spans="1:6" hidden="1" outlineLevel="1" collapsed="1" x14ac:dyDescent="0.25">
      <c r="A1121" s="321" t="s">
        <v>282</v>
      </c>
      <c r="B1121" s="321" t="s">
        <v>395</v>
      </c>
      <c r="C1121" s="293">
        <v>0</v>
      </c>
      <c r="D1121" s="293">
        <v>2250</v>
      </c>
      <c r="E1121" s="293">
        <v>2250</v>
      </c>
      <c r="F1121" s="294" t="s">
        <v>298</v>
      </c>
    </row>
    <row r="1122" spans="1:6" hidden="1" outlineLevel="1" collapsed="1" x14ac:dyDescent="0.25">
      <c r="A1122" s="321" t="s">
        <v>282</v>
      </c>
      <c r="B1122" s="321" t="s">
        <v>396</v>
      </c>
      <c r="C1122" s="293">
        <v>74.52</v>
      </c>
      <c r="D1122" s="293">
        <v>0</v>
      </c>
      <c r="E1122" s="293">
        <v>-74.52</v>
      </c>
      <c r="F1122" s="294" t="s">
        <v>286</v>
      </c>
    </row>
    <row r="1123" spans="1:6" hidden="1" outlineLevel="1" collapsed="1" x14ac:dyDescent="0.25">
      <c r="A1123" s="321" t="s">
        <v>282</v>
      </c>
      <c r="B1123" s="321" t="s">
        <v>397</v>
      </c>
      <c r="C1123" s="293">
        <v>0</v>
      </c>
      <c r="D1123" s="293">
        <v>72.72</v>
      </c>
      <c r="E1123" s="293">
        <v>72.72</v>
      </c>
      <c r="F1123" s="294" t="s">
        <v>298</v>
      </c>
    </row>
    <row r="1124" spans="1:6" hidden="1" outlineLevel="1" collapsed="1" x14ac:dyDescent="0.25">
      <c r="A1124" s="321" t="s">
        <v>282</v>
      </c>
      <c r="B1124" s="321" t="s">
        <v>398</v>
      </c>
      <c r="C1124" s="293">
        <v>36</v>
      </c>
      <c r="D1124" s="293">
        <v>16.559999999999999</v>
      </c>
      <c r="E1124" s="293">
        <v>-19.440000000000001</v>
      </c>
      <c r="F1124" s="294" t="s">
        <v>374</v>
      </c>
    </row>
    <row r="1125" spans="1:6" collapsed="1" x14ac:dyDescent="0.25">
      <c r="A1125" s="560" t="s">
        <v>773</v>
      </c>
      <c r="B1125" s="561"/>
      <c r="C1125" s="292">
        <v>81200.213376</v>
      </c>
      <c r="D1125" s="293">
        <v>85034.365120000002</v>
      </c>
      <c r="E1125" s="293">
        <v>3834.1517439999998</v>
      </c>
      <c r="F1125" s="294" t="s">
        <v>519</v>
      </c>
    </row>
    <row r="1126" spans="1:6" hidden="1" outlineLevel="1" collapsed="1" x14ac:dyDescent="0.25">
      <c r="A1126" s="321" t="s">
        <v>282</v>
      </c>
      <c r="B1126" s="321" t="s">
        <v>464</v>
      </c>
      <c r="C1126" s="293">
        <v>52016.436152000002</v>
      </c>
      <c r="D1126" s="293">
        <v>53568.985591999997</v>
      </c>
      <c r="E1126" s="293">
        <v>1552.54944</v>
      </c>
      <c r="F1126" s="294" t="s">
        <v>381</v>
      </c>
    </row>
    <row r="1127" spans="1:6" hidden="1" outlineLevel="1" collapsed="1" x14ac:dyDescent="0.25">
      <c r="A1127" s="321" t="s">
        <v>282</v>
      </c>
      <c r="B1127" s="321" t="s">
        <v>384</v>
      </c>
      <c r="C1127" s="293">
        <v>6461.8976640000001</v>
      </c>
      <c r="D1127" s="293">
        <v>0</v>
      </c>
      <c r="E1127" s="293">
        <v>-6461.8976640000001</v>
      </c>
      <c r="F1127" s="294" t="s">
        <v>286</v>
      </c>
    </row>
    <row r="1128" spans="1:6" hidden="1" outlineLevel="1" collapsed="1" x14ac:dyDescent="0.25">
      <c r="A1128" s="321" t="s">
        <v>282</v>
      </c>
      <c r="B1128" s="321" t="s">
        <v>385</v>
      </c>
      <c r="C1128" s="293">
        <v>0</v>
      </c>
      <c r="D1128" s="293">
        <v>8218.8476520000004</v>
      </c>
      <c r="E1128" s="293">
        <v>8218.8476520000004</v>
      </c>
      <c r="F1128" s="294" t="s">
        <v>298</v>
      </c>
    </row>
    <row r="1129" spans="1:6" hidden="1" outlineLevel="1" collapsed="1" x14ac:dyDescent="0.25">
      <c r="A1129" s="321" t="s">
        <v>282</v>
      </c>
      <c r="B1129" s="321" t="s">
        <v>386</v>
      </c>
      <c r="C1129" s="293">
        <v>3225.0190320000002</v>
      </c>
      <c r="D1129" s="293">
        <v>0</v>
      </c>
      <c r="E1129" s="293">
        <v>-3225.0190320000002</v>
      </c>
      <c r="F1129" s="294" t="s">
        <v>286</v>
      </c>
    </row>
    <row r="1130" spans="1:6" hidden="1" outlineLevel="1" collapsed="1" x14ac:dyDescent="0.25">
      <c r="A1130" s="321" t="s">
        <v>282</v>
      </c>
      <c r="B1130" s="321" t="s">
        <v>387</v>
      </c>
      <c r="C1130" s="293">
        <v>0</v>
      </c>
      <c r="D1130" s="293">
        <v>3321.2771039999998</v>
      </c>
      <c r="E1130" s="293">
        <v>3321.2771039999998</v>
      </c>
      <c r="F1130" s="294" t="s">
        <v>298</v>
      </c>
    </row>
    <row r="1131" spans="1:6" hidden="1" outlineLevel="1" collapsed="1" x14ac:dyDescent="0.25">
      <c r="A1131" s="321" t="s">
        <v>282</v>
      </c>
      <c r="B1131" s="321" t="s">
        <v>388</v>
      </c>
      <c r="C1131" s="293">
        <v>754.23831600000005</v>
      </c>
      <c r="D1131" s="293">
        <v>776.75027999999998</v>
      </c>
      <c r="E1131" s="293">
        <v>22.511963999999999</v>
      </c>
      <c r="F1131" s="294" t="s">
        <v>381</v>
      </c>
    </row>
    <row r="1132" spans="1:6" hidden="1" outlineLevel="1" collapsed="1" x14ac:dyDescent="0.25">
      <c r="A1132" s="321" t="s">
        <v>282</v>
      </c>
      <c r="B1132" s="321" t="s">
        <v>389</v>
      </c>
      <c r="C1132" s="293">
        <v>426.12479999999999</v>
      </c>
      <c r="D1132" s="293">
        <v>422.04</v>
      </c>
      <c r="E1132" s="293">
        <v>-4.0848000000000004</v>
      </c>
      <c r="F1132" s="294" t="s">
        <v>364</v>
      </c>
    </row>
    <row r="1133" spans="1:6" hidden="1" outlineLevel="1" collapsed="1" x14ac:dyDescent="0.25">
      <c r="A1133" s="321" t="s">
        <v>282</v>
      </c>
      <c r="B1133" s="321" t="s">
        <v>390</v>
      </c>
      <c r="C1133" s="293">
        <v>15485.27</v>
      </c>
      <c r="D1133" s="293">
        <v>15959.28</v>
      </c>
      <c r="E1133" s="293">
        <v>474.01</v>
      </c>
      <c r="F1133" s="294" t="s">
        <v>391</v>
      </c>
    </row>
    <row r="1134" spans="1:6" hidden="1" outlineLevel="1" collapsed="1" x14ac:dyDescent="0.25">
      <c r="A1134" s="321" t="s">
        <v>282</v>
      </c>
      <c r="B1134" s="321" t="s">
        <v>392</v>
      </c>
      <c r="C1134" s="293">
        <v>233.53919999999999</v>
      </c>
      <c r="D1134" s="293">
        <v>182.88</v>
      </c>
      <c r="E1134" s="293">
        <v>-50.659199999999998</v>
      </c>
      <c r="F1134" s="294" t="s">
        <v>368</v>
      </c>
    </row>
    <row r="1135" spans="1:6" hidden="1" outlineLevel="1" collapsed="1" x14ac:dyDescent="0.25">
      <c r="A1135" s="321" t="s">
        <v>282</v>
      </c>
      <c r="B1135" s="321" t="s">
        <v>393</v>
      </c>
      <c r="C1135" s="293">
        <v>26.008212</v>
      </c>
      <c r="D1135" s="293">
        <v>26.784492</v>
      </c>
      <c r="E1135" s="293">
        <v>0.77627999999999997</v>
      </c>
      <c r="F1135" s="294" t="s">
        <v>381</v>
      </c>
    </row>
    <row r="1136" spans="1:6" hidden="1" outlineLevel="1" collapsed="1" x14ac:dyDescent="0.25">
      <c r="A1136" s="321" t="s">
        <v>282</v>
      </c>
      <c r="B1136" s="321" t="s">
        <v>394</v>
      </c>
      <c r="C1136" s="293">
        <v>1500</v>
      </c>
      <c r="D1136" s="293">
        <v>0</v>
      </c>
      <c r="E1136" s="293">
        <v>-1500</v>
      </c>
      <c r="F1136" s="294" t="s">
        <v>286</v>
      </c>
    </row>
    <row r="1137" spans="1:6" hidden="1" outlineLevel="1" collapsed="1" x14ac:dyDescent="0.25">
      <c r="A1137" s="321" t="s">
        <v>282</v>
      </c>
      <c r="B1137" s="321" t="s">
        <v>395</v>
      </c>
      <c r="C1137" s="293">
        <v>0</v>
      </c>
      <c r="D1137" s="293">
        <v>1500</v>
      </c>
      <c r="E1137" s="293">
        <v>1500</v>
      </c>
      <c r="F1137" s="294" t="s">
        <v>298</v>
      </c>
    </row>
    <row r="1138" spans="1:6" hidden="1" outlineLevel="1" collapsed="1" x14ac:dyDescent="0.25">
      <c r="A1138" s="321" t="s">
        <v>282</v>
      </c>
      <c r="B1138" s="321" t="s">
        <v>396</v>
      </c>
      <c r="C1138" s="293">
        <v>49.68</v>
      </c>
      <c r="D1138" s="293">
        <v>0</v>
      </c>
      <c r="E1138" s="293">
        <v>-49.68</v>
      </c>
      <c r="F1138" s="294" t="s">
        <v>286</v>
      </c>
    </row>
    <row r="1139" spans="1:6" hidden="1" outlineLevel="1" collapsed="1" x14ac:dyDescent="0.25">
      <c r="A1139" s="321" t="s">
        <v>282</v>
      </c>
      <c r="B1139" s="321" t="s">
        <v>397</v>
      </c>
      <c r="C1139" s="293">
        <v>0</v>
      </c>
      <c r="D1139" s="293">
        <v>48.48</v>
      </c>
      <c r="E1139" s="293">
        <v>48.48</v>
      </c>
      <c r="F1139" s="294" t="s">
        <v>298</v>
      </c>
    </row>
    <row r="1140" spans="1:6" hidden="1" outlineLevel="1" collapsed="1" x14ac:dyDescent="0.25">
      <c r="A1140" s="321" t="s">
        <v>282</v>
      </c>
      <c r="B1140" s="321" t="s">
        <v>398</v>
      </c>
      <c r="C1140" s="293">
        <v>24</v>
      </c>
      <c r="D1140" s="293">
        <v>11.04</v>
      </c>
      <c r="E1140" s="293">
        <v>-12.96</v>
      </c>
      <c r="F1140" s="294" t="s">
        <v>374</v>
      </c>
    </row>
    <row r="1141" spans="1:6" hidden="1" outlineLevel="1" collapsed="1" x14ac:dyDescent="0.25">
      <c r="A1141" s="321" t="s">
        <v>282</v>
      </c>
      <c r="B1141" s="321" t="s">
        <v>422</v>
      </c>
      <c r="C1141" s="293">
        <v>693</v>
      </c>
      <c r="D1141" s="293">
        <v>693</v>
      </c>
      <c r="E1141" s="293">
        <v>0</v>
      </c>
      <c r="F1141" s="294" t="s">
        <v>316</v>
      </c>
    </row>
    <row r="1142" spans="1:6" hidden="1" outlineLevel="1" collapsed="1" x14ac:dyDescent="0.25">
      <c r="A1142" s="321" t="s">
        <v>282</v>
      </c>
      <c r="B1142" s="321" t="s">
        <v>770</v>
      </c>
      <c r="C1142" s="293">
        <v>305</v>
      </c>
      <c r="D1142" s="293">
        <v>305</v>
      </c>
      <c r="E1142" s="293">
        <v>0</v>
      </c>
      <c r="F1142" s="294" t="s">
        <v>316</v>
      </c>
    </row>
    <row r="1143" spans="1:6" collapsed="1" x14ac:dyDescent="0.25">
      <c r="A1143" s="560" t="s">
        <v>775</v>
      </c>
      <c r="B1143" s="561"/>
      <c r="C1143" s="292">
        <v>19795</v>
      </c>
      <c r="D1143" s="293">
        <v>20785</v>
      </c>
      <c r="E1143" s="293">
        <v>990</v>
      </c>
      <c r="F1143" s="294" t="s">
        <v>732</v>
      </c>
    </row>
    <row r="1144" spans="1:6" hidden="1" outlineLevel="1" collapsed="1" x14ac:dyDescent="0.25">
      <c r="A1144" s="321" t="s">
        <v>282</v>
      </c>
      <c r="B1144" s="321" t="s">
        <v>475</v>
      </c>
      <c r="C1144" s="293">
        <v>0</v>
      </c>
      <c r="D1144" s="293">
        <v>500</v>
      </c>
      <c r="E1144" s="293">
        <v>500</v>
      </c>
      <c r="F1144" s="294" t="s">
        <v>298</v>
      </c>
    </row>
    <row r="1145" spans="1:6" hidden="1" outlineLevel="1" collapsed="1" x14ac:dyDescent="0.25">
      <c r="A1145" s="321" t="s">
        <v>282</v>
      </c>
      <c r="B1145" s="321" t="s">
        <v>444</v>
      </c>
      <c r="C1145" s="293">
        <v>0</v>
      </c>
      <c r="D1145" s="293">
        <v>45</v>
      </c>
      <c r="E1145" s="293">
        <v>45</v>
      </c>
      <c r="F1145" s="294" t="s">
        <v>298</v>
      </c>
    </row>
    <row r="1146" spans="1:6" hidden="1" outlineLevel="1" collapsed="1" x14ac:dyDescent="0.25">
      <c r="A1146" s="321" t="s">
        <v>282</v>
      </c>
      <c r="B1146" s="321" t="s">
        <v>375</v>
      </c>
      <c r="C1146" s="293">
        <v>0</v>
      </c>
      <c r="D1146" s="293">
        <v>990</v>
      </c>
      <c r="E1146" s="293">
        <v>990</v>
      </c>
      <c r="F1146" s="294" t="s">
        <v>298</v>
      </c>
    </row>
    <row r="1147" spans="1:6" hidden="1" outlineLevel="1" collapsed="1" x14ac:dyDescent="0.25">
      <c r="A1147" s="321" t="s">
        <v>282</v>
      </c>
      <c r="B1147" s="321" t="s">
        <v>376</v>
      </c>
      <c r="C1147" s="293">
        <v>0</v>
      </c>
      <c r="D1147" s="293">
        <v>950</v>
      </c>
      <c r="E1147" s="293">
        <v>950</v>
      </c>
      <c r="F1147" s="294" t="s">
        <v>298</v>
      </c>
    </row>
    <row r="1148" spans="1:6" hidden="1" outlineLevel="1" collapsed="1" x14ac:dyDescent="0.25">
      <c r="A1148" s="321" t="s">
        <v>282</v>
      </c>
      <c r="B1148" s="321" t="s">
        <v>662</v>
      </c>
      <c r="C1148" s="293">
        <v>0</v>
      </c>
      <c r="D1148" s="293">
        <v>500</v>
      </c>
      <c r="E1148" s="293">
        <v>500</v>
      </c>
      <c r="F1148" s="294" t="s">
        <v>298</v>
      </c>
    </row>
    <row r="1149" spans="1:6" hidden="1" outlineLevel="1" collapsed="1" x14ac:dyDescent="0.25">
      <c r="A1149" s="321" t="s">
        <v>282</v>
      </c>
      <c r="B1149" s="321" t="s">
        <v>506</v>
      </c>
      <c r="C1149" s="293">
        <v>0</v>
      </c>
      <c r="D1149" s="293">
        <v>475</v>
      </c>
      <c r="E1149" s="293">
        <v>475</v>
      </c>
      <c r="F1149" s="294" t="s">
        <v>298</v>
      </c>
    </row>
    <row r="1150" spans="1:6" hidden="1" outlineLevel="1" collapsed="1" x14ac:dyDescent="0.25">
      <c r="A1150" s="321" t="s">
        <v>282</v>
      </c>
      <c r="B1150" s="321" t="s">
        <v>567</v>
      </c>
      <c r="C1150" s="293">
        <v>17895</v>
      </c>
      <c r="D1150" s="293">
        <v>16325</v>
      </c>
      <c r="E1150" s="293">
        <v>-1570</v>
      </c>
      <c r="F1150" s="294" t="s">
        <v>776</v>
      </c>
    </row>
    <row r="1151" spans="1:6" hidden="1" outlineLevel="1" collapsed="1" x14ac:dyDescent="0.25">
      <c r="A1151" s="321" t="s">
        <v>282</v>
      </c>
      <c r="B1151" s="321" t="s">
        <v>426</v>
      </c>
      <c r="C1151" s="293">
        <v>0</v>
      </c>
      <c r="D1151" s="293">
        <v>0</v>
      </c>
      <c r="E1151" s="293">
        <v>0</v>
      </c>
      <c r="F1151" s="294" t="s">
        <v>316</v>
      </c>
    </row>
    <row r="1152" spans="1:6" hidden="1" outlineLevel="1" collapsed="1" x14ac:dyDescent="0.25">
      <c r="A1152" s="321" t="s">
        <v>282</v>
      </c>
      <c r="B1152" s="321" t="s">
        <v>405</v>
      </c>
      <c r="C1152" s="293">
        <v>1900</v>
      </c>
      <c r="D1152" s="293">
        <v>1000</v>
      </c>
      <c r="E1152" s="293">
        <v>-900</v>
      </c>
      <c r="F1152" s="294" t="s">
        <v>777</v>
      </c>
    </row>
    <row r="1153" spans="1:6" collapsed="1" x14ac:dyDescent="0.25">
      <c r="A1153" s="560" t="s">
        <v>778</v>
      </c>
      <c r="B1153" s="561"/>
      <c r="C1153" s="292">
        <v>330676.63556800003</v>
      </c>
      <c r="D1153" s="293">
        <v>343155.70288400003</v>
      </c>
      <c r="E1153" s="293">
        <v>12479.067316000001</v>
      </c>
      <c r="F1153" s="294" t="s">
        <v>1329</v>
      </c>
    </row>
    <row r="1154" spans="1:6" hidden="1" outlineLevel="1" collapsed="1" x14ac:dyDescent="0.25">
      <c r="A1154" s="321" t="s">
        <v>282</v>
      </c>
      <c r="B1154" s="321" t="s">
        <v>780</v>
      </c>
      <c r="C1154" s="293">
        <v>135039.819036</v>
      </c>
      <c r="D1154" s="293">
        <v>137048.31487199999</v>
      </c>
      <c r="E1154" s="293">
        <v>2008.4958360000001</v>
      </c>
      <c r="F1154" s="294" t="s">
        <v>781</v>
      </c>
    </row>
    <row r="1155" spans="1:6" hidden="1" outlineLevel="1" collapsed="1" x14ac:dyDescent="0.25">
      <c r="A1155" s="321" t="s">
        <v>282</v>
      </c>
      <c r="B1155" s="321" t="s">
        <v>464</v>
      </c>
      <c r="C1155" s="293">
        <v>98541.493424</v>
      </c>
      <c r="D1155" s="293">
        <v>101500.26014</v>
      </c>
      <c r="E1155" s="293">
        <v>2958.7667160000001</v>
      </c>
      <c r="F1155" s="294" t="s">
        <v>548</v>
      </c>
    </row>
    <row r="1156" spans="1:6" hidden="1" outlineLevel="1" collapsed="1" x14ac:dyDescent="0.25">
      <c r="A1156" s="321" t="s">
        <v>282</v>
      </c>
      <c r="B1156" s="321" t="s">
        <v>475</v>
      </c>
      <c r="C1156" s="293">
        <v>500</v>
      </c>
      <c r="D1156" s="293">
        <v>500</v>
      </c>
      <c r="E1156" s="293">
        <v>0</v>
      </c>
      <c r="F1156" s="294" t="s">
        <v>316</v>
      </c>
    </row>
    <row r="1157" spans="1:6" hidden="1" outlineLevel="1" collapsed="1" x14ac:dyDescent="0.25">
      <c r="A1157" s="321" t="s">
        <v>282</v>
      </c>
      <c r="B1157" s="321" t="s">
        <v>751</v>
      </c>
      <c r="C1157" s="293">
        <v>17473.926383999999</v>
      </c>
      <c r="D1157" s="293">
        <v>0</v>
      </c>
      <c r="E1157" s="293">
        <v>-17473.926383999999</v>
      </c>
      <c r="F1157" s="294" t="s">
        <v>286</v>
      </c>
    </row>
    <row r="1158" spans="1:6" hidden="1" outlineLevel="1" collapsed="1" x14ac:dyDescent="0.25">
      <c r="A1158" s="321" t="s">
        <v>282</v>
      </c>
      <c r="B1158" s="321" t="s">
        <v>752</v>
      </c>
      <c r="C1158" s="293">
        <v>0</v>
      </c>
      <c r="D1158" s="293">
        <v>19611.569832000001</v>
      </c>
      <c r="E1158" s="293">
        <v>19611.569832000001</v>
      </c>
      <c r="F1158" s="294" t="s">
        <v>298</v>
      </c>
    </row>
    <row r="1159" spans="1:6" hidden="1" outlineLevel="1" collapsed="1" x14ac:dyDescent="0.25">
      <c r="A1159" s="321" t="s">
        <v>282</v>
      </c>
      <c r="B1159" s="321" t="s">
        <v>384</v>
      </c>
      <c r="C1159" s="293">
        <v>12314.74986</v>
      </c>
      <c r="D1159" s="293">
        <v>0</v>
      </c>
      <c r="E1159" s="293">
        <v>-12314.74986</v>
      </c>
      <c r="F1159" s="294" t="s">
        <v>286</v>
      </c>
    </row>
    <row r="1160" spans="1:6" hidden="1" outlineLevel="1" collapsed="1" x14ac:dyDescent="0.25">
      <c r="A1160" s="321" t="s">
        <v>282</v>
      </c>
      <c r="B1160" s="321" t="s">
        <v>385</v>
      </c>
      <c r="C1160" s="293">
        <v>0</v>
      </c>
      <c r="D1160" s="293">
        <v>15663.053892</v>
      </c>
      <c r="E1160" s="293">
        <v>15663.053892</v>
      </c>
      <c r="F1160" s="294" t="s">
        <v>298</v>
      </c>
    </row>
    <row r="1161" spans="1:6" hidden="1" outlineLevel="1" collapsed="1" x14ac:dyDescent="0.25">
      <c r="A1161" s="321" t="s">
        <v>282</v>
      </c>
      <c r="B1161" s="321" t="s">
        <v>386</v>
      </c>
      <c r="C1161" s="293">
        <v>6109.5725759999996</v>
      </c>
      <c r="D1161" s="293">
        <v>0</v>
      </c>
      <c r="E1161" s="293">
        <v>-6109.5725759999996</v>
      </c>
      <c r="F1161" s="294" t="s">
        <v>286</v>
      </c>
    </row>
    <row r="1162" spans="1:6" hidden="1" outlineLevel="1" collapsed="1" x14ac:dyDescent="0.25">
      <c r="A1162" s="321" t="s">
        <v>282</v>
      </c>
      <c r="B1162" s="321" t="s">
        <v>387</v>
      </c>
      <c r="C1162" s="293">
        <v>0</v>
      </c>
      <c r="D1162" s="293">
        <v>6293.0161200000002</v>
      </c>
      <c r="E1162" s="293">
        <v>6293.0161200000002</v>
      </c>
      <c r="F1162" s="294" t="s">
        <v>298</v>
      </c>
    </row>
    <row r="1163" spans="1:6" hidden="1" outlineLevel="1" collapsed="1" x14ac:dyDescent="0.25">
      <c r="A1163" s="321" t="s">
        <v>282</v>
      </c>
      <c r="B1163" s="321" t="s">
        <v>388</v>
      </c>
      <c r="C1163" s="293">
        <v>1428.8516400000001</v>
      </c>
      <c r="D1163" s="293">
        <v>1471.7537520000001</v>
      </c>
      <c r="E1163" s="293">
        <v>42.902112000000002</v>
      </c>
      <c r="F1163" s="294" t="s">
        <v>548</v>
      </c>
    </row>
    <row r="1164" spans="1:6" hidden="1" outlineLevel="1" collapsed="1" x14ac:dyDescent="0.25">
      <c r="A1164" s="321" t="s">
        <v>282</v>
      </c>
      <c r="B1164" s="321" t="s">
        <v>444</v>
      </c>
      <c r="C1164" s="293">
        <v>45</v>
      </c>
      <c r="D1164" s="293">
        <v>45</v>
      </c>
      <c r="E1164" s="293">
        <v>0</v>
      </c>
      <c r="F1164" s="294" t="s">
        <v>316</v>
      </c>
    </row>
    <row r="1165" spans="1:6" hidden="1" outlineLevel="1" collapsed="1" x14ac:dyDescent="0.25">
      <c r="A1165" s="321" t="s">
        <v>282</v>
      </c>
      <c r="B1165" s="321" t="s">
        <v>389</v>
      </c>
      <c r="C1165" s="293">
        <v>852.24959999999999</v>
      </c>
      <c r="D1165" s="293">
        <v>844.08</v>
      </c>
      <c r="E1165" s="293">
        <v>-8.1696000000000009</v>
      </c>
      <c r="F1165" s="294" t="s">
        <v>364</v>
      </c>
    </row>
    <row r="1166" spans="1:6" hidden="1" outlineLevel="1" collapsed="1" x14ac:dyDescent="0.25">
      <c r="A1166" s="321" t="s">
        <v>282</v>
      </c>
      <c r="B1166" s="321" t="s">
        <v>390</v>
      </c>
      <c r="C1166" s="293">
        <v>30970.54</v>
      </c>
      <c r="D1166" s="293">
        <v>31918.560000000001</v>
      </c>
      <c r="E1166" s="293">
        <v>948.02</v>
      </c>
      <c r="F1166" s="294" t="s">
        <v>391</v>
      </c>
    </row>
    <row r="1167" spans="1:6" hidden="1" outlineLevel="1" collapsed="1" x14ac:dyDescent="0.25">
      <c r="A1167" s="321" t="s">
        <v>282</v>
      </c>
      <c r="B1167" s="321" t="s">
        <v>392</v>
      </c>
      <c r="C1167" s="293">
        <v>467.07839999999999</v>
      </c>
      <c r="D1167" s="293">
        <v>365.76</v>
      </c>
      <c r="E1167" s="293">
        <v>-101.3184</v>
      </c>
      <c r="F1167" s="294" t="s">
        <v>368</v>
      </c>
    </row>
    <row r="1168" spans="1:6" hidden="1" outlineLevel="1" collapsed="1" x14ac:dyDescent="0.25">
      <c r="A1168" s="321" t="s">
        <v>282</v>
      </c>
      <c r="B1168" s="321" t="s">
        <v>754</v>
      </c>
      <c r="C1168" s="293">
        <v>15358.56</v>
      </c>
      <c r="D1168" s="293">
        <v>15959.28</v>
      </c>
      <c r="E1168" s="293">
        <v>600.72</v>
      </c>
      <c r="F1168" s="294" t="s">
        <v>366</v>
      </c>
    </row>
    <row r="1169" spans="1:6" hidden="1" outlineLevel="1" collapsed="1" x14ac:dyDescent="0.25">
      <c r="A1169" s="321" t="s">
        <v>282</v>
      </c>
      <c r="B1169" s="321" t="s">
        <v>755</v>
      </c>
      <c r="C1169" s="293">
        <v>426.12479999999999</v>
      </c>
      <c r="D1169" s="293">
        <v>422.04</v>
      </c>
      <c r="E1169" s="293">
        <v>-4.0848000000000004</v>
      </c>
      <c r="F1169" s="294" t="s">
        <v>364</v>
      </c>
    </row>
    <row r="1170" spans="1:6" hidden="1" outlineLevel="1" collapsed="1" x14ac:dyDescent="0.25">
      <c r="A1170" s="321" t="s">
        <v>282</v>
      </c>
      <c r="B1170" s="321" t="s">
        <v>756</v>
      </c>
      <c r="C1170" s="293">
        <v>233.53919999999999</v>
      </c>
      <c r="D1170" s="293">
        <v>182.88</v>
      </c>
      <c r="E1170" s="293">
        <v>-50.659199999999998</v>
      </c>
      <c r="F1170" s="294" t="s">
        <v>368</v>
      </c>
    </row>
    <row r="1171" spans="1:6" hidden="1" outlineLevel="1" collapsed="1" x14ac:dyDescent="0.25">
      <c r="A1171" s="321" t="s">
        <v>282</v>
      </c>
      <c r="B1171" s="321" t="s">
        <v>393</v>
      </c>
      <c r="C1171" s="293">
        <v>49.270740000000004</v>
      </c>
      <c r="D1171" s="293">
        <v>50.750124</v>
      </c>
      <c r="E1171" s="293">
        <v>1.479384</v>
      </c>
      <c r="F1171" s="294" t="s">
        <v>548</v>
      </c>
    </row>
    <row r="1172" spans="1:6" hidden="1" outlineLevel="1" collapsed="1" x14ac:dyDescent="0.25">
      <c r="A1172" s="321" t="s">
        <v>282</v>
      </c>
      <c r="B1172" s="321" t="s">
        <v>757</v>
      </c>
      <c r="C1172" s="293">
        <v>67.819907999999998</v>
      </c>
      <c r="D1172" s="293">
        <v>0</v>
      </c>
      <c r="E1172" s="293">
        <v>-67.819907999999998</v>
      </c>
      <c r="F1172" s="294" t="s">
        <v>286</v>
      </c>
    </row>
    <row r="1173" spans="1:6" hidden="1" outlineLevel="1" collapsed="1" x14ac:dyDescent="0.25">
      <c r="A1173" s="321" t="s">
        <v>282</v>
      </c>
      <c r="B1173" s="321" t="s">
        <v>758</v>
      </c>
      <c r="C1173" s="293">
        <v>0</v>
      </c>
      <c r="D1173" s="293">
        <v>68.824151999999998</v>
      </c>
      <c r="E1173" s="293">
        <v>68.824151999999998</v>
      </c>
      <c r="F1173" s="294" t="s">
        <v>298</v>
      </c>
    </row>
    <row r="1174" spans="1:6" hidden="1" outlineLevel="1" collapsed="1" x14ac:dyDescent="0.25">
      <c r="A1174" s="321" t="s">
        <v>282</v>
      </c>
      <c r="B1174" s="321" t="s">
        <v>394</v>
      </c>
      <c r="C1174" s="293">
        <v>3000</v>
      </c>
      <c r="D1174" s="293">
        <v>0</v>
      </c>
      <c r="E1174" s="293">
        <v>-3000</v>
      </c>
      <c r="F1174" s="294" t="s">
        <v>286</v>
      </c>
    </row>
    <row r="1175" spans="1:6" hidden="1" outlineLevel="1" collapsed="1" x14ac:dyDescent="0.25">
      <c r="A1175" s="321" t="s">
        <v>282</v>
      </c>
      <c r="B1175" s="321" t="s">
        <v>395</v>
      </c>
      <c r="C1175" s="293">
        <v>0</v>
      </c>
      <c r="D1175" s="293">
        <v>3000</v>
      </c>
      <c r="E1175" s="293">
        <v>3000</v>
      </c>
      <c r="F1175" s="294" t="s">
        <v>298</v>
      </c>
    </row>
    <row r="1176" spans="1:6" hidden="1" outlineLevel="1" collapsed="1" x14ac:dyDescent="0.25">
      <c r="A1176" s="321" t="s">
        <v>282</v>
      </c>
      <c r="B1176" s="321" t="s">
        <v>759</v>
      </c>
      <c r="C1176" s="293">
        <v>1500</v>
      </c>
      <c r="D1176" s="293">
        <v>0</v>
      </c>
      <c r="E1176" s="293">
        <v>-1500</v>
      </c>
      <c r="F1176" s="294" t="s">
        <v>286</v>
      </c>
    </row>
    <row r="1177" spans="1:6" hidden="1" outlineLevel="1" collapsed="1" x14ac:dyDescent="0.25">
      <c r="A1177" s="321" t="s">
        <v>282</v>
      </c>
      <c r="B1177" s="321" t="s">
        <v>760</v>
      </c>
      <c r="C1177" s="293">
        <v>0</v>
      </c>
      <c r="D1177" s="293">
        <v>1500</v>
      </c>
      <c r="E1177" s="293">
        <v>1500</v>
      </c>
      <c r="F1177" s="294" t="s">
        <v>298</v>
      </c>
    </row>
    <row r="1178" spans="1:6" hidden="1" outlineLevel="1" collapsed="1" x14ac:dyDescent="0.25">
      <c r="A1178" s="321" t="s">
        <v>282</v>
      </c>
      <c r="B1178" s="321" t="s">
        <v>396</v>
      </c>
      <c r="C1178" s="293">
        <v>99.36</v>
      </c>
      <c r="D1178" s="293">
        <v>0</v>
      </c>
      <c r="E1178" s="293">
        <v>-99.36</v>
      </c>
      <c r="F1178" s="294" t="s">
        <v>286</v>
      </c>
    </row>
    <row r="1179" spans="1:6" hidden="1" outlineLevel="1" collapsed="1" x14ac:dyDescent="0.25">
      <c r="A1179" s="321" t="s">
        <v>282</v>
      </c>
      <c r="B1179" s="321" t="s">
        <v>397</v>
      </c>
      <c r="C1179" s="293">
        <v>0</v>
      </c>
      <c r="D1179" s="293">
        <v>96.96</v>
      </c>
      <c r="E1179" s="293">
        <v>96.96</v>
      </c>
      <c r="F1179" s="294" t="s">
        <v>298</v>
      </c>
    </row>
    <row r="1180" spans="1:6" hidden="1" outlineLevel="1" collapsed="1" x14ac:dyDescent="0.25">
      <c r="A1180" s="321" t="s">
        <v>282</v>
      </c>
      <c r="B1180" s="321" t="s">
        <v>761</v>
      </c>
      <c r="C1180" s="293">
        <v>49.68</v>
      </c>
      <c r="D1180" s="293">
        <v>0</v>
      </c>
      <c r="E1180" s="293">
        <v>-49.68</v>
      </c>
      <c r="F1180" s="294" t="s">
        <v>286</v>
      </c>
    </row>
    <row r="1181" spans="1:6" hidden="1" outlineLevel="1" collapsed="1" x14ac:dyDescent="0.25">
      <c r="A1181" s="321" t="s">
        <v>282</v>
      </c>
      <c r="B1181" s="321" t="s">
        <v>762</v>
      </c>
      <c r="C1181" s="293">
        <v>0</v>
      </c>
      <c r="D1181" s="293">
        <v>48.48</v>
      </c>
      <c r="E1181" s="293">
        <v>48.48</v>
      </c>
      <c r="F1181" s="294" t="s">
        <v>298</v>
      </c>
    </row>
    <row r="1182" spans="1:6" hidden="1" outlineLevel="1" collapsed="1" x14ac:dyDescent="0.25">
      <c r="A1182" s="321" t="s">
        <v>282</v>
      </c>
      <c r="B1182" s="321" t="s">
        <v>398</v>
      </c>
      <c r="C1182" s="293">
        <v>48</v>
      </c>
      <c r="D1182" s="293">
        <v>22.08</v>
      </c>
      <c r="E1182" s="293">
        <v>-25.92</v>
      </c>
      <c r="F1182" s="294" t="s">
        <v>374</v>
      </c>
    </row>
    <row r="1183" spans="1:6" hidden="1" outlineLevel="1" collapsed="1" x14ac:dyDescent="0.25">
      <c r="A1183" s="321" t="s">
        <v>282</v>
      </c>
      <c r="B1183" s="321" t="s">
        <v>763</v>
      </c>
      <c r="C1183" s="293">
        <v>24</v>
      </c>
      <c r="D1183" s="293">
        <v>11.04</v>
      </c>
      <c r="E1183" s="293">
        <v>-12.96</v>
      </c>
      <c r="F1183" s="294" t="s">
        <v>374</v>
      </c>
    </row>
    <row r="1184" spans="1:6" hidden="1" outlineLevel="1" collapsed="1" x14ac:dyDescent="0.25">
      <c r="A1184" s="321" t="s">
        <v>282</v>
      </c>
      <c r="B1184" s="321" t="s">
        <v>375</v>
      </c>
      <c r="C1184" s="293">
        <v>760</v>
      </c>
      <c r="D1184" s="293">
        <v>750</v>
      </c>
      <c r="E1184" s="293">
        <v>-10</v>
      </c>
      <c r="F1184" s="294" t="s">
        <v>782</v>
      </c>
    </row>
    <row r="1185" spans="1:6" hidden="1" outlineLevel="1" collapsed="1" x14ac:dyDescent="0.25">
      <c r="A1185" s="321" t="s">
        <v>282</v>
      </c>
      <c r="B1185" s="321" t="s">
        <v>376</v>
      </c>
      <c r="C1185" s="293">
        <v>3767</v>
      </c>
      <c r="D1185" s="293">
        <v>2832</v>
      </c>
      <c r="E1185" s="293">
        <v>-935</v>
      </c>
      <c r="F1185" s="294" t="s">
        <v>783</v>
      </c>
    </row>
    <row r="1186" spans="1:6" hidden="1" outlineLevel="1" collapsed="1" x14ac:dyDescent="0.25">
      <c r="A1186" s="321" t="s">
        <v>282</v>
      </c>
      <c r="B1186" s="321" t="s">
        <v>662</v>
      </c>
      <c r="C1186" s="293">
        <v>100</v>
      </c>
      <c r="D1186" s="293">
        <v>100</v>
      </c>
      <c r="E1186" s="293">
        <v>0</v>
      </c>
      <c r="F1186" s="294" t="s">
        <v>316</v>
      </c>
    </row>
    <row r="1187" spans="1:6" hidden="1" outlineLevel="1" collapsed="1" x14ac:dyDescent="0.25">
      <c r="A1187" s="321" t="s">
        <v>282</v>
      </c>
      <c r="B1187" s="321" t="s">
        <v>426</v>
      </c>
      <c r="C1187" s="293">
        <v>200</v>
      </c>
      <c r="D1187" s="293">
        <v>300</v>
      </c>
      <c r="E1187" s="293">
        <v>100</v>
      </c>
      <c r="F1187" s="294" t="s">
        <v>784</v>
      </c>
    </row>
    <row r="1188" spans="1:6" hidden="1" outlineLevel="1" collapsed="1" x14ac:dyDescent="0.25">
      <c r="A1188" s="321" t="s">
        <v>282</v>
      </c>
      <c r="B1188" s="321" t="s">
        <v>707</v>
      </c>
      <c r="C1188" s="293">
        <v>600</v>
      </c>
      <c r="D1188" s="293">
        <v>600</v>
      </c>
      <c r="E1188" s="293">
        <v>0</v>
      </c>
      <c r="F1188" s="294" t="s">
        <v>316</v>
      </c>
    </row>
    <row r="1189" spans="1:6" hidden="1" outlineLevel="1" collapsed="1" x14ac:dyDescent="0.25">
      <c r="A1189" s="321" t="s">
        <v>282</v>
      </c>
      <c r="B1189" s="321" t="s">
        <v>403</v>
      </c>
      <c r="C1189" s="293">
        <v>0</v>
      </c>
      <c r="D1189" s="293">
        <v>200</v>
      </c>
      <c r="E1189" s="293">
        <v>200</v>
      </c>
      <c r="F1189" s="294" t="s">
        <v>298</v>
      </c>
    </row>
    <row r="1190" spans="1:6" hidden="1" outlineLevel="1" collapsed="1" x14ac:dyDescent="0.25">
      <c r="A1190" s="321" t="s">
        <v>282</v>
      </c>
      <c r="B1190" s="321" t="s">
        <v>626</v>
      </c>
      <c r="C1190" s="293">
        <v>50</v>
      </c>
      <c r="D1190" s="293">
        <v>500</v>
      </c>
      <c r="E1190" s="293">
        <v>450</v>
      </c>
      <c r="F1190" s="294" t="s">
        <v>785</v>
      </c>
    </row>
    <row r="1191" spans="1:6" hidden="1" outlineLevel="1" collapsed="1" x14ac:dyDescent="0.25">
      <c r="A1191" s="321" t="s">
        <v>282</v>
      </c>
      <c r="B1191" s="321" t="s">
        <v>405</v>
      </c>
      <c r="C1191" s="293">
        <v>100</v>
      </c>
      <c r="D1191" s="293">
        <v>50</v>
      </c>
      <c r="E1191" s="293">
        <v>-50</v>
      </c>
      <c r="F1191" s="294" t="s">
        <v>722</v>
      </c>
    </row>
    <row r="1192" spans="1:6" hidden="1" outlineLevel="1" collapsed="1" x14ac:dyDescent="0.25">
      <c r="A1192" s="321" t="s">
        <v>282</v>
      </c>
      <c r="B1192" s="321" t="s">
        <v>557</v>
      </c>
      <c r="C1192" s="293">
        <v>400</v>
      </c>
      <c r="D1192" s="293">
        <v>100</v>
      </c>
      <c r="E1192" s="293">
        <v>-300</v>
      </c>
      <c r="F1192" s="294" t="s">
        <v>786</v>
      </c>
    </row>
    <row r="1193" spans="1:6" hidden="1" outlineLevel="1" collapsed="1" x14ac:dyDescent="0.25">
      <c r="A1193" s="321" t="s">
        <v>282</v>
      </c>
      <c r="B1193" s="321" t="s">
        <v>422</v>
      </c>
      <c r="C1193" s="293">
        <v>100</v>
      </c>
      <c r="D1193" s="293">
        <v>300</v>
      </c>
      <c r="E1193" s="293">
        <v>200</v>
      </c>
      <c r="F1193" s="294" t="s">
        <v>787</v>
      </c>
    </row>
    <row r="1194" spans="1:6" hidden="1" outlineLevel="1" collapsed="1" x14ac:dyDescent="0.25">
      <c r="A1194" s="321" t="s">
        <v>282</v>
      </c>
      <c r="B1194" s="321" t="s">
        <v>770</v>
      </c>
      <c r="C1194" s="293">
        <v>0</v>
      </c>
      <c r="D1194" s="293">
        <v>800</v>
      </c>
      <c r="E1194" s="293">
        <v>800</v>
      </c>
      <c r="F1194" s="294" t="s">
        <v>298</v>
      </c>
    </row>
    <row r="1195" spans="1:6" collapsed="1" x14ac:dyDescent="0.25">
      <c r="A1195" s="560" t="s">
        <v>788</v>
      </c>
      <c r="B1195" s="561"/>
      <c r="C1195" s="292">
        <v>236060.174272</v>
      </c>
      <c r="D1195" s="293">
        <v>221517.61866400001</v>
      </c>
      <c r="E1195" s="293">
        <v>-14542.555608000001</v>
      </c>
      <c r="F1195" s="294" t="s">
        <v>2034</v>
      </c>
    </row>
    <row r="1196" spans="1:6" hidden="1" outlineLevel="1" collapsed="1" x14ac:dyDescent="0.25">
      <c r="A1196" s="321" t="s">
        <v>282</v>
      </c>
      <c r="B1196" s="321" t="s">
        <v>780</v>
      </c>
      <c r="C1196" s="293">
        <v>121449.829272</v>
      </c>
      <c r="D1196" s="293">
        <v>97076.553597000006</v>
      </c>
      <c r="E1196" s="293">
        <v>-24373.275675000001</v>
      </c>
      <c r="F1196" s="294" t="s">
        <v>2035</v>
      </c>
    </row>
    <row r="1197" spans="1:6" hidden="1" outlineLevel="1" collapsed="1" x14ac:dyDescent="0.25">
      <c r="A1197" s="321" t="s">
        <v>282</v>
      </c>
      <c r="B1197" s="321" t="s">
        <v>441</v>
      </c>
      <c r="C1197" s="293">
        <v>0</v>
      </c>
      <c r="D1197" s="293">
        <v>9800</v>
      </c>
      <c r="E1197" s="293">
        <v>9800</v>
      </c>
      <c r="F1197" s="294" t="s">
        <v>298</v>
      </c>
    </row>
    <row r="1198" spans="1:6" hidden="1" outlineLevel="1" collapsed="1" x14ac:dyDescent="0.25">
      <c r="A1198" s="321" t="s">
        <v>282</v>
      </c>
      <c r="B1198" s="321" t="s">
        <v>464</v>
      </c>
      <c r="C1198" s="293">
        <v>52016.436152000002</v>
      </c>
      <c r="D1198" s="293">
        <v>53568.985591999997</v>
      </c>
      <c r="E1198" s="293">
        <v>1552.54944</v>
      </c>
      <c r="F1198" s="294" t="s">
        <v>381</v>
      </c>
    </row>
    <row r="1199" spans="1:6" hidden="1" outlineLevel="1" collapsed="1" x14ac:dyDescent="0.25">
      <c r="A1199" s="321" t="s">
        <v>282</v>
      </c>
      <c r="B1199" s="321" t="s">
        <v>751</v>
      </c>
      <c r="C1199" s="293">
        <v>15849.202716</v>
      </c>
      <c r="D1199" s="293">
        <v>0</v>
      </c>
      <c r="E1199" s="293">
        <v>-15849.202716</v>
      </c>
      <c r="F1199" s="294" t="s">
        <v>286</v>
      </c>
    </row>
    <row r="1200" spans="1:6" hidden="1" outlineLevel="1" collapsed="1" x14ac:dyDescent="0.25">
      <c r="A1200" s="321" t="s">
        <v>282</v>
      </c>
      <c r="B1200" s="321" t="s">
        <v>752</v>
      </c>
      <c r="C1200" s="293">
        <v>0</v>
      </c>
      <c r="D1200" s="293">
        <v>14008.146677999999</v>
      </c>
      <c r="E1200" s="293">
        <v>14008.146677999999</v>
      </c>
      <c r="F1200" s="294" t="s">
        <v>298</v>
      </c>
    </row>
    <row r="1201" spans="1:6" hidden="1" outlineLevel="1" collapsed="1" x14ac:dyDescent="0.25">
      <c r="A1201" s="321" t="s">
        <v>282</v>
      </c>
      <c r="B1201" s="321" t="s">
        <v>384</v>
      </c>
      <c r="C1201" s="293">
        <v>6461.8976640000001</v>
      </c>
      <c r="D1201" s="293">
        <v>0</v>
      </c>
      <c r="E1201" s="293">
        <v>-6461.8976640000001</v>
      </c>
      <c r="F1201" s="294" t="s">
        <v>286</v>
      </c>
    </row>
    <row r="1202" spans="1:6" hidden="1" outlineLevel="1" collapsed="1" x14ac:dyDescent="0.25">
      <c r="A1202" s="321" t="s">
        <v>282</v>
      </c>
      <c r="B1202" s="321" t="s">
        <v>385</v>
      </c>
      <c r="C1202" s="293">
        <v>0</v>
      </c>
      <c r="D1202" s="293">
        <v>8218.8476520000004</v>
      </c>
      <c r="E1202" s="293">
        <v>8218.8476520000004</v>
      </c>
      <c r="F1202" s="294" t="s">
        <v>298</v>
      </c>
    </row>
    <row r="1203" spans="1:6" hidden="1" outlineLevel="1" collapsed="1" x14ac:dyDescent="0.25">
      <c r="A1203" s="321" t="s">
        <v>282</v>
      </c>
      <c r="B1203" s="321" t="s">
        <v>386</v>
      </c>
      <c r="C1203" s="293">
        <v>3225.0190320000002</v>
      </c>
      <c r="D1203" s="293">
        <v>0</v>
      </c>
      <c r="E1203" s="293">
        <v>-3225.0190320000002</v>
      </c>
      <c r="F1203" s="294" t="s">
        <v>286</v>
      </c>
    </row>
    <row r="1204" spans="1:6" hidden="1" outlineLevel="1" collapsed="1" x14ac:dyDescent="0.25">
      <c r="A1204" s="321" t="s">
        <v>282</v>
      </c>
      <c r="B1204" s="321" t="s">
        <v>387</v>
      </c>
      <c r="C1204" s="293">
        <v>0</v>
      </c>
      <c r="D1204" s="293">
        <v>3321.2771039999998</v>
      </c>
      <c r="E1204" s="293">
        <v>3321.2771039999998</v>
      </c>
      <c r="F1204" s="294" t="s">
        <v>298</v>
      </c>
    </row>
    <row r="1205" spans="1:6" hidden="1" outlineLevel="1" collapsed="1" x14ac:dyDescent="0.25">
      <c r="A1205" s="321" t="s">
        <v>282</v>
      </c>
      <c r="B1205" s="321" t="s">
        <v>388</v>
      </c>
      <c r="C1205" s="293">
        <v>754.23831600000005</v>
      </c>
      <c r="D1205" s="293">
        <v>776.75027999999998</v>
      </c>
      <c r="E1205" s="293">
        <v>22.511963999999999</v>
      </c>
      <c r="F1205" s="294" t="s">
        <v>381</v>
      </c>
    </row>
    <row r="1206" spans="1:6" hidden="1" outlineLevel="1" collapsed="1" x14ac:dyDescent="0.25">
      <c r="A1206" s="321" t="s">
        <v>282</v>
      </c>
      <c r="B1206" s="321" t="s">
        <v>444</v>
      </c>
      <c r="C1206" s="293">
        <v>0</v>
      </c>
      <c r="D1206" s="293">
        <v>1199</v>
      </c>
      <c r="E1206" s="293">
        <v>1199</v>
      </c>
      <c r="F1206" s="294" t="s">
        <v>298</v>
      </c>
    </row>
    <row r="1207" spans="1:6" hidden="1" outlineLevel="1" collapsed="1" x14ac:dyDescent="0.25">
      <c r="A1207" s="321" t="s">
        <v>282</v>
      </c>
      <c r="B1207" s="321" t="s">
        <v>389</v>
      </c>
      <c r="C1207" s="293">
        <v>426.12479999999999</v>
      </c>
      <c r="D1207" s="293">
        <v>422.04</v>
      </c>
      <c r="E1207" s="293">
        <v>-4.0848000000000004</v>
      </c>
      <c r="F1207" s="294" t="s">
        <v>364</v>
      </c>
    </row>
    <row r="1208" spans="1:6" hidden="1" outlineLevel="1" collapsed="1" x14ac:dyDescent="0.25">
      <c r="A1208" s="321" t="s">
        <v>282</v>
      </c>
      <c r="B1208" s="321" t="s">
        <v>390</v>
      </c>
      <c r="C1208" s="293">
        <v>15485.27</v>
      </c>
      <c r="D1208" s="293">
        <v>15959.28</v>
      </c>
      <c r="E1208" s="293">
        <v>474.01</v>
      </c>
      <c r="F1208" s="294" t="s">
        <v>391</v>
      </c>
    </row>
    <row r="1209" spans="1:6" hidden="1" outlineLevel="1" collapsed="1" x14ac:dyDescent="0.25">
      <c r="A1209" s="321" t="s">
        <v>282</v>
      </c>
      <c r="B1209" s="321" t="s">
        <v>392</v>
      </c>
      <c r="C1209" s="293">
        <v>233.53919999999999</v>
      </c>
      <c r="D1209" s="293">
        <v>182.88</v>
      </c>
      <c r="E1209" s="293">
        <v>-50.659199999999998</v>
      </c>
      <c r="F1209" s="294" t="s">
        <v>368</v>
      </c>
    </row>
    <row r="1210" spans="1:6" hidden="1" outlineLevel="1" collapsed="1" x14ac:dyDescent="0.25">
      <c r="A1210" s="321" t="s">
        <v>282</v>
      </c>
      <c r="B1210" s="321" t="s">
        <v>754</v>
      </c>
      <c r="C1210" s="293">
        <v>15358.56</v>
      </c>
      <c r="D1210" s="293">
        <v>11969.46</v>
      </c>
      <c r="E1210" s="293">
        <v>-3389.1</v>
      </c>
      <c r="F1210" s="294" t="s">
        <v>2029</v>
      </c>
    </row>
    <row r="1211" spans="1:6" hidden="1" outlineLevel="1" collapsed="1" x14ac:dyDescent="0.25">
      <c r="A1211" s="321" t="s">
        <v>282</v>
      </c>
      <c r="B1211" s="321" t="s">
        <v>755</v>
      </c>
      <c r="C1211" s="293">
        <v>426.12479999999999</v>
      </c>
      <c r="D1211" s="293">
        <v>316.52999999999997</v>
      </c>
      <c r="E1211" s="293">
        <v>-109.59480000000001</v>
      </c>
      <c r="F1211" s="294" t="s">
        <v>2036</v>
      </c>
    </row>
    <row r="1212" spans="1:6" hidden="1" outlineLevel="1" collapsed="1" x14ac:dyDescent="0.25">
      <c r="A1212" s="321" t="s">
        <v>282</v>
      </c>
      <c r="B1212" s="321" t="s">
        <v>756</v>
      </c>
      <c r="C1212" s="293">
        <v>233.53919999999999</v>
      </c>
      <c r="D1212" s="293">
        <v>137.16</v>
      </c>
      <c r="E1212" s="293">
        <v>-96.379199999999997</v>
      </c>
      <c r="F1212" s="294" t="s">
        <v>2037</v>
      </c>
    </row>
    <row r="1213" spans="1:6" hidden="1" outlineLevel="1" collapsed="1" x14ac:dyDescent="0.25">
      <c r="A1213" s="321" t="s">
        <v>282</v>
      </c>
      <c r="B1213" s="321" t="s">
        <v>393</v>
      </c>
      <c r="C1213" s="293">
        <v>26.008212</v>
      </c>
      <c r="D1213" s="293">
        <v>26.784492</v>
      </c>
      <c r="E1213" s="293">
        <v>0.77627999999999997</v>
      </c>
      <c r="F1213" s="294" t="s">
        <v>381</v>
      </c>
    </row>
    <row r="1214" spans="1:6" hidden="1" outlineLevel="1" collapsed="1" x14ac:dyDescent="0.25">
      <c r="A1214" s="321" t="s">
        <v>282</v>
      </c>
      <c r="B1214" s="321" t="s">
        <v>757</v>
      </c>
      <c r="C1214" s="293">
        <v>61.024908000000003</v>
      </c>
      <c r="D1214" s="293">
        <v>0</v>
      </c>
      <c r="E1214" s="293">
        <v>-61.024908000000003</v>
      </c>
      <c r="F1214" s="294" t="s">
        <v>286</v>
      </c>
    </row>
    <row r="1215" spans="1:6" hidden="1" outlineLevel="1" collapsed="1" x14ac:dyDescent="0.25">
      <c r="A1215" s="321" t="s">
        <v>282</v>
      </c>
      <c r="B1215" s="321" t="s">
        <v>758</v>
      </c>
      <c r="C1215" s="293">
        <v>0</v>
      </c>
      <c r="D1215" s="293">
        <v>48.763269000000001</v>
      </c>
      <c r="E1215" s="293">
        <v>48.763269000000001</v>
      </c>
      <c r="F1215" s="294" t="s">
        <v>298</v>
      </c>
    </row>
    <row r="1216" spans="1:6" hidden="1" outlineLevel="1" collapsed="1" x14ac:dyDescent="0.25">
      <c r="A1216" s="321" t="s">
        <v>282</v>
      </c>
      <c r="B1216" s="321" t="s">
        <v>394</v>
      </c>
      <c r="C1216" s="293">
        <v>1500</v>
      </c>
      <c r="D1216" s="293">
        <v>0</v>
      </c>
      <c r="E1216" s="293">
        <v>-1500</v>
      </c>
      <c r="F1216" s="294" t="s">
        <v>286</v>
      </c>
    </row>
    <row r="1217" spans="1:6" hidden="1" outlineLevel="1" collapsed="1" x14ac:dyDescent="0.25">
      <c r="A1217" s="321" t="s">
        <v>282</v>
      </c>
      <c r="B1217" s="321" t="s">
        <v>395</v>
      </c>
      <c r="C1217" s="293">
        <v>0</v>
      </c>
      <c r="D1217" s="293">
        <v>1500</v>
      </c>
      <c r="E1217" s="293">
        <v>1500</v>
      </c>
      <c r="F1217" s="294" t="s">
        <v>298</v>
      </c>
    </row>
    <row r="1218" spans="1:6" hidden="1" outlineLevel="1" collapsed="1" x14ac:dyDescent="0.25">
      <c r="A1218" s="321" t="s">
        <v>282</v>
      </c>
      <c r="B1218" s="321" t="s">
        <v>759</v>
      </c>
      <c r="C1218" s="293">
        <v>1500</v>
      </c>
      <c r="D1218" s="293">
        <v>0</v>
      </c>
      <c r="E1218" s="293">
        <v>-1500</v>
      </c>
      <c r="F1218" s="294" t="s">
        <v>286</v>
      </c>
    </row>
    <row r="1219" spans="1:6" hidden="1" outlineLevel="1" collapsed="1" x14ac:dyDescent="0.25">
      <c r="A1219" s="321" t="s">
        <v>282</v>
      </c>
      <c r="B1219" s="321" t="s">
        <v>760</v>
      </c>
      <c r="C1219" s="293">
        <v>0</v>
      </c>
      <c r="D1219" s="293">
        <v>1125</v>
      </c>
      <c r="E1219" s="293">
        <v>1125</v>
      </c>
      <c r="F1219" s="294" t="s">
        <v>298</v>
      </c>
    </row>
    <row r="1220" spans="1:6" hidden="1" outlineLevel="1" collapsed="1" x14ac:dyDescent="0.25">
      <c r="A1220" s="321" t="s">
        <v>282</v>
      </c>
      <c r="B1220" s="321" t="s">
        <v>396</v>
      </c>
      <c r="C1220" s="293">
        <v>49.68</v>
      </c>
      <c r="D1220" s="293">
        <v>0</v>
      </c>
      <c r="E1220" s="293">
        <v>-49.68</v>
      </c>
      <c r="F1220" s="294" t="s">
        <v>286</v>
      </c>
    </row>
    <row r="1221" spans="1:6" hidden="1" outlineLevel="1" collapsed="1" x14ac:dyDescent="0.25">
      <c r="A1221" s="321" t="s">
        <v>282</v>
      </c>
      <c r="B1221" s="321" t="s">
        <v>397</v>
      </c>
      <c r="C1221" s="293">
        <v>0</v>
      </c>
      <c r="D1221" s="293">
        <v>48.48</v>
      </c>
      <c r="E1221" s="293">
        <v>48.48</v>
      </c>
      <c r="F1221" s="294" t="s">
        <v>298</v>
      </c>
    </row>
    <row r="1222" spans="1:6" hidden="1" outlineLevel="1" collapsed="1" x14ac:dyDescent="0.25">
      <c r="A1222" s="321" t="s">
        <v>282</v>
      </c>
      <c r="B1222" s="321" t="s">
        <v>761</v>
      </c>
      <c r="C1222" s="293">
        <v>49.68</v>
      </c>
      <c r="D1222" s="293">
        <v>0</v>
      </c>
      <c r="E1222" s="293">
        <v>-49.68</v>
      </c>
      <c r="F1222" s="294" t="s">
        <v>286</v>
      </c>
    </row>
    <row r="1223" spans="1:6" hidden="1" outlineLevel="1" collapsed="1" x14ac:dyDescent="0.25">
      <c r="A1223" s="321" t="s">
        <v>282</v>
      </c>
      <c r="B1223" s="321" t="s">
        <v>762</v>
      </c>
      <c r="C1223" s="293">
        <v>0</v>
      </c>
      <c r="D1223" s="293">
        <v>36.36</v>
      </c>
      <c r="E1223" s="293">
        <v>36.36</v>
      </c>
      <c r="F1223" s="294" t="s">
        <v>298</v>
      </c>
    </row>
    <row r="1224" spans="1:6" hidden="1" outlineLevel="1" collapsed="1" x14ac:dyDescent="0.25">
      <c r="A1224" s="321" t="s">
        <v>282</v>
      </c>
      <c r="B1224" s="321" t="s">
        <v>398</v>
      </c>
      <c r="C1224" s="293">
        <v>24</v>
      </c>
      <c r="D1224" s="293">
        <v>11.04</v>
      </c>
      <c r="E1224" s="293">
        <v>-12.96</v>
      </c>
      <c r="F1224" s="294" t="s">
        <v>374</v>
      </c>
    </row>
    <row r="1225" spans="1:6" hidden="1" outlineLevel="1" collapsed="1" x14ac:dyDescent="0.25">
      <c r="A1225" s="321" t="s">
        <v>282</v>
      </c>
      <c r="B1225" s="321" t="s">
        <v>763</v>
      </c>
      <c r="C1225" s="293">
        <v>24</v>
      </c>
      <c r="D1225" s="293">
        <v>8.2799999999999994</v>
      </c>
      <c r="E1225" s="293">
        <v>-15.72</v>
      </c>
      <c r="F1225" s="294" t="s">
        <v>2038</v>
      </c>
    </row>
    <row r="1226" spans="1:6" hidden="1" outlineLevel="1" collapsed="1" x14ac:dyDescent="0.25">
      <c r="A1226" s="321" t="s">
        <v>282</v>
      </c>
      <c r="B1226" s="321" t="s">
        <v>375</v>
      </c>
      <c r="C1226" s="293">
        <v>100</v>
      </c>
      <c r="D1226" s="293">
        <v>100</v>
      </c>
      <c r="E1226" s="293">
        <v>0</v>
      </c>
      <c r="F1226" s="294" t="s">
        <v>316</v>
      </c>
    </row>
    <row r="1227" spans="1:6" hidden="1" outlineLevel="1" collapsed="1" x14ac:dyDescent="0.25">
      <c r="A1227" s="321" t="s">
        <v>282</v>
      </c>
      <c r="B1227" s="321" t="s">
        <v>431</v>
      </c>
      <c r="C1227" s="293">
        <v>100</v>
      </c>
      <c r="D1227" s="293">
        <v>100</v>
      </c>
      <c r="E1227" s="293">
        <v>0</v>
      </c>
      <c r="F1227" s="294" t="s">
        <v>316</v>
      </c>
    </row>
    <row r="1228" spans="1:6" hidden="1" outlineLevel="1" collapsed="1" x14ac:dyDescent="0.25">
      <c r="A1228" s="321" t="s">
        <v>282</v>
      </c>
      <c r="B1228" s="321" t="s">
        <v>662</v>
      </c>
      <c r="C1228" s="293">
        <v>0</v>
      </c>
      <c r="D1228" s="293">
        <v>1000</v>
      </c>
      <c r="E1228" s="293">
        <v>1000</v>
      </c>
      <c r="F1228" s="294" t="s">
        <v>298</v>
      </c>
    </row>
    <row r="1229" spans="1:6" hidden="1" outlineLevel="1" collapsed="1" x14ac:dyDescent="0.25">
      <c r="A1229" s="321" t="s">
        <v>282</v>
      </c>
      <c r="B1229" s="321" t="s">
        <v>707</v>
      </c>
      <c r="C1229" s="293">
        <v>600</v>
      </c>
      <c r="D1229" s="293">
        <v>450</v>
      </c>
      <c r="E1229" s="293">
        <v>-150</v>
      </c>
      <c r="F1229" s="294" t="s">
        <v>1321</v>
      </c>
    </row>
    <row r="1230" spans="1:6" hidden="1" outlineLevel="1" collapsed="1" x14ac:dyDescent="0.25">
      <c r="A1230" s="321" t="s">
        <v>282</v>
      </c>
      <c r="B1230" s="321" t="s">
        <v>403</v>
      </c>
      <c r="C1230" s="293">
        <v>25</v>
      </c>
      <c r="D1230" s="293">
        <v>25</v>
      </c>
      <c r="E1230" s="293">
        <v>0</v>
      </c>
      <c r="F1230" s="294" t="s">
        <v>316</v>
      </c>
    </row>
    <row r="1231" spans="1:6" hidden="1" outlineLevel="1" collapsed="1" x14ac:dyDescent="0.25">
      <c r="A1231" s="321" t="s">
        <v>282</v>
      </c>
      <c r="B1231" s="321" t="s">
        <v>422</v>
      </c>
      <c r="C1231" s="293">
        <v>81</v>
      </c>
      <c r="D1231" s="293">
        <v>81</v>
      </c>
      <c r="E1231" s="293">
        <v>0</v>
      </c>
      <c r="F1231" s="294" t="s">
        <v>316</v>
      </c>
    </row>
    <row r="1232" spans="1:6" collapsed="1" x14ac:dyDescent="0.25">
      <c r="A1232" s="560" t="s">
        <v>791</v>
      </c>
      <c r="B1232" s="561"/>
      <c r="C1232" s="292">
        <v>339976.58980399999</v>
      </c>
      <c r="D1232" s="293">
        <v>263063.99833600002</v>
      </c>
      <c r="E1232" s="293">
        <v>-76912.591467999999</v>
      </c>
      <c r="F1232" s="294" t="s">
        <v>2039</v>
      </c>
    </row>
    <row r="1233" spans="1:6" hidden="1" outlineLevel="1" collapsed="1" x14ac:dyDescent="0.25">
      <c r="A1233" s="321" t="s">
        <v>282</v>
      </c>
      <c r="B1233" s="321" t="s">
        <v>780</v>
      </c>
      <c r="C1233" s="293">
        <v>135039.819036</v>
      </c>
      <c r="D1233" s="293">
        <v>101931.236154</v>
      </c>
      <c r="E1233" s="293">
        <v>-33108.582882000002</v>
      </c>
      <c r="F1233" s="294" t="s">
        <v>2040</v>
      </c>
    </row>
    <row r="1234" spans="1:6" hidden="1" outlineLevel="1" collapsed="1" x14ac:dyDescent="0.25">
      <c r="A1234" s="321" t="s">
        <v>282</v>
      </c>
      <c r="B1234" s="321" t="s">
        <v>464</v>
      </c>
      <c r="C1234" s="293">
        <v>111410.80190799999</v>
      </c>
      <c r="D1234" s="293">
        <v>83819.873827999996</v>
      </c>
      <c r="E1234" s="293">
        <v>-27590.928080000002</v>
      </c>
      <c r="F1234" s="294" t="s">
        <v>2041</v>
      </c>
    </row>
    <row r="1235" spans="1:6" hidden="1" outlineLevel="1" collapsed="1" x14ac:dyDescent="0.25">
      <c r="A1235" s="321" t="s">
        <v>282</v>
      </c>
      <c r="B1235" s="321" t="s">
        <v>751</v>
      </c>
      <c r="C1235" s="293">
        <v>17473.926383999999</v>
      </c>
      <c r="D1235" s="293">
        <v>0</v>
      </c>
      <c r="E1235" s="293">
        <v>-17473.926383999999</v>
      </c>
      <c r="F1235" s="294" t="s">
        <v>286</v>
      </c>
    </row>
    <row r="1236" spans="1:6" hidden="1" outlineLevel="1" collapsed="1" x14ac:dyDescent="0.25">
      <c r="A1236" s="321" t="s">
        <v>282</v>
      </c>
      <c r="B1236" s="321" t="s">
        <v>752</v>
      </c>
      <c r="C1236" s="293">
        <v>0</v>
      </c>
      <c r="D1236" s="293">
        <v>14708.677374000001</v>
      </c>
      <c r="E1236" s="293">
        <v>14708.677374000001</v>
      </c>
      <c r="F1236" s="294" t="s">
        <v>298</v>
      </c>
    </row>
    <row r="1237" spans="1:6" hidden="1" outlineLevel="1" collapsed="1" x14ac:dyDescent="0.25">
      <c r="A1237" s="321" t="s">
        <v>282</v>
      </c>
      <c r="B1237" s="321" t="s">
        <v>384</v>
      </c>
      <c r="C1237" s="293">
        <v>13776.458868</v>
      </c>
      <c r="D1237" s="293">
        <v>0</v>
      </c>
      <c r="E1237" s="293">
        <v>-13776.458868</v>
      </c>
      <c r="F1237" s="294" t="s">
        <v>286</v>
      </c>
    </row>
    <row r="1238" spans="1:6" hidden="1" outlineLevel="1" collapsed="1" x14ac:dyDescent="0.25">
      <c r="A1238" s="321" t="s">
        <v>282</v>
      </c>
      <c r="B1238" s="321" t="s">
        <v>385</v>
      </c>
      <c r="C1238" s="293">
        <v>0</v>
      </c>
      <c r="D1238" s="293">
        <v>12870.520103999999</v>
      </c>
      <c r="E1238" s="293">
        <v>12870.520103999999</v>
      </c>
      <c r="F1238" s="294" t="s">
        <v>298</v>
      </c>
    </row>
    <row r="1239" spans="1:6" hidden="1" outlineLevel="1" collapsed="1" x14ac:dyDescent="0.25">
      <c r="A1239" s="321" t="s">
        <v>282</v>
      </c>
      <c r="B1239" s="321" t="s">
        <v>386</v>
      </c>
      <c r="C1239" s="293">
        <v>6907.4696999999996</v>
      </c>
      <c r="D1239" s="293">
        <v>0</v>
      </c>
      <c r="E1239" s="293">
        <v>-6907.4696999999996</v>
      </c>
      <c r="F1239" s="294" t="s">
        <v>286</v>
      </c>
    </row>
    <row r="1240" spans="1:6" hidden="1" outlineLevel="1" collapsed="1" x14ac:dyDescent="0.25">
      <c r="A1240" s="321" t="s">
        <v>282</v>
      </c>
      <c r="B1240" s="321" t="s">
        <v>387</v>
      </c>
      <c r="C1240" s="293">
        <v>0</v>
      </c>
      <c r="D1240" s="293">
        <v>5196.8321699999997</v>
      </c>
      <c r="E1240" s="293">
        <v>5196.8321699999997</v>
      </c>
      <c r="F1240" s="294" t="s">
        <v>298</v>
      </c>
    </row>
    <row r="1241" spans="1:6" hidden="1" outlineLevel="1" collapsed="1" x14ac:dyDescent="0.25">
      <c r="A1241" s="321" t="s">
        <v>282</v>
      </c>
      <c r="B1241" s="321" t="s">
        <v>388</v>
      </c>
      <c r="C1241" s="293">
        <v>1615.456608</v>
      </c>
      <c r="D1241" s="293">
        <v>1215.388158</v>
      </c>
      <c r="E1241" s="293">
        <v>-400.06844999999998</v>
      </c>
      <c r="F1241" s="294" t="s">
        <v>2041</v>
      </c>
    </row>
    <row r="1242" spans="1:6" hidden="1" outlineLevel="1" collapsed="1" x14ac:dyDescent="0.25">
      <c r="A1242" s="321" t="s">
        <v>282</v>
      </c>
      <c r="B1242" s="321" t="s">
        <v>389</v>
      </c>
      <c r="C1242" s="293">
        <v>852.24959999999999</v>
      </c>
      <c r="D1242" s="293">
        <v>633.05999999999995</v>
      </c>
      <c r="E1242" s="293">
        <v>-219.18960000000001</v>
      </c>
      <c r="F1242" s="294" t="s">
        <v>2036</v>
      </c>
    </row>
    <row r="1243" spans="1:6" hidden="1" outlineLevel="1" collapsed="1" x14ac:dyDescent="0.25">
      <c r="A1243" s="321" t="s">
        <v>282</v>
      </c>
      <c r="B1243" s="321" t="s">
        <v>390</v>
      </c>
      <c r="C1243" s="293">
        <v>30970.54</v>
      </c>
      <c r="D1243" s="293">
        <v>23938.92</v>
      </c>
      <c r="E1243" s="293">
        <v>-7031.62</v>
      </c>
      <c r="F1243" s="294" t="s">
        <v>2042</v>
      </c>
    </row>
    <row r="1244" spans="1:6" hidden="1" outlineLevel="1" collapsed="1" x14ac:dyDescent="0.25">
      <c r="A1244" s="321" t="s">
        <v>282</v>
      </c>
      <c r="B1244" s="321" t="s">
        <v>392</v>
      </c>
      <c r="C1244" s="293">
        <v>467.07839999999999</v>
      </c>
      <c r="D1244" s="293">
        <v>274.32</v>
      </c>
      <c r="E1244" s="293">
        <v>-192.75839999999999</v>
      </c>
      <c r="F1244" s="294" t="s">
        <v>2037</v>
      </c>
    </row>
    <row r="1245" spans="1:6" hidden="1" outlineLevel="1" collapsed="1" x14ac:dyDescent="0.25">
      <c r="A1245" s="321" t="s">
        <v>282</v>
      </c>
      <c r="B1245" s="321" t="s">
        <v>754</v>
      </c>
      <c r="C1245" s="293">
        <v>15358.56</v>
      </c>
      <c r="D1245" s="293">
        <v>11969.46</v>
      </c>
      <c r="E1245" s="293">
        <v>-3389.1</v>
      </c>
      <c r="F1245" s="294" t="s">
        <v>2029</v>
      </c>
    </row>
    <row r="1246" spans="1:6" hidden="1" outlineLevel="1" collapsed="1" x14ac:dyDescent="0.25">
      <c r="A1246" s="321" t="s">
        <v>282</v>
      </c>
      <c r="B1246" s="321" t="s">
        <v>755</v>
      </c>
      <c r="C1246" s="293">
        <v>426.12479999999999</v>
      </c>
      <c r="D1246" s="293">
        <v>316.52999999999997</v>
      </c>
      <c r="E1246" s="293">
        <v>-109.59480000000001</v>
      </c>
      <c r="F1246" s="294" t="s">
        <v>2036</v>
      </c>
    </row>
    <row r="1247" spans="1:6" hidden="1" outlineLevel="1" collapsed="1" x14ac:dyDescent="0.25">
      <c r="A1247" s="321" t="s">
        <v>282</v>
      </c>
      <c r="B1247" s="321" t="s">
        <v>756</v>
      </c>
      <c r="C1247" s="293">
        <v>233.53919999999999</v>
      </c>
      <c r="D1247" s="293">
        <v>137.16</v>
      </c>
      <c r="E1247" s="293">
        <v>-96.379199999999997</v>
      </c>
      <c r="F1247" s="294" t="s">
        <v>2037</v>
      </c>
    </row>
    <row r="1248" spans="1:6" hidden="1" outlineLevel="1" collapsed="1" x14ac:dyDescent="0.25">
      <c r="A1248" s="321" t="s">
        <v>282</v>
      </c>
      <c r="B1248" s="321" t="s">
        <v>393</v>
      </c>
      <c r="C1248" s="293">
        <v>55.705392000000003</v>
      </c>
      <c r="D1248" s="293">
        <v>41.909934</v>
      </c>
      <c r="E1248" s="293">
        <v>-13.795458</v>
      </c>
      <c r="F1248" s="294" t="s">
        <v>2041</v>
      </c>
    </row>
    <row r="1249" spans="1:6" hidden="1" outlineLevel="1" collapsed="1" x14ac:dyDescent="0.25">
      <c r="A1249" s="321" t="s">
        <v>282</v>
      </c>
      <c r="B1249" s="321" t="s">
        <v>757</v>
      </c>
      <c r="C1249" s="293">
        <v>67.819907999999998</v>
      </c>
      <c r="D1249" s="293">
        <v>0</v>
      </c>
      <c r="E1249" s="293">
        <v>-67.819907999999998</v>
      </c>
      <c r="F1249" s="294" t="s">
        <v>286</v>
      </c>
    </row>
    <row r="1250" spans="1:6" hidden="1" outlineLevel="1" collapsed="1" x14ac:dyDescent="0.25">
      <c r="A1250" s="321" t="s">
        <v>282</v>
      </c>
      <c r="B1250" s="321" t="s">
        <v>758</v>
      </c>
      <c r="C1250" s="293">
        <v>0</v>
      </c>
      <c r="D1250" s="293">
        <v>51.190613999999997</v>
      </c>
      <c r="E1250" s="293">
        <v>51.190613999999997</v>
      </c>
      <c r="F1250" s="294" t="s">
        <v>298</v>
      </c>
    </row>
    <row r="1251" spans="1:6" hidden="1" outlineLevel="1" collapsed="1" x14ac:dyDescent="0.25">
      <c r="A1251" s="321" t="s">
        <v>282</v>
      </c>
      <c r="B1251" s="321" t="s">
        <v>394</v>
      </c>
      <c r="C1251" s="293">
        <v>3000</v>
      </c>
      <c r="D1251" s="293">
        <v>0</v>
      </c>
      <c r="E1251" s="293">
        <v>-3000</v>
      </c>
      <c r="F1251" s="294" t="s">
        <v>286</v>
      </c>
    </row>
    <row r="1252" spans="1:6" hidden="1" outlineLevel="1" collapsed="1" x14ac:dyDescent="0.25">
      <c r="A1252" s="321" t="s">
        <v>282</v>
      </c>
      <c r="B1252" s="321" t="s">
        <v>395</v>
      </c>
      <c r="C1252" s="293">
        <v>0</v>
      </c>
      <c r="D1252" s="293">
        <v>2250</v>
      </c>
      <c r="E1252" s="293">
        <v>2250</v>
      </c>
      <c r="F1252" s="294" t="s">
        <v>298</v>
      </c>
    </row>
    <row r="1253" spans="1:6" hidden="1" outlineLevel="1" collapsed="1" x14ac:dyDescent="0.25">
      <c r="A1253" s="321" t="s">
        <v>282</v>
      </c>
      <c r="B1253" s="321" t="s">
        <v>759</v>
      </c>
      <c r="C1253" s="293">
        <v>1500</v>
      </c>
      <c r="D1253" s="293">
        <v>0</v>
      </c>
      <c r="E1253" s="293">
        <v>-1500</v>
      </c>
      <c r="F1253" s="294" t="s">
        <v>286</v>
      </c>
    </row>
    <row r="1254" spans="1:6" hidden="1" outlineLevel="1" collapsed="1" x14ac:dyDescent="0.25">
      <c r="A1254" s="321" t="s">
        <v>282</v>
      </c>
      <c r="B1254" s="321" t="s">
        <v>760</v>
      </c>
      <c r="C1254" s="293">
        <v>0</v>
      </c>
      <c r="D1254" s="293">
        <v>1125</v>
      </c>
      <c r="E1254" s="293">
        <v>1125</v>
      </c>
      <c r="F1254" s="294" t="s">
        <v>298</v>
      </c>
    </row>
    <row r="1255" spans="1:6" hidden="1" outlineLevel="1" collapsed="1" x14ac:dyDescent="0.25">
      <c r="A1255" s="321" t="s">
        <v>282</v>
      </c>
      <c r="B1255" s="321" t="s">
        <v>396</v>
      </c>
      <c r="C1255" s="293">
        <v>99.36</v>
      </c>
      <c r="D1255" s="293">
        <v>0</v>
      </c>
      <c r="E1255" s="293">
        <v>-99.36</v>
      </c>
      <c r="F1255" s="294" t="s">
        <v>286</v>
      </c>
    </row>
    <row r="1256" spans="1:6" hidden="1" outlineLevel="1" collapsed="1" x14ac:dyDescent="0.25">
      <c r="A1256" s="321" t="s">
        <v>282</v>
      </c>
      <c r="B1256" s="321" t="s">
        <v>397</v>
      </c>
      <c r="C1256" s="293">
        <v>0</v>
      </c>
      <c r="D1256" s="293">
        <v>72.72</v>
      </c>
      <c r="E1256" s="293">
        <v>72.72</v>
      </c>
      <c r="F1256" s="294" t="s">
        <v>298</v>
      </c>
    </row>
    <row r="1257" spans="1:6" hidden="1" outlineLevel="1" collapsed="1" x14ac:dyDescent="0.25">
      <c r="A1257" s="321" t="s">
        <v>282</v>
      </c>
      <c r="B1257" s="321" t="s">
        <v>761</v>
      </c>
      <c r="C1257" s="293">
        <v>49.68</v>
      </c>
      <c r="D1257" s="293">
        <v>0</v>
      </c>
      <c r="E1257" s="293">
        <v>-49.68</v>
      </c>
      <c r="F1257" s="294" t="s">
        <v>286</v>
      </c>
    </row>
    <row r="1258" spans="1:6" hidden="1" outlineLevel="1" collapsed="1" x14ac:dyDescent="0.25">
      <c r="A1258" s="321" t="s">
        <v>282</v>
      </c>
      <c r="B1258" s="321" t="s">
        <v>762</v>
      </c>
      <c r="C1258" s="293">
        <v>0</v>
      </c>
      <c r="D1258" s="293">
        <v>36.36</v>
      </c>
      <c r="E1258" s="293">
        <v>36.36</v>
      </c>
      <c r="F1258" s="294" t="s">
        <v>298</v>
      </c>
    </row>
    <row r="1259" spans="1:6" hidden="1" outlineLevel="1" collapsed="1" x14ac:dyDescent="0.25">
      <c r="A1259" s="321" t="s">
        <v>282</v>
      </c>
      <c r="B1259" s="321" t="s">
        <v>398</v>
      </c>
      <c r="C1259" s="293">
        <v>48</v>
      </c>
      <c r="D1259" s="293">
        <v>16.559999999999999</v>
      </c>
      <c r="E1259" s="293">
        <v>-31.44</v>
      </c>
      <c r="F1259" s="294" t="s">
        <v>2038</v>
      </c>
    </row>
    <row r="1260" spans="1:6" hidden="1" outlineLevel="1" collapsed="1" x14ac:dyDescent="0.25">
      <c r="A1260" s="321" t="s">
        <v>282</v>
      </c>
      <c r="B1260" s="321" t="s">
        <v>763</v>
      </c>
      <c r="C1260" s="293">
        <v>24</v>
      </c>
      <c r="D1260" s="293">
        <v>8.2799999999999994</v>
      </c>
      <c r="E1260" s="293">
        <v>-15.72</v>
      </c>
      <c r="F1260" s="294" t="s">
        <v>2038</v>
      </c>
    </row>
    <row r="1261" spans="1:6" hidden="1" outlineLevel="1" collapsed="1" x14ac:dyDescent="0.25">
      <c r="A1261" s="321" t="s">
        <v>282</v>
      </c>
      <c r="B1261" s="321" t="s">
        <v>375</v>
      </c>
      <c r="C1261" s="293">
        <v>0</v>
      </c>
      <c r="D1261" s="293">
        <v>2000</v>
      </c>
      <c r="E1261" s="293">
        <v>2000</v>
      </c>
      <c r="F1261" s="294" t="s">
        <v>298</v>
      </c>
    </row>
    <row r="1262" spans="1:6" hidden="1" outlineLevel="1" collapsed="1" x14ac:dyDescent="0.25">
      <c r="A1262" s="321" t="s">
        <v>282</v>
      </c>
      <c r="B1262" s="321" t="s">
        <v>707</v>
      </c>
      <c r="C1262" s="293">
        <v>600</v>
      </c>
      <c r="D1262" s="293">
        <v>450</v>
      </c>
      <c r="E1262" s="293">
        <v>-150</v>
      </c>
      <c r="F1262" s="294" t="s">
        <v>1321</v>
      </c>
    </row>
    <row r="1263" spans="1:6" collapsed="1" x14ac:dyDescent="0.25">
      <c r="A1263" s="560" t="s">
        <v>793</v>
      </c>
      <c r="B1263" s="561"/>
      <c r="C1263" s="292">
        <v>203437.31296000001</v>
      </c>
      <c r="D1263" s="293">
        <v>218954.75538399999</v>
      </c>
      <c r="E1263" s="293">
        <v>15517.442424000001</v>
      </c>
      <c r="F1263" s="294" t="s">
        <v>651</v>
      </c>
    </row>
    <row r="1264" spans="1:6" hidden="1" outlineLevel="1" collapsed="1" x14ac:dyDescent="0.25">
      <c r="A1264" s="321" t="s">
        <v>282</v>
      </c>
      <c r="B1264" s="321" t="s">
        <v>780</v>
      </c>
      <c r="C1264" s="293">
        <v>115666.358076</v>
      </c>
      <c r="D1264" s="293">
        <v>123271.576476</v>
      </c>
      <c r="E1264" s="293">
        <v>7605.2183999999997</v>
      </c>
      <c r="F1264" s="294" t="s">
        <v>790</v>
      </c>
    </row>
    <row r="1265" spans="1:6" hidden="1" outlineLevel="1" collapsed="1" x14ac:dyDescent="0.25">
      <c r="A1265" s="321" t="s">
        <v>282</v>
      </c>
      <c r="B1265" s="321" t="s">
        <v>464</v>
      </c>
      <c r="C1265" s="293">
        <v>34018.359501999999</v>
      </c>
      <c r="D1265" s="293">
        <v>36753.349284999997</v>
      </c>
      <c r="E1265" s="293">
        <v>2734.989783</v>
      </c>
      <c r="F1265" s="294" t="s">
        <v>795</v>
      </c>
    </row>
    <row r="1266" spans="1:6" hidden="1" outlineLevel="1" collapsed="1" x14ac:dyDescent="0.25">
      <c r="A1266" s="321" t="s">
        <v>282</v>
      </c>
      <c r="B1266" s="321" t="s">
        <v>751</v>
      </c>
      <c r="C1266" s="293">
        <v>15094.459728</v>
      </c>
      <c r="D1266" s="293">
        <v>0</v>
      </c>
      <c r="E1266" s="293">
        <v>-15094.459728</v>
      </c>
      <c r="F1266" s="294" t="s">
        <v>286</v>
      </c>
    </row>
    <row r="1267" spans="1:6" hidden="1" outlineLevel="1" collapsed="1" x14ac:dyDescent="0.25">
      <c r="A1267" s="321" t="s">
        <v>282</v>
      </c>
      <c r="B1267" s="321" t="s">
        <v>752</v>
      </c>
      <c r="C1267" s="293">
        <v>0</v>
      </c>
      <c r="D1267" s="293">
        <v>17788.088484</v>
      </c>
      <c r="E1267" s="293">
        <v>17788.088484</v>
      </c>
      <c r="F1267" s="294" t="s">
        <v>298</v>
      </c>
    </row>
    <row r="1268" spans="1:6" hidden="1" outlineLevel="1" collapsed="1" x14ac:dyDescent="0.25">
      <c r="A1268" s="321" t="s">
        <v>282</v>
      </c>
      <c r="B1268" s="321" t="s">
        <v>384</v>
      </c>
      <c r="C1268" s="293">
        <v>4214.0936240000001</v>
      </c>
      <c r="D1268" s="293">
        <v>0</v>
      </c>
      <c r="E1268" s="293">
        <v>-4214.0936240000001</v>
      </c>
      <c r="F1268" s="294" t="s">
        <v>286</v>
      </c>
    </row>
    <row r="1269" spans="1:6" hidden="1" outlineLevel="1" collapsed="1" x14ac:dyDescent="0.25">
      <c r="A1269" s="321" t="s">
        <v>282</v>
      </c>
      <c r="B1269" s="321" t="s">
        <v>385</v>
      </c>
      <c r="C1269" s="293">
        <v>0</v>
      </c>
      <c r="D1269" s="293">
        <v>5627.4014749999997</v>
      </c>
      <c r="E1269" s="293">
        <v>5627.4014749999997</v>
      </c>
      <c r="F1269" s="294" t="s">
        <v>298</v>
      </c>
    </row>
    <row r="1270" spans="1:6" hidden="1" outlineLevel="1" collapsed="1" x14ac:dyDescent="0.25">
      <c r="A1270" s="321" t="s">
        <v>282</v>
      </c>
      <c r="B1270" s="321" t="s">
        <v>386</v>
      </c>
      <c r="C1270" s="293">
        <v>2109.1382819999999</v>
      </c>
      <c r="D1270" s="293">
        <v>0</v>
      </c>
      <c r="E1270" s="293">
        <v>-2109.1382819999999</v>
      </c>
      <c r="F1270" s="294" t="s">
        <v>286</v>
      </c>
    </row>
    <row r="1271" spans="1:6" hidden="1" outlineLevel="1" collapsed="1" x14ac:dyDescent="0.25">
      <c r="A1271" s="321" t="s">
        <v>282</v>
      </c>
      <c r="B1271" s="321" t="s">
        <v>387</v>
      </c>
      <c r="C1271" s="293">
        <v>0</v>
      </c>
      <c r="D1271" s="293">
        <v>2278.7076480000001</v>
      </c>
      <c r="E1271" s="293">
        <v>2278.7076480000001</v>
      </c>
      <c r="F1271" s="294" t="s">
        <v>298</v>
      </c>
    </row>
    <row r="1272" spans="1:6" hidden="1" outlineLevel="1" collapsed="1" x14ac:dyDescent="0.25">
      <c r="A1272" s="321" t="s">
        <v>282</v>
      </c>
      <c r="B1272" s="321" t="s">
        <v>388</v>
      </c>
      <c r="C1272" s="293">
        <v>493.26620500000001</v>
      </c>
      <c r="D1272" s="293">
        <v>532.92356199999995</v>
      </c>
      <c r="E1272" s="293">
        <v>39.657356999999998</v>
      </c>
      <c r="F1272" s="294" t="s">
        <v>795</v>
      </c>
    </row>
    <row r="1273" spans="1:6" hidden="1" outlineLevel="1" collapsed="1" x14ac:dyDescent="0.25">
      <c r="A1273" s="321" t="s">
        <v>282</v>
      </c>
      <c r="B1273" s="321" t="s">
        <v>389</v>
      </c>
      <c r="C1273" s="293">
        <v>340.89983999999998</v>
      </c>
      <c r="D1273" s="293">
        <v>337.63200000000001</v>
      </c>
      <c r="E1273" s="293">
        <v>-3.2678400000000001</v>
      </c>
      <c r="F1273" s="294" t="s">
        <v>364</v>
      </c>
    </row>
    <row r="1274" spans="1:6" hidden="1" outlineLevel="1" collapsed="1" x14ac:dyDescent="0.25">
      <c r="A1274" s="321" t="s">
        <v>282</v>
      </c>
      <c r="B1274" s="321" t="s">
        <v>390</v>
      </c>
      <c r="C1274" s="293">
        <v>12388.216</v>
      </c>
      <c r="D1274" s="293">
        <v>12767.424000000001</v>
      </c>
      <c r="E1274" s="293">
        <v>379.20800000000003</v>
      </c>
      <c r="F1274" s="294" t="s">
        <v>391</v>
      </c>
    </row>
    <row r="1275" spans="1:6" hidden="1" outlineLevel="1" collapsed="1" x14ac:dyDescent="0.25">
      <c r="A1275" s="321" t="s">
        <v>282</v>
      </c>
      <c r="B1275" s="321" t="s">
        <v>392</v>
      </c>
      <c r="C1275" s="293">
        <v>186.83135999999999</v>
      </c>
      <c r="D1275" s="293">
        <v>146.304</v>
      </c>
      <c r="E1275" s="293">
        <v>-40.527360000000002</v>
      </c>
      <c r="F1275" s="294" t="s">
        <v>368</v>
      </c>
    </row>
    <row r="1276" spans="1:6" hidden="1" outlineLevel="1" collapsed="1" x14ac:dyDescent="0.25">
      <c r="A1276" s="321" t="s">
        <v>282</v>
      </c>
      <c r="B1276" s="321" t="s">
        <v>754</v>
      </c>
      <c r="C1276" s="293">
        <v>15358.56</v>
      </c>
      <c r="D1276" s="293">
        <v>15959.28</v>
      </c>
      <c r="E1276" s="293">
        <v>600.72</v>
      </c>
      <c r="F1276" s="294" t="s">
        <v>366</v>
      </c>
    </row>
    <row r="1277" spans="1:6" hidden="1" outlineLevel="1" collapsed="1" x14ac:dyDescent="0.25">
      <c r="A1277" s="321" t="s">
        <v>282</v>
      </c>
      <c r="B1277" s="321" t="s">
        <v>755</v>
      </c>
      <c r="C1277" s="293">
        <v>426.12479999999999</v>
      </c>
      <c r="D1277" s="293">
        <v>422.04</v>
      </c>
      <c r="E1277" s="293">
        <v>-4.0848000000000004</v>
      </c>
      <c r="F1277" s="294" t="s">
        <v>364</v>
      </c>
    </row>
    <row r="1278" spans="1:6" hidden="1" outlineLevel="1" collapsed="1" x14ac:dyDescent="0.25">
      <c r="A1278" s="321" t="s">
        <v>282</v>
      </c>
      <c r="B1278" s="321" t="s">
        <v>756</v>
      </c>
      <c r="C1278" s="293">
        <v>233.53919999999999</v>
      </c>
      <c r="D1278" s="293">
        <v>182.88</v>
      </c>
      <c r="E1278" s="293">
        <v>-50.659199999999998</v>
      </c>
      <c r="F1278" s="294" t="s">
        <v>368</v>
      </c>
    </row>
    <row r="1279" spans="1:6" hidden="1" outlineLevel="1" collapsed="1" x14ac:dyDescent="0.25">
      <c r="A1279" s="321" t="s">
        <v>282</v>
      </c>
      <c r="B1279" s="321" t="s">
        <v>393</v>
      </c>
      <c r="C1279" s="293">
        <v>17.009170999999998</v>
      </c>
      <c r="D1279" s="293">
        <v>18.376674000000001</v>
      </c>
      <c r="E1279" s="293">
        <v>1.3675029999999999</v>
      </c>
      <c r="F1279" s="294" t="s">
        <v>795</v>
      </c>
    </row>
    <row r="1280" spans="1:6" hidden="1" outlineLevel="1" collapsed="1" x14ac:dyDescent="0.25">
      <c r="A1280" s="321" t="s">
        <v>282</v>
      </c>
      <c r="B1280" s="321" t="s">
        <v>757</v>
      </c>
      <c r="C1280" s="293">
        <v>57.833171999999998</v>
      </c>
      <c r="D1280" s="293">
        <v>0</v>
      </c>
      <c r="E1280" s="293">
        <v>-57.833171999999998</v>
      </c>
      <c r="F1280" s="294" t="s">
        <v>286</v>
      </c>
    </row>
    <row r="1281" spans="1:6" hidden="1" outlineLevel="1" collapsed="1" x14ac:dyDescent="0.25">
      <c r="A1281" s="321" t="s">
        <v>282</v>
      </c>
      <c r="B1281" s="321" t="s">
        <v>758</v>
      </c>
      <c r="C1281" s="293">
        <v>0</v>
      </c>
      <c r="D1281" s="293">
        <v>61.635779999999997</v>
      </c>
      <c r="E1281" s="293">
        <v>61.635779999999997</v>
      </c>
      <c r="F1281" s="294" t="s">
        <v>298</v>
      </c>
    </row>
    <row r="1282" spans="1:6" hidden="1" outlineLevel="1" collapsed="1" x14ac:dyDescent="0.25">
      <c r="A1282" s="321" t="s">
        <v>282</v>
      </c>
      <c r="B1282" s="321" t="s">
        <v>394</v>
      </c>
      <c r="C1282" s="293">
        <v>1200</v>
      </c>
      <c r="D1282" s="293">
        <v>0</v>
      </c>
      <c r="E1282" s="293">
        <v>-1200</v>
      </c>
      <c r="F1282" s="294" t="s">
        <v>286</v>
      </c>
    </row>
    <row r="1283" spans="1:6" hidden="1" outlineLevel="1" collapsed="1" x14ac:dyDescent="0.25">
      <c r="A1283" s="321" t="s">
        <v>282</v>
      </c>
      <c r="B1283" s="321" t="s">
        <v>395</v>
      </c>
      <c r="C1283" s="293">
        <v>0</v>
      </c>
      <c r="D1283" s="293">
        <v>1200</v>
      </c>
      <c r="E1283" s="293">
        <v>1200</v>
      </c>
      <c r="F1283" s="294" t="s">
        <v>298</v>
      </c>
    </row>
    <row r="1284" spans="1:6" hidden="1" outlineLevel="1" collapsed="1" x14ac:dyDescent="0.25">
      <c r="A1284" s="321" t="s">
        <v>282</v>
      </c>
      <c r="B1284" s="321" t="s">
        <v>759</v>
      </c>
      <c r="C1284" s="293">
        <v>1500</v>
      </c>
      <c r="D1284" s="293">
        <v>0</v>
      </c>
      <c r="E1284" s="293">
        <v>-1500</v>
      </c>
      <c r="F1284" s="294" t="s">
        <v>286</v>
      </c>
    </row>
    <row r="1285" spans="1:6" hidden="1" outlineLevel="1" collapsed="1" x14ac:dyDescent="0.25">
      <c r="A1285" s="321" t="s">
        <v>282</v>
      </c>
      <c r="B1285" s="321" t="s">
        <v>760</v>
      </c>
      <c r="C1285" s="293">
        <v>0</v>
      </c>
      <c r="D1285" s="293">
        <v>1500</v>
      </c>
      <c r="E1285" s="293">
        <v>1500</v>
      </c>
      <c r="F1285" s="294" t="s">
        <v>298</v>
      </c>
    </row>
    <row r="1286" spans="1:6" hidden="1" outlineLevel="1" collapsed="1" x14ac:dyDescent="0.25">
      <c r="A1286" s="321" t="s">
        <v>282</v>
      </c>
      <c r="B1286" s="321" t="s">
        <v>396</v>
      </c>
      <c r="C1286" s="293">
        <v>39.744</v>
      </c>
      <c r="D1286" s="293">
        <v>0</v>
      </c>
      <c r="E1286" s="293">
        <v>-39.744</v>
      </c>
      <c r="F1286" s="294" t="s">
        <v>286</v>
      </c>
    </row>
    <row r="1287" spans="1:6" hidden="1" outlineLevel="1" collapsed="1" x14ac:dyDescent="0.25">
      <c r="A1287" s="321" t="s">
        <v>282</v>
      </c>
      <c r="B1287" s="321" t="s">
        <v>397</v>
      </c>
      <c r="C1287" s="293">
        <v>0</v>
      </c>
      <c r="D1287" s="293">
        <v>38.783999999999999</v>
      </c>
      <c r="E1287" s="293">
        <v>38.783999999999999</v>
      </c>
      <c r="F1287" s="294" t="s">
        <v>298</v>
      </c>
    </row>
    <row r="1288" spans="1:6" hidden="1" outlineLevel="1" collapsed="1" x14ac:dyDescent="0.25">
      <c r="A1288" s="321" t="s">
        <v>282</v>
      </c>
      <c r="B1288" s="321" t="s">
        <v>761</v>
      </c>
      <c r="C1288" s="293">
        <v>49.68</v>
      </c>
      <c r="D1288" s="293">
        <v>0</v>
      </c>
      <c r="E1288" s="293">
        <v>-49.68</v>
      </c>
      <c r="F1288" s="294" t="s">
        <v>286</v>
      </c>
    </row>
    <row r="1289" spans="1:6" hidden="1" outlineLevel="1" collapsed="1" x14ac:dyDescent="0.25">
      <c r="A1289" s="321" t="s">
        <v>282</v>
      </c>
      <c r="B1289" s="321" t="s">
        <v>762</v>
      </c>
      <c r="C1289" s="293">
        <v>0</v>
      </c>
      <c r="D1289" s="293">
        <v>48.48</v>
      </c>
      <c r="E1289" s="293">
        <v>48.48</v>
      </c>
      <c r="F1289" s="294" t="s">
        <v>298</v>
      </c>
    </row>
    <row r="1290" spans="1:6" hidden="1" outlineLevel="1" collapsed="1" x14ac:dyDescent="0.25">
      <c r="A1290" s="321" t="s">
        <v>282</v>
      </c>
      <c r="B1290" s="321" t="s">
        <v>398</v>
      </c>
      <c r="C1290" s="293">
        <v>19.2</v>
      </c>
      <c r="D1290" s="293">
        <v>8.8320000000000007</v>
      </c>
      <c r="E1290" s="293">
        <v>-10.368</v>
      </c>
      <c r="F1290" s="294" t="s">
        <v>374</v>
      </c>
    </row>
    <row r="1291" spans="1:6" hidden="1" outlineLevel="1" collapsed="1" x14ac:dyDescent="0.25">
      <c r="A1291" s="321" t="s">
        <v>282</v>
      </c>
      <c r="B1291" s="321" t="s">
        <v>763</v>
      </c>
      <c r="C1291" s="293">
        <v>24</v>
      </c>
      <c r="D1291" s="293">
        <v>11.04</v>
      </c>
      <c r="E1291" s="293">
        <v>-12.96</v>
      </c>
      <c r="F1291" s="294" t="s">
        <v>374</v>
      </c>
    </row>
    <row r="1292" spans="1:6" collapsed="1" x14ac:dyDescent="0.25">
      <c r="A1292" s="560" t="s">
        <v>796</v>
      </c>
      <c r="B1292" s="561"/>
      <c r="C1292" s="292">
        <v>76718.864136999997</v>
      </c>
      <c r="D1292" s="293">
        <v>83420.128565000006</v>
      </c>
      <c r="E1292" s="293">
        <v>6701.2644280000004</v>
      </c>
      <c r="F1292" s="294" t="s">
        <v>2043</v>
      </c>
    </row>
    <row r="1293" spans="1:6" hidden="1" outlineLevel="1" collapsed="1" x14ac:dyDescent="0.25">
      <c r="A1293" s="321" t="s">
        <v>282</v>
      </c>
      <c r="B1293" s="321" t="s">
        <v>464</v>
      </c>
      <c r="C1293" s="293">
        <v>41656.090915000001</v>
      </c>
      <c r="D1293" s="293">
        <v>53087.824151000001</v>
      </c>
      <c r="E1293" s="293">
        <v>11431.733236</v>
      </c>
      <c r="F1293" s="294" t="s">
        <v>798</v>
      </c>
    </row>
    <row r="1294" spans="1:6" hidden="1" outlineLevel="1" collapsed="1" x14ac:dyDescent="0.25">
      <c r="A1294" s="321" t="s">
        <v>282</v>
      </c>
      <c r="B1294" s="321" t="s">
        <v>799</v>
      </c>
      <c r="C1294" s="293">
        <v>7480</v>
      </c>
      <c r="D1294" s="293">
        <v>0</v>
      </c>
      <c r="E1294" s="293">
        <v>-7480</v>
      </c>
      <c r="F1294" s="294" t="s">
        <v>286</v>
      </c>
    </row>
    <row r="1295" spans="1:6" hidden="1" outlineLevel="1" collapsed="1" x14ac:dyDescent="0.25">
      <c r="A1295" s="321" t="s">
        <v>282</v>
      </c>
      <c r="B1295" s="321" t="s">
        <v>384</v>
      </c>
      <c r="C1295" s="293">
        <v>6080.6802360000001</v>
      </c>
      <c r="D1295" s="293">
        <v>0</v>
      </c>
      <c r="E1295" s="293">
        <v>-6080.6802360000001</v>
      </c>
      <c r="F1295" s="294" t="s">
        <v>286</v>
      </c>
    </row>
    <row r="1296" spans="1:6" hidden="1" outlineLevel="1" collapsed="1" x14ac:dyDescent="0.25">
      <c r="A1296" s="321" t="s">
        <v>282</v>
      </c>
      <c r="B1296" s="321" t="s">
        <v>385</v>
      </c>
      <c r="C1296" s="293">
        <v>0</v>
      </c>
      <c r="D1296" s="293">
        <v>8120.8219680000002</v>
      </c>
      <c r="E1296" s="293">
        <v>8120.8219680000002</v>
      </c>
      <c r="F1296" s="294" t="s">
        <v>298</v>
      </c>
    </row>
    <row r="1297" spans="1:6" hidden="1" outlineLevel="1" collapsed="1" x14ac:dyDescent="0.25">
      <c r="A1297" s="321" t="s">
        <v>282</v>
      </c>
      <c r="B1297" s="321" t="s">
        <v>386</v>
      </c>
      <c r="C1297" s="293">
        <v>3046.437633</v>
      </c>
      <c r="D1297" s="293">
        <v>0</v>
      </c>
      <c r="E1297" s="293">
        <v>-3046.437633</v>
      </c>
      <c r="F1297" s="294" t="s">
        <v>286</v>
      </c>
    </row>
    <row r="1298" spans="1:6" hidden="1" outlineLevel="1" collapsed="1" x14ac:dyDescent="0.25">
      <c r="A1298" s="321" t="s">
        <v>282</v>
      </c>
      <c r="B1298" s="321" t="s">
        <v>387</v>
      </c>
      <c r="C1298" s="293">
        <v>0</v>
      </c>
      <c r="D1298" s="293">
        <v>3291.445095</v>
      </c>
      <c r="E1298" s="293">
        <v>3291.445095</v>
      </c>
      <c r="F1298" s="294" t="s">
        <v>298</v>
      </c>
    </row>
    <row r="1299" spans="1:6" hidden="1" outlineLevel="1" collapsed="1" x14ac:dyDescent="0.25">
      <c r="A1299" s="321" t="s">
        <v>282</v>
      </c>
      <c r="B1299" s="321" t="s">
        <v>388</v>
      </c>
      <c r="C1299" s="293">
        <v>712.47331199999996</v>
      </c>
      <c r="D1299" s="293">
        <v>769.77344100000005</v>
      </c>
      <c r="E1299" s="293">
        <v>57.300128999999998</v>
      </c>
      <c r="F1299" s="294" t="s">
        <v>795</v>
      </c>
    </row>
    <row r="1300" spans="1:6" hidden="1" outlineLevel="1" collapsed="1" x14ac:dyDescent="0.25">
      <c r="A1300" s="321" t="s">
        <v>282</v>
      </c>
      <c r="B1300" s="321" t="s">
        <v>444</v>
      </c>
      <c r="C1300" s="293">
        <v>828</v>
      </c>
      <c r="D1300" s="293">
        <v>0</v>
      </c>
      <c r="E1300" s="293">
        <v>-828</v>
      </c>
      <c r="F1300" s="294" t="s">
        <v>286</v>
      </c>
    </row>
    <row r="1301" spans="1:6" hidden="1" outlineLevel="1" collapsed="1" x14ac:dyDescent="0.25">
      <c r="A1301" s="321" t="s">
        <v>282</v>
      </c>
      <c r="B1301" s="321" t="s">
        <v>389</v>
      </c>
      <c r="C1301" s="293">
        <v>426.12479999999999</v>
      </c>
      <c r="D1301" s="293">
        <v>422.04</v>
      </c>
      <c r="E1301" s="293">
        <v>-4.0848000000000004</v>
      </c>
      <c r="F1301" s="294" t="s">
        <v>364</v>
      </c>
    </row>
    <row r="1302" spans="1:6" hidden="1" outlineLevel="1" collapsed="1" x14ac:dyDescent="0.25">
      <c r="A1302" s="321" t="s">
        <v>282</v>
      </c>
      <c r="B1302" s="321" t="s">
        <v>390</v>
      </c>
      <c r="C1302" s="293">
        <v>14657.27</v>
      </c>
      <c r="D1302" s="293">
        <v>15959.28</v>
      </c>
      <c r="E1302" s="293">
        <v>1302.01</v>
      </c>
      <c r="F1302" s="294" t="s">
        <v>800</v>
      </c>
    </row>
    <row r="1303" spans="1:6" hidden="1" outlineLevel="1" collapsed="1" x14ac:dyDescent="0.25">
      <c r="A1303" s="321" t="s">
        <v>282</v>
      </c>
      <c r="B1303" s="321" t="s">
        <v>392</v>
      </c>
      <c r="C1303" s="293">
        <v>233.53919999999999</v>
      </c>
      <c r="D1303" s="293">
        <v>182.88</v>
      </c>
      <c r="E1303" s="293">
        <v>-50.659199999999998</v>
      </c>
      <c r="F1303" s="294" t="s">
        <v>368</v>
      </c>
    </row>
    <row r="1304" spans="1:6" hidden="1" outlineLevel="1" collapsed="1" x14ac:dyDescent="0.25">
      <c r="A1304" s="321" t="s">
        <v>282</v>
      </c>
      <c r="B1304" s="321" t="s">
        <v>393</v>
      </c>
      <c r="C1304" s="293">
        <v>24.568041000000001</v>
      </c>
      <c r="D1304" s="293">
        <v>26.54391</v>
      </c>
      <c r="E1304" s="293">
        <v>1.9758690000000001</v>
      </c>
      <c r="F1304" s="294" t="s">
        <v>795</v>
      </c>
    </row>
    <row r="1305" spans="1:6" hidden="1" outlineLevel="1" collapsed="1" x14ac:dyDescent="0.25">
      <c r="A1305" s="321" t="s">
        <v>282</v>
      </c>
      <c r="B1305" s="321" t="s">
        <v>394</v>
      </c>
      <c r="C1305" s="293">
        <v>1500</v>
      </c>
      <c r="D1305" s="293">
        <v>0</v>
      </c>
      <c r="E1305" s="293">
        <v>-1500</v>
      </c>
      <c r="F1305" s="294" t="s">
        <v>286</v>
      </c>
    </row>
    <row r="1306" spans="1:6" hidden="1" outlineLevel="1" collapsed="1" x14ac:dyDescent="0.25">
      <c r="A1306" s="321" t="s">
        <v>282</v>
      </c>
      <c r="B1306" s="321" t="s">
        <v>395</v>
      </c>
      <c r="C1306" s="293">
        <v>0</v>
      </c>
      <c r="D1306" s="293">
        <v>1500</v>
      </c>
      <c r="E1306" s="293">
        <v>1500</v>
      </c>
      <c r="F1306" s="294" t="s">
        <v>298</v>
      </c>
    </row>
    <row r="1307" spans="1:6" hidden="1" outlineLevel="1" collapsed="1" x14ac:dyDescent="0.25">
      <c r="A1307" s="321" t="s">
        <v>282</v>
      </c>
      <c r="B1307" s="321" t="s">
        <v>396</v>
      </c>
      <c r="C1307" s="293">
        <v>49.68</v>
      </c>
      <c r="D1307" s="293">
        <v>0</v>
      </c>
      <c r="E1307" s="293">
        <v>-49.68</v>
      </c>
      <c r="F1307" s="294" t="s">
        <v>286</v>
      </c>
    </row>
    <row r="1308" spans="1:6" hidden="1" outlineLevel="1" collapsed="1" x14ac:dyDescent="0.25">
      <c r="A1308" s="321" t="s">
        <v>282</v>
      </c>
      <c r="B1308" s="321" t="s">
        <v>397</v>
      </c>
      <c r="C1308" s="293">
        <v>0</v>
      </c>
      <c r="D1308" s="293">
        <v>48.48</v>
      </c>
      <c r="E1308" s="293">
        <v>48.48</v>
      </c>
      <c r="F1308" s="294" t="s">
        <v>298</v>
      </c>
    </row>
    <row r="1309" spans="1:6" hidden="1" outlineLevel="1" collapsed="1" x14ac:dyDescent="0.25">
      <c r="A1309" s="321" t="s">
        <v>282</v>
      </c>
      <c r="B1309" s="321" t="s">
        <v>398</v>
      </c>
      <c r="C1309" s="293">
        <v>24</v>
      </c>
      <c r="D1309" s="293">
        <v>11.04</v>
      </c>
      <c r="E1309" s="293">
        <v>-12.96</v>
      </c>
      <c r="F1309" s="294" t="s">
        <v>374</v>
      </c>
    </row>
    <row r="1310" spans="1:6" collapsed="1" x14ac:dyDescent="0.25">
      <c r="A1310" s="560" t="s">
        <v>801</v>
      </c>
      <c r="B1310" s="561"/>
      <c r="C1310" s="292">
        <v>13756.689496000001</v>
      </c>
      <c r="D1310" s="293">
        <v>14927.433660000001</v>
      </c>
      <c r="E1310" s="293">
        <v>1170.744164</v>
      </c>
      <c r="F1310" s="294" t="s">
        <v>1071</v>
      </c>
    </row>
    <row r="1311" spans="1:6" hidden="1" outlineLevel="1" collapsed="1" x14ac:dyDescent="0.25">
      <c r="A1311" s="321" t="s">
        <v>282</v>
      </c>
      <c r="B1311" s="321" t="s">
        <v>464</v>
      </c>
      <c r="C1311" s="293">
        <v>8504.589876</v>
      </c>
      <c r="D1311" s="293">
        <v>9188.3373210000009</v>
      </c>
      <c r="E1311" s="293">
        <v>683.74744499999997</v>
      </c>
      <c r="F1311" s="294" t="s">
        <v>795</v>
      </c>
    </row>
    <row r="1312" spans="1:6" hidden="1" outlineLevel="1" collapsed="1" x14ac:dyDescent="0.25">
      <c r="A1312" s="321" t="s">
        <v>282</v>
      </c>
      <c r="B1312" s="321" t="s">
        <v>384</v>
      </c>
      <c r="C1312" s="293">
        <v>1053.523406</v>
      </c>
      <c r="D1312" s="293">
        <v>0</v>
      </c>
      <c r="E1312" s="293">
        <v>-1053.523406</v>
      </c>
      <c r="F1312" s="294" t="s">
        <v>286</v>
      </c>
    </row>
    <row r="1313" spans="1:6" hidden="1" outlineLevel="1" collapsed="1" x14ac:dyDescent="0.25">
      <c r="A1313" s="321" t="s">
        <v>282</v>
      </c>
      <c r="B1313" s="321" t="s">
        <v>385</v>
      </c>
      <c r="C1313" s="293">
        <v>0</v>
      </c>
      <c r="D1313" s="293">
        <v>1406.850369</v>
      </c>
      <c r="E1313" s="293">
        <v>1406.850369</v>
      </c>
      <c r="F1313" s="294" t="s">
        <v>298</v>
      </c>
    </row>
    <row r="1314" spans="1:6" hidden="1" outlineLevel="1" collapsed="1" x14ac:dyDescent="0.25">
      <c r="A1314" s="321" t="s">
        <v>282</v>
      </c>
      <c r="B1314" s="321" t="s">
        <v>386</v>
      </c>
      <c r="C1314" s="293">
        <v>527.28457000000003</v>
      </c>
      <c r="D1314" s="293">
        <v>0</v>
      </c>
      <c r="E1314" s="293">
        <v>-527.28457000000003</v>
      </c>
      <c r="F1314" s="294" t="s">
        <v>286</v>
      </c>
    </row>
    <row r="1315" spans="1:6" hidden="1" outlineLevel="1" collapsed="1" x14ac:dyDescent="0.25">
      <c r="A1315" s="321" t="s">
        <v>282</v>
      </c>
      <c r="B1315" s="321" t="s">
        <v>387</v>
      </c>
      <c r="C1315" s="293">
        <v>0</v>
      </c>
      <c r="D1315" s="293">
        <v>569.67691200000002</v>
      </c>
      <c r="E1315" s="293">
        <v>569.67691200000002</v>
      </c>
      <c r="F1315" s="294" t="s">
        <v>298</v>
      </c>
    </row>
    <row r="1316" spans="1:6" hidden="1" outlineLevel="1" collapsed="1" x14ac:dyDescent="0.25">
      <c r="A1316" s="321" t="s">
        <v>282</v>
      </c>
      <c r="B1316" s="321" t="s">
        <v>388</v>
      </c>
      <c r="C1316" s="293">
        <v>123.316551</v>
      </c>
      <c r="D1316" s="293">
        <v>133.23088999999999</v>
      </c>
      <c r="E1316" s="293">
        <v>9.914339</v>
      </c>
      <c r="F1316" s="294" t="s">
        <v>795</v>
      </c>
    </row>
    <row r="1317" spans="1:6" hidden="1" outlineLevel="1" collapsed="1" x14ac:dyDescent="0.25">
      <c r="A1317" s="321" t="s">
        <v>282</v>
      </c>
      <c r="B1317" s="321" t="s">
        <v>389</v>
      </c>
      <c r="C1317" s="293">
        <v>85.224959999999996</v>
      </c>
      <c r="D1317" s="293">
        <v>84.408000000000001</v>
      </c>
      <c r="E1317" s="293">
        <v>-0.81696000000000002</v>
      </c>
      <c r="F1317" s="294" t="s">
        <v>364</v>
      </c>
    </row>
    <row r="1318" spans="1:6" hidden="1" outlineLevel="1" collapsed="1" x14ac:dyDescent="0.25">
      <c r="A1318" s="321" t="s">
        <v>282</v>
      </c>
      <c r="B1318" s="321" t="s">
        <v>390</v>
      </c>
      <c r="C1318" s="293">
        <v>3097.0540000000001</v>
      </c>
      <c r="D1318" s="293">
        <v>3191.8560000000002</v>
      </c>
      <c r="E1318" s="293">
        <v>94.802000000000007</v>
      </c>
      <c r="F1318" s="294" t="s">
        <v>391</v>
      </c>
    </row>
    <row r="1319" spans="1:6" hidden="1" outlineLevel="1" collapsed="1" x14ac:dyDescent="0.25">
      <c r="A1319" s="321" t="s">
        <v>282</v>
      </c>
      <c r="B1319" s="321" t="s">
        <v>392</v>
      </c>
      <c r="C1319" s="293">
        <v>46.707839999999997</v>
      </c>
      <c r="D1319" s="293">
        <v>36.576000000000001</v>
      </c>
      <c r="E1319" s="293">
        <v>-10.13184</v>
      </c>
      <c r="F1319" s="294" t="s">
        <v>368</v>
      </c>
    </row>
    <row r="1320" spans="1:6" hidden="1" outlineLevel="1" collapsed="1" x14ac:dyDescent="0.25">
      <c r="A1320" s="321" t="s">
        <v>282</v>
      </c>
      <c r="B1320" s="321" t="s">
        <v>393</v>
      </c>
      <c r="C1320" s="293">
        <v>4.2522929999999999</v>
      </c>
      <c r="D1320" s="293">
        <v>4.5941679999999998</v>
      </c>
      <c r="E1320" s="293">
        <v>0.34187499999999998</v>
      </c>
      <c r="F1320" s="294" t="s">
        <v>795</v>
      </c>
    </row>
    <row r="1321" spans="1:6" hidden="1" outlineLevel="1" collapsed="1" x14ac:dyDescent="0.25">
      <c r="A1321" s="321" t="s">
        <v>282</v>
      </c>
      <c r="B1321" s="321" t="s">
        <v>394</v>
      </c>
      <c r="C1321" s="293">
        <v>300</v>
      </c>
      <c r="D1321" s="293">
        <v>0</v>
      </c>
      <c r="E1321" s="293">
        <v>-300</v>
      </c>
      <c r="F1321" s="294" t="s">
        <v>286</v>
      </c>
    </row>
    <row r="1322" spans="1:6" hidden="1" outlineLevel="1" collapsed="1" x14ac:dyDescent="0.25">
      <c r="A1322" s="321" t="s">
        <v>282</v>
      </c>
      <c r="B1322" s="321" t="s">
        <v>395</v>
      </c>
      <c r="C1322" s="293">
        <v>0</v>
      </c>
      <c r="D1322" s="293">
        <v>300</v>
      </c>
      <c r="E1322" s="293">
        <v>300</v>
      </c>
      <c r="F1322" s="294" t="s">
        <v>298</v>
      </c>
    </row>
    <row r="1323" spans="1:6" hidden="1" outlineLevel="1" collapsed="1" x14ac:dyDescent="0.25">
      <c r="A1323" s="321" t="s">
        <v>282</v>
      </c>
      <c r="B1323" s="321" t="s">
        <v>396</v>
      </c>
      <c r="C1323" s="293">
        <v>9.9359999999999999</v>
      </c>
      <c r="D1323" s="293">
        <v>0</v>
      </c>
      <c r="E1323" s="293">
        <v>-9.9359999999999999</v>
      </c>
      <c r="F1323" s="294" t="s">
        <v>286</v>
      </c>
    </row>
    <row r="1324" spans="1:6" hidden="1" outlineLevel="1" collapsed="1" x14ac:dyDescent="0.25">
      <c r="A1324" s="321" t="s">
        <v>282</v>
      </c>
      <c r="B1324" s="321" t="s">
        <v>397</v>
      </c>
      <c r="C1324" s="293">
        <v>0</v>
      </c>
      <c r="D1324" s="293">
        <v>9.6959999999999997</v>
      </c>
      <c r="E1324" s="293">
        <v>9.6959999999999997</v>
      </c>
      <c r="F1324" s="294" t="s">
        <v>298</v>
      </c>
    </row>
    <row r="1325" spans="1:6" hidden="1" outlineLevel="1" collapsed="1" x14ac:dyDescent="0.25">
      <c r="A1325" s="321" t="s">
        <v>282</v>
      </c>
      <c r="B1325" s="321" t="s">
        <v>398</v>
      </c>
      <c r="C1325" s="293">
        <v>4.8</v>
      </c>
      <c r="D1325" s="293">
        <v>2.2080000000000002</v>
      </c>
      <c r="E1325" s="293">
        <v>-2.5920000000000001</v>
      </c>
      <c r="F1325" s="294" t="s">
        <v>374</v>
      </c>
    </row>
    <row r="1326" spans="1:6" collapsed="1" x14ac:dyDescent="0.25">
      <c r="A1326" s="560" t="s">
        <v>803</v>
      </c>
      <c r="B1326" s="561"/>
      <c r="C1326" s="292">
        <v>264377.98461099999</v>
      </c>
      <c r="D1326" s="293">
        <v>265238.22137599997</v>
      </c>
      <c r="E1326" s="293">
        <v>860.23676499999999</v>
      </c>
      <c r="F1326" s="294" t="s">
        <v>2044</v>
      </c>
    </row>
    <row r="1327" spans="1:6" hidden="1" outlineLevel="1" collapsed="1" x14ac:dyDescent="0.25">
      <c r="A1327" s="321" t="s">
        <v>282</v>
      </c>
      <c r="B1327" s="321" t="s">
        <v>780</v>
      </c>
      <c r="C1327" s="293">
        <v>121449.829272</v>
      </c>
      <c r="D1327" s="293">
        <v>129435.404796</v>
      </c>
      <c r="E1327" s="293">
        <v>7985.5755239999999</v>
      </c>
      <c r="F1327" s="294" t="s">
        <v>790</v>
      </c>
    </row>
    <row r="1328" spans="1:6" hidden="1" outlineLevel="1" collapsed="1" x14ac:dyDescent="0.25">
      <c r="A1328" s="321" t="s">
        <v>282</v>
      </c>
      <c r="B1328" s="321" t="s">
        <v>464</v>
      </c>
      <c r="C1328" s="293">
        <v>52920.236151999998</v>
      </c>
      <c r="D1328" s="293">
        <v>54472.785592</v>
      </c>
      <c r="E1328" s="293">
        <v>1552.54944</v>
      </c>
      <c r="F1328" s="294" t="s">
        <v>805</v>
      </c>
    </row>
    <row r="1329" spans="1:6" hidden="1" outlineLevel="1" collapsed="1" x14ac:dyDescent="0.25">
      <c r="A1329" s="321" t="s">
        <v>282</v>
      </c>
      <c r="B1329" s="321" t="s">
        <v>475</v>
      </c>
      <c r="C1329" s="293">
        <v>601.34</v>
      </c>
      <c r="D1329" s="293">
        <v>108</v>
      </c>
      <c r="E1329" s="293">
        <v>-493.34</v>
      </c>
      <c r="F1329" s="294" t="s">
        <v>806</v>
      </c>
    </row>
    <row r="1330" spans="1:6" hidden="1" outlineLevel="1" collapsed="1" x14ac:dyDescent="0.25">
      <c r="A1330" s="321" t="s">
        <v>282</v>
      </c>
      <c r="B1330" s="321" t="s">
        <v>425</v>
      </c>
      <c r="C1330" s="293">
        <v>1057.1600000000001</v>
      </c>
      <c r="D1330" s="293">
        <v>1836</v>
      </c>
      <c r="E1330" s="293">
        <v>778.84</v>
      </c>
      <c r="F1330" s="294" t="s">
        <v>807</v>
      </c>
    </row>
    <row r="1331" spans="1:6" hidden="1" outlineLevel="1" collapsed="1" x14ac:dyDescent="0.25">
      <c r="A1331" s="321" t="s">
        <v>282</v>
      </c>
      <c r="B1331" s="321" t="s">
        <v>488</v>
      </c>
      <c r="C1331" s="293">
        <v>15800</v>
      </c>
      <c r="D1331" s="293">
        <v>0</v>
      </c>
      <c r="E1331" s="293">
        <v>-15800</v>
      </c>
      <c r="F1331" s="294" t="s">
        <v>286</v>
      </c>
    </row>
    <row r="1332" spans="1:6" hidden="1" outlineLevel="1" collapsed="1" x14ac:dyDescent="0.25">
      <c r="A1332" s="321" t="s">
        <v>282</v>
      </c>
      <c r="B1332" s="321" t="s">
        <v>384</v>
      </c>
      <c r="C1332" s="293">
        <v>21740.286179999999</v>
      </c>
      <c r="D1332" s="293">
        <v>0</v>
      </c>
      <c r="E1332" s="293">
        <v>-21740.286179999999</v>
      </c>
      <c r="F1332" s="294" t="s">
        <v>286</v>
      </c>
    </row>
    <row r="1333" spans="1:6" hidden="1" outlineLevel="1" collapsed="1" x14ac:dyDescent="0.25">
      <c r="A1333" s="321" t="s">
        <v>282</v>
      </c>
      <c r="B1333" s="321" t="s">
        <v>385</v>
      </c>
      <c r="C1333" s="293">
        <v>0</v>
      </c>
      <c r="D1333" s="293">
        <v>28321.460363999999</v>
      </c>
      <c r="E1333" s="293">
        <v>28321.460363999999</v>
      </c>
      <c r="F1333" s="294" t="s">
        <v>298</v>
      </c>
    </row>
    <row r="1334" spans="1:6" hidden="1" outlineLevel="1" collapsed="1" x14ac:dyDescent="0.25">
      <c r="A1334" s="321" t="s">
        <v>282</v>
      </c>
      <c r="B1334" s="321" t="s">
        <v>386</v>
      </c>
      <c r="C1334" s="293">
        <v>3281.054639</v>
      </c>
      <c r="D1334" s="293">
        <v>0</v>
      </c>
      <c r="E1334" s="293">
        <v>-3281.054639</v>
      </c>
      <c r="F1334" s="294" t="s">
        <v>286</v>
      </c>
    </row>
    <row r="1335" spans="1:6" hidden="1" outlineLevel="1" collapsed="1" x14ac:dyDescent="0.25">
      <c r="A1335" s="321" t="s">
        <v>282</v>
      </c>
      <c r="B1335" s="321" t="s">
        <v>387</v>
      </c>
      <c r="C1335" s="293">
        <v>0</v>
      </c>
      <c r="D1335" s="293">
        <v>3377.3126999999999</v>
      </c>
      <c r="E1335" s="293">
        <v>3377.3126999999999</v>
      </c>
      <c r="F1335" s="294" t="s">
        <v>298</v>
      </c>
    </row>
    <row r="1336" spans="1:6" hidden="1" outlineLevel="1" collapsed="1" x14ac:dyDescent="0.25">
      <c r="A1336" s="321" t="s">
        <v>282</v>
      </c>
      <c r="B1336" s="321" t="s">
        <v>753</v>
      </c>
      <c r="C1336" s="293">
        <v>7567.0894079999998</v>
      </c>
      <c r="D1336" s="293">
        <v>8062.1950919999999</v>
      </c>
      <c r="E1336" s="293">
        <v>495.105684</v>
      </c>
      <c r="F1336" s="294" t="s">
        <v>808</v>
      </c>
    </row>
    <row r="1337" spans="1:6" hidden="1" outlineLevel="1" collapsed="1" x14ac:dyDescent="0.25">
      <c r="A1337" s="321" t="s">
        <v>282</v>
      </c>
      <c r="B1337" s="321" t="s">
        <v>388</v>
      </c>
      <c r="C1337" s="293">
        <v>2537.0659439999999</v>
      </c>
      <c r="D1337" s="293">
        <v>2675.3687519999999</v>
      </c>
      <c r="E1337" s="293">
        <v>138.302808</v>
      </c>
      <c r="F1337" s="294" t="s">
        <v>809</v>
      </c>
    </row>
    <row r="1338" spans="1:6" hidden="1" outlineLevel="1" collapsed="1" x14ac:dyDescent="0.25">
      <c r="A1338" s="321" t="s">
        <v>282</v>
      </c>
      <c r="B1338" s="321" t="s">
        <v>444</v>
      </c>
      <c r="C1338" s="293">
        <v>1425.92</v>
      </c>
      <c r="D1338" s="293">
        <v>10</v>
      </c>
      <c r="E1338" s="293">
        <v>-1415.92</v>
      </c>
      <c r="F1338" s="294" t="s">
        <v>810</v>
      </c>
    </row>
    <row r="1339" spans="1:6" hidden="1" outlineLevel="1" collapsed="1" x14ac:dyDescent="0.25">
      <c r="A1339" s="321" t="s">
        <v>282</v>
      </c>
      <c r="B1339" s="321" t="s">
        <v>389</v>
      </c>
      <c r="C1339" s="293">
        <v>426.12479999999999</v>
      </c>
      <c r="D1339" s="293">
        <v>422.04</v>
      </c>
      <c r="E1339" s="293">
        <v>-4.0848000000000004</v>
      </c>
      <c r="F1339" s="294" t="s">
        <v>364</v>
      </c>
    </row>
    <row r="1340" spans="1:6" hidden="1" outlineLevel="1" collapsed="1" x14ac:dyDescent="0.25">
      <c r="A1340" s="321" t="s">
        <v>282</v>
      </c>
      <c r="B1340" s="321" t="s">
        <v>390</v>
      </c>
      <c r="C1340" s="293">
        <v>15485.27</v>
      </c>
      <c r="D1340" s="293">
        <v>15959.28</v>
      </c>
      <c r="E1340" s="293">
        <v>474.01</v>
      </c>
      <c r="F1340" s="294" t="s">
        <v>391</v>
      </c>
    </row>
    <row r="1341" spans="1:6" hidden="1" outlineLevel="1" collapsed="1" x14ac:dyDescent="0.25">
      <c r="A1341" s="321" t="s">
        <v>282</v>
      </c>
      <c r="B1341" s="321" t="s">
        <v>392</v>
      </c>
      <c r="C1341" s="293">
        <v>233.53919999999999</v>
      </c>
      <c r="D1341" s="293">
        <v>182.88</v>
      </c>
      <c r="E1341" s="293">
        <v>-50.659199999999998</v>
      </c>
      <c r="F1341" s="294" t="s">
        <v>368</v>
      </c>
    </row>
    <row r="1342" spans="1:6" hidden="1" outlineLevel="1" collapsed="1" x14ac:dyDescent="0.25">
      <c r="A1342" s="321" t="s">
        <v>282</v>
      </c>
      <c r="B1342" s="321" t="s">
        <v>754</v>
      </c>
      <c r="C1342" s="293">
        <v>15358.56</v>
      </c>
      <c r="D1342" s="293">
        <v>15959.28</v>
      </c>
      <c r="E1342" s="293">
        <v>600.72</v>
      </c>
      <c r="F1342" s="294" t="s">
        <v>366</v>
      </c>
    </row>
    <row r="1343" spans="1:6" hidden="1" outlineLevel="1" collapsed="1" x14ac:dyDescent="0.25">
      <c r="A1343" s="321" t="s">
        <v>282</v>
      </c>
      <c r="B1343" s="321" t="s">
        <v>755</v>
      </c>
      <c r="C1343" s="293">
        <v>426.12479999999999</v>
      </c>
      <c r="D1343" s="293">
        <v>422.04</v>
      </c>
      <c r="E1343" s="293">
        <v>-4.0848000000000004</v>
      </c>
      <c r="F1343" s="294" t="s">
        <v>364</v>
      </c>
    </row>
    <row r="1344" spans="1:6" hidden="1" outlineLevel="1" collapsed="1" x14ac:dyDescent="0.25">
      <c r="A1344" s="321" t="s">
        <v>282</v>
      </c>
      <c r="B1344" s="321" t="s">
        <v>756</v>
      </c>
      <c r="C1344" s="293">
        <v>233.53919999999999</v>
      </c>
      <c r="D1344" s="293">
        <v>182.88</v>
      </c>
      <c r="E1344" s="293">
        <v>-50.659199999999998</v>
      </c>
      <c r="F1344" s="294" t="s">
        <v>368</v>
      </c>
    </row>
    <row r="1345" spans="1:6" hidden="1" outlineLevel="1" collapsed="1" x14ac:dyDescent="0.25">
      <c r="A1345" s="321" t="s">
        <v>282</v>
      </c>
      <c r="B1345" s="321" t="s">
        <v>393</v>
      </c>
      <c r="C1345" s="293">
        <v>26.460108000000002</v>
      </c>
      <c r="D1345" s="293">
        <v>27.236388000000002</v>
      </c>
      <c r="E1345" s="293">
        <v>0.77627999999999997</v>
      </c>
      <c r="F1345" s="294" t="s">
        <v>805</v>
      </c>
    </row>
    <row r="1346" spans="1:6" hidden="1" outlineLevel="1" collapsed="1" x14ac:dyDescent="0.25">
      <c r="A1346" s="321" t="s">
        <v>282</v>
      </c>
      <c r="B1346" s="321" t="s">
        <v>757</v>
      </c>
      <c r="C1346" s="293">
        <v>61.024908000000003</v>
      </c>
      <c r="D1346" s="293">
        <v>0</v>
      </c>
      <c r="E1346" s="293">
        <v>-61.024908000000003</v>
      </c>
      <c r="F1346" s="294" t="s">
        <v>286</v>
      </c>
    </row>
    <row r="1347" spans="1:6" hidden="1" outlineLevel="1" collapsed="1" x14ac:dyDescent="0.25">
      <c r="A1347" s="321" t="s">
        <v>282</v>
      </c>
      <c r="B1347" s="321" t="s">
        <v>758</v>
      </c>
      <c r="C1347" s="293">
        <v>0</v>
      </c>
      <c r="D1347" s="293">
        <v>65.017691999999997</v>
      </c>
      <c r="E1347" s="293">
        <v>65.017691999999997</v>
      </c>
      <c r="F1347" s="294" t="s">
        <v>298</v>
      </c>
    </row>
    <row r="1348" spans="1:6" hidden="1" outlineLevel="1" collapsed="1" x14ac:dyDescent="0.25">
      <c r="A1348" s="321" t="s">
        <v>282</v>
      </c>
      <c r="B1348" s="321" t="s">
        <v>394</v>
      </c>
      <c r="C1348" s="293">
        <v>1500</v>
      </c>
      <c r="D1348" s="293">
        <v>0</v>
      </c>
      <c r="E1348" s="293">
        <v>-1500</v>
      </c>
      <c r="F1348" s="294" t="s">
        <v>286</v>
      </c>
    </row>
    <row r="1349" spans="1:6" hidden="1" outlineLevel="1" collapsed="1" x14ac:dyDescent="0.25">
      <c r="A1349" s="321" t="s">
        <v>282</v>
      </c>
      <c r="B1349" s="321" t="s">
        <v>395</v>
      </c>
      <c r="C1349" s="293">
        <v>0</v>
      </c>
      <c r="D1349" s="293">
        <v>1500</v>
      </c>
      <c r="E1349" s="293">
        <v>1500</v>
      </c>
      <c r="F1349" s="294" t="s">
        <v>298</v>
      </c>
    </row>
    <row r="1350" spans="1:6" hidden="1" outlineLevel="1" collapsed="1" x14ac:dyDescent="0.25">
      <c r="A1350" s="321" t="s">
        <v>282</v>
      </c>
      <c r="B1350" s="321" t="s">
        <v>759</v>
      </c>
      <c r="C1350" s="293">
        <v>1500</v>
      </c>
      <c r="D1350" s="293">
        <v>0</v>
      </c>
      <c r="E1350" s="293">
        <v>-1500</v>
      </c>
      <c r="F1350" s="294" t="s">
        <v>286</v>
      </c>
    </row>
    <row r="1351" spans="1:6" hidden="1" outlineLevel="1" collapsed="1" x14ac:dyDescent="0.25">
      <c r="A1351" s="321" t="s">
        <v>282</v>
      </c>
      <c r="B1351" s="321" t="s">
        <v>760</v>
      </c>
      <c r="C1351" s="293">
        <v>0</v>
      </c>
      <c r="D1351" s="293">
        <v>1500</v>
      </c>
      <c r="E1351" s="293">
        <v>1500</v>
      </c>
      <c r="F1351" s="294" t="s">
        <v>298</v>
      </c>
    </row>
    <row r="1352" spans="1:6" hidden="1" outlineLevel="1" collapsed="1" x14ac:dyDescent="0.25">
      <c r="A1352" s="321" t="s">
        <v>282</v>
      </c>
      <c r="B1352" s="321" t="s">
        <v>396</v>
      </c>
      <c r="C1352" s="293">
        <v>49.68</v>
      </c>
      <c r="D1352" s="293">
        <v>0</v>
      </c>
      <c r="E1352" s="293">
        <v>-49.68</v>
      </c>
      <c r="F1352" s="294" t="s">
        <v>286</v>
      </c>
    </row>
    <row r="1353" spans="1:6" hidden="1" outlineLevel="1" collapsed="1" x14ac:dyDescent="0.25">
      <c r="A1353" s="321" t="s">
        <v>282</v>
      </c>
      <c r="B1353" s="321" t="s">
        <v>397</v>
      </c>
      <c r="C1353" s="293">
        <v>0</v>
      </c>
      <c r="D1353" s="293">
        <v>48.48</v>
      </c>
      <c r="E1353" s="293">
        <v>48.48</v>
      </c>
      <c r="F1353" s="294" t="s">
        <v>298</v>
      </c>
    </row>
    <row r="1354" spans="1:6" hidden="1" outlineLevel="1" collapsed="1" x14ac:dyDescent="0.25">
      <c r="A1354" s="321" t="s">
        <v>282</v>
      </c>
      <c r="B1354" s="321" t="s">
        <v>761</v>
      </c>
      <c r="C1354" s="293">
        <v>49.68</v>
      </c>
      <c r="D1354" s="293">
        <v>0</v>
      </c>
      <c r="E1354" s="293">
        <v>-49.68</v>
      </c>
      <c r="F1354" s="294" t="s">
        <v>286</v>
      </c>
    </row>
    <row r="1355" spans="1:6" hidden="1" outlineLevel="1" collapsed="1" x14ac:dyDescent="0.25">
      <c r="A1355" s="321" t="s">
        <v>282</v>
      </c>
      <c r="B1355" s="321" t="s">
        <v>762</v>
      </c>
      <c r="C1355" s="293">
        <v>0</v>
      </c>
      <c r="D1355" s="293">
        <v>48.48</v>
      </c>
      <c r="E1355" s="293">
        <v>48.48</v>
      </c>
      <c r="F1355" s="294" t="s">
        <v>298</v>
      </c>
    </row>
    <row r="1356" spans="1:6" hidden="1" outlineLevel="1" collapsed="1" x14ac:dyDescent="0.25">
      <c r="A1356" s="321" t="s">
        <v>282</v>
      </c>
      <c r="B1356" s="321" t="s">
        <v>398</v>
      </c>
      <c r="C1356" s="293">
        <v>24</v>
      </c>
      <c r="D1356" s="293">
        <v>11.04</v>
      </c>
      <c r="E1356" s="293">
        <v>-12.96</v>
      </c>
      <c r="F1356" s="294" t="s">
        <v>374</v>
      </c>
    </row>
    <row r="1357" spans="1:6" hidden="1" outlineLevel="1" collapsed="1" x14ac:dyDescent="0.25">
      <c r="A1357" s="321" t="s">
        <v>282</v>
      </c>
      <c r="B1357" s="321" t="s">
        <v>763</v>
      </c>
      <c r="C1357" s="293">
        <v>24</v>
      </c>
      <c r="D1357" s="293">
        <v>11.04</v>
      </c>
      <c r="E1357" s="293">
        <v>-12.96</v>
      </c>
      <c r="F1357" s="294" t="s">
        <v>374</v>
      </c>
    </row>
    <row r="1358" spans="1:6" hidden="1" outlineLevel="1" collapsed="1" x14ac:dyDescent="0.25">
      <c r="A1358" s="321" t="s">
        <v>282</v>
      </c>
      <c r="B1358" s="321" t="s">
        <v>707</v>
      </c>
      <c r="C1358" s="293">
        <v>600</v>
      </c>
      <c r="D1358" s="293">
        <v>600</v>
      </c>
      <c r="E1358" s="293">
        <v>0</v>
      </c>
      <c r="F1358" s="294" t="s">
        <v>316</v>
      </c>
    </row>
    <row r="1359" spans="1:6" collapsed="1" x14ac:dyDescent="0.25">
      <c r="A1359" s="560" t="s">
        <v>811</v>
      </c>
      <c r="B1359" s="561"/>
      <c r="C1359" s="292">
        <v>237055.99427200001</v>
      </c>
      <c r="D1359" s="293">
        <v>251639.856512</v>
      </c>
      <c r="E1359" s="293">
        <v>14583.86224</v>
      </c>
      <c r="F1359" s="294" t="s">
        <v>2045</v>
      </c>
    </row>
    <row r="1360" spans="1:6" hidden="1" outlineLevel="1" collapsed="1" x14ac:dyDescent="0.25">
      <c r="A1360" s="321" t="s">
        <v>282</v>
      </c>
      <c r="B1360" s="321" t="s">
        <v>780</v>
      </c>
      <c r="C1360" s="293">
        <v>122589.829272</v>
      </c>
      <c r="D1360" s="293">
        <v>130575.404796</v>
      </c>
      <c r="E1360" s="293">
        <v>7985.5755239999999</v>
      </c>
      <c r="F1360" s="294" t="s">
        <v>813</v>
      </c>
    </row>
    <row r="1361" spans="1:6" hidden="1" outlineLevel="1" collapsed="1" x14ac:dyDescent="0.25">
      <c r="A1361" s="321" t="s">
        <v>282</v>
      </c>
      <c r="B1361" s="321" t="s">
        <v>464</v>
      </c>
      <c r="C1361" s="293">
        <v>52166.436152000002</v>
      </c>
      <c r="D1361" s="293">
        <v>53718.985591999997</v>
      </c>
      <c r="E1361" s="293">
        <v>1552.54944</v>
      </c>
      <c r="F1361" s="294" t="s">
        <v>381</v>
      </c>
    </row>
    <row r="1362" spans="1:6" hidden="1" outlineLevel="1" collapsed="1" x14ac:dyDescent="0.25">
      <c r="A1362" s="321" t="s">
        <v>282</v>
      </c>
      <c r="B1362" s="321" t="s">
        <v>751</v>
      </c>
      <c r="C1362" s="293">
        <v>15849.202716</v>
      </c>
      <c r="D1362" s="293">
        <v>0</v>
      </c>
      <c r="E1362" s="293">
        <v>-15849.202716</v>
      </c>
      <c r="F1362" s="294" t="s">
        <v>286</v>
      </c>
    </row>
    <row r="1363" spans="1:6" hidden="1" outlineLevel="1" collapsed="1" x14ac:dyDescent="0.25">
      <c r="A1363" s="321" t="s">
        <v>282</v>
      </c>
      <c r="B1363" s="321" t="s">
        <v>752</v>
      </c>
      <c r="C1363" s="293">
        <v>0</v>
      </c>
      <c r="D1363" s="293">
        <v>18677.528903999999</v>
      </c>
      <c r="E1363" s="293">
        <v>18677.528903999999</v>
      </c>
      <c r="F1363" s="294" t="s">
        <v>298</v>
      </c>
    </row>
    <row r="1364" spans="1:6" hidden="1" outlineLevel="1" collapsed="1" x14ac:dyDescent="0.25">
      <c r="A1364" s="321" t="s">
        <v>282</v>
      </c>
      <c r="B1364" s="321" t="s">
        <v>384</v>
      </c>
      <c r="C1364" s="293">
        <v>6461.8976640000001</v>
      </c>
      <c r="D1364" s="293">
        <v>0</v>
      </c>
      <c r="E1364" s="293">
        <v>-6461.8976640000001</v>
      </c>
      <c r="F1364" s="294" t="s">
        <v>286</v>
      </c>
    </row>
    <row r="1365" spans="1:6" hidden="1" outlineLevel="1" collapsed="1" x14ac:dyDescent="0.25">
      <c r="A1365" s="321" t="s">
        <v>282</v>
      </c>
      <c r="B1365" s="321" t="s">
        <v>385</v>
      </c>
      <c r="C1365" s="293">
        <v>0</v>
      </c>
      <c r="D1365" s="293">
        <v>8218.8476520000004</v>
      </c>
      <c r="E1365" s="293">
        <v>8218.8476520000004</v>
      </c>
      <c r="F1365" s="294" t="s">
        <v>298</v>
      </c>
    </row>
    <row r="1366" spans="1:6" hidden="1" outlineLevel="1" collapsed="1" x14ac:dyDescent="0.25">
      <c r="A1366" s="321" t="s">
        <v>282</v>
      </c>
      <c r="B1366" s="321" t="s">
        <v>386</v>
      </c>
      <c r="C1366" s="293">
        <v>3234.3190319999999</v>
      </c>
      <c r="D1366" s="293">
        <v>0</v>
      </c>
      <c r="E1366" s="293">
        <v>-3234.3190319999999</v>
      </c>
      <c r="F1366" s="294" t="s">
        <v>286</v>
      </c>
    </row>
    <row r="1367" spans="1:6" hidden="1" outlineLevel="1" collapsed="1" x14ac:dyDescent="0.25">
      <c r="A1367" s="321" t="s">
        <v>282</v>
      </c>
      <c r="B1367" s="321" t="s">
        <v>387</v>
      </c>
      <c r="C1367" s="293">
        <v>0</v>
      </c>
      <c r="D1367" s="293">
        <v>3330.577104</v>
      </c>
      <c r="E1367" s="293">
        <v>3330.577104</v>
      </c>
      <c r="F1367" s="294" t="s">
        <v>298</v>
      </c>
    </row>
    <row r="1368" spans="1:6" hidden="1" outlineLevel="1" collapsed="1" x14ac:dyDescent="0.25">
      <c r="A1368" s="321" t="s">
        <v>282</v>
      </c>
      <c r="B1368" s="321" t="s">
        <v>388</v>
      </c>
      <c r="C1368" s="293">
        <v>756.41331600000001</v>
      </c>
      <c r="D1368" s="293">
        <v>778.92528000000004</v>
      </c>
      <c r="E1368" s="293">
        <v>22.511963999999999</v>
      </c>
      <c r="F1368" s="294" t="s">
        <v>381</v>
      </c>
    </row>
    <row r="1369" spans="1:6" hidden="1" outlineLevel="1" collapsed="1" x14ac:dyDescent="0.25">
      <c r="A1369" s="321" t="s">
        <v>282</v>
      </c>
      <c r="B1369" s="321" t="s">
        <v>389</v>
      </c>
      <c r="C1369" s="293">
        <v>426.12479999999999</v>
      </c>
      <c r="D1369" s="293">
        <v>422.04</v>
      </c>
      <c r="E1369" s="293">
        <v>-4.0848000000000004</v>
      </c>
      <c r="F1369" s="294" t="s">
        <v>364</v>
      </c>
    </row>
    <row r="1370" spans="1:6" hidden="1" outlineLevel="1" collapsed="1" x14ac:dyDescent="0.25">
      <c r="A1370" s="321" t="s">
        <v>282</v>
      </c>
      <c r="B1370" s="321" t="s">
        <v>390</v>
      </c>
      <c r="C1370" s="293">
        <v>15485.27</v>
      </c>
      <c r="D1370" s="293">
        <v>15959.28</v>
      </c>
      <c r="E1370" s="293">
        <v>474.01</v>
      </c>
      <c r="F1370" s="294" t="s">
        <v>391</v>
      </c>
    </row>
    <row r="1371" spans="1:6" hidden="1" outlineLevel="1" collapsed="1" x14ac:dyDescent="0.25">
      <c r="A1371" s="321" t="s">
        <v>282</v>
      </c>
      <c r="B1371" s="321" t="s">
        <v>392</v>
      </c>
      <c r="C1371" s="293">
        <v>233.53919999999999</v>
      </c>
      <c r="D1371" s="293">
        <v>182.88</v>
      </c>
      <c r="E1371" s="293">
        <v>-50.659199999999998</v>
      </c>
      <c r="F1371" s="294" t="s">
        <v>368</v>
      </c>
    </row>
    <row r="1372" spans="1:6" hidden="1" outlineLevel="1" collapsed="1" x14ac:dyDescent="0.25">
      <c r="A1372" s="321" t="s">
        <v>282</v>
      </c>
      <c r="B1372" s="321" t="s">
        <v>754</v>
      </c>
      <c r="C1372" s="293">
        <v>15358.56</v>
      </c>
      <c r="D1372" s="293">
        <v>15959.28</v>
      </c>
      <c r="E1372" s="293">
        <v>600.72</v>
      </c>
      <c r="F1372" s="294" t="s">
        <v>366</v>
      </c>
    </row>
    <row r="1373" spans="1:6" hidden="1" outlineLevel="1" collapsed="1" x14ac:dyDescent="0.25">
      <c r="A1373" s="321" t="s">
        <v>282</v>
      </c>
      <c r="B1373" s="321" t="s">
        <v>755</v>
      </c>
      <c r="C1373" s="293">
        <v>426.12479999999999</v>
      </c>
      <c r="D1373" s="293">
        <v>422.04</v>
      </c>
      <c r="E1373" s="293">
        <v>-4.0848000000000004</v>
      </c>
      <c r="F1373" s="294" t="s">
        <v>364</v>
      </c>
    </row>
    <row r="1374" spans="1:6" hidden="1" outlineLevel="1" collapsed="1" x14ac:dyDescent="0.25">
      <c r="A1374" s="321" t="s">
        <v>282</v>
      </c>
      <c r="B1374" s="321" t="s">
        <v>756</v>
      </c>
      <c r="C1374" s="293">
        <v>233.53919999999999</v>
      </c>
      <c r="D1374" s="293">
        <v>182.88</v>
      </c>
      <c r="E1374" s="293">
        <v>-50.659199999999998</v>
      </c>
      <c r="F1374" s="294" t="s">
        <v>368</v>
      </c>
    </row>
    <row r="1375" spans="1:6" hidden="1" outlineLevel="1" collapsed="1" x14ac:dyDescent="0.25">
      <c r="A1375" s="321" t="s">
        <v>282</v>
      </c>
      <c r="B1375" s="321" t="s">
        <v>393</v>
      </c>
      <c r="C1375" s="293">
        <v>26.083212</v>
      </c>
      <c r="D1375" s="293">
        <v>26.859491999999999</v>
      </c>
      <c r="E1375" s="293">
        <v>0.77627999999999997</v>
      </c>
      <c r="F1375" s="294" t="s">
        <v>381</v>
      </c>
    </row>
    <row r="1376" spans="1:6" hidden="1" outlineLevel="1" collapsed="1" x14ac:dyDescent="0.25">
      <c r="A1376" s="321" t="s">
        <v>282</v>
      </c>
      <c r="B1376" s="321" t="s">
        <v>757</v>
      </c>
      <c r="C1376" s="293">
        <v>61.294908</v>
      </c>
      <c r="D1376" s="293">
        <v>0</v>
      </c>
      <c r="E1376" s="293">
        <v>-61.294908</v>
      </c>
      <c r="F1376" s="294" t="s">
        <v>286</v>
      </c>
    </row>
    <row r="1377" spans="1:6" hidden="1" outlineLevel="1" collapsed="1" x14ac:dyDescent="0.25">
      <c r="A1377" s="321" t="s">
        <v>282</v>
      </c>
      <c r="B1377" s="321" t="s">
        <v>758</v>
      </c>
      <c r="C1377" s="293">
        <v>0</v>
      </c>
      <c r="D1377" s="293">
        <v>65.287692000000007</v>
      </c>
      <c r="E1377" s="293">
        <v>65.287692000000007</v>
      </c>
      <c r="F1377" s="294" t="s">
        <v>298</v>
      </c>
    </row>
    <row r="1378" spans="1:6" hidden="1" outlineLevel="1" collapsed="1" x14ac:dyDescent="0.25">
      <c r="A1378" s="321" t="s">
        <v>282</v>
      </c>
      <c r="B1378" s="321" t="s">
        <v>394</v>
      </c>
      <c r="C1378" s="293">
        <v>1500</v>
      </c>
      <c r="D1378" s="293">
        <v>0</v>
      </c>
      <c r="E1378" s="293">
        <v>-1500</v>
      </c>
      <c r="F1378" s="294" t="s">
        <v>286</v>
      </c>
    </row>
    <row r="1379" spans="1:6" hidden="1" outlineLevel="1" collapsed="1" x14ac:dyDescent="0.25">
      <c r="A1379" s="321" t="s">
        <v>282</v>
      </c>
      <c r="B1379" s="321" t="s">
        <v>395</v>
      </c>
      <c r="C1379" s="293">
        <v>0</v>
      </c>
      <c r="D1379" s="293">
        <v>1500</v>
      </c>
      <c r="E1379" s="293">
        <v>1500</v>
      </c>
      <c r="F1379" s="294" t="s">
        <v>298</v>
      </c>
    </row>
    <row r="1380" spans="1:6" hidden="1" outlineLevel="1" collapsed="1" x14ac:dyDescent="0.25">
      <c r="A1380" s="321" t="s">
        <v>282</v>
      </c>
      <c r="B1380" s="321" t="s">
        <v>759</v>
      </c>
      <c r="C1380" s="293">
        <v>1500</v>
      </c>
      <c r="D1380" s="293">
        <v>0</v>
      </c>
      <c r="E1380" s="293">
        <v>-1500</v>
      </c>
      <c r="F1380" s="294" t="s">
        <v>286</v>
      </c>
    </row>
    <row r="1381" spans="1:6" hidden="1" outlineLevel="1" collapsed="1" x14ac:dyDescent="0.25">
      <c r="A1381" s="321" t="s">
        <v>282</v>
      </c>
      <c r="B1381" s="321" t="s">
        <v>760</v>
      </c>
      <c r="C1381" s="293">
        <v>0</v>
      </c>
      <c r="D1381" s="293">
        <v>1500</v>
      </c>
      <c r="E1381" s="293">
        <v>1500</v>
      </c>
      <c r="F1381" s="294" t="s">
        <v>298</v>
      </c>
    </row>
    <row r="1382" spans="1:6" hidden="1" outlineLevel="1" collapsed="1" x14ac:dyDescent="0.25">
      <c r="A1382" s="321" t="s">
        <v>282</v>
      </c>
      <c r="B1382" s="321" t="s">
        <v>396</v>
      </c>
      <c r="C1382" s="293">
        <v>49.68</v>
      </c>
      <c r="D1382" s="293">
        <v>0</v>
      </c>
      <c r="E1382" s="293">
        <v>-49.68</v>
      </c>
      <c r="F1382" s="294" t="s">
        <v>286</v>
      </c>
    </row>
    <row r="1383" spans="1:6" hidden="1" outlineLevel="1" collapsed="1" x14ac:dyDescent="0.25">
      <c r="A1383" s="321" t="s">
        <v>282</v>
      </c>
      <c r="B1383" s="321" t="s">
        <v>397</v>
      </c>
      <c r="C1383" s="293">
        <v>0</v>
      </c>
      <c r="D1383" s="293">
        <v>48.48</v>
      </c>
      <c r="E1383" s="293">
        <v>48.48</v>
      </c>
      <c r="F1383" s="294" t="s">
        <v>298</v>
      </c>
    </row>
    <row r="1384" spans="1:6" hidden="1" outlineLevel="1" collapsed="1" x14ac:dyDescent="0.25">
      <c r="A1384" s="321" t="s">
        <v>282</v>
      </c>
      <c r="B1384" s="321" t="s">
        <v>761</v>
      </c>
      <c r="C1384" s="293">
        <v>49.68</v>
      </c>
      <c r="D1384" s="293">
        <v>0</v>
      </c>
      <c r="E1384" s="293">
        <v>-49.68</v>
      </c>
      <c r="F1384" s="294" t="s">
        <v>286</v>
      </c>
    </row>
    <row r="1385" spans="1:6" hidden="1" outlineLevel="1" collapsed="1" x14ac:dyDescent="0.25">
      <c r="A1385" s="321" t="s">
        <v>282</v>
      </c>
      <c r="B1385" s="321" t="s">
        <v>762</v>
      </c>
      <c r="C1385" s="293">
        <v>0</v>
      </c>
      <c r="D1385" s="293">
        <v>48.48</v>
      </c>
      <c r="E1385" s="293">
        <v>48.48</v>
      </c>
      <c r="F1385" s="294" t="s">
        <v>298</v>
      </c>
    </row>
    <row r="1386" spans="1:6" hidden="1" outlineLevel="1" collapsed="1" x14ac:dyDescent="0.25">
      <c r="A1386" s="321" t="s">
        <v>282</v>
      </c>
      <c r="B1386" s="321" t="s">
        <v>398</v>
      </c>
      <c r="C1386" s="293">
        <v>24</v>
      </c>
      <c r="D1386" s="293">
        <v>11.04</v>
      </c>
      <c r="E1386" s="293">
        <v>-12.96</v>
      </c>
      <c r="F1386" s="294" t="s">
        <v>374</v>
      </c>
    </row>
    <row r="1387" spans="1:6" hidden="1" outlineLevel="1" collapsed="1" x14ac:dyDescent="0.25">
      <c r="A1387" s="321" t="s">
        <v>282</v>
      </c>
      <c r="B1387" s="321" t="s">
        <v>763</v>
      </c>
      <c r="C1387" s="293">
        <v>24</v>
      </c>
      <c r="D1387" s="293">
        <v>11.04</v>
      </c>
      <c r="E1387" s="293">
        <v>-12.96</v>
      </c>
      <c r="F1387" s="294" t="s">
        <v>374</v>
      </c>
    </row>
    <row r="1388" spans="1:6" hidden="1" outlineLevel="1" collapsed="1" x14ac:dyDescent="0.25">
      <c r="A1388" s="321" t="s">
        <v>282</v>
      </c>
      <c r="B1388" s="321" t="s">
        <v>707</v>
      </c>
      <c r="C1388" s="293">
        <v>600</v>
      </c>
      <c r="D1388" s="293">
        <v>0</v>
      </c>
      <c r="E1388" s="293">
        <v>-600</v>
      </c>
      <c r="F1388" s="294" t="s">
        <v>286</v>
      </c>
    </row>
    <row r="1389" spans="1:6" collapsed="1" x14ac:dyDescent="0.25">
      <c r="A1389" s="560" t="s">
        <v>814</v>
      </c>
      <c r="B1389" s="561"/>
      <c r="C1389" s="292">
        <v>1200866.0204690001</v>
      </c>
      <c r="D1389" s="293">
        <v>765772.05370799999</v>
      </c>
      <c r="E1389" s="293">
        <v>-435093.96676099999</v>
      </c>
      <c r="F1389" s="294" t="s">
        <v>2046</v>
      </c>
    </row>
    <row r="1390" spans="1:6" hidden="1" outlineLevel="1" collapsed="1" x14ac:dyDescent="0.25">
      <c r="A1390" s="321" t="s">
        <v>282</v>
      </c>
      <c r="B1390" s="321" t="s">
        <v>780</v>
      </c>
      <c r="C1390" s="293">
        <v>62950.505268000001</v>
      </c>
      <c r="D1390" s="293">
        <v>67087.425587999998</v>
      </c>
      <c r="E1390" s="293">
        <v>4136.9203200000002</v>
      </c>
      <c r="F1390" s="294" t="s">
        <v>816</v>
      </c>
    </row>
    <row r="1391" spans="1:6" hidden="1" outlineLevel="1" collapsed="1" x14ac:dyDescent="0.25">
      <c r="A1391" s="321" t="s">
        <v>282</v>
      </c>
      <c r="B1391" s="321" t="s">
        <v>441</v>
      </c>
      <c r="C1391" s="293">
        <v>1176</v>
      </c>
      <c r="D1391" s="293">
        <v>0</v>
      </c>
      <c r="E1391" s="293">
        <v>-1176</v>
      </c>
      <c r="F1391" s="294" t="s">
        <v>286</v>
      </c>
    </row>
    <row r="1392" spans="1:6" hidden="1" outlineLevel="1" collapsed="1" x14ac:dyDescent="0.25">
      <c r="A1392" s="321" t="s">
        <v>282</v>
      </c>
      <c r="B1392" s="321" t="s">
        <v>464</v>
      </c>
      <c r="C1392" s="293">
        <v>45603.600807000003</v>
      </c>
      <c r="D1392" s="293">
        <v>47931.274548000001</v>
      </c>
      <c r="E1392" s="293">
        <v>2327.6737410000001</v>
      </c>
      <c r="F1392" s="294" t="s">
        <v>817</v>
      </c>
    </row>
    <row r="1393" spans="1:6" hidden="1" outlineLevel="1" collapsed="1" x14ac:dyDescent="0.25">
      <c r="A1393" s="321" t="s">
        <v>282</v>
      </c>
      <c r="B1393" s="321" t="s">
        <v>818</v>
      </c>
      <c r="C1393" s="293">
        <v>0</v>
      </c>
      <c r="D1393" s="293">
        <v>80000</v>
      </c>
      <c r="E1393" s="293">
        <v>80000</v>
      </c>
      <c r="F1393" s="294" t="s">
        <v>298</v>
      </c>
    </row>
    <row r="1394" spans="1:6" hidden="1" outlineLevel="1" collapsed="1" x14ac:dyDescent="0.25">
      <c r="A1394" s="321" t="s">
        <v>282</v>
      </c>
      <c r="B1394" s="321" t="s">
        <v>751</v>
      </c>
      <c r="C1394" s="293">
        <v>8215.0409280000003</v>
      </c>
      <c r="D1394" s="293">
        <v>0</v>
      </c>
      <c r="E1394" s="293">
        <v>-8215.0409280000003</v>
      </c>
      <c r="F1394" s="294" t="s">
        <v>286</v>
      </c>
    </row>
    <row r="1395" spans="1:6" hidden="1" outlineLevel="1" collapsed="1" x14ac:dyDescent="0.25">
      <c r="A1395" s="321" t="s">
        <v>282</v>
      </c>
      <c r="B1395" s="321" t="s">
        <v>752</v>
      </c>
      <c r="C1395" s="293">
        <v>0</v>
      </c>
      <c r="D1395" s="293">
        <v>9680.7155039999998</v>
      </c>
      <c r="E1395" s="293">
        <v>9680.7155039999998</v>
      </c>
      <c r="F1395" s="294" t="s">
        <v>298</v>
      </c>
    </row>
    <row r="1396" spans="1:6" hidden="1" outlineLevel="1" collapsed="1" x14ac:dyDescent="0.25">
      <c r="A1396" s="321" t="s">
        <v>282</v>
      </c>
      <c r="B1396" s="321" t="s">
        <v>384</v>
      </c>
      <c r="C1396" s="293">
        <v>5736.9329760000001</v>
      </c>
      <c r="D1396" s="293">
        <v>0</v>
      </c>
      <c r="E1396" s="293">
        <v>-5736.9329760000001</v>
      </c>
      <c r="F1396" s="294" t="s">
        <v>286</v>
      </c>
    </row>
    <row r="1397" spans="1:6" hidden="1" outlineLevel="1" collapsed="1" x14ac:dyDescent="0.25">
      <c r="A1397" s="321" t="s">
        <v>282</v>
      </c>
      <c r="B1397" s="321" t="s">
        <v>385</v>
      </c>
      <c r="C1397" s="293">
        <v>0</v>
      </c>
      <c r="D1397" s="293">
        <v>7444.2062400000004</v>
      </c>
      <c r="E1397" s="293">
        <v>7444.2062400000004</v>
      </c>
      <c r="F1397" s="294" t="s">
        <v>298</v>
      </c>
    </row>
    <row r="1398" spans="1:6" hidden="1" outlineLevel="1" collapsed="1" x14ac:dyDescent="0.25">
      <c r="A1398" s="321" t="s">
        <v>282</v>
      </c>
      <c r="B1398" s="321" t="s">
        <v>386</v>
      </c>
      <c r="C1398" s="293">
        <v>2827.4232440000001</v>
      </c>
      <c r="D1398" s="293">
        <v>0</v>
      </c>
      <c r="E1398" s="293">
        <v>-2827.4232440000001</v>
      </c>
      <c r="F1398" s="294" t="s">
        <v>286</v>
      </c>
    </row>
    <row r="1399" spans="1:6" hidden="1" outlineLevel="1" collapsed="1" x14ac:dyDescent="0.25">
      <c r="A1399" s="321" t="s">
        <v>282</v>
      </c>
      <c r="B1399" s="321" t="s">
        <v>387</v>
      </c>
      <c r="C1399" s="293">
        <v>0</v>
      </c>
      <c r="D1399" s="293">
        <v>2971.739016</v>
      </c>
      <c r="E1399" s="293">
        <v>2971.739016</v>
      </c>
      <c r="F1399" s="294" t="s">
        <v>298</v>
      </c>
    </row>
    <row r="1400" spans="1:6" hidden="1" outlineLevel="1" collapsed="1" x14ac:dyDescent="0.25">
      <c r="A1400" s="321" t="s">
        <v>282</v>
      </c>
      <c r="B1400" s="321" t="s">
        <v>388</v>
      </c>
      <c r="C1400" s="293">
        <v>661.25220400000001</v>
      </c>
      <c r="D1400" s="293">
        <v>695.00347199999999</v>
      </c>
      <c r="E1400" s="293">
        <v>33.751268000000003</v>
      </c>
      <c r="F1400" s="294" t="s">
        <v>817</v>
      </c>
    </row>
    <row r="1401" spans="1:6" hidden="1" outlineLevel="1" collapsed="1" x14ac:dyDescent="0.25">
      <c r="A1401" s="321" t="s">
        <v>282</v>
      </c>
      <c r="B1401" s="321" t="s">
        <v>444</v>
      </c>
      <c r="C1401" s="293">
        <v>0</v>
      </c>
      <c r="D1401" s="293">
        <v>7200</v>
      </c>
      <c r="E1401" s="293">
        <v>7200</v>
      </c>
      <c r="F1401" s="294" t="s">
        <v>298</v>
      </c>
    </row>
    <row r="1402" spans="1:6" hidden="1" outlineLevel="1" collapsed="1" x14ac:dyDescent="0.25">
      <c r="A1402" s="321" t="s">
        <v>282</v>
      </c>
      <c r="B1402" s="321" t="s">
        <v>389</v>
      </c>
      <c r="C1402" s="293">
        <v>426.12479999999999</v>
      </c>
      <c r="D1402" s="293">
        <v>422.04</v>
      </c>
      <c r="E1402" s="293">
        <v>-4.0848000000000004</v>
      </c>
      <c r="F1402" s="294" t="s">
        <v>364</v>
      </c>
    </row>
    <row r="1403" spans="1:6" hidden="1" outlineLevel="1" collapsed="1" x14ac:dyDescent="0.25">
      <c r="A1403" s="321" t="s">
        <v>282</v>
      </c>
      <c r="B1403" s="321" t="s">
        <v>392</v>
      </c>
      <c r="C1403" s="293">
        <v>233.53919999999999</v>
      </c>
      <c r="D1403" s="293">
        <v>182.88</v>
      </c>
      <c r="E1403" s="293">
        <v>-50.659199999999998</v>
      </c>
      <c r="F1403" s="294" t="s">
        <v>368</v>
      </c>
    </row>
    <row r="1404" spans="1:6" hidden="1" outlineLevel="1" collapsed="1" x14ac:dyDescent="0.25">
      <c r="A1404" s="321" t="s">
        <v>282</v>
      </c>
      <c r="B1404" s="321" t="s">
        <v>755</v>
      </c>
      <c r="C1404" s="293">
        <v>426.12479999999999</v>
      </c>
      <c r="D1404" s="293">
        <v>422.04</v>
      </c>
      <c r="E1404" s="293">
        <v>-4.0848000000000004</v>
      </c>
      <c r="F1404" s="294" t="s">
        <v>364</v>
      </c>
    </row>
    <row r="1405" spans="1:6" hidden="1" outlineLevel="1" collapsed="1" x14ac:dyDescent="0.25">
      <c r="A1405" s="321" t="s">
        <v>282</v>
      </c>
      <c r="B1405" s="321" t="s">
        <v>756</v>
      </c>
      <c r="C1405" s="293">
        <v>233.53919999999999</v>
      </c>
      <c r="D1405" s="293">
        <v>182.88</v>
      </c>
      <c r="E1405" s="293">
        <v>-50.659199999999998</v>
      </c>
      <c r="F1405" s="294" t="s">
        <v>368</v>
      </c>
    </row>
    <row r="1406" spans="1:6" hidden="1" outlineLevel="1" collapsed="1" x14ac:dyDescent="0.25">
      <c r="A1406" s="321" t="s">
        <v>282</v>
      </c>
      <c r="B1406" s="321" t="s">
        <v>393</v>
      </c>
      <c r="C1406" s="293">
        <v>22.801798000000002</v>
      </c>
      <c r="D1406" s="293">
        <v>23.965631999999999</v>
      </c>
      <c r="E1406" s="293">
        <v>1.163834</v>
      </c>
      <c r="F1406" s="294" t="s">
        <v>817</v>
      </c>
    </row>
    <row r="1407" spans="1:6" hidden="1" outlineLevel="1" collapsed="1" x14ac:dyDescent="0.25">
      <c r="A1407" s="321" t="s">
        <v>282</v>
      </c>
      <c r="B1407" s="321" t="s">
        <v>757</v>
      </c>
      <c r="C1407" s="293">
        <v>31.775244000000001</v>
      </c>
      <c r="D1407" s="293">
        <v>0</v>
      </c>
      <c r="E1407" s="293">
        <v>-31.775244000000001</v>
      </c>
      <c r="F1407" s="294" t="s">
        <v>286</v>
      </c>
    </row>
    <row r="1408" spans="1:6" hidden="1" outlineLevel="1" collapsed="1" x14ac:dyDescent="0.25">
      <c r="A1408" s="321" t="s">
        <v>282</v>
      </c>
      <c r="B1408" s="321" t="s">
        <v>758</v>
      </c>
      <c r="C1408" s="293">
        <v>0</v>
      </c>
      <c r="D1408" s="293">
        <v>33.843707999999999</v>
      </c>
      <c r="E1408" s="293">
        <v>33.843707999999999</v>
      </c>
      <c r="F1408" s="294" t="s">
        <v>298</v>
      </c>
    </row>
    <row r="1409" spans="1:6" hidden="1" outlineLevel="1" collapsed="1" x14ac:dyDescent="0.25">
      <c r="A1409" s="321" t="s">
        <v>282</v>
      </c>
      <c r="B1409" s="321" t="s">
        <v>394</v>
      </c>
      <c r="C1409" s="293">
        <v>1500</v>
      </c>
      <c r="D1409" s="293">
        <v>0</v>
      </c>
      <c r="E1409" s="293">
        <v>-1500</v>
      </c>
      <c r="F1409" s="294" t="s">
        <v>286</v>
      </c>
    </row>
    <row r="1410" spans="1:6" hidden="1" outlineLevel="1" collapsed="1" x14ac:dyDescent="0.25">
      <c r="A1410" s="321" t="s">
        <v>282</v>
      </c>
      <c r="B1410" s="321" t="s">
        <v>395</v>
      </c>
      <c r="C1410" s="293">
        <v>0</v>
      </c>
      <c r="D1410" s="293">
        <v>1500</v>
      </c>
      <c r="E1410" s="293">
        <v>1500</v>
      </c>
      <c r="F1410" s="294" t="s">
        <v>298</v>
      </c>
    </row>
    <row r="1411" spans="1:6" hidden="1" outlineLevel="1" collapsed="1" x14ac:dyDescent="0.25">
      <c r="A1411" s="321" t="s">
        <v>282</v>
      </c>
      <c r="B1411" s="321" t="s">
        <v>759</v>
      </c>
      <c r="C1411" s="293">
        <v>1500</v>
      </c>
      <c r="D1411" s="293">
        <v>0</v>
      </c>
      <c r="E1411" s="293">
        <v>-1500</v>
      </c>
      <c r="F1411" s="294" t="s">
        <v>286</v>
      </c>
    </row>
    <row r="1412" spans="1:6" hidden="1" outlineLevel="1" collapsed="1" x14ac:dyDescent="0.25">
      <c r="A1412" s="321" t="s">
        <v>282</v>
      </c>
      <c r="B1412" s="321" t="s">
        <v>760</v>
      </c>
      <c r="C1412" s="293">
        <v>0</v>
      </c>
      <c r="D1412" s="293">
        <v>1500</v>
      </c>
      <c r="E1412" s="293">
        <v>1500</v>
      </c>
      <c r="F1412" s="294" t="s">
        <v>298</v>
      </c>
    </row>
    <row r="1413" spans="1:6" hidden="1" outlineLevel="1" collapsed="1" x14ac:dyDescent="0.25">
      <c r="A1413" s="321" t="s">
        <v>282</v>
      </c>
      <c r="B1413" s="321" t="s">
        <v>396</v>
      </c>
      <c r="C1413" s="293">
        <v>49.68</v>
      </c>
      <c r="D1413" s="293">
        <v>0</v>
      </c>
      <c r="E1413" s="293">
        <v>-49.68</v>
      </c>
      <c r="F1413" s="294" t="s">
        <v>286</v>
      </c>
    </row>
    <row r="1414" spans="1:6" hidden="1" outlineLevel="1" collapsed="1" x14ac:dyDescent="0.25">
      <c r="A1414" s="321" t="s">
        <v>282</v>
      </c>
      <c r="B1414" s="321" t="s">
        <v>397</v>
      </c>
      <c r="C1414" s="293">
        <v>0</v>
      </c>
      <c r="D1414" s="293">
        <v>48.48</v>
      </c>
      <c r="E1414" s="293">
        <v>48.48</v>
      </c>
      <c r="F1414" s="294" t="s">
        <v>298</v>
      </c>
    </row>
    <row r="1415" spans="1:6" hidden="1" outlineLevel="1" collapsed="1" x14ac:dyDescent="0.25">
      <c r="A1415" s="321" t="s">
        <v>282</v>
      </c>
      <c r="B1415" s="321" t="s">
        <v>761</v>
      </c>
      <c r="C1415" s="293">
        <v>49.68</v>
      </c>
      <c r="D1415" s="293">
        <v>0</v>
      </c>
      <c r="E1415" s="293">
        <v>-49.68</v>
      </c>
      <c r="F1415" s="294" t="s">
        <v>286</v>
      </c>
    </row>
    <row r="1416" spans="1:6" hidden="1" outlineLevel="1" collapsed="1" x14ac:dyDescent="0.25">
      <c r="A1416" s="321" t="s">
        <v>282</v>
      </c>
      <c r="B1416" s="321" t="s">
        <v>762</v>
      </c>
      <c r="C1416" s="293">
        <v>0</v>
      </c>
      <c r="D1416" s="293">
        <v>48.48</v>
      </c>
      <c r="E1416" s="293">
        <v>48.48</v>
      </c>
      <c r="F1416" s="294" t="s">
        <v>298</v>
      </c>
    </row>
    <row r="1417" spans="1:6" hidden="1" outlineLevel="1" collapsed="1" x14ac:dyDescent="0.25">
      <c r="A1417" s="321" t="s">
        <v>282</v>
      </c>
      <c r="B1417" s="321" t="s">
        <v>398</v>
      </c>
      <c r="C1417" s="293">
        <v>24</v>
      </c>
      <c r="D1417" s="293">
        <v>11.04</v>
      </c>
      <c r="E1417" s="293">
        <v>-12.96</v>
      </c>
      <c r="F1417" s="294" t="s">
        <v>374</v>
      </c>
    </row>
    <row r="1418" spans="1:6" hidden="1" outlineLevel="1" collapsed="1" x14ac:dyDescent="0.25">
      <c r="A1418" s="321" t="s">
        <v>282</v>
      </c>
      <c r="B1418" s="321" t="s">
        <v>763</v>
      </c>
      <c r="C1418" s="293">
        <v>24</v>
      </c>
      <c r="D1418" s="293">
        <v>11.04</v>
      </c>
      <c r="E1418" s="293">
        <v>-12.96</v>
      </c>
      <c r="F1418" s="294" t="s">
        <v>374</v>
      </c>
    </row>
    <row r="1419" spans="1:6" hidden="1" outlineLevel="1" collapsed="1" x14ac:dyDescent="0.25">
      <c r="A1419" s="321" t="s">
        <v>282</v>
      </c>
      <c r="B1419" s="321" t="s">
        <v>522</v>
      </c>
      <c r="C1419" s="293">
        <v>6000</v>
      </c>
      <c r="D1419" s="293">
        <v>6000</v>
      </c>
      <c r="E1419" s="293">
        <v>0</v>
      </c>
      <c r="F1419" s="294" t="s">
        <v>316</v>
      </c>
    </row>
    <row r="1420" spans="1:6" hidden="1" outlineLevel="1" collapsed="1" x14ac:dyDescent="0.25">
      <c r="A1420" s="321" t="s">
        <v>282</v>
      </c>
      <c r="B1420" s="321" t="s">
        <v>567</v>
      </c>
      <c r="C1420" s="293">
        <v>1062574</v>
      </c>
      <c r="D1420" s="293">
        <v>531775</v>
      </c>
      <c r="E1420" s="293">
        <v>-530799</v>
      </c>
      <c r="F1420" s="294" t="s">
        <v>819</v>
      </c>
    </row>
    <row r="1421" spans="1:6" hidden="1" outlineLevel="1" collapsed="1" x14ac:dyDescent="0.25">
      <c r="A1421" s="321" t="s">
        <v>282</v>
      </c>
      <c r="B1421" s="321" t="s">
        <v>707</v>
      </c>
      <c r="C1421" s="293">
        <v>600</v>
      </c>
      <c r="D1421" s="293">
        <v>600</v>
      </c>
      <c r="E1421" s="293">
        <v>0</v>
      </c>
      <c r="F1421" s="294" t="s">
        <v>316</v>
      </c>
    </row>
    <row r="1422" spans="1:6" collapsed="1" x14ac:dyDescent="0.25">
      <c r="A1422" s="560" t="s">
        <v>820</v>
      </c>
      <c r="B1422" s="561"/>
      <c r="C1422" s="292">
        <v>128419</v>
      </c>
      <c r="D1422" s="293">
        <v>139172</v>
      </c>
      <c r="E1422" s="293">
        <v>10753</v>
      </c>
      <c r="F1422" s="294" t="s">
        <v>2047</v>
      </c>
    </row>
    <row r="1423" spans="1:6" hidden="1" outlineLevel="1" collapsed="1" x14ac:dyDescent="0.25">
      <c r="A1423" s="321" t="s">
        <v>282</v>
      </c>
      <c r="B1423" s="321" t="s">
        <v>441</v>
      </c>
      <c r="C1423" s="293">
        <v>30000</v>
      </c>
      <c r="D1423" s="293">
        <v>29000</v>
      </c>
      <c r="E1423" s="293">
        <v>-1000</v>
      </c>
      <c r="F1423" s="294" t="s">
        <v>821</v>
      </c>
    </row>
    <row r="1424" spans="1:6" hidden="1" outlineLevel="1" collapsed="1" x14ac:dyDescent="0.25">
      <c r="A1424" s="321" t="s">
        <v>282</v>
      </c>
      <c r="B1424" s="321" t="s">
        <v>822</v>
      </c>
      <c r="C1424" s="293">
        <v>7640</v>
      </c>
      <c r="D1424" s="293">
        <v>6400</v>
      </c>
      <c r="E1424" s="293">
        <v>-1240</v>
      </c>
      <c r="F1424" s="294" t="s">
        <v>823</v>
      </c>
    </row>
    <row r="1425" spans="1:6" hidden="1" outlineLevel="1" collapsed="1" x14ac:dyDescent="0.25">
      <c r="A1425" s="321" t="s">
        <v>282</v>
      </c>
      <c r="B1425" s="321" t="s">
        <v>818</v>
      </c>
      <c r="C1425" s="293">
        <v>67075</v>
      </c>
      <c r="D1425" s="293">
        <v>62640</v>
      </c>
      <c r="E1425" s="293">
        <v>-4435</v>
      </c>
      <c r="F1425" s="294" t="s">
        <v>824</v>
      </c>
    </row>
    <row r="1426" spans="1:6" hidden="1" outlineLevel="1" collapsed="1" x14ac:dyDescent="0.25">
      <c r="A1426" s="321" t="s">
        <v>282</v>
      </c>
      <c r="B1426" s="321" t="s">
        <v>444</v>
      </c>
      <c r="C1426" s="293">
        <v>9968</v>
      </c>
      <c r="D1426" s="293">
        <v>9968</v>
      </c>
      <c r="E1426" s="293">
        <v>0</v>
      </c>
      <c r="F1426" s="294" t="s">
        <v>316</v>
      </c>
    </row>
    <row r="1427" spans="1:6" hidden="1" outlineLevel="1" collapsed="1" x14ac:dyDescent="0.25">
      <c r="A1427" s="321" t="s">
        <v>282</v>
      </c>
      <c r="B1427" s="321" t="s">
        <v>399</v>
      </c>
      <c r="C1427" s="293">
        <v>76</v>
      </c>
      <c r="D1427" s="293">
        <v>76</v>
      </c>
      <c r="E1427" s="293">
        <v>0</v>
      </c>
      <c r="F1427" s="294" t="s">
        <v>316</v>
      </c>
    </row>
    <row r="1428" spans="1:6" hidden="1" outlineLevel="1" collapsed="1" x14ac:dyDescent="0.25">
      <c r="A1428" s="321" t="s">
        <v>282</v>
      </c>
      <c r="B1428" s="321" t="s">
        <v>375</v>
      </c>
      <c r="C1428" s="293">
        <v>548</v>
      </c>
      <c r="D1428" s="293">
        <v>1288</v>
      </c>
      <c r="E1428" s="293">
        <v>740</v>
      </c>
      <c r="F1428" s="294" t="s">
        <v>825</v>
      </c>
    </row>
    <row r="1429" spans="1:6" hidden="1" outlineLevel="1" collapsed="1" x14ac:dyDescent="0.25">
      <c r="A1429" s="321" t="s">
        <v>282</v>
      </c>
      <c r="B1429" s="321" t="s">
        <v>376</v>
      </c>
      <c r="C1429" s="293">
        <v>2099</v>
      </c>
      <c r="D1429" s="293">
        <v>3469</v>
      </c>
      <c r="E1429" s="293">
        <v>1370</v>
      </c>
      <c r="F1429" s="294" t="s">
        <v>2048</v>
      </c>
    </row>
    <row r="1430" spans="1:6" hidden="1" outlineLevel="1" collapsed="1" x14ac:dyDescent="0.25">
      <c r="A1430" s="321" t="s">
        <v>282</v>
      </c>
      <c r="B1430" s="321" t="s">
        <v>662</v>
      </c>
      <c r="C1430" s="293">
        <v>83</v>
      </c>
      <c r="D1430" s="293">
        <v>300</v>
      </c>
      <c r="E1430" s="293">
        <v>217</v>
      </c>
      <c r="F1430" s="294" t="s">
        <v>827</v>
      </c>
    </row>
    <row r="1431" spans="1:6" hidden="1" outlineLevel="1" collapsed="1" x14ac:dyDescent="0.25">
      <c r="A1431" s="321" t="s">
        <v>282</v>
      </c>
      <c r="B1431" s="321" t="s">
        <v>828</v>
      </c>
      <c r="C1431" s="293">
        <v>0</v>
      </c>
      <c r="D1431" s="293">
        <v>50</v>
      </c>
      <c r="E1431" s="293">
        <v>50</v>
      </c>
      <c r="F1431" s="294" t="s">
        <v>298</v>
      </c>
    </row>
    <row r="1432" spans="1:6" hidden="1" outlineLevel="1" collapsed="1" x14ac:dyDescent="0.25">
      <c r="A1432" s="321" t="s">
        <v>282</v>
      </c>
      <c r="B1432" s="321" t="s">
        <v>567</v>
      </c>
      <c r="C1432" s="293">
        <v>9136</v>
      </c>
      <c r="D1432" s="293">
        <v>9136</v>
      </c>
      <c r="E1432" s="293">
        <v>0</v>
      </c>
      <c r="F1432" s="294" t="s">
        <v>316</v>
      </c>
    </row>
    <row r="1433" spans="1:6" hidden="1" outlineLevel="1" collapsed="1" x14ac:dyDescent="0.25">
      <c r="A1433" s="321" t="s">
        <v>282</v>
      </c>
      <c r="B1433" s="321" t="s">
        <v>426</v>
      </c>
      <c r="C1433" s="293">
        <v>300</v>
      </c>
      <c r="D1433" s="293">
        <v>500</v>
      </c>
      <c r="E1433" s="293">
        <v>200</v>
      </c>
      <c r="F1433" s="294" t="s">
        <v>829</v>
      </c>
    </row>
    <row r="1434" spans="1:6" hidden="1" outlineLevel="1" collapsed="1" x14ac:dyDescent="0.25">
      <c r="A1434" s="321" t="s">
        <v>282</v>
      </c>
      <c r="B1434" s="321" t="s">
        <v>482</v>
      </c>
      <c r="C1434" s="293">
        <v>1103</v>
      </c>
      <c r="D1434" s="293">
        <v>1000</v>
      </c>
      <c r="E1434" s="293">
        <v>-103</v>
      </c>
      <c r="F1434" s="294" t="s">
        <v>830</v>
      </c>
    </row>
    <row r="1435" spans="1:6" hidden="1" outlineLevel="1" collapsed="1" x14ac:dyDescent="0.25">
      <c r="A1435" s="321" t="s">
        <v>282</v>
      </c>
      <c r="B1435" s="321" t="s">
        <v>416</v>
      </c>
      <c r="C1435" s="293">
        <v>40</v>
      </c>
      <c r="D1435" s="293">
        <v>40</v>
      </c>
      <c r="E1435" s="293">
        <v>0</v>
      </c>
      <c r="F1435" s="294" t="s">
        <v>316</v>
      </c>
    </row>
    <row r="1436" spans="1:6" hidden="1" outlineLevel="1" collapsed="1" x14ac:dyDescent="0.25">
      <c r="A1436" s="321" t="s">
        <v>282</v>
      </c>
      <c r="B1436" s="321" t="s">
        <v>403</v>
      </c>
      <c r="C1436" s="293">
        <v>0</v>
      </c>
      <c r="D1436" s="293">
        <v>1451</v>
      </c>
      <c r="E1436" s="293">
        <v>1451</v>
      </c>
      <c r="F1436" s="294" t="s">
        <v>298</v>
      </c>
    </row>
    <row r="1437" spans="1:6" hidden="1" outlineLevel="1" collapsed="1" x14ac:dyDescent="0.25">
      <c r="A1437" s="321" t="s">
        <v>282</v>
      </c>
      <c r="B1437" s="321" t="s">
        <v>405</v>
      </c>
      <c r="C1437" s="293">
        <v>0</v>
      </c>
      <c r="D1437" s="293">
        <v>400</v>
      </c>
      <c r="E1437" s="293">
        <v>400</v>
      </c>
      <c r="F1437" s="294" t="s">
        <v>298</v>
      </c>
    </row>
    <row r="1438" spans="1:6" hidden="1" outlineLevel="1" collapsed="1" x14ac:dyDescent="0.25">
      <c r="A1438" s="321" t="s">
        <v>282</v>
      </c>
      <c r="B1438" s="321" t="s">
        <v>557</v>
      </c>
      <c r="C1438" s="293">
        <v>351</v>
      </c>
      <c r="D1438" s="293">
        <v>351</v>
      </c>
      <c r="E1438" s="293">
        <v>0</v>
      </c>
      <c r="F1438" s="294" t="s">
        <v>316</v>
      </c>
    </row>
    <row r="1439" spans="1:6" hidden="1" outlineLevel="1" collapsed="1" x14ac:dyDescent="0.25">
      <c r="A1439" s="321" t="s">
        <v>282</v>
      </c>
      <c r="B1439" s="321" t="s">
        <v>831</v>
      </c>
      <c r="C1439" s="293">
        <v>0</v>
      </c>
      <c r="D1439" s="293">
        <v>660</v>
      </c>
      <c r="E1439" s="293">
        <v>660</v>
      </c>
      <c r="F1439" s="294" t="s">
        <v>298</v>
      </c>
    </row>
    <row r="1440" spans="1:6" hidden="1" outlineLevel="1" collapsed="1" x14ac:dyDescent="0.25">
      <c r="A1440" s="321" t="s">
        <v>282</v>
      </c>
      <c r="B1440" s="321" t="s">
        <v>422</v>
      </c>
      <c r="C1440" s="293">
        <v>0</v>
      </c>
      <c r="D1440" s="293">
        <v>12443</v>
      </c>
      <c r="E1440" s="293">
        <v>12443</v>
      </c>
      <c r="F1440" s="294" t="s">
        <v>298</v>
      </c>
    </row>
    <row r="1441" spans="1:6" collapsed="1" x14ac:dyDescent="0.25">
      <c r="A1441" s="560" t="s">
        <v>832</v>
      </c>
      <c r="B1441" s="561"/>
      <c r="C1441" s="292">
        <v>722566.45672799996</v>
      </c>
      <c r="D1441" s="293">
        <v>695776.51956799999</v>
      </c>
      <c r="E1441" s="293">
        <v>-26789.937160000001</v>
      </c>
      <c r="F1441" s="294" t="s">
        <v>2049</v>
      </c>
    </row>
    <row r="1442" spans="1:6" hidden="1" outlineLevel="1" collapsed="1" x14ac:dyDescent="0.25">
      <c r="A1442" s="321" t="s">
        <v>282</v>
      </c>
      <c r="B1442" s="321" t="s">
        <v>780</v>
      </c>
      <c r="C1442" s="293">
        <v>162750.17823600001</v>
      </c>
      <c r="D1442" s="293">
        <v>123893.572914</v>
      </c>
      <c r="E1442" s="293">
        <v>-38856.605322000003</v>
      </c>
      <c r="F1442" s="294" t="s">
        <v>1116</v>
      </c>
    </row>
    <row r="1443" spans="1:6" hidden="1" outlineLevel="1" collapsed="1" x14ac:dyDescent="0.25">
      <c r="A1443" s="321" t="s">
        <v>282</v>
      </c>
      <c r="B1443" s="321" t="s">
        <v>834</v>
      </c>
      <c r="C1443" s="293">
        <v>100400</v>
      </c>
      <c r="D1443" s="293">
        <v>100400</v>
      </c>
      <c r="E1443" s="293">
        <v>0</v>
      </c>
      <c r="F1443" s="294" t="s">
        <v>316</v>
      </c>
    </row>
    <row r="1444" spans="1:6" hidden="1" outlineLevel="1" collapsed="1" x14ac:dyDescent="0.25">
      <c r="A1444" s="321" t="s">
        <v>282</v>
      </c>
      <c r="B1444" s="321" t="s">
        <v>835</v>
      </c>
      <c r="C1444" s="293">
        <v>6480</v>
      </c>
      <c r="D1444" s="293">
        <v>6480</v>
      </c>
      <c r="E1444" s="293">
        <v>0</v>
      </c>
      <c r="F1444" s="294" t="s">
        <v>316</v>
      </c>
    </row>
    <row r="1445" spans="1:6" hidden="1" outlineLevel="1" collapsed="1" x14ac:dyDescent="0.25">
      <c r="A1445" s="321" t="s">
        <v>282</v>
      </c>
      <c r="B1445" s="321" t="s">
        <v>836</v>
      </c>
      <c r="C1445" s="293">
        <v>6628</v>
      </c>
      <c r="D1445" s="293">
        <v>14040</v>
      </c>
      <c r="E1445" s="293">
        <v>7412</v>
      </c>
      <c r="F1445" s="294" t="s">
        <v>837</v>
      </c>
    </row>
    <row r="1446" spans="1:6" hidden="1" outlineLevel="1" collapsed="1" x14ac:dyDescent="0.25">
      <c r="A1446" s="321" t="s">
        <v>282</v>
      </c>
      <c r="B1446" s="321" t="s">
        <v>838</v>
      </c>
      <c r="C1446" s="293">
        <v>5313</v>
      </c>
      <c r="D1446" s="293">
        <v>5313</v>
      </c>
      <c r="E1446" s="293">
        <v>0</v>
      </c>
      <c r="F1446" s="294" t="s">
        <v>316</v>
      </c>
    </row>
    <row r="1447" spans="1:6" hidden="1" outlineLevel="1" collapsed="1" x14ac:dyDescent="0.25">
      <c r="A1447" s="321" t="s">
        <v>282</v>
      </c>
      <c r="B1447" s="321" t="s">
        <v>441</v>
      </c>
      <c r="C1447" s="293">
        <v>19199</v>
      </c>
      <c r="D1447" s="293">
        <v>19199</v>
      </c>
      <c r="E1447" s="293">
        <v>0</v>
      </c>
      <c r="F1447" s="294" t="s">
        <v>316</v>
      </c>
    </row>
    <row r="1448" spans="1:6" hidden="1" outlineLevel="1" collapsed="1" x14ac:dyDescent="0.25">
      <c r="A1448" s="321" t="s">
        <v>282</v>
      </c>
      <c r="B1448" s="321" t="s">
        <v>822</v>
      </c>
      <c r="C1448" s="293">
        <v>13369</v>
      </c>
      <c r="D1448" s="293">
        <v>13369</v>
      </c>
      <c r="E1448" s="293">
        <v>0</v>
      </c>
      <c r="F1448" s="294" t="s">
        <v>316</v>
      </c>
    </row>
    <row r="1449" spans="1:6" hidden="1" outlineLevel="1" collapsed="1" x14ac:dyDescent="0.25">
      <c r="A1449" s="321" t="s">
        <v>282</v>
      </c>
      <c r="B1449" s="321" t="s">
        <v>464</v>
      </c>
      <c r="C1449" s="293">
        <v>206090.30199800001</v>
      </c>
      <c r="D1449" s="293">
        <v>214386.36049399999</v>
      </c>
      <c r="E1449" s="293">
        <v>8296.0584959999996</v>
      </c>
      <c r="F1449" s="294" t="s">
        <v>839</v>
      </c>
    </row>
    <row r="1450" spans="1:6" hidden="1" outlineLevel="1" collapsed="1" x14ac:dyDescent="0.25">
      <c r="A1450" s="321" t="s">
        <v>282</v>
      </c>
      <c r="B1450" s="321" t="s">
        <v>475</v>
      </c>
      <c r="C1450" s="293">
        <v>5000</v>
      </c>
      <c r="D1450" s="293">
        <v>5000</v>
      </c>
      <c r="E1450" s="293">
        <v>0</v>
      </c>
      <c r="F1450" s="294" t="s">
        <v>316</v>
      </c>
    </row>
    <row r="1451" spans="1:6" hidden="1" outlineLevel="1" collapsed="1" x14ac:dyDescent="0.25">
      <c r="A1451" s="321" t="s">
        <v>282</v>
      </c>
      <c r="B1451" s="321" t="s">
        <v>476</v>
      </c>
      <c r="C1451" s="293">
        <v>500</v>
      </c>
      <c r="D1451" s="293">
        <v>500</v>
      </c>
      <c r="E1451" s="293">
        <v>0</v>
      </c>
      <c r="F1451" s="294" t="s">
        <v>316</v>
      </c>
    </row>
    <row r="1452" spans="1:6" hidden="1" outlineLevel="1" collapsed="1" x14ac:dyDescent="0.25">
      <c r="A1452" s="321" t="s">
        <v>282</v>
      </c>
      <c r="B1452" s="321" t="s">
        <v>488</v>
      </c>
      <c r="C1452" s="293">
        <v>3000</v>
      </c>
      <c r="D1452" s="293">
        <v>3000</v>
      </c>
      <c r="E1452" s="293">
        <v>0</v>
      </c>
      <c r="F1452" s="294" t="s">
        <v>316</v>
      </c>
    </row>
    <row r="1453" spans="1:6" hidden="1" outlineLevel="1" collapsed="1" x14ac:dyDescent="0.25">
      <c r="A1453" s="321" t="s">
        <v>282</v>
      </c>
      <c r="B1453" s="321" t="s">
        <v>751</v>
      </c>
      <c r="C1453" s="293">
        <v>21238.898256</v>
      </c>
      <c r="D1453" s="293">
        <v>0</v>
      </c>
      <c r="E1453" s="293">
        <v>-21238.898256</v>
      </c>
      <c r="F1453" s="294" t="s">
        <v>286</v>
      </c>
    </row>
    <row r="1454" spans="1:6" hidden="1" outlineLevel="1" collapsed="1" x14ac:dyDescent="0.25">
      <c r="A1454" s="321" t="s">
        <v>282</v>
      </c>
      <c r="B1454" s="321" t="s">
        <v>752</v>
      </c>
      <c r="C1454" s="293">
        <v>0</v>
      </c>
      <c r="D1454" s="293">
        <v>17877.842568</v>
      </c>
      <c r="E1454" s="293">
        <v>17877.842568</v>
      </c>
      <c r="F1454" s="294" t="s">
        <v>298</v>
      </c>
    </row>
    <row r="1455" spans="1:6" hidden="1" outlineLevel="1" collapsed="1" x14ac:dyDescent="0.25">
      <c r="A1455" s="321" t="s">
        <v>282</v>
      </c>
      <c r="B1455" s="321" t="s">
        <v>384</v>
      </c>
      <c r="C1455" s="293">
        <v>25567.629970000002</v>
      </c>
      <c r="D1455" s="293">
        <v>0</v>
      </c>
      <c r="E1455" s="293">
        <v>-25567.629970000002</v>
      </c>
      <c r="F1455" s="294" t="s">
        <v>286</v>
      </c>
    </row>
    <row r="1456" spans="1:6" hidden="1" outlineLevel="1" collapsed="1" x14ac:dyDescent="0.25">
      <c r="A1456" s="321" t="s">
        <v>282</v>
      </c>
      <c r="B1456" s="321" t="s">
        <v>385</v>
      </c>
      <c r="C1456" s="293">
        <v>0</v>
      </c>
      <c r="D1456" s="293">
        <v>32853.712136000002</v>
      </c>
      <c r="E1456" s="293">
        <v>32853.712136000002</v>
      </c>
      <c r="F1456" s="294" t="s">
        <v>298</v>
      </c>
    </row>
    <row r="1457" spans="1:6" hidden="1" outlineLevel="1" collapsed="1" x14ac:dyDescent="0.25">
      <c r="A1457" s="321" t="s">
        <v>282</v>
      </c>
      <c r="B1457" s="321" t="s">
        <v>386</v>
      </c>
      <c r="C1457" s="293">
        <v>12777.598695999999</v>
      </c>
      <c r="D1457" s="293">
        <v>0</v>
      </c>
      <c r="E1457" s="293">
        <v>-12777.598695999999</v>
      </c>
      <c r="F1457" s="294" t="s">
        <v>286</v>
      </c>
    </row>
    <row r="1458" spans="1:6" hidden="1" outlineLevel="1" collapsed="1" x14ac:dyDescent="0.25">
      <c r="A1458" s="321" t="s">
        <v>282</v>
      </c>
      <c r="B1458" s="321" t="s">
        <v>387</v>
      </c>
      <c r="C1458" s="293">
        <v>0</v>
      </c>
      <c r="D1458" s="293">
        <v>13291.95433</v>
      </c>
      <c r="E1458" s="293">
        <v>13291.95433</v>
      </c>
      <c r="F1458" s="294" t="s">
        <v>298</v>
      </c>
    </row>
    <row r="1459" spans="1:6" hidden="1" outlineLevel="1" collapsed="1" x14ac:dyDescent="0.25">
      <c r="A1459" s="321" t="s">
        <v>282</v>
      </c>
      <c r="B1459" s="321" t="s">
        <v>388</v>
      </c>
      <c r="C1459" s="293">
        <v>2988.3093520000002</v>
      </c>
      <c r="D1459" s="293">
        <v>3108.602198</v>
      </c>
      <c r="E1459" s="293">
        <v>120.292846</v>
      </c>
      <c r="F1459" s="294" t="s">
        <v>839</v>
      </c>
    </row>
    <row r="1460" spans="1:6" hidden="1" outlineLevel="1" collapsed="1" x14ac:dyDescent="0.25">
      <c r="A1460" s="321" t="s">
        <v>282</v>
      </c>
      <c r="B1460" s="321" t="s">
        <v>444</v>
      </c>
      <c r="C1460" s="293">
        <v>17374</v>
      </c>
      <c r="D1460" s="293">
        <v>19537</v>
      </c>
      <c r="E1460" s="293">
        <v>2163</v>
      </c>
      <c r="F1460" s="294" t="s">
        <v>840</v>
      </c>
    </row>
    <row r="1461" spans="1:6" hidden="1" outlineLevel="1" collapsed="1" x14ac:dyDescent="0.25">
      <c r="A1461" s="321" t="s">
        <v>282</v>
      </c>
      <c r="B1461" s="321" t="s">
        <v>389</v>
      </c>
      <c r="C1461" s="293">
        <v>1704.4992</v>
      </c>
      <c r="D1461" s="293">
        <v>1688.16</v>
      </c>
      <c r="E1461" s="293">
        <v>-16.339200000000002</v>
      </c>
      <c r="F1461" s="294" t="s">
        <v>364</v>
      </c>
    </row>
    <row r="1462" spans="1:6" hidden="1" outlineLevel="1" collapsed="1" x14ac:dyDescent="0.25">
      <c r="A1462" s="321" t="s">
        <v>282</v>
      </c>
      <c r="B1462" s="321" t="s">
        <v>390</v>
      </c>
      <c r="C1462" s="293">
        <v>30970.54</v>
      </c>
      <c r="D1462" s="293">
        <v>31918.560000000001</v>
      </c>
      <c r="E1462" s="293">
        <v>948.02</v>
      </c>
      <c r="F1462" s="294" t="s">
        <v>391</v>
      </c>
    </row>
    <row r="1463" spans="1:6" hidden="1" outlineLevel="1" collapsed="1" x14ac:dyDescent="0.25">
      <c r="A1463" s="321" t="s">
        <v>282</v>
      </c>
      <c r="B1463" s="321" t="s">
        <v>392</v>
      </c>
      <c r="C1463" s="293">
        <v>934.15679999999998</v>
      </c>
      <c r="D1463" s="293">
        <v>731.52</v>
      </c>
      <c r="E1463" s="293">
        <v>-202.63679999999999</v>
      </c>
      <c r="F1463" s="294" t="s">
        <v>368</v>
      </c>
    </row>
    <row r="1464" spans="1:6" hidden="1" outlineLevel="1" collapsed="1" x14ac:dyDescent="0.25">
      <c r="A1464" s="321" t="s">
        <v>282</v>
      </c>
      <c r="B1464" s="321" t="s">
        <v>754</v>
      </c>
      <c r="C1464" s="293">
        <v>15358.56</v>
      </c>
      <c r="D1464" s="293">
        <v>11969.46</v>
      </c>
      <c r="E1464" s="293">
        <v>-3389.1</v>
      </c>
      <c r="F1464" s="294" t="s">
        <v>2029</v>
      </c>
    </row>
    <row r="1465" spans="1:6" hidden="1" outlineLevel="1" collapsed="1" x14ac:dyDescent="0.25">
      <c r="A1465" s="321" t="s">
        <v>282</v>
      </c>
      <c r="B1465" s="321" t="s">
        <v>755</v>
      </c>
      <c r="C1465" s="293">
        <v>426.12479999999999</v>
      </c>
      <c r="D1465" s="293">
        <v>316.52999999999997</v>
      </c>
      <c r="E1465" s="293">
        <v>-109.59480000000001</v>
      </c>
      <c r="F1465" s="294" t="s">
        <v>2036</v>
      </c>
    </row>
    <row r="1466" spans="1:6" hidden="1" outlineLevel="1" collapsed="1" x14ac:dyDescent="0.25">
      <c r="A1466" s="321" t="s">
        <v>282</v>
      </c>
      <c r="B1466" s="321" t="s">
        <v>756</v>
      </c>
      <c r="C1466" s="293">
        <v>233.53919999999999</v>
      </c>
      <c r="D1466" s="293">
        <v>137.16</v>
      </c>
      <c r="E1466" s="293">
        <v>-96.379199999999997</v>
      </c>
      <c r="F1466" s="294" t="s">
        <v>2037</v>
      </c>
    </row>
    <row r="1467" spans="1:6" hidden="1" outlineLevel="1" collapsed="1" x14ac:dyDescent="0.25">
      <c r="A1467" s="321" t="s">
        <v>282</v>
      </c>
      <c r="B1467" s="321" t="s">
        <v>393</v>
      </c>
      <c r="C1467" s="293">
        <v>103.045136</v>
      </c>
      <c r="D1467" s="293">
        <v>107.193144</v>
      </c>
      <c r="E1467" s="293">
        <v>4.1480079999999999</v>
      </c>
      <c r="F1467" s="294" t="s">
        <v>839</v>
      </c>
    </row>
    <row r="1468" spans="1:6" hidden="1" outlineLevel="1" collapsed="1" x14ac:dyDescent="0.25">
      <c r="A1468" s="321" t="s">
        <v>282</v>
      </c>
      <c r="B1468" s="321" t="s">
        <v>757</v>
      </c>
      <c r="C1468" s="293">
        <v>81.675083999999998</v>
      </c>
      <c r="D1468" s="293">
        <v>0</v>
      </c>
      <c r="E1468" s="293">
        <v>-81.675083999999998</v>
      </c>
      <c r="F1468" s="294" t="s">
        <v>286</v>
      </c>
    </row>
    <row r="1469" spans="1:6" hidden="1" outlineLevel="1" collapsed="1" x14ac:dyDescent="0.25">
      <c r="A1469" s="321" t="s">
        <v>282</v>
      </c>
      <c r="B1469" s="321" t="s">
        <v>758</v>
      </c>
      <c r="C1469" s="293">
        <v>0</v>
      </c>
      <c r="D1469" s="293">
        <v>62.171784000000002</v>
      </c>
      <c r="E1469" s="293">
        <v>62.171784000000002</v>
      </c>
      <c r="F1469" s="294" t="s">
        <v>298</v>
      </c>
    </row>
    <row r="1470" spans="1:6" hidden="1" outlineLevel="1" collapsed="1" x14ac:dyDescent="0.25">
      <c r="A1470" s="321" t="s">
        <v>282</v>
      </c>
      <c r="B1470" s="321" t="s">
        <v>394</v>
      </c>
      <c r="C1470" s="293">
        <v>6000</v>
      </c>
      <c r="D1470" s="293">
        <v>0</v>
      </c>
      <c r="E1470" s="293">
        <v>-6000</v>
      </c>
      <c r="F1470" s="294" t="s">
        <v>286</v>
      </c>
    </row>
    <row r="1471" spans="1:6" hidden="1" outlineLevel="1" collapsed="1" x14ac:dyDescent="0.25">
      <c r="A1471" s="321" t="s">
        <v>282</v>
      </c>
      <c r="B1471" s="321" t="s">
        <v>395</v>
      </c>
      <c r="C1471" s="293">
        <v>0</v>
      </c>
      <c r="D1471" s="293">
        <v>6000</v>
      </c>
      <c r="E1471" s="293">
        <v>6000</v>
      </c>
      <c r="F1471" s="294" t="s">
        <v>298</v>
      </c>
    </row>
    <row r="1472" spans="1:6" hidden="1" outlineLevel="1" collapsed="1" x14ac:dyDescent="0.25">
      <c r="A1472" s="321" t="s">
        <v>282</v>
      </c>
      <c r="B1472" s="321" t="s">
        <v>759</v>
      </c>
      <c r="C1472" s="293">
        <v>1500</v>
      </c>
      <c r="D1472" s="293">
        <v>0</v>
      </c>
      <c r="E1472" s="293">
        <v>-1500</v>
      </c>
      <c r="F1472" s="294" t="s">
        <v>286</v>
      </c>
    </row>
    <row r="1473" spans="1:6" hidden="1" outlineLevel="1" collapsed="1" x14ac:dyDescent="0.25">
      <c r="A1473" s="321" t="s">
        <v>282</v>
      </c>
      <c r="B1473" s="321" t="s">
        <v>760</v>
      </c>
      <c r="C1473" s="293">
        <v>0</v>
      </c>
      <c r="D1473" s="293">
        <v>1125</v>
      </c>
      <c r="E1473" s="293">
        <v>1125</v>
      </c>
      <c r="F1473" s="294" t="s">
        <v>298</v>
      </c>
    </row>
    <row r="1474" spans="1:6" hidden="1" outlineLevel="1" collapsed="1" x14ac:dyDescent="0.25">
      <c r="A1474" s="321" t="s">
        <v>282</v>
      </c>
      <c r="B1474" s="321" t="s">
        <v>396</v>
      </c>
      <c r="C1474" s="293">
        <v>198.72</v>
      </c>
      <c r="D1474" s="293">
        <v>0</v>
      </c>
      <c r="E1474" s="293">
        <v>-198.72</v>
      </c>
      <c r="F1474" s="294" t="s">
        <v>286</v>
      </c>
    </row>
    <row r="1475" spans="1:6" hidden="1" outlineLevel="1" collapsed="1" x14ac:dyDescent="0.25">
      <c r="A1475" s="321" t="s">
        <v>282</v>
      </c>
      <c r="B1475" s="321" t="s">
        <v>397</v>
      </c>
      <c r="C1475" s="293">
        <v>0</v>
      </c>
      <c r="D1475" s="293">
        <v>193.92</v>
      </c>
      <c r="E1475" s="293">
        <v>193.92</v>
      </c>
      <c r="F1475" s="294" t="s">
        <v>298</v>
      </c>
    </row>
    <row r="1476" spans="1:6" hidden="1" outlineLevel="1" collapsed="1" x14ac:dyDescent="0.25">
      <c r="A1476" s="321" t="s">
        <v>282</v>
      </c>
      <c r="B1476" s="321" t="s">
        <v>761</v>
      </c>
      <c r="C1476" s="293">
        <v>49.68</v>
      </c>
      <c r="D1476" s="293">
        <v>0</v>
      </c>
      <c r="E1476" s="293">
        <v>-49.68</v>
      </c>
      <c r="F1476" s="294" t="s">
        <v>286</v>
      </c>
    </row>
    <row r="1477" spans="1:6" hidden="1" outlineLevel="1" collapsed="1" x14ac:dyDescent="0.25">
      <c r="A1477" s="321" t="s">
        <v>282</v>
      </c>
      <c r="B1477" s="321" t="s">
        <v>762</v>
      </c>
      <c r="C1477" s="293">
        <v>0</v>
      </c>
      <c r="D1477" s="293">
        <v>36.36</v>
      </c>
      <c r="E1477" s="293">
        <v>36.36</v>
      </c>
      <c r="F1477" s="294" t="s">
        <v>298</v>
      </c>
    </row>
    <row r="1478" spans="1:6" hidden="1" outlineLevel="1" collapsed="1" x14ac:dyDescent="0.25">
      <c r="A1478" s="321" t="s">
        <v>282</v>
      </c>
      <c r="B1478" s="321" t="s">
        <v>398</v>
      </c>
      <c r="C1478" s="293">
        <v>96</v>
      </c>
      <c r="D1478" s="293">
        <v>44.16</v>
      </c>
      <c r="E1478" s="293">
        <v>-51.84</v>
      </c>
      <c r="F1478" s="294" t="s">
        <v>374</v>
      </c>
    </row>
    <row r="1479" spans="1:6" hidden="1" outlineLevel="1" collapsed="1" x14ac:dyDescent="0.25">
      <c r="A1479" s="321" t="s">
        <v>282</v>
      </c>
      <c r="B1479" s="321" t="s">
        <v>763</v>
      </c>
      <c r="C1479" s="293">
        <v>24</v>
      </c>
      <c r="D1479" s="293">
        <v>8.2799999999999994</v>
      </c>
      <c r="E1479" s="293">
        <v>-15.72</v>
      </c>
      <c r="F1479" s="294" t="s">
        <v>2038</v>
      </c>
    </row>
    <row r="1480" spans="1:6" hidden="1" outlineLevel="1" collapsed="1" x14ac:dyDescent="0.25">
      <c r="A1480" s="321" t="s">
        <v>282</v>
      </c>
      <c r="B1480" s="321" t="s">
        <v>522</v>
      </c>
      <c r="C1480" s="293">
        <v>6000</v>
      </c>
      <c r="D1480" s="293">
        <v>6000</v>
      </c>
      <c r="E1480" s="293">
        <v>0</v>
      </c>
      <c r="F1480" s="294" t="s">
        <v>316</v>
      </c>
    </row>
    <row r="1481" spans="1:6" hidden="1" outlineLevel="1" collapsed="1" x14ac:dyDescent="0.25">
      <c r="A1481" s="321" t="s">
        <v>282</v>
      </c>
      <c r="B1481" s="321" t="s">
        <v>523</v>
      </c>
      <c r="C1481" s="293">
        <v>490</v>
      </c>
      <c r="D1481" s="293">
        <v>490</v>
      </c>
      <c r="E1481" s="293">
        <v>0</v>
      </c>
      <c r="F1481" s="294" t="s">
        <v>316</v>
      </c>
    </row>
    <row r="1482" spans="1:6" hidden="1" outlineLevel="1" collapsed="1" x14ac:dyDescent="0.25">
      <c r="A1482" s="321" t="s">
        <v>282</v>
      </c>
      <c r="B1482" s="321" t="s">
        <v>376</v>
      </c>
      <c r="C1482" s="293">
        <v>3734</v>
      </c>
      <c r="D1482" s="293">
        <v>3284</v>
      </c>
      <c r="E1482" s="293">
        <v>-450</v>
      </c>
      <c r="F1482" s="294" t="s">
        <v>2050</v>
      </c>
    </row>
    <row r="1483" spans="1:6" hidden="1" outlineLevel="1" collapsed="1" x14ac:dyDescent="0.25">
      <c r="A1483" s="321" t="s">
        <v>282</v>
      </c>
      <c r="B1483" s="321" t="s">
        <v>567</v>
      </c>
      <c r="C1483" s="293">
        <v>20699</v>
      </c>
      <c r="D1483" s="293">
        <v>20699</v>
      </c>
      <c r="E1483" s="293">
        <v>0</v>
      </c>
      <c r="F1483" s="294" t="s">
        <v>316</v>
      </c>
    </row>
    <row r="1484" spans="1:6" hidden="1" outlineLevel="1" collapsed="1" x14ac:dyDescent="0.25">
      <c r="A1484" s="321" t="s">
        <v>282</v>
      </c>
      <c r="B1484" s="321" t="s">
        <v>426</v>
      </c>
      <c r="C1484" s="293">
        <v>9050</v>
      </c>
      <c r="D1484" s="293">
        <v>4488</v>
      </c>
      <c r="E1484" s="293">
        <v>-4562</v>
      </c>
      <c r="F1484" s="294" t="s">
        <v>841</v>
      </c>
    </row>
    <row r="1485" spans="1:6" hidden="1" outlineLevel="1" collapsed="1" x14ac:dyDescent="0.25">
      <c r="A1485" s="321" t="s">
        <v>282</v>
      </c>
      <c r="B1485" s="321" t="s">
        <v>707</v>
      </c>
      <c r="C1485" s="293">
        <v>600</v>
      </c>
      <c r="D1485" s="293">
        <v>450</v>
      </c>
      <c r="E1485" s="293">
        <v>-150</v>
      </c>
      <c r="F1485" s="294" t="s">
        <v>1321</v>
      </c>
    </row>
    <row r="1486" spans="1:6" hidden="1" outlineLevel="1" collapsed="1" x14ac:dyDescent="0.25">
      <c r="A1486" s="321" t="s">
        <v>282</v>
      </c>
      <c r="B1486" s="321" t="s">
        <v>597</v>
      </c>
      <c r="C1486" s="293">
        <v>300</v>
      </c>
      <c r="D1486" s="293">
        <v>300</v>
      </c>
      <c r="E1486" s="293">
        <v>0</v>
      </c>
      <c r="F1486" s="294" t="s">
        <v>316</v>
      </c>
    </row>
    <row r="1487" spans="1:6" hidden="1" outlineLevel="1" collapsed="1" x14ac:dyDescent="0.25">
      <c r="A1487" s="321" t="s">
        <v>282</v>
      </c>
      <c r="B1487" s="321" t="s">
        <v>842</v>
      </c>
      <c r="C1487" s="293">
        <v>499</v>
      </c>
      <c r="D1487" s="293">
        <v>499</v>
      </c>
      <c r="E1487" s="293">
        <v>0</v>
      </c>
      <c r="F1487" s="294" t="s">
        <v>316</v>
      </c>
    </row>
    <row r="1488" spans="1:6" hidden="1" outlineLevel="1" collapsed="1" x14ac:dyDescent="0.25">
      <c r="A1488" s="321" t="s">
        <v>282</v>
      </c>
      <c r="B1488" s="321" t="s">
        <v>843</v>
      </c>
      <c r="C1488" s="293">
        <v>0</v>
      </c>
      <c r="D1488" s="293">
        <v>540</v>
      </c>
      <c r="E1488" s="293">
        <v>540</v>
      </c>
      <c r="F1488" s="294" t="s">
        <v>298</v>
      </c>
    </row>
    <row r="1489" spans="1:6" hidden="1" outlineLevel="1" collapsed="1" x14ac:dyDescent="0.25">
      <c r="A1489" s="321" t="s">
        <v>282</v>
      </c>
      <c r="B1489" s="321" t="s">
        <v>416</v>
      </c>
      <c r="C1489" s="293">
        <v>0</v>
      </c>
      <c r="D1489" s="293">
        <v>100</v>
      </c>
      <c r="E1489" s="293">
        <v>100</v>
      </c>
      <c r="F1489" s="294" t="s">
        <v>298</v>
      </c>
    </row>
    <row r="1490" spans="1:6" hidden="1" outlineLevel="1" collapsed="1" x14ac:dyDescent="0.25">
      <c r="A1490" s="321" t="s">
        <v>282</v>
      </c>
      <c r="B1490" s="321" t="s">
        <v>401</v>
      </c>
      <c r="C1490" s="293">
        <v>100</v>
      </c>
      <c r="D1490" s="293">
        <v>0</v>
      </c>
      <c r="E1490" s="293">
        <v>-100</v>
      </c>
      <c r="F1490" s="294" t="s">
        <v>286</v>
      </c>
    </row>
    <row r="1491" spans="1:6" hidden="1" outlineLevel="1" collapsed="1" x14ac:dyDescent="0.25">
      <c r="A1491" s="321" t="s">
        <v>282</v>
      </c>
      <c r="B1491" s="321" t="s">
        <v>403</v>
      </c>
      <c r="C1491" s="293">
        <v>108</v>
      </c>
      <c r="D1491" s="293">
        <v>108</v>
      </c>
      <c r="E1491" s="293">
        <v>0</v>
      </c>
      <c r="F1491" s="294" t="s">
        <v>316</v>
      </c>
    </row>
    <row r="1492" spans="1:6" hidden="1" outlineLevel="1" collapsed="1" x14ac:dyDescent="0.25">
      <c r="A1492" s="321" t="s">
        <v>282</v>
      </c>
      <c r="B1492" s="321" t="s">
        <v>405</v>
      </c>
      <c r="C1492" s="293">
        <v>300</v>
      </c>
      <c r="D1492" s="293">
        <v>0</v>
      </c>
      <c r="E1492" s="293">
        <v>-300</v>
      </c>
      <c r="F1492" s="294" t="s">
        <v>286</v>
      </c>
    </row>
    <row r="1493" spans="1:6" hidden="1" outlineLevel="1" collapsed="1" x14ac:dyDescent="0.25">
      <c r="A1493" s="321" t="s">
        <v>282</v>
      </c>
      <c r="B1493" s="321" t="s">
        <v>557</v>
      </c>
      <c r="C1493" s="293">
        <v>240</v>
      </c>
      <c r="D1493" s="293">
        <v>40</v>
      </c>
      <c r="E1493" s="293">
        <v>-200</v>
      </c>
      <c r="F1493" s="294" t="s">
        <v>1537</v>
      </c>
    </row>
    <row r="1494" spans="1:6" hidden="1" outlineLevel="1" collapsed="1" x14ac:dyDescent="0.25">
      <c r="A1494" s="321" t="s">
        <v>282</v>
      </c>
      <c r="B1494" s="321" t="s">
        <v>422</v>
      </c>
      <c r="C1494" s="293">
        <v>90</v>
      </c>
      <c r="D1494" s="293">
        <v>1190</v>
      </c>
      <c r="E1494" s="293">
        <v>1100</v>
      </c>
      <c r="F1494" s="294" t="s">
        <v>844</v>
      </c>
    </row>
    <row r="1495" spans="1:6" hidden="1" outlineLevel="1" collapsed="1" x14ac:dyDescent="0.25">
      <c r="A1495" s="321" t="s">
        <v>282</v>
      </c>
      <c r="B1495" s="321" t="s">
        <v>770</v>
      </c>
      <c r="C1495" s="293">
        <v>14000</v>
      </c>
      <c r="D1495" s="293">
        <v>11000</v>
      </c>
      <c r="E1495" s="293">
        <v>-3000</v>
      </c>
      <c r="F1495" s="294" t="s">
        <v>845</v>
      </c>
    </row>
    <row r="1496" spans="1:6" collapsed="1" x14ac:dyDescent="0.25">
      <c r="A1496" s="560" t="s">
        <v>846</v>
      </c>
      <c r="B1496" s="561"/>
      <c r="C1496" s="292">
        <v>38254</v>
      </c>
      <c r="D1496" s="293">
        <v>38525</v>
      </c>
      <c r="E1496" s="293">
        <v>271</v>
      </c>
      <c r="F1496" s="294" t="s">
        <v>2051</v>
      </c>
    </row>
    <row r="1497" spans="1:6" hidden="1" outlineLevel="1" collapsed="1" x14ac:dyDescent="0.25">
      <c r="A1497" s="321" t="s">
        <v>282</v>
      </c>
      <c r="B1497" s="321" t="s">
        <v>441</v>
      </c>
      <c r="C1497" s="293">
        <v>18700</v>
      </c>
      <c r="D1497" s="293">
        <v>18711</v>
      </c>
      <c r="E1497" s="293">
        <v>11</v>
      </c>
      <c r="F1497" s="294" t="s">
        <v>848</v>
      </c>
    </row>
    <row r="1498" spans="1:6" hidden="1" outlineLevel="1" collapsed="1" x14ac:dyDescent="0.25">
      <c r="A1498" s="321" t="s">
        <v>282</v>
      </c>
      <c r="B1498" s="321" t="s">
        <v>822</v>
      </c>
      <c r="C1498" s="293">
        <v>7500</v>
      </c>
      <c r="D1498" s="293">
        <v>7500</v>
      </c>
      <c r="E1498" s="293">
        <v>0</v>
      </c>
      <c r="F1498" s="294" t="s">
        <v>316</v>
      </c>
    </row>
    <row r="1499" spans="1:6" hidden="1" outlineLevel="1" collapsed="1" x14ac:dyDescent="0.25">
      <c r="A1499" s="321" t="s">
        <v>282</v>
      </c>
      <c r="B1499" s="321" t="s">
        <v>475</v>
      </c>
      <c r="C1499" s="293">
        <v>1000</v>
      </c>
      <c r="D1499" s="293">
        <v>950</v>
      </c>
      <c r="E1499" s="293">
        <v>-50</v>
      </c>
      <c r="F1499" s="294" t="s">
        <v>849</v>
      </c>
    </row>
    <row r="1500" spans="1:6" hidden="1" outlineLevel="1" collapsed="1" x14ac:dyDescent="0.25">
      <c r="A1500" s="321" t="s">
        <v>282</v>
      </c>
      <c r="B1500" s="321" t="s">
        <v>444</v>
      </c>
      <c r="C1500" s="293">
        <v>3294</v>
      </c>
      <c r="D1500" s="293">
        <v>3291</v>
      </c>
      <c r="E1500" s="293">
        <v>-3</v>
      </c>
      <c r="F1500" s="294" t="s">
        <v>850</v>
      </c>
    </row>
    <row r="1501" spans="1:6" hidden="1" outlineLevel="1" collapsed="1" x14ac:dyDescent="0.25">
      <c r="A1501" s="321" t="s">
        <v>282</v>
      </c>
      <c r="B1501" s="321" t="s">
        <v>376</v>
      </c>
      <c r="C1501" s="293">
        <v>27</v>
      </c>
      <c r="D1501" s="293">
        <v>438</v>
      </c>
      <c r="E1501" s="293">
        <v>411</v>
      </c>
      <c r="F1501" s="294" t="s">
        <v>2052</v>
      </c>
    </row>
    <row r="1502" spans="1:6" hidden="1" outlineLevel="1" collapsed="1" x14ac:dyDescent="0.25">
      <c r="A1502" s="321" t="s">
        <v>282</v>
      </c>
      <c r="B1502" s="321" t="s">
        <v>426</v>
      </c>
      <c r="C1502" s="293">
        <v>110</v>
      </c>
      <c r="D1502" s="293">
        <v>110</v>
      </c>
      <c r="E1502" s="293">
        <v>0</v>
      </c>
      <c r="F1502" s="294" t="s">
        <v>316</v>
      </c>
    </row>
    <row r="1503" spans="1:6" hidden="1" outlineLevel="1" collapsed="1" x14ac:dyDescent="0.25">
      <c r="A1503" s="321" t="s">
        <v>282</v>
      </c>
      <c r="B1503" s="321" t="s">
        <v>482</v>
      </c>
      <c r="C1503" s="293">
        <v>600</v>
      </c>
      <c r="D1503" s="293">
        <v>500</v>
      </c>
      <c r="E1503" s="293">
        <v>-100</v>
      </c>
      <c r="F1503" s="294" t="s">
        <v>852</v>
      </c>
    </row>
    <row r="1504" spans="1:6" hidden="1" outlineLevel="1" collapsed="1" x14ac:dyDescent="0.25">
      <c r="A1504" s="321" t="s">
        <v>282</v>
      </c>
      <c r="B1504" s="321" t="s">
        <v>416</v>
      </c>
      <c r="C1504" s="293">
        <v>6223</v>
      </c>
      <c r="D1504" s="293">
        <v>6225</v>
      </c>
      <c r="E1504" s="293">
        <v>2</v>
      </c>
      <c r="F1504" s="294" t="s">
        <v>853</v>
      </c>
    </row>
    <row r="1505" spans="1:6" hidden="1" outlineLevel="1" collapsed="1" x14ac:dyDescent="0.25">
      <c r="A1505" s="321" t="s">
        <v>282</v>
      </c>
      <c r="B1505" s="321" t="s">
        <v>626</v>
      </c>
      <c r="C1505" s="293">
        <v>800</v>
      </c>
      <c r="D1505" s="293">
        <v>800</v>
      </c>
      <c r="E1505" s="293">
        <v>0</v>
      </c>
      <c r="F1505" s="294" t="s">
        <v>316</v>
      </c>
    </row>
    <row r="1506" spans="1:6" collapsed="1" x14ac:dyDescent="0.25">
      <c r="A1506" s="560" t="s">
        <v>854</v>
      </c>
      <c r="B1506" s="561"/>
      <c r="C1506" s="292">
        <v>3234</v>
      </c>
      <c r="D1506" s="293">
        <v>4295</v>
      </c>
      <c r="E1506" s="293">
        <v>1061</v>
      </c>
      <c r="F1506" s="294" t="s">
        <v>2053</v>
      </c>
    </row>
    <row r="1507" spans="1:6" hidden="1" outlineLevel="1" collapsed="1" x14ac:dyDescent="0.25">
      <c r="A1507" s="321" t="s">
        <v>282</v>
      </c>
      <c r="B1507" s="321" t="s">
        <v>424</v>
      </c>
      <c r="C1507" s="293">
        <v>3234</v>
      </c>
      <c r="D1507" s="293">
        <v>3234</v>
      </c>
      <c r="E1507" s="293">
        <v>0</v>
      </c>
      <c r="F1507" s="294" t="s">
        <v>316</v>
      </c>
    </row>
    <row r="1508" spans="1:6" hidden="1" outlineLevel="1" collapsed="1" x14ac:dyDescent="0.25">
      <c r="A1508" s="321" t="s">
        <v>282</v>
      </c>
      <c r="B1508" s="321" t="s">
        <v>843</v>
      </c>
      <c r="C1508" s="293">
        <v>0</v>
      </c>
      <c r="D1508" s="293">
        <v>479</v>
      </c>
      <c r="E1508" s="293">
        <v>479</v>
      </c>
      <c r="F1508" s="294" t="s">
        <v>298</v>
      </c>
    </row>
    <row r="1509" spans="1:6" hidden="1" outlineLevel="1" collapsed="1" x14ac:dyDescent="0.25">
      <c r="A1509" s="321" t="s">
        <v>282</v>
      </c>
      <c r="B1509" s="321" t="s">
        <v>422</v>
      </c>
      <c r="C1509" s="293">
        <v>0</v>
      </c>
      <c r="D1509" s="293">
        <v>582</v>
      </c>
      <c r="E1509" s="293">
        <v>582</v>
      </c>
      <c r="F1509" s="294" t="s">
        <v>298</v>
      </c>
    </row>
    <row r="1510" spans="1:6" collapsed="1" x14ac:dyDescent="0.25">
      <c r="A1510" s="560" t="s">
        <v>856</v>
      </c>
      <c r="B1510" s="561"/>
      <c r="C1510" s="292">
        <v>6190</v>
      </c>
      <c r="D1510" s="293">
        <v>6190</v>
      </c>
      <c r="E1510" s="293">
        <v>0</v>
      </c>
      <c r="F1510" s="294" t="s">
        <v>316</v>
      </c>
    </row>
    <row r="1511" spans="1:6" hidden="1" outlineLevel="1" collapsed="1" x14ac:dyDescent="0.25">
      <c r="A1511" s="321" t="s">
        <v>282</v>
      </c>
      <c r="B1511" s="321" t="s">
        <v>376</v>
      </c>
      <c r="C1511" s="293">
        <v>200</v>
      </c>
      <c r="D1511" s="293">
        <v>200</v>
      </c>
      <c r="E1511" s="293">
        <v>0</v>
      </c>
      <c r="F1511" s="294" t="s">
        <v>316</v>
      </c>
    </row>
    <row r="1512" spans="1:6" hidden="1" outlineLevel="1" collapsed="1" x14ac:dyDescent="0.25">
      <c r="A1512" s="321" t="s">
        <v>282</v>
      </c>
      <c r="B1512" s="321" t="s">
        <v>506</v>
      </c>
      <c r="C1512" s="293">
        <v>350</v>
      </c>
      <c r="D1512" s="293">
        <v>800</v>
      </c>
      <c r="E1512" s="293">
        <v>450</v>
      </c>
      <c r="F1512" s="294" t="s">
        <v>857</v>
      </c>
    </row>
    <row r="1513" spans="1:6" hidden="1" outlineLevel="1" collapsed="1" x14ac:dyDescent="0.25">
      <c r="A1513" s="321" t="s">
        <v>282</v>
      </c>
      <c r="B1513" s="321" t="s">
        <v>567</v>
      </c>
      <c r="C1513" s="293">
        <v>500</v>
      </c>
      <c r="D1513" s="293">
        <v>500</v>
      </c>
      <c r="E1513" s="293">
        <v>0</v>
      </c>
      <c r="F1513" s="294" t="s">
        <v>316</v>
      </c>
    </row>
    <row r="1514" spans="1:6" hidden="1" outlineLevel="1" collapsed="1" x14ac:dyDescent="0.25">
      <c r="A1514" s="321" t="s">
        <v>282</v>
      </c>
      <c r="B1514" s="321" t="s">
        <v>426</v>
      </c>
      <c r="C1514" s="293">
        <v>750</v>
      </c>
      <c r="D1514" s="293">
        <v>500</v>
      </c>
      <c r="E1514" s="293">
        <v>-250</v>
      </c>
      <c r="F1514" s="294" t="s">
        <v>858</v>
      </c>
    </row>
    <row r="1515" spans="1:6" hidden="1" outlineLevel="1" collapsed="1" x14ac:dyDescent="0.25">
      <c r="A1515" s="321" t="s">
        <v>282</v>
      </c>
      <c r="B1515" s="321" t="s">
        <v>597</v>
      </c>
      <c r="C1515" s="293">
        <v>500</v>
      </c>
      <c r="D1515" s="293">
        <v>400</v>
      </c>
      <c r="E1515" s="293">
        <v>-100</v>
      </c>
      <c r="F1515" s="294" t="s">
        <v>859</v>
      </c>
    </row>
    <row r="1516" spans="1:6" hidden="1" outlineLevel="1" collapsed="1" x14ac:dyDescent="0.25">
      <c r="A1516" s="321" t="s">
        <v>282</v>
      </c>
      <c r="B1516" s="321" t="s">
        <v>401</v>
      </c>
      <c r="C1516" s="293">
        <v>2000</v>
      </c>
      <c r="D1516" s="293">
        <v>2000</v>
      </c>
      <c r="E1516" s="293">
        <v>0</v>
      </c>
      <c r="F1516" s="294" t="s">
        <v>316</v>
      </c>
    </row>
    <row r="1517" spans="1:6" hidden="1" outlineLevel="1" collapsed="1" x14ac:dyDescent="0.25">
      <c r="A1517" s="321" t="s">
        <v>282</v>
      </c>
      <c r="B1517" s="321" t="s">
        <v>405</v>
      </c>
      <c r="C1517" s="293">
        <v>1690</v>
      </c>
      <c r="D1517" s="293">
        <v>1790</v>
      </c>
      <c r="E1517" s="293">
        <v>100</v>
      </c>
      <c r="F1517" s="294" t="s">
        <v>860</v>
      </c>
    </row>
    <row r="1518" spans="1:6" hidden="1" outlineLevel="1" collapsed="1" x14ac:dyDescent="0.25">
      <c r="A1518" s="321" t="s">
        <v>282</v>
      </c>
      <c r="B1518" s="321" t="s">
        <v>557</v>
      </c>
      <c r="C1518" s="293">
        <v>200</v>
      </c>
      <c r="D1518" s="293">
        <v>0</v>
      </c>
      <c r="E1518" s="293">
        <v>-200</v>
      </c>
      <c r="F1518" s="294" t="s">
        <v>286</v>
      </c>
    </row>
    <row r="1519" spans="1:6" collapsed="1" x14ac:dyDescent="0.25">
      <c r="A1519" s="560" t="s">
        <v>861</v>
      </c>
      <c r="B1519" s="561"/>
      <c r="C1519" s="292">
        <v>4727</v>
      </c>
      <c r="D1519" s="293">
        <v>4727</v>
      </c>
      <c r="E1519" s="293">
        <v>0</v>
      </c>
      <c r="F1519" s="294" t="s">
        <v>316</v>
      </c>
    </row>
    <row r="1520" spans="1:6" hidden="1" outlineLevel="1" collapsed="1" x14ac:dyDescent="0.25">
      <c r="A1520" s="321" t="s">
        <v>282</v>
      </c>
      <c r="B1520" s="321" t="s">
        <v>441</v>
      </c>
      <c r="C1520" s="293">
        <v>4212</v>
      </c>
      <c r="D1520" s="293">
        <v>4212</v>
      </c>
      <c r="E1520" s="293">
        <v>0</v>
      </c>
      <c r="F1520" s="294" t="s">
        <v>316</v>
      </c>
    </row>
    <row r="1521" spans="1:6" hidden="1" outlineLevel="1" collapsed="1" x14ac:dyDescent="0.25">
      <c r="A1521" s="321" t="s">
        <v>282</v>
      </c>
      <c r="B1521" s="321" t="s">
        <v>444</v>
      </c>
      <c r="C1521" s="293">
        <v>515</v>
      </c>
      <c r="D1521" s="293">
        <v>515</v>
      </c>
      <c r="E1521" s="293">
        <v>0</v>
      </c>
      <c r="F1521" s="294" t="s">
        <v>316</v>
      </c>
    </row>
    <row r="1522" spans="1:6" collapsed="1" x14ac:dyDescent="0.25">
      <c r="A1522" s="560" t="s">
        <v>862</v>
      </c>
      <c r="B1522" s="561"/>
      <c r="C1522" s="292">
        <v>9298.06</v>
      </c>
      <c r="D1522" s="293">
        <v>6453</v>
      </c>
      <c r="E1522" s="293">
        <v>-2845.06</v>
      </c>
      <c r="F1522" s="294" t="s">
        <v>2054</v>
      </c>
    </row>
    <row r="1523" spans="1:6" hidden="1" outlineLevel="1" collapsed="1" x14ac:dyDescent="0.25">
      <c r="A1523" s="321" t="s">
        <v>282</v>
      </c>
      <c r="B1523" s="321" t="s">
        <v>441</v>
      </c>
      <c r="C1523" s="293">
        <v>0</v>
      </c>
      <c r="D1523" s="293">
        <v>5616</v>
      </c>
      <c r="E1523" s="293">
        <v>5616</v>
      </c>
      <c r="F1523" s="294" t="s">
        <v>298</v>
      </c>
    </row>
    <row r="1524" spans="1:6" hidden="1" outlineLevel="1" collapsed="1" x14ac:dyDescent="0.25">
      <c r="A1524" s="321" t="s">
        <v>282</v>
      </c>
      <c r="B1524" s="321" t="s">
        <v>488</v>
      </c>
      <c r="C1524" s="293">
        <v>5616</v>
      </c>
      <c r="D1524" s="293">
        <v>0</v>
      </c>
      <c r="E1524" s="293">
        <v>-5616</v>
      </c>
      <c r="F1524" s="294" t="s">
        <v>286</v>
      </c>
    </row>
    <row r="1525" spans="1:6" hidden="1" outlineLevel="1" collapsed="1" x14ac:dyDescent="0.25">
      <c r="A1525" s="321" t="s">
        <v>282</v>
      </c>
      <c r="B1525" s="321" t="s">
        <v>752</v>
      </c>
      <c r="C1525" s="293">
        <v>687</v>
      </c>
      <c r="D1525" s="293">
        <v>0</v>
      </c>
      <c r="E1525" s="293">
        <v>-687</v>
      </c>
      <c r="F1525" s="294" t="s">
        <v>286</v>
      </c>
    </row>
    <row r="1526" spans="1:6" hidden="1" outlineLevel="1" collapsed="1" x14ac:dyDescent="0.25">
      <c r="A1526" s="321" t="s">
        <v>282</v>
      </c>
      <c r="B1526" s="321" t="s">
        <v>444</v>
      </c>
      <c r="C1526" s="293">
        <v>0</v>
      </c>
      <c r="D1526" s="293">
        <v>687</v>
      </c>
      <c r="E1526" s="293">
        <v>687</v>
      </c>
      <c r="F1526" s="294" t="s">
        <v>298</v>
      </c>
    </row>
    <row r="1527" spans="1:6" hidden="1" outlineLevel="1" collapsed="1" x14ac:dyDescent="0.25">
      <c r="A1527" s="321" t="s">
        <v>282</v>
      </c>
      <c r="B1527" s="321" t="s">
        <v>375</v>
      </c>
      <c r="C1527" s="293">
        <v>2995.06</v>
      </c>
      <c r="D1527" s="293">
        <v>150</v>
      </c>
      <c r="E1527" s="293">
        <v>-2845.06</v>
      </c>
      <c r="F1527" s="294" t="s">
        <v>2055</v>
      </c>
    </row>
    <row r="1528" spans="1:6" collapsed="1" x14ac:dyDescent="0.25">
      <c r="A1528" s="560" t="s">
        <v>864</v>
      </c>
      <c r="B1528" s="561"/>
      <c r="C1528" s="292">
        <v>10287</v>
      </c>
      <c r="D1528" s="293">
        <v>10801</v>
      </c>
      <c r="E1528" s="293">
        <v>514</v>
      </c>
      <c r="F1528" s="294" t="s">
        <v>732</v>
      </c>
    </row>
    <row r="1529" spans="1:6" hidden="1" outlineLevel="1" collapsed="1" x14ac:dyDescent="0.25">
      <c r="A1529" s="321" t="s">
        <v>282</v>
      </c>
      <c r="B1529" s="321" t="s">
        <v>426</v>
      </c>
      <c r="C1529" s="293">
        <v>7617</v>
      </c>
      <c r="D1529" s="293">
        <v>7777</v>
      </c>
      <c r="E1529" s="293">
        <v>160</v>
      </c>
      <c r="F1529" s="294" t="s">
        <v>2056</v>
      </c>
    </row>
    <row r="1530" spans="1:6" hidden="1" outlineLevel="1" collapsed="1" x14ac:dyDescent="0.25">
      <c r="A1530" s="321" t="s">
        <v>282</v>
      </c>
      <c r="B1530" s="321" t="s">
        <v>597</v>
      </c>
      <c r="C1530" s="293">
        <v>2670</v>
      </c>
      <c r="D1530" s="293">
        <v>3024</v>
      </c>
      <c r="E1530" s="293">
        <v>354</v>
      </c>
      <c r="F1530" s="294" t="s">
        <v>866</v>
      </c>
    </row>
    <row r="1531" spans="1:6" collapsed="1" x14ac:dyDescent="0.25">
      <c r="A1531" s="560" t="s">
        <v>867</v>
      </c>
      <c r="B1531" s="561"/>
      <c r="C1531" s="292">
        <v>6389</v>
      </c>
      <c r="D1531" s="293">
        <v>25134</v>
      </c>
      <c r="E1531" s="293">
        <v>18745</v>
      </c>
      <c r="F1531" s="294" t="s">
        <v>868</v>
      </c>
    </row>
    <row r="1532" spans="1:6" hidden="1" outlineLevel="1" collapsed="1" x14ac:dyDescent="0.25">
      <c r="A1532" s="321" t="s">
        <v>282</v>
      </c>
      <c r="B1532" s="321" t="s">
        <v>822</v>
      </c>
      <c r="C1532" s="293">
        <v>0</v>
      </c>
      <c r="D1532" s="293">
        <v>9000</v>
      </c>
      <c r="E1532" s="293">
        <v>9000</v>
      </c>
      <c r="F1532" s="294" t="s">
        <v>298</v>
      </c>
    </row>
    <row r="1533" spans="1:6" hidden="1" outlineLevel="1" collapsed="1" x14ac:dyDescent="0.25">
      <c r="A1533" s="321" t="s">
        <v>282</v>
      </c>
      <c r="B1533" s="321" t="s">
        <v>452</v>
      </c>
      <c r="C1533" s="293">
        <v>0</v>
      </c>
      <c r="D1533" s="293">
        <v>2160</v>
      </c>
      <c r="E1533" s="293">
        <v>2160</v>
      </c>
      <c r="F1533" s="294" t="s">
        <v>298</v>
      </c>
    </row>
    <row r="1534" spans="1:6" hidden="1" outlineLevel="1" collapsed="1" x14ac:dyDescent="0.25">
      <c r="A1534" s="321" t="s">
        <v>282</v>
      </c>
      <c r="B1534" s="321" t="s">
        <v>444</v>
      </c>
      <c r="C1534" s="293">
        <v>0</v>
      </c>
      <c r="D1534" s="293">
        <v>1101</v>
      </c>
      <c r="E1534" s="293">
        <v>1101</v>
      </c>
      <c r="F1534" s="294" t="s">
        <v>298</v>
      </c>
    </row>
    <row r="1535" spans="1:6" hidden="1" outlineLevel="1" collapsed="1" x14ac:dyDescent="0.25">
      <c r="A1535" s="321" t="s">
        <v>282</v>
      </c>
      <c r="B1535" s="321" t="s">
        <v>376</v>
      </c>
      <c r="C1535" s="293">
        <v>0</v>
      </c>
      <c r="D1535" s="293">
        <v>1995</v>
      </c>
      <c r="E1535" s="293">
        <v>1995</v>
      </c>
      <c r="F1535" s="294" t="s">
        <v>298</v>
      </c>
    </row>
    <row r="1536" spans="1:6" hidden="1" outlineLevel="1" collapsed="1" x14ac:dyDescent="0.25">
      <c r="A1536" s="321" t="s">
        <v>282</v>
      </c>
      <c r="B1536" s="321" t="s">
        <v>567</v>
      </c>
      <c r="C1536" s="293">
        <v>0</v>
      </c>
      <c r="D1536" s="293">
        <v>4489</v>
      </c>
      <c r="E1536" s="293">
        <v>4489</v>
      </c>
      <c r="F1536" s="294" t="s">
        <v>298</v>
      </c>
    </row>
    <row r="1537" spans="1:6" hidden="1" outlineLevel="1" collapsed="1" x14ac:dyDescent="0.25">
      <c r="A1537" s="321" t="s">
        <v>282</v>
      </c>
      <c r="B1537" s="321" t="s">
        <v>426</v>
      </c>
      <c r="C1537" s="293">
        <v>1900</v>
      </c>
      <c r="D1537" s="293">
        <v>1900</v>
      </c>
      <c r="E1537" s="293">
        <v>0</v>
      </c>
      <c r="F1537" s="294" t="s">
        <v>316</v>
      </c>
    </row>
    <row r="1538" spans="1:6" hidden="1" outlineLevel="1" collapsed="1" x14ac:dyDescent="0.25">
      <c r="A1538" s="321" t="s">
        <v>282</v>
      </c>
      <c r="B1538" s="321" t="s">
        <v>405</v>
      </c>
      <c r="C1538" s="293">
        <v>4489</v>
      </c>
      <c r="D1538" s="293">
        <v>4489</v>
      </c>
      <c r="E1538" s="293">
        <v>0</v>
      </c>
      <c r="F1538" s="294" t="s">
        <v>316</v>
      </c>
    </row>
    <row r="1539" spans="1:6" collapsed="1" x14ac:dyDescent="0.25">
      <c r="A1539" s="560" t="s">
        <v>869</v>
      </c>
      <c r="B1539" s="561"/>
      <c r="C1539" s="292">
        <v>166110.44482400001</v>
      </c>
      <c r="D1539" s="293">
        <v>173951.11650400001</v>
      </c>
      <c r="E1539" s="293">
        <v>7840.6716800000004</v>
      </c>
      <c r="F1539" s="294" t="s">
        <v>519</v>
      </c>
    </row>
    <row r="1540" spans="1:6" hidden="1" outlineLevel="1" collapsed="1" x14ac:dyDescent="0.25">
      <c r="A1540" s="321" t="s">
        <v>282</v>
      </c>
      <c r="B1540" s="321" t="s">
        <v>380</v>
      </c>
      <c r="C1540" s="293">
        <v>109029.338536</v>
      </c>
      <c r="D1540" s="293">
        <v>112212.479032</v>
      </c>
      <c r="E1540" s="293">
        <v>3183.140496</v>
      </c>
      <c r="F1540" s="294" t="s">
        <v>871</v>
      </c>
    </row>
    <row r="1541" spans="1:6" hidden="1" outlineLevel="1" collapsed="1" x14ac:dyDescent="0.25">
      <c r="A1541" s="321" t="s">
        <v>282</v>
      </c>
      <c r="B1541" s="321" t="s">
        <v>384</v>
      </c>
      <c r="C1541" s="293">
        <v>13248.619248000001</v>
      </c>
      <c r="D1541" s="293">
        <v>0</v>
      </c>
      <c r="E1541" s="293">
        <v>-13248.619248000001</v>
      </c>
      <c r="F1541" s="294" t="s">
        <v>286</v>
      </c>
    </row>
    <row r="1542" spans="1:6" hidden="1" outlineLevel="1" collapsed="1" x14ac:dyDescent="0.25">
      <c r="A1542" s="321" t="s">
        <v>282</v>
      </c>
      <c r="B1542" s="321" t="s">
        <v>385</v>
      </c>
      <c r="C1542" s="293">
        <v>0</v>
      </c>
      <c r="D1542" s="293">
        <v>16850.836631999999</v>
      </c>
      <c r="E1542" s="293">
        <v>16850.836631999999</v>
      </c>
      <c r="F1542" s="294" t="s">
        <v>298</v>
      </c>
    </row>
    <row r="1543" spans="1:6" hidden="1" outlineLevel="1" collapsed="1" x14ac:dyDescent="0.25">
      <c r="A1543" s="321" t="s">
        <v>282</v>
      </c>
      <c r="B1543" s="321" t="s">
        <v>386</v>
      </c>
      <c r="C1543" s="293">
        <v>6759.8189759999996</v>
      </c>
      <c r="D1543" s="293">
        <v>0</v>
      </c>
      <c r="E1543" s="293">
        <v>-6759.8189759999996</v>
      </c>
      <c r="F1543" s="294" t="s">
        <v>286</v>
      </c>
    </row>
    <row r="1544" spans="1:6" hidden="1" outlineLevel="1" collapsed="1" x14ac:dyDescent="0.25">
      <c r="A1544" s="321" t="s">
        <v>282</v>
      </c>
      <c r="B1544" s="321" t="s">
        <v>387</v>
      </c>
      <c r="C1544" s="293">
        <v>0</v>
      </c>
      <c r="D1544" s="293">
        <v>6957.1736879999999</v>
      </c>
      <c r="E1544" s="293">
        <v>6957.1736879999999</v>
      </c>
      <c r="F1544" s="294" t="s">
        <v>298</v>
      </c>
    </row>
    <row r="1545" spans="1:6" hidden="1" outlineLevel="1" collapsed="1" x14ac:dyDescent="0.25">
      <c r="A1545" s="321" t="s">
        <v>282</v>
      </c>
      <c r="B1545" s="321" t="s">
        <v>388</v>
      </c>
      <c r="C1545" s="293">
        <v>1580.9253960000001</v>
      </c>
      <c r="D1545" s="293">
        <v>1627.0809240000001</v>
      </c>
      <c r="E1545" s="293">
        <v>46.155527999999997</v>
      </c>
      <c r="F1545" s="294" t="s">
        <v>871</v>
      </c>
    </row>
    <row r="1546" spans="1:6" hidden="1" outlineLevel="1" collapsed="1" x14ac:dyDescent="0.25">
      <c r="A1546" s="321" t="s">
        <v>282</v>
      </c>
      <c r="B1546" s="321" t="s">
        <v>389</v>
      </c>
      <c r="C1546" s="293">
        <v>852.24959999999999</v>
      </c>
      <c r="D1546" s="293">
        <v>844.08</v>
      </c>
      <c r="E1546" s="293">
        <v>-8.1696000000000009</v>
      </c>
      <c r="F1546" s="294" t="s">
        <v>364</v>
      </c>
    </row>
    <row r="1547" spans="1:6" hidden="1" outlineLevel="1" collapsed="1" x14ac:dyDescent="0.25">
      <c r="A1547" s="321" t="s">
        <v>282</v>
      </c>
      <c r="B1547" s="321" t="s">
        <v>390</v>
      </c>
      <c r="C1547" s="293">
        <v>30970.54</v>
      </c>
      <c r="D1547" s="293">
        <v>31918.560000000001</v>
      </c>
      <c r="E1547" s="293">
        <v>948.02</v>
      </c>
      <c r="F1547" s="294" t="s">
        <v>391</v>
      </c>
    </row>
    <row r="1548" spans="1:6" hidden="1" outlineLevel="1" collapsed="1" x14ac:dyDescent="0.25">
      <c r="A1548" s="321" t="s">
        <v>282</v>
      </c>
      <c r="B1548" s="321" t="s">
        <v>392</v>
      </c>
      <c r="C1548" s="293">
        <v>467.07839999999999</v>
      </c>
      <c r="D1548" s="293">
        <v>365.76</v>
      </c>
      <c r="E1548" s="293">
        <v>-101.3184</v>
      </c>
      <c r="F1548" s="294" t="s">
        <v>368</v>
      </c>
    </row>
    <row r="1549" spans="1:6" hidden="1" outlineLevel="1" collapsed="1" x14ac:dyDescent="0.25">
      <c r="A1549" s="321" t="s">
        <v>282</v>
      </c>
      <c r="B1549" s="321" t="s">
        <v>393</v>
      </c>
      <c r="C1549" s="293">
        <v>54.514668</v>
      </c>
      <c r="D1549" s="293">
        <v>56.106228000000002</v>
      </c>
      <c r="E1549" s="293">
        <v>1.5915600000000001</v>
      </c>
      <c r="F1549" s="294" t="s">
        <v>871</v>
      </c>
    </row>
    <row r="1550" spans="1:6" hidden="1" outlineLevel="1" collapsed="1" x14ac:dyDescent="0.25">
      <c r="A1550" s="321" t="s">
        <v>282</v>
      </c>
      <c r="B1550" s="321" t="s">
        <v>394</v>
      </c>
      <c r="C1550" s="293">
        <v>3000</v>
      </c>
      <c r="D1550" s="293">
        <v>0</v>
      </c>
      <c r="E1550" s="293">
        <v>-3000</v>
      </c>
      <c r="F1550" s="294" t="s">
        <v>286</v>
      </c>
    </row>
    <row r="1551" spans="1:6" hidden="1" outlineLevel="1" collapsed="1" x14ac:dyDescent="0.25">
      <c r="A1551" s="321" t="s">
        <v>282</v>
      </c>
      <c r="B1551" s="321" t="s">
        <v>395</v>
      </c>
      <c r="C1551" s="293">
        <v>0</v>
      </c>
      <c r="D1551" s="293">
        <v>3000</v>
      </c>
      <c r="E1551" s="293">
        <v>3000</v>
      </c>
      <c r="F1551" s="294" t="s">
        <v>298</v>
      </c>
    </row>
    <row r="1552" spans="1:6" hidden="1" outlineLevel="1" collapsed="1" x14ac:dyDescent="0.25">
      <c r="A1552" s="321" t="s">
        <v>282</v>
      </c>
      <c r="B1552" s="321" t="s">
        <v>396</v>
      </c>
      <c r="C1552" s="293">
        <v>99.36</v>
      </c>
      <c r="D1552" s="293">
        <v>0</v>
      </c>
      <c r="E1552" s="293">
        <v>-99.36</v>
      </c>
      <c r="F1552" s="294" t="s">
        <v>286</v>
      </c>
    </row>
    <row r="1553" spans="1:6" hidden="1" outlineLevel="1" collapsed="1" x14ac:dyDescent="0.25">
      <c r="A1553" s="321" t="s">
        <v>282</v>
      </c>
      <c r="B1553" s="321" t="s">
        <v>397</v>
      </c>
      <c r="C1553" s="293">
        <v>0</v>
      </c>
      <c r="D1553" s="293">
        <v>96.96</v>
      </c>
      <c r="E1553" s="293">
        <v>96.96</v>
      </c>
      <c r="F1553" s="294" t="s">
        <v>298</v>
      </c>
    </row>
    <row r="1554" spans="1:6" hidden="1" outlineLevel="1" collapsed="1" x14ac:dyDescent="0.25">
      <c r="A1554" s="321" t="s">
        <v>282</v>
      </c>
      <c r="B1554" s="321" t="s">
        <v>398</v>
      </c>
      <c r="C1554" s="293">
        <v>48</v>
      </c>
      <c r="D1554" s="293">
        <v>22.08</v>
      </c>
      <c r="E1554" s="293">
        <v>-25.92</v>
      </c>
      <c r="F1554" s="294" t="s">
        <v>374</v>
      </c>
    </row>
    <row r="1555" spans="1:6" collapsed="1" x14ac:dyDescent="0.25">
      <c r="A1555" s="560" t="s">
        <v>308</v>
      </c>
      <c r="B1555" s="561"/>
      <c r="C1555" s="292">
        <v>1326733.4374820001</v>
      </c>
      <c r="D1555" s="293">
        <v>1388191.9450459999</v>
      </c>
      <c r="E1555" s="293">
        <v>61458.507564</v>
      </c>
      <c r="F1555" s="294" t="s">
        <v>2057</v>
      </c>
    </row>
    <row r="1556" spans="1:6" hidden="1" outlineLevel="1" collapsed="1" x14ac:dyDescent="0.25">
      <c r="A1556" s="321" t="s">
        <v>282</v>
      </c>
      <c r="B1556" s="321" t="s">
        <v>780</v>
      </c>
      <c r="C1556" s="293">
        <v>104917.50879599999</v>
      </c>
      <c r="D1556" s="293">
        <v>111812.375988</v>
      </c>
      <c r="E1556" s="293">
        <v>6894.8671919999997</v>
      </c>
      <c r="F1556" s="294" t="s">
        <v>816</v>
      </c>
    </row>
    <row r="1557" spans="1:6" hidden="1" outlineLevel="1" collapsed="1" x14ac:dyDescent="0.25">
      <c r="A1557" s="321" t="s">
        <v>282</v>
      </c>
      <c r="B1557" s="321" t="s">
        <v>750</v>
      </c>
      <c r="C1557" s="293">
        <v>439247.99997599999</v>
      </c>
      <c r="D1557" s="293">
        <v>449068.47996000003</v>
      </c>
      <c r="E1557" s="293">
        <v>9820.4799839999996</v>
      </c>
      <c r="F1557" s="294" t="s">
        <v>873</v>
      </c>
    </row>
    <row r="1558" spans="1:6" hidden="1" outlineLevel="1" collapsed="1" x14ac:dyDescent="0.25">
      <c r="A1558" s="321" t="s">
        <v>282</v>
      </c>
      <c r="B1558" s="321" t="s">
        <v>412</v>
      </c>
      <c r="C1558" s="293">
        <v>5000</v>
      </c>
      <c r="D1558" s="293">
        <v>5000</v>
      </c>
      <c r="E1558" s="293">
        <v>0</v>
      </c>
      <c r="F1558" s="294" t="s">
        <v>316</v>
      </c>
    </row>
    <row r="1559" spans="1:6" hidden="1" outlineLevel="1" collapsed="1" x14ac:dyDescent="0.25">
      <c r="A1559" s="321" t="s">
        <v>282</v>
      </c>
      <c r="B1559" s="321" t="s">
        <v>441</v>
      </c>
      <c r="C1559" s="293">
        <v>30719</v>
      </c>
      <c r="D1559" s="293">
        <v>32319</v>
      </c>
      <c r="E1559" s="293">
        <v>1600</v>
      </c>
      <c r="F1559" s="294" t="s">
        <v>621</v>
      </c>
    </row>
    <row r="1560" spans="1:6" hidden="1" outlineLevel="1" collapsed="1" x14ac:dyDescent="0.25">
      <c r="A1560" s="321" t="s">
        <v>282</v>
      </c>
      <c r="B1560" s="321" t="s">
        <v>874</v>
      </c>
      <c r="C1560" s="293">
        <v>68921.328315999999</v>
      </c>
      <c r="D1560" s="293">
        <v>69935.646556000007</v>
      </c>
      <c r="E1560" s="293">
        <v>1014.3182399999999</v>
      </c>
      <c r="F1560" s="294" t="s">
        <v>875</v>
      </c>
    </row>
    <row r="1561" spans="1:6" hidden="1" outlineLevel="1" collapsed="1" x14ac:dyDescent="0.25">
      <c r="A1561" s="321" t="s">
        <v>282</v>
      </c>
      <c r="B1561" s="321" t="s">
        <v>464</v>
      </c>
      <c r="C1561" s="293">
        <v>250100.26133199999</v>
      </c>
      <c r="D1561" s="293">
        <v>262721.87829999998</v>
      </c>
      <c r="E1561" s="293">
        <v>12621.616968</v>
      </c>
      <c r="F1561" s="294" t="s">
        <v>876</v>
      </c>
    </row>
    <row r="1562" spans="1:6" hidden="1" outlineLevel="1" collapsed="1" x14ac:dyDescent="0.25">
      <c r="A1562" s="321" t="s">
        <v>282</v>
      </c>
      <c r="B1562" s="321" t="s">
        <v>424</v>
      </c>
      <c r="C1562" s="293">
        <v>15100</v>
      </c>
      <c r="D1562" s="293">
        <v>13500</v>
      </c>
      <c r="E1562" s="293">
        <v>-1600</v>
      </c>
      <c r="F1562" s="294" t="s">
        <v>877</v>
      </c>
    </row>
    <row r="1563" spans="1:6" hidden="1" outlineLevel="1" collapsed="1" x14ac:dyDescent="0.25">
      <c r="A1563" s="321" t="s">
        <v>282</v>
      </c>
      <c r="B1563" s="321" t="s">
        <v>475</v>
      </c>
      <c r="C1563" s="293">
        <v>11600</v>
      </c>
      <c r="D1563" s="293">
        <v>11600</v>
      </c>
      <c r="E1563" s="293">
        <v>0</v>
      </c>
      <c r="F1563" s="294" t="s">
        <v>316</v>
      </c>
    </row>
    <row r="1564" spans="1:6" hidden="1" outlineLevel="1" collapsed="1" x14ac:dyDescent="0.25">
      <c r="A1564" s="321" t="s">
        <v>282</v>
      </c>
      <c r="B1564" s="321" t="s">
        <v>751</v>
      </c>
      <c r="C1564" s="293">
        <v>71013.598847999994</v>
      </c>
      <c r="D1564" s="293">
        <v>0</v>
      </c>
      <c r="E1564" s="293">
        <v>-71013.598847999994</v>
      </c>
      <c r="F1564" s="294" t="s">
        <v>286</v>
      </c>
    </row>
    <row r="1565" spans="1:6" hidden="1" outlineLevel="1" collapsed="1" x14ac:dyDescent="0.25">
      <c r="A1565" s="321" t="s">
        <v>282</v>
      </c>
      <c r="B1565" s="321" t="s">
        <v>752</v>
      </c>
      <c r="C1565" s="293">
        <v>0</v>
      </c>
      <c r="D1565" s="293">
        <v>80935.107468000002</v>
      </c>
      <c r="E1565" s="293">
        <v>80935.107468000002</v>
      </c>
      <c r="F1565" s="294" t="s">
        <v>298</v>
      </c>
    </row>
    <row r="1566" spans="1:6" hidden="1" outlineLevel="1" collapsed="1" x14ac:dyDescent="0.25">
      <c r="A1566" s="321" t="s">
        <v>282</v>
      </c>
      <c r="B1566" s="321" t="s">
        <v>384</v>
      </c>
      <c r="C1566" s="293">
        <v>39566.705245999998</v>
      </c>
      <c r="D1566" s="293">
        <v>0</v>
      </c>
      <c r="E1566" s="293">
        <v>-39566.705245999998</v>
      </c>
      <c r="F1566" s="294" t="s">
        <v>286</v>
      </c>
    </row>
    <row r="1567" spans="1:6" hidden="1" outlineLevel="1" collapsed="1" x14ac:dyDescent="0.25">
      <c r="A1567" s="321" t="s">
        <v>282</v>
      </c>
      <c r="B1567" s="321" t="s">
        <v>385</v>
      </c>
      <c r="C1567" s="293">
        <v>0</v>
      </c>
      <c r="D1567" s="293">
        <v>50966.008464999999</v>
      </c>
      <c r="E1567" s="293">
        <v>50966.008464999999</v>
      </c>
      <c r="F1567" s="294" t="s">
        <v>298</v>
      </c>
    </row>
    <row r="1568" spans="1:6" hidden="1" outlineLevel="1" collapsed="1" x14ac:dyDescent="0.25">
      <c r="A1568" s="321" t="s">
        <v>282</v>
      </c>
      <c r="B1568" s="321" t="s">
        <v>386</v>
      </c>
      <c r="C1568" s="293">
        <v>19779.338526</v>
      </c>
      <c r="D1568" s="293">
        <v>0</v>
      </c>
      <c r="E1568" s="293">
        <v>-19779.338526</v>
      </c>
      <c r="F1568" s="294" t="s">
        <v>286</v>
      </c>
    </row>
    <row r="1569" spans="1:6" hidden="1" outlineLevel="1" collapsed="1" x14ac:dyDescent="0.25">
      <c r="A1569" s="321" t="s">
        <v>282</v>
      </c>
      <c r="B1569" s="321" t="s">
        <v>387</v>
      </c>
      <c r="C1569" s="293">
        <v>0</v>
      </c>
      <c r="D1569" s="293">
        <v>20624.766492999999</v>
      </c>
      <c r="E1569" s="293">
        <v>20624.766492999999</v>
      </c>
      <c r="F1569" s="294" t="s">
        <v>298</v>
      </c>
    </row>
    <row r="1570" spans="1:6" hidden="1" outlineLevel="1" collapsed="1" x14ac:dyDescent="0.25">
      <c r="A1570" s="321" t="s">
        <v>282</v>
      </c>
      <c r="B1570" s="321" t="s">
        <v>753</v>
      </c>
      <c r="C1570" s="293">
        <v>27543.375972000002</v>
      </c>
      <c r="D1570" s="293">
        <v>28152.245724</v>
      </c>
      <c r="E1570" s="293">
        <v>608.86975199999995</v>
      </c>
      <c r="F1570" s="294" t="s">
        <v>878</v>
      </c>
    </row>
    <row r="1571" spans="1:6" hidden="1" outlineLevel="1" collapsed="1" x14ac:dyDescent="0.25">
      <c r="A1571" s="321" t="s">
        <v>282</v>
      </c>
      <c r="B1571" s="321" t="s">
        <v>388</v>
      </c>
      <c r="C1571" s="293">
        <v>11067.40899</v>
      </c>
      <c r="D1571" s="293">
        <v>11407.526997999999</v>
      </c>
      <c r="E1571" s="293">
        <v>340.11800799999997</v>
      </c>
      <c r="F1571" s="294" t="s">
        <v>879</v>
      </c>
    </row>
    <row r="1572" spans="1:6" hidden="1" outlineLevel="1" collapsed="1" x14ac:dyDescent="0.25">
      <c r="A1572" s="321" t="s">
        <v>282</v>
      </c>
      <c r="B1572" s="321" t="s">
        <v>444</v>
      </c>
      <c r="C1572" s="293">
        <v>4369</v>
      </c>
      <c r="D1572" s="293">
        <v>4801</v>
      </c>
      <c r="E1572" s="293">
        <v>432</v>
      </c>
      <c r="F1572" s="294" t="s">
        <v>640</v>
      </c>
    </row>
    <row r="1573" spans="1:6" hidden="1" outlineLevel="1" collapsed="1" x14ac:dyDescent="0.25">
      <c r="A1573" s="321" t="s">
        <v>282</v>
      </c>
      <c r="B1573" s="321" t="s">
        <v>389</v>
      </c>
      <c r="C1573" s="293">
        <v>2982.8735999999999</v>
      </c>
      <c r="D1573" s="293">
        <v>2954.28</v>
      </c>
      <c r="E1573" s="293">
        <v>-28.593599999999999</v>
      </c>
      <c r="F1573" s="294" t="s">
        <v>364</v>
      </c>
    </row>
    <row r="1574" spans="1:6" hidden="1" outlineLevel="1" collapsed="1" x14ac:dyDescent="0.25">
      <c r="A1574" s="321" t="s">
        <v>282</v>
      </c>
      <c r="B1574" s="321" t="s">
        <v>390</v>
      </c>
      <c r="C1574" s="293">
        <v>108396.89</v>
      </c>
      <c r="D1574" s="293">
        <v>111714.96</v>
      </c>
      <c r="E1574" s="293">
        <v>3318.07</v>
      </c>
      <c r="F1574" s="294" t="s">
        <v>391</v>
      </c>
    </row>
    <row r="1575" spans="1:6" hidden="1" outlineLevel="1" collapsed="1" x14ac:dyDescent="0.25">
      <c r="A1575" s="321" t="s">
        <v>282</v>
      </c>
      <c r="B1575" s="321" t="s">
        <v>392</v>
      </c>
      <c r="C1575" s="293">
        <v>1634.7744</v>
      </c>
      <c r="D1575" s="293">
        <v>1280.1600000000001</v>
      </c>
      <c r="E1575" s="293">
        <v>-354.61439999999999</v>
      </c>
      <c r="F1575" s="294" t="s">
        <v>368</v>
      </c>
    </row>
    <row r="1576" spans="1:6" hidden="1" outlineLevel="1" collapsed="1" x14ac:dyDescent="0.25">
      <c r="A1576" s="321" t="s">
        <v>282</v>
      </c>
      <c r="B1576" s="321" t="s">
        <v>754</v>
      </c>
      <c r="C1576" s="293">
        <v>76792.800000000003</v>
      </c>
      <c r="D1576" s="293">
        <v>79796.399999999994</v>
      </c>
      <c r="E1576" s="293">
        <v>3003.6</v>
      </c>
      <c r="F1576" s="294" t="s">
        <v>366</v>
      </c>
    </row>
    <row r="1577" spans="1:6" hidden="1" outlineLevel="1" collapsed="1" x14ac:dyDescent="0.25">
      <c r="A1577" s="321" t="s">
        <v>282</v>
      </c>
      <c r="B1577" s="321" t="s">
        <v>755</v>
      </c>
      <c r="C1577" s="293">
        <v>2130.6239999999998</v>
      </c>
      <c r="D1577" s="293">
        <v>2110.1999999999998</v>
      </c>
      <c r="E1577" s="293">
        <v>-20.423999999999999</v>
      </c>
      <c r="F1577" s="294" t="s">
        <v>364</v>
      </c>
    </row>
    <row r="1578" spans="1:6" hidden="1" outlineLevel="1" collapsed="1" x14ac:dyDescent="0.25">
      <c r="A1578" s="321" t="s">
        <v>282</v>
      </c>
      <c r="B1578" s="321" t="s">
        <v>756</v>
      </c>
      <c r="C1578" s="293">
        <v>1167.6959999999999</v>
      </c>
      <c r="D1578" s="293">
        <v>914.4</v>
      </c>
      <c r="E1578" s="293">
        <v>-253.29599999999999</v>
      </c>
      <c r="F1578" s="294" t="s">
        <v>368</v>
      </c>
    </row>
    <row r="1579" spans="1:6" hidden="1" outlineLevel="1" collapsed="1" x14ac:dyDescent="0.25">
      <c r="A1579" s="321" t="s">
        <v>282</v>
      </c>
      <c r="B1579" s="321" t="s">
        <v>393</v>
      </c>
      <c r="C1579" s="293">
        <v>159.51076399999999</v>
      </c>
      <c r="D1579" s="293">
        <v>166.32871399999999</v>
      </c>
      <c r="E1579" s="293">
        <v>6.8179499999999997</v>
      </c>
      <c r="F1579" s="294" t="s">
        <v>880</v>
      </c>
    </row>
    <row r="1580" spans="1:6" hidden="1" outlineLevel="1" collapsed="1" x14ac:dyDescent="0.25">
      <c r="A1580" s="321" t="s">
        <v>282</v>
      </c>
      <c r="B1580" s="321" t="s">
        <v>757</v>
      </c>
      <c r="C1580" s="293">
        <v>274.582716</v>
      </c>
      <c r="D1580" s="293">
        <v>0</v>
      </c>
      <c r="E1580" s="293">
        <v>-274.582716</v>
      </c>
      <c r="F1580" s="294" t="s">
        <v>286</v>
      </c>
    </row>
    <row r="1581" spans="1:6" hidden="1" outlineLevel="1" collapsed="1" x14ac:dyDescent="0.25">
      <c r="A1581" s="321" t="s">
        <v>282</v>
      </c>
      <c r="B1581" s="321" t="s">
        <v>758</v>
      </c>
      <c r="C1581" s="293">
        <v>0</v>
      </c>
      <c r="D1581" s="293">
        <v>282.94038</v>
      </c>
      <c r="E1581" s="293">
        <v>282.94038</v>
      </c>
      <c r="F1581" s="294" t="s">
        <v>298</v>
      </c>
    </row>
    <row r="1582" spans="1:6" hidden="1" outlineLevel="1" collapsed="1" x14ac:dyDescent="0.25">
      <c r="A1582" s="321" t="s">
        <v>282</v>
      </c>
      <c r="B1582" s="321" t="s">
        <v>394</v>
      </c>
      <c r="C1582" s="293">
        <v>10500</v>
      </c>
      <c r="D1582" s="293">
        <v>0</v>
      </c>
      <c r="E1582" s="293">
        <v>-10500</v>
      </c>
      <c r="F1582" s="294" t="s">
        <v>286</v>
      </c>
    </row>
    <row r="1583" spans="1:6" hidden="1" outlineLevel="1" collapsed="1" x14ac:dyDescent="0.25">
      <c r="A1583" s="321" t="s">
        <v>282</v>
      </c>
      <c r="B1583" s="321" t="s">
        <v>395</v>
      </c>
      <c r="C1583" s="293">
        <v>0</v>
      </c>
      <c r="D1583" s="293">
        <v>10500</v>
      </c>
      <c r="E1583" s="293">
        <v>10500</v>
      </c>
      <c r="F1583" s="294" t="s">
        <v>298</v>
      </c>
    </row>
    <row r="1584" spans="1:6" hidden="1" outlineLevel="1" collapsed="1" x14ac:dyDescent="0.25">
      <c r="A1584" s="321" t="s">
        <v>282</v>
      </c>
      <c r="B1584" s="321" t="s">
        <v>759</v>
      </c>
      <c r="C1584" s="293">
        <v>7500</v>
      </c>
      <c r="D1584" s="293">
        <v>0</v>
      </c>
      <c r="E1584" s="293">
        <v>-7500</v>
      </c>
      <c r="F1584" s="294" t="s">
        <v>286</v>
      </c>
    </row>
    <row r="1585" spans="1:6" hidden="1" outlineLevel="1" collapsed="1" x14ac:dyDescent="0.25">
      <c r="A1585" s="321" t="s">
        <v>282</v>
      </c>
      <c r="B1585" s="321" t="s">
        <v>760</v>
      </c>
      <c r="C1585" s="293">
        <v>0</v>
      </c>
      <c r="D1585" s="293">
        <v>7500</v>
      </c>
      <c r="E1585" s="293">
        <v>7500</v>
      </c>
      <c r="F1585" s="294" t="s">
        <v>298</v>
      </c>
    </row>
    <row r="1586" spans="1:6" hidden="1" outlineLevel="1" collapsed="1" x14ac:dyDescent="0.25">
      <c r="A1586" s="321" t="s">
        <v>282</v>
      </c>
      <c r="B1586" s="321" t="s">
        <v>396</v>
      </c>
      <c r="C1586" s="293">
        <v>347.76</v>
      </c>
      <c r="D1586" s="293">
        <v>0</v>
      </c>
      <c r="E1586" s="293">
        <v>-347.76</v>
      </c>
      <c r="F1586" s="294" t="s">
        <v>286</v>
      </c>
    </row>
    <row r="1587" spans="1:6" hidden="1" outlineLevel="1" collapsed="1" x14ac:dyDescent="0.25">
      <c r="A1587" s="321" t="s">
        <v>282</v>
      </c>
      <c r="B1587" s="321" t="s">
        <v>397</v>
      </c>
      <c r="C1587" s="293">
        <v>0</v>
      </c>
      <c r="D1587" s="293">
        <v>339.36</v>
      </c>
      <c r="E1587" s="293">
        <v>339.36</v>
      </c>
      <c r="F1587" s="294" t="s">
        <v>298</v>
      </c>
    </row>
    <row r="1588" spans="1:6" hidden="1" outlineLevel="1" collapsed="1" x14ac:dyDescent="0.25">
      <c r="A1588" s="321" t="s">
        <v>282</v>
      </c>
      <c r="B1588" s="321" t="s">
        <v>761</v>
      </c>
      <c r="C1588" s="293">
        <v>248.4</v>
      </c>
      <c r="D1588" s="293">
        <v>0</v>
      </c>
      <c r="E1588" s="293">
        <v>-248.4</v>
      </c>
      <c r="F1588" s="294" t="s">
        <v>286</v>
      </c>
    </row>
    <row r="1589" spans="1:6" hidden="1" outlineLevel="1" collapsed="1" x14ac:dyDescent="0.25">
      <c r="A1589" s="321" t="s">
        <v>282</v>
      </c>
      <c r="B1589" s="321" t="s">
        <v>762</v>
      </c>
      <c r="C1589" s="293">
        <v>0</v>
      </c>
      <c r="D1589" s="293">
        <v>242.4</v>
      </c>
      <c r="E1589" s="293">
        <v>242.4</v>
      </c>
      <c r="F1589" s="294" t="s">
        <v>298</v>
      </c>
    </row>
    <row r="1590" spans="1:6" hidden="1" outlineLevel="1" collapsed="1" x14ac:dyDescent="0.25">
      <c r="A1590" s="321" t="s">
        <v>282</v>
      </c>
      <c r="B1590" s="321" t="s">
        <v>398</v>
      </c>
      <c r="C1590" s="293">
        <v>168</v>
      </c>
      <c r="D1590" s="293">
        <v>77.28</v>
      </c>
      <c r="E1590" s="293">
        <v>-90.72</v>
      </c>
      <c r="F1590" s="294" t="s">
        <v>374</v>
      </c>
    </row>
    <row r="1591" spans="1:6" hidden="1" outlineLevel="1" collapsed="1" x14ac:dyDescent="0.25">
      <c r="A1591" s="321" t="s">
        <v>282</v>
      </c>
      <c r="B1591" s="321" t="s">
        <v>763</v>
      </c>
      <c r="C1591" s="293">
        <v>120</v>
      </c>
      <c r="D1591" s="293">
        <v>55.2</v>
      </c>
      <c r="E1591" s="293">
        <v>-64.8</v>
      </c>
      <c r="F1591" s="294" t="s">
        <v>374</v>
      </c>
    </row>
    <row r="1592" spans="1:6" hidden="1" outlineLevel="1" collapsed="1" x14ac:dyDescent="0.25">
      <c r="A1592" s="321" t="s">
        <v>282</v>
      </c>
      <c r="B1592" s="321" t="s">
        <v>376</v>
      </c>
      <c r="C1592" s="293">
        <v>9620</v>
      </c>
      <c r="D1592" s="293">
        <v>8000</v>
      </c>
      <c r="E1592" s="293">
        <v>-1620</v>
      </c>
      <c r="F1592" s="294" t="s">
        <v>881</v>
      </c>
    </row>
    <row r="1593" spans="1:6" hidden="1" outlineLevel="1" collapsed="1" x14ac:dyDescent="0.25">
      <c r="A1593" s="321" t="s">
        <v>282</v>
      </c>
      <c r="B1593" s="321" t="s">
        <v>506</v>
      </c>
      <c r="C1593" s="293">
        <v>500</v>
      </c>
      <c r="D1593" s="293">
        <v>600</v>
      </c>
      <c r="E1593" s="293">
        <v>100</v>
      </c>
      <c r="F1593" s="294" t="s">
        <v>882</v>
      </c>
    </row>
    <row r="1594" spans="1:6" hidden="1" outlineLevel="1" collapsed="1" x14ac:dyDescent="0.25">
      <c r="A1594" s="321" t="s">
        <v>282</v>
      </c>
      <c r="B1594" s="321" t="s">
        <v>567</v>
      </c>
      <c r="C1594" s="293">
        <v>0</v>
      </c>
      <c r="D1594" s="293">
        <v>400</v>
      </c>
      <c r="E1594" s="293">
        <v>400</v>
      </c>
      <c r="F1594" s="294" t="s">
        <v>298</v>
      </c>
    </row>
    <row r="1595" spans="1:6" hidden="1" outlineLevel="1" collapsed="1" x14ac:dyDescent="0.25">
      <c r="A1595" s="321" t="s">
        <v>282</v>
      </c>
      <c r="B1595" s="321" t="s">
        <v>426</v>
      </c>
      <c r="C1595" s="293">
        <v>350</v>
      </c>
      <c r="D1595" s="293">
        <v>1064</v>
      </c>
      <c r="E1595" s="293">
        <v>714</v>
      </c>
      <c r="F1595" s="294" t="s">
        <v>883</v>
      </c>
    </row>
    <row r="1596" spans="1:6" hidden="1" outlineLevel="1" collapsed="1" x14ac:dyDescent="0.25">
      <c r="A1596" s="321" t="s">
        <v>282</v>
      </c>
      <c r="B1596" s="321" t="s">
        <v>448</v>
      </c>
      <c r="C1596" s="293">
        <v>2000</v>
      </c>
      <c r="D1596" s="293">
        <v>3000</v>
      </c>
      <c r="E1596" s="293">
        <v>1000</v>
      </c>
      <c r="F1596" s="294" t="s">
        <v>784</v>
      </c>
    </row>
    <row r="1597" spans="1:6" hidden="1" outlineLevel="1" collapsed="1" x14ac:dyDescent="0.25">
      <c r="A1597" s="321" t="s">
        <v>282</v>
      </c>
      <c r="B1597" s="321" t="s">
        <v>884</v>
      </c>
      <c r="C1597" s="293">
        <v>2494</v>
      </c>
      <c r="D1597" s="293">
        <v>2500</v>
      </c>
      <c r="E1597" s="293">
        <v>6</v>
      </c>
      <c r="F1597" s="294" t="s">
        <v>885</v>
      </c>
    </row>
    <row r="1598" spans="1:6" hidden="1" outlineLevel="1" collapsed="1" x14ac:dyDescent="0.25">
      <c r="A1598" s="321" t="s">
        <v>282</v>
      </c>
      <c r="B1598" s="321" t="s">
        <v>403</v>
      </c>
      <c r="C1598" s="293">
        <v>300</v>
      </c>
      <c r="D1598" s="293">
        <v>400</v>
      </c>
      <c r="E1598" s="293">
        <v>100</v>
      </c>
      <c r="F1598" s="294" t="s">
        <v>886</v>
      </c>
    </row>
    <row r="1599" spans="1:6" hidden="1" outlineLevel="1" collapsed="1" x14ac:dyDescent="0.25">
      <c r="A1599" s="321" t="s">
        <v>282</v>
      </c>
      <c r="B1599" s="321" t="s">
        <v>405</v>
      </c>
      <c r="C1599" s="293">
        <v>100</v>
      </c>
      <c r="D1599" s="293">
        <v>400</v>
      </c>
      <c r="E1599" s="293">
        <v>300</v>
      </c>
      <c r="F1599" s="294" t="s">
        <v>887</v>
      </c>
    </row>
    <row r="1600" spans="1:6" hidden="1" outlineLevel="1" collapsed="1" x14ac:dyDescent="0.25">
      <c r="A1600" s="321" t="s">
        <v>282</v>
      </c>
      <c r="B1600" s="321" t="s">
        <v>422</v>
      </c>
      <c r="C1600" s="293">
        <v>0</v>
      </c>
      <c r="D1600" s="293">
        <v>1050</v>
      </c>
      <c r="E1600" s="293">
        <v>1050</v>
      </c>
      <c r="F1600" s="294" t="s">
        <v>298</v>
      </c>
    </row>
    <row r="1601" spans="1:6" collapsed="1" x14ac:dyDescent="0.25">
      <c r="A1601" s="560" t="s">
        <v>310</v>
      </c>
      <c r="B1601" s="561"/>
      <c r="C1601" s="292">
        <v>1075646.910437</v>
      </c>
      <c r="D1601" s="293">
        <v>1092094.1967730001</v>
      </c>
      <c r="E1601" s="293">
        <v>16447.286336000001</v>
      </c>
      <c r="F1601" s="294" t="s">
        <v>2058</v>
      </c>
    </row>
    <row r="1602" spans="1:6" hidden="1" outlineLevel="1" collapsed="1" x14ac:dyDescent="0.25">
      <c r="A1602" s="321" t="s">
        <v>282</v>
      </c>
      <c r="B1602" s="321" t="s">
        <v>464</v>
      </c>
      <c r="C1602" s="293">
        <v>465582.52701800002</v>
      </c>
      <c r="D1602" s="293">
        <v>538619.96504000004</v>
      </c>
      <c r="E1602" s="293">
        <v>73037.438022000002</v>
      </c>
      <c r="F1602" s="294" t="s">
        <v>2059</v>
      </c>
    </row>
    <row r="1603" spans="1:6" hidden="1" outlineLevel="1" collapsed="1" x14ac:dyDescent="0.25">
      <c r="A1603" s="321" t="s">
        <v>282</v>
      </c>
      <c r="B1603" s="321" t="s">
        <v>424</v>
      </c>
      <c r="C1603" s="293">
        <v>0</v>
      </c>
      <c r="D1603" s="293">
        <v>2700</v>
      </c>
      <c r="E1603" s="293">
        <v>2700</v>
      </c>
      <c r="F1603" s="294" t="s">
        <v>298</v>
      </c>
    </row>
    <row r="1604" spans="1:6" hidden="1" outlineLevel="1" collapsed="1" x14ac:dyDescent="0.25">
      <c r="A1604" s="321" t="s">
        <v>282</v>
      </c>
      <c r="B1604" s="321" t="s">
        <v>475</v>
      </c>
      <c r="C1604" s="293">
        <v>2934</v>
      </c>
      <c r="D1604" s="293">
        <v>3368</v>
      </c>
      <c r="E1604" s="293">
        <v>434</v>
      </c>
      <c r="F1604" s="294" t="s">
        <v>889</v>
      </c>
    </row>
    <row r="1605" spans="1:6" hidden="1" outlineLevel="1" collapsed="1" x14ac:dyDescent="0.25">
      <c r="A1605" s="321" t="s">
        <v>282</v>
      </c>
      <c r="B1605" s="321" t="s">
        <v>425</v>
      </c>
      <c r="C1605" s="293">
        <v>163</v>
      </c>
      <c r="D1605" s="293">
        <v>3000</v>
      </c>
      <c r="E1605" s="293">
        <v>2837</v>
      </c>
      <c r="F1605" s="294" t="s">
        <v>890</v>
      </c>
    </row>
    <row r="1606" spans="1:6" hidden="1" outlineLevel="1" collapsed="1" x14ac:dyDescent="0.25">
      <c r="A1606" s="321" t="s">
        <v>282</v>
      </c>
      <c r="B1606" s="321" t="s">
        <v>476</v>
      </c>
      <c r="C1606" s="293">
        <v>26547</v>
      </c>
      <c r="D1606" s="293">
        <v>14047</v>
      </c>
      <c r="E1606" s="293">
        <v>-12500</v>
      </c>
      <c r="F1606" s="294" t="s">
        <v>2060</v>
      </c>
    </row>
    <row r="1607" spans="1:6" hidden="1" outlineLevel="1" collapsed="1" x14ac:dyDescent="0.25">
      <c r="A1607" s="321" t="s">
        <v>282</v>
      </c>
      <c r="B1607" s="321" t="s">
        <v>799</v>
      </c>
      <c r="C1607" s="293">
        <v>0</v>
      </c>
      <c r="D1607" s="293">
        <v>0</v>
      </c>
      <c r="E1607" s="293">
        <v>0</v>
      </c>
      <c r="F1607" s="294" t="s">
        <v>316</v>
      </c>
    </row>
    <row r="1608" spans="1:6" hidden="1" outlineLevel="1" collapsed="1" x14ac:dyDescent="0.25">
      <c r="A1608" s="321" t="s">
        <v>282</v>
      </c>
      <c r="B1608" s="321" t="s">
        <v>384</v>
      </c>
      <c r="C1608" s="293">
        <v>60871.215950999998</v>
      </c>
      <c r="D1608" s="293">
        <v>0</v>
      </c>
      <c r="E1608" s="293">
        <v>-60871.215950999998</v>
      </c>
      <c r="F1608" s="294" t="s">
        <v>286</v>
      </c>
    </row>
    <row r="1609" spans="1:6" hidden="1" outlineLevel="1" collapsed="1" x14ac:dyDescent="0.25">
      <c r="A1609" s="321" t="s">
        <v>282</v>
      </c>
      <c r="B1609" s="321" t="s">
        <v>385</v>
      </c>
      <c r="C1609" s="293">
        <v>0</v>
      </c>
      <c r="D1609" s="293">
        <v>82644.014563999997</v>
      </c>
      <c r="E1609" s="293">
        <v>82644.014563999997</v>
      </c>
      <c r="F1609" s="294" t="s">
        <v>298</v>
      </c>
    </row>
    <row r="1610" spans="1:6" hidden="1" outlineLevel="1" collapsed="1" x14ac:dyDescent="0.25">
      <c r="A1610" s="321" t="s">
        <v>282</v>
      </c>
      <c r="B1610" s="321" t="s">
        <v>386</v>
      </c>
      <c r="C1610" s="293">
        <v>30428.702635000001</v>
      </c>
      <c r="D1610" s="293">
        <v>0</v>
      </c>
      <c r="E1610" s="293">
        <v>-30428.702635000001</v>
      </c>
      <c r="F1610" s="294" t="s">
        <v>286</v>
      </c>
    </row>
    <row r="1611" spans="1:6" hidden="1" outlineLevel="1" collapsed="1" x14ac:dyDescent="0.25">
      <c r="A1611" s="321" t="s">
        <v>282</v>
      </c>
      <c r="B1611" s="321" t="s">
        <v>387</v>
      </c>
      <c r="C1611" s="293">
        <v>0</v>
      </c>
      <c r="D1611" s="293">
        <v>33394.437788000003</v>
      </c>
      <c r="E1611" s="293">
        <v>33394.437788000003</v>
      </c>
      <c r="F1611" s="294" t="s">
        <v>298</v>
      </c>
    </row>
    <row r="1612" spans="1:6" hidden="1" outlineLevel="1" collapsed="1" x14ac:dyDescent="0.25">
      <c r="A1612" s="321" t="s">
        <v>282</v>
      </c>
      <c r="B1612" s="321" t="s">
        <v>388</v>
      </c>
      <c r="C1612" s="293">
        <v>7116.3901150000002</v>
      </c>
      <c r="D1612" s="293">
        <v>7809.9894599999998</v>
      </c>
      <c r="E1612" s="293">
        <v>693.59934499999997</v>
      </c>
      <c r="F1612" s="294" t="s">
        <v>2061</v>
      </c>
    </row>
    <row r="1613" spans="1:6" hidden="1" outlineLevel="1" collapsed="1" x14ac:dyDescent="0.25">
      <c r="A1613" s="321" t="s">
        <v>282</v>
      </c>
      <c r="B1613" s="321" t="s">
        <v>444</v>
      </c>
      <c r="C1613" s="293">
        <v>1507</v>
      </c>
      <c r="D1613" s="293">
        <v>1567</v>
      </c>
      <c r="E1613" s="293">
        <v>60</v>
      </c>
      <c r="F1613" s="294" t="s">
        <v>893</v>
      </c>
    </row>
    <row r="1614" spans="1:6" hidden="1" outlineLevel="1" collapsed="1" x14ac:dyDescent="0.25">
      <c r="A1614" s="321" t="s">
        <v>282</v>
      </c>
      <c r="B1614" s="321" t="s">
        <v>389</v>
      </c>
      <c r="C1614" s="293">
        <v>3231.4463999999998</v>
      </c>
      <c r="D1614" s="293">
        <v>3376.32</v>
      </c>
      <c r="E1614" s="293">
        <v>144.87360000000001</v>
      </c>
      <c r="F1614" s="294" t="s">
        <v>894</v>
      </c>
    </row>
    <row r="1615" spans="1:6" hidden="1" outlineLevel="1" collapsed="1" x14ac:dyDescent="0.25">
      <c r="A1615" s="321" t="s">
        <v>282</v>
      </c>
      <c r="B1615" s="321" t="s">
        <v>390</v>
      </c>
      <c r="C1615" s="293">
        <v>101997.49</v>
      </c>
      <c r="D1615" s="293">
        <v>111714.96</v>
      </c>
      <c r="E1615" s="293">
        <v>9717.4699999999993</v>
      </c>
      <c r="F1615" s="294" t="s">
        <v>895</v>
      </c>
    </row>
    <row r="1616" spans="1:6" hidden="1" outlineLevel="1" collapsed="1" x14ac:dyDescent="0.25">
      <c r="A1616" s="321" t="s">
        <v>282</v>
      </c>
      <c r="B1616" s="321" t="s">
        <v>392</v>
      </c>
      <c r="C1616" s="293">
        <v>1771.0056</v>
      </c>
      <c r="D1616" s="293">
        <v>1463.04</v>
      </c>
      <c r="E1616" s="293">
        <v>-307.96559999999999</v>
      </c>
      <c r="F1616" s="294" t="s">
        <v>896</v>
      </c>
    </row>
    <row r="1617" spans="1:6" hidden="1" outlineLevel="1" collapsed="1" x14ac:dyDescent="0.25">
      <c r="A1617" s="321" t="s">
        <v>282</v>
      </c>
      <c r="B1617" s="321" t="s">
        <v>393</v>
      </c>
      <c r="C1617" s="293">
        <v>245.392718</v>
      </c>
      <c r="D1617" s="293">
        <v>269.30992099999997</v>
      </c>
      <c r="E1617" s="293">
        <v>23.917203000000001</v>
      </c>
      <c r="F1617" s="294" t="s">
        <v>2061</v>
      </c>
    </row>
    <row r="1618" spans="1:6" hidden="1" outlineLevel="1" collapsed="1" x14ac:dyDescent="0.25">
      <c r="A1618" s="321" t="s">
        <v>282</v>
      </c>
      <c r="B1618" s="321" t="s">
        <v>394</v>
      </c>
      <c r="C1618" s="293">
        <v>11375</v>
      </c>
      <c r="D1618" s="293">
        <v>0</v>
      </c>
      <c r="E1618" s="293">
        <v>-11375</v>
      </c>
      <c r="F1618" s="294" t="s">
        <v>286</v>
      </c>
    </row>
    <row r="1619" spans="1:6" hidden="1" outlineLevel="1" collapsed="1" x14ac:dyDescent="0.25">
      <c r="A1619" s="321" t="s">
        <v>282</v>
      </c>
      <c r="B1619" s="321" t="s">
        <v>395</v>
      </c>
      <c r="C1619" s="293">
        <v>0</v>
      </c>
      <c r="D1619" s="293">
        <v>12000</v>
      </c>
      <c r="E1619" s="293">
        <v>12000</v>
      </c>
      <c r="F1619" s="294" t="s">
        <v>298</v>
      </c>
    </row>
    <row r="1620" spans="1:6" hidden="1" outlineLevel="1" collapsed="1" x14ac:dyDescent="0.25">
      <c r="A1620" s="321" t="s">
        <v>282</v>
      </c>
      <c r="B1620" s="321" t="s">
        <v>396</v>
      </c>
      <c r="C1620" s="293">
        <v>376.74</v>
      </c>
      <c r="D1620" s="293">
        <v>0</v>
      </c>
      <c r="E1620" s="293">
        <v>-376.74</v>
      </c>
      <c r="F1620" s="294" t="s">
        <v>286</v>
      </c>
    </row>
    <row r="1621" spans="1:6" hidden="1" outlineLevel="1" collapsed="1" x14ac:dyDescent="0.25">
      <c r="A1621" s="321" t="s">
        <v>282</v>
      </c>
      <c r="B1621" s="321" t="s">
        <v>397</v>
      </c>
      <c r="C1621" s="293">
        <v>0</v>
      </c>
      <c r="D1621" s="293">
        <v>387.84</v>
      </c>
      <c r="E1621" s="293">
        <v>387.84</v>
      </c>
      <c r="F1621" s="294" t="s">
        <v>298</v>
      </c>
    </row>
    <row r="1622" spans="1:6" hidden="1" outlineLevel="1" collapsed="1" x14ac:dyDescent="0.25">
      <c r="A1622" s="321" t="s">
        <v>282</v>
      </c>
      <c r="B1622" s="321" t="s">
        <v>398</v>
      </c>
      <c r="C1622" s="293">
        <v>182</v>
      </c>
      <c r="D1622" s="293">
        <v>88.32</v>
      </c>
      <c r="E1622" s="293">
        <v>-93.68</v>
      </c>
      <c r="F1622" s="294" t="s">
        <v>897</v>
      </c>
    </row>
    <row r="1623" spans="1:6" hidden="1" outlineLevel="1" collapsed="1" x14ac:dyDescent="0.25">
      <c r="A1623" s="321" t="s">
        <v>282</v>
      </c>
      <c r="B1623" s="321" t="s">
        <v>522</v>
      </c>
      <c r="C1623" s="293">
        <v>3000</v>
      </c>
      <c r="D1623" s="293">
        <v>3000</v>
      </c>
      <c r="E1623" s="293">
        <v>0</v>
      </c>
      <c r="F1623" s="294" t="s">
        <v>316</v>
      </c>
    </row>
    <row r="1624" spans="1:6" hidden="1" outlineLevel="1" collapsed="1" x14ac:dyDescent="0.25">
      <c r="A1624" s="321" t="s">
        <v>282</v>
      </c>
      <c r="B1624" s="321" t="s">
        <v>399</v>
      </c>
      <c r="C1624" s="293">
        <v>150</v>
      </c>
      <c r="D1624" s="293">
        <v>150</v>
      </c>
      <c r="E1624" s="293">
        <v>0</v>
      </c>
      <c r="F1624" s="294" t="s">
        <v>316</v>
      </c>
    </row>
    <row r="1625" spans="1:6" hidden="1" outlineLevel="1" collapsed="1" x14ac:dyDescent="0.25">
      <c r="A1625" s="321" t="s">
        <v>282</v>
      </c>
      <c r="B1625" s="321" t="s">
        <v>375</v>
      </c>
      <c r="C1625" s="293">
        <v>9000</v>
      </c>
      <c r="D1625" s="293">
        <v>10000</v>
      </c>
      <c r="E1625" s="293">
        <v>1000</v>
      </c>
      <c r="F1625" s="294" t="s">
        <v>610</v>
      </c>
    </row>
    <row r="1626" spans="1:6" hidden="1" outlineLevel="1" collapsed="1" x14ac:dyDescent="0.25">
      <c r="A1626" s="321" t="s">
        <v>282</v>
      </c>
      <c r="B1626" s="321" t="s">
        <v>431</v>
      </c>
      <c r="C1626" s="293">
        <v>200</v>
      </c>
      <c r="D1626" s="293">
        <v>200</v>
      </c>
      <c r="E1626" s="293">
        <v>0</v>
      </c>
      <c r="F1626" s="294" t="s">
        <v>316</v>
      </c>
    </row>
    <row r="1627" spans="1:6" hidden="1" outlineLevel="1" collapsed="1" x14ac:dyDescent="0.25">
      <c r="A1627" s="321" t="s">
        <v>282</v>
      </c>
      <c r="B1627" s="321" t="s">
        <v>496</v>
      </c>
      <c r="C1627" s="293">
        <v>0</v>
      </c>
      <c r="D1627" s="293">
        <v>50</v>
      </c>
      <c r="E1627" s="293">
        <v>50</v>
      </c>
      <c r="F1627" s="294" t="s">
        <v>298</v>
      </c>
    </row>
    <row r="1628" spans="1:6" hidden="1" outlineLevel="1" collapsed="1" x14ac:dyDescent="0.25">
      <c r="A1628" s="321" t="s">
        <v>282</v>
      </c>
      <c r="B1628" s="321" t="s">
        <v>376</v>
      </c>
      <c r="C1628" s="293">
        <v>33809</v>
      </c>
      <c r="D1628" s="293">
        <v>35800</v>
      </c>
      <c r="E1628" s="293">
        <v>1991</v>
      </c>
      <c r="F1628" s="294" t="s">
        <v>898</v>
      </c>
    </row>
    <row r="1629" spans="1:6" hidden="1" outlineLevel="1" collapsed="1" x14ac:dyDescent="0.25">
      <c r="A1629" s="321" t="s">
        <v>282</v>
      </c>
      <c r="B1629" s="321" t="s">
        <v>567</v>
      </c>
      <c r="C1629" s="293">
        <v>0</v>
      </c>
      <c r="D1629" s="293">
        <v>1000</v>
      </c>
      <c r="E1629" s="293">
        <v>1000</v>
      </c>
      <c r="F1629" s="294" t="s">
        <v>298</v>
      </c>
    </row>
    <row r="1630" spans="1:6" hidden="1" outlineLevel="1" collapsed="1" x14ac:dyDescent="0.25">
      <c r="A1630" s="321" t="s">
        <v>282</v>
      </c>
      <c r="B1630" s="321" t="s">
        <v>426</v>
      </c>
      <c r="C1630" s="293">
        <v>0</v>
      </c>
      <c r="D1630" s="293">
        <v>2400</v>
      </c>
      <c r="E1630" s="293">
        <v>2400</v>
      </c>
      <c r="F1630" s="294" t="s">
        <v>298</v>
      </c>
    </row>
    <row r="1631" spans="1:6" hidden="1" outlineLevel="1" collapsed="1" x14ac:dyDescent="0.25">
      <c r="A1631" s="321" t="s">
        <v>282</v>
      </c>
      <c r="B1631" s="321" t="s">
        <v>482</v>
      </c>
      <c r="C1631" s="293">
        <v>100</v>
      </c>
      <c r="D1631" s="293">
        <v>100</v>
      </c>
      <c r="E1631" s="293">
        <v>0</v>
      </c>
      <c r="F1631" s="294" t="s">
        <v>316</v>
      </c>
    </row>
    <row r="1632" spans="1:6" hidden="1" outlineLevel="1" collapsed="1" x14ac:dyDescent="0.25">
      <c r="A1632" s="321" t="s">
        <v>282</v>
      </c>
      <c r="B1632" s="321" t="s">
        <v>543</v>
      </c>
      <c r="C1632" s="293">
        <v>73099</v>
      </c>
      <c r="D1632" s="293">
        <v>104000</v>
      </c>
      <c r="E1632" s="293">
        <v>30901</v>
      </c>
      <c r="F1632" s="294" t="s">
        <v>899</v>
      </c>
    </row>
    <row r="1633" spans="1:6" hidden="1" outlineLevel="1" collapsed="1" x14ac:dyDescent="0.25">
      <c r="A1633" s="321" t="s">
        <v>282</v>
      </c>
      <c r="B1633" s="321" t="s">
        <v>448</v>
      </c>
      <c r="C1633" s="293">
        <v>65233</v>
      </c>
      <c r="D1633" s="293">
        <v>46500</v>
      </c>
      <c r="E1633" s="293">
        <v>-18733</v>
      </c>
      <c r="F1633" s="294" t="s">
        <v>2062</v>
      </c>
    </row>
    <row r="1634" spans="1:6" hidden="1" outlineLevel="1" collapsed="1" x14ac:dyDescent="0.25">
      <c r="A1634" s="321" t="s">
        <v>282</v>
      </c>
      <c r="B1634" s="321" t="s">
        <v>901</v>
      </c>
      <c r="C1634" s="293">
        <v>31000</v>
      </c>
      <c r="D1634" s="293">
        <v>1000</v>
      </c>
      <c r="E1634" s="293">
        <v>-30000</v>
      </c>
      <c r="F1634" s="294" t="s">
        <v>1875</v>
      </c>
    </row>
    <row r="1635" spans="1:6" hidden="1" outlineLevel="1" collapsed="1" x14ac:dyDescent="0.25">
      <c r="A1635" s="321" t="s">
        <v>282</v>
      </c>
      <c r="B1635" s="321" t="s">
        <v>403</v>
      </c>
      <c r="C1635" s="293">
        <v>1329</v>
      </c>
      <c r="D1635" s="293">
        <v>3000</v>
      </c>
      <c r="E1635" s="293">
        <v>1671</v>
      </c>
      <c r="F1635" s="294" t="s">
        <v>903</v>
      </c>
    </row>
    <row r="1636" spans="1:6" hidden="1" outlineLevel="1" collapsed="1" x14ac:dyDescent="0.25">
      <c r="A1636" s="321" t="s">
        <v>282</v>
      </c>
      <c r="B1636" s="321" t="s">
        <v>405</v>
      </c>
      <c r="C1636" s="293">
        <v>0</v>
      </c>
      <c r="D1636" s="293">
        <v>500</v>
      </c>
      <c r="E1636" s="293">
        <v>500</v>
      </c>
      <c r="F1636" s="294" t="s">
        <v>298</v>
      </c>
    </row>
    <row r="1637" spans="1:6" hidden="1" outlineLevel="1" collapsed="1" x14ac:dyDescent="0.25">
      <c r="A1637" s="321" t="s">
        <v>282</v>
      </c>
      <c r="B1637" s="321" t="s">
        <v>422</v>
      </c>
      <c r="C1637" s="293">
        <v>8048</v>
      </c>
      <c r="D1637" s="293">
        <v>9200</v>
      </c>
      <c r="E1637" s="293">
        <v>1152</v>
      </c>
      <c r="F1637" s="294" t="s">
        <v>904</v>
      </c>
    </row>
    <row r="1638" spans="1:6" hidden="1" outlineLevel="1" collapsed="1" x14ac:dyDescent="0.25">
      <c r="A1638" s="321" t="s">
        <v>282</v>
      </c>
      <c r="B1638" s="321" t="s">
        <v>770</v>
      </c>
      <c r="C1638" s="293">
        <v>136350</v>
      </c>
      <c r="D1638" s="293">
        <v>58744</v>
      </c>
      <c r="E1638" s="293">
        <v>-77606</v>
      </c>
      <c r="F1638" s="294" t="s">
        <v>905</v>
      </c>
    </row>
    <row r="1639" spans="1:6" collapsed="1" x14ac:dyDescent="0.25">
      <c r="A1639" s="560" t="s">
        <v>906</v>
      </c>
      <c r="B1639" s="561"/>
      <c r="C1639" s="292">
        <v>489646.23459200002</v>
      </c>
      <c r="D1639" s="293">
        <v>728696.49051200005</v>
      </c>
      <c r="E1639" s="293">
        <v>239050.25592</v>
      </c>
      <c r="F1639" s="294" t="s">
        <v>2063</v>
      </c>
    </row>
    <row r="1640" spans="1:6" hidden="1" outlineLevel="1" collapsed="1" x14ac:dyDescent="0.25">
      <c r="A1640" s="321" t="s">
        <v>282</v>
      </c>
      <c r="B1640" s="321" t="s">
        <v>780</v>
      </c>
      <c r="C1640" s="293">
        <v>74942.782191000006</v>
      </c>
      <c r="D1640" s="293">
        <v>53245.635036</v>
      </c>
      <c r="E1640" s="293">
        <v>-21697.147154999999</v>
      </c>
      <c r="F1640" s="294" t="s">
        <v>2064</v>
      </c>
    </row>
    <row r="1641" spans="1:6" hidden="1" outlineLevel="1" collapsed="1" x14ac:dyDescent="0.25">
      <c r="A1641" s="321" t="s">
        <v>282</v>
      </c>
      <c r="B1641" s="321" t="s">
        <v>750</v>
      </c>
      <c r="C1641" s="293">
        <v>112679.999991</v>
      </c>
      <c r="D1641" s="293">
        <v>157333.11998399999</v>
      </c>
      <c r="E1641" s="293">
        <v>44653.119993</v>
      </c>
      <c r="F1641" s="294" t="s">
        <v>909</v>
      </c>
    </row>
    <row r="1642" spans="1:6" hidden="1" outlineLevel="1" collapsed="1" x14ac:dyDescent="0.25">
      <c r="A1642" s="321" t="s">
        <v>282</v>
      </c>
      <c r="B1642" s="321" t="s">
        <v>441</v>
      </c>
      <c r="C1642" s="293">
        <v>30000</v>
      </c>
      <c r="D1642" s="293">
        <v>30000</v>
      </c>
      <c r="E1642" s="293">
        <v>0</v>
      </c>
      <c r="F1642" s="294" t="s">
        <v>316</v>
      </c>
    </row>
    <row r="1643" spans="1:6" hidden="1" outlineLevel="1" collapsed="1" x14ac:dyDescent="0.25">
      <c r="A1643" s="321" t="s">
        <v>282</v>
      </c>
      <c r="B1643" s="321" t="s">
        <v>488</v>
      </c>
      <c r="C1643" s="293">
        <v>50000</v>
      </c>
      <c r="D1643" s="293">
        <v>50000</v>
      </c>
      <c r="E1643" s="293">
        <v>0</v>
      </c>
      <c r="F1643" s="294" t="s">
        <v>316</v>
      </c>
    </row>
    <row r="1644" spans="1:6" hidden="1" outlineLevel="1" collapsed="1" x14ac:dyDescent="0.25">
      <c r="A1644" s="321" t="s">
        <v>282</v>
      </c>
      <c r="B1644" s="321" t="s">
        <v>452</v>
      </c>
      <c r="C1644" s="293">
        <v>20000</v>
      </c>
      <c r="D1644" s="293">
        <v>0</v>
      </c>
      <c r="E1644" s="293">
        <v>-20000</v>
      </c>
      <c r="F1644" s="294" t="s">
        <v>286</v>
      </c>
    </row>
    <row r="1645" spans="1:6" hidden="1" outlineLevel="1" collapsed="1" x14ac:dyDescent="0.25">
      <c r="A1645" s="321" t="s">
        <v>282</v>
      </c>
      <c r="B1645" s="321" t="s">
        <v>453</v>
      </c>
      <c r="C1645" s="293">
        <v>102566</v>
      </c>
      <c r="D1645" s="293">
        <v>305531</v>
      </c>
      <c r="E1645" s="293">
        <v>202965</v>
      </c>
      <c r="F1645" s="294" t="s">
        <v>2065</v>
      </c>
    </row>
    <row r="1646" spans="1:6" hidden="1" outlineLevel="1" collapsed="1" x14ac:dyDescent="0.25">
      <c r="A1646" s="321" t="s">
        <v>282</v>
      </c>
      <c r="B1646" s="321" t="s">
        <v>360</v>
      </c>
      <c r="C1646" s="293">
        <v>7585.7039910000003</v>
      </c>
      <c r="D1646" s="293">
        <v>11700.755964</v>
      </c>
      <c r="E1646" s="293">
        <v>4115.0519729999996</v>
      </c>
      <c r="F1646" s="294" t="s">
        <v>911</v>
      </c>
    </row>
    <row r="1647" spans="1:6" hidden="1" outlineLevel="1" collapsed="1" x14ac:dyDescent="0.25">
      <c r="A1647" s="321" t="s">
        <v>282</v>
      </c>
      <c r="B1647" s="321" t="s">
        <v>751</v>
      </c>
      <c r="C1647" s="293">
        <v>16899.069060000002</v>
      </c>
      <c r="D1647" s="293">
        <v>0</v>
      </c>
      <c r="E1647" s="293">
        <v>-16899.069060000002</v>
      </c>
      <c r="F1647" s="294" t="s">
        <v>286</v>
      </c>
    </row>
    <row r="1648" spans="1:6" hidden="1" outlineLevel="1" collapsed="1" x14ac:dyDescent="0.25">
      <c r="A1648" s="321" t="s">
        <v>282</v>
      </c>
      <c r="B1648" s="321" t="s">
        <v>752</v>
      </c>
      <c r="C1648" s="293">
        <v>0</v>
      </c>
      <c r="D1648" s="293">
        <v>18685.75836</v>
      </c>
      <c r="E1648" s="293">
        <v>18685.75836</v>
      </c>
      <c r="F1648" s="294" t="s">
        <v>298</v>
      </c>
    </row>
    <row r="1649" spans="1:6" hidden="1" outlineLevel="1" collapsed="1" x14ac:dyDescent="0.25">
      <c r="A1649" s="321" t="s">
        <v>282</v>
      </c>
      <c r="B1649" s="321" t="s">
        <v>753</v>
      </c>
      <c r="C1649" s="293">
        <v>3382.2239939999999</v>
      </c>
      <c r="D1649" s="293">
        <v>4727.3015880000003</v>
      </c>
      <c r="E1649" s="293">
        <v>1345.0775940000001</v>
      </c>
      <c r="F1649" s="294" t="s">
        <v>912</v>
      </c>
    </row>
    <row r="1650" spans="1:6" hidden="1" outlineLevel="1" collapsed="1" x14ac:dyDescent="0.25">
      <c r="A1650" s="321" t="s">
        <v>282</v>
      </c>
      <c r="B1650" s="321" t="s">
        <v>362</v>
      </c>
      <c r="C1650" s="293">
        <v>842.85599400000001</v>
      </c>
      <c r="D1650" s="293">
        <v>1175.751636</v>
      </c>
      <c r="E1650" s="293">
        <v>332.89564200000001</v>
      </c>
      <c r="F1650" s="294" t="s">
        <v>913</v>
      </c>
    </row>
    <row r="1651" spans="1:6" hidden="1" outlineLevel="1" collapsed="1" x14ac:dyDescent="0.25">
      <c r="A1651" s="321" t="s">
        <v>282</v>
      </c>
      <c r="B1651" s="321" t="s">
        <v>388</v>
      </c>
      <c r="C1651" s="293">
        <v>791.00399700000003</v>
      </c>
      <c r="D1651" s="293">
        <v>1105.5785880000001</v>
      </c>
      <c r="E1651" s="293">
        <v>314.574591</v>
      </c>
      <c r="F1651" s="294" t="s">
        <v>912</v>
      </c>
    </row>
    <row r="1652" spans="1:6" hidden="1" outlineLevel="1" collapsed="1" x14ac:dyDescent="0.25">
      <c r="A1652" s="321" t="s">
        <v>282</v>
      </c>
      <c r="B1652" s="321" t="s">
        <v>363</v>
      </c>
      <c r="C1652" s="293">
        <v>319.59359999999998</v>
      </c>
      <c r="D1652" s="293">
        <v>422.04</v>
      </c>
      <c r="E1652" s="293">
        <v>102.4464</v>
      </c>
      <c r="F1652" s="294" t="s">
        <v>914</v>
      </c>
    </row>
    <row r="1653" spans="1:6" hidden="1" outlineLevel="1" collapsed="1" x14ac:dyDescent="0.25">
      <c r="A1653" s="321" t="s">
        <v>282</v>
      </c>
      <c r="B1653" s="321" t="s">
        <v>365</v>
      </c>
      <c r="C1653" s="293">
        <v>11518.92</v>
      </c>
      <c r="D1653" s="293">
        <v>15959.28</v>
      </c>
      <c r="E1653" s="293">
        <v>4440.3599999999997</v>
      </c>
      <c r="F1653" s="294" t="s">
        <v>915</v>
      </c>
    </row>
    <row r="1654" spans="1:6" hidden="1" outlineLevel="1" collapsed="1" x14ac:dyDescent="0.25">
      <c r="A1654" s="321" t="s">
        <v>282</v>
      </c>
      <c r="B1654" s="321" t="s">
        <v>367</v>
      </c>
      <c r="C1654" s="293">
        <v>175.15440000000001</v>
      </c>
      <c r="D1654" s="293">
        <v>182.88</v>
      </c>
      <c r="E1654" s="293">
        <v>7.7256</v>
      </c>
      <c r="F1654" s="294" t="s">
        <v>916</v>
      </c>
    </row>
    <row r="1655" spans="1:6" hidden="1" outlineLevel="1" collapsed="1" x14ac:dyDescent="0.25">
      <c r="A1655" s="321" t="s">
        <v>282</v>
      </c>
      <c r="B1655" s="321" t="s">
        <v>444</v>
      </c>
      <c r="C1655" s="293">
        <v>14281</v>
      </c>
      <c r="D1655" s="293">
        <v>33777</v>
      </c>
      <c r="E1655" s="293">
        <v>19496</v>
      </c>
      <c r="F1655" s="294" t="s">
        <v>2066</v>
      </c>
    </row>
    <row r="1656" spans="1:6" hidden="1" outlineLevel="1" collapsed="1" x14ac:dyDescent="0.25">
      <c r="A1656" s="321" t="s">
        <v>282</v>
      </c>
      <c r="B1656" s="321" t="s">
        <v>754</v>
      </c>
      <c r="C1656" s="293">
        <v>23037.84</v>
      </c>
      <c r="D1656" s="293">
        <v>23938.92</v>
      </c>
      <c r="E1656" s="293">
        <v>901.08</v>
      </c>
      <c r="F1656" s="294" t="s">
        <v>366</v>
      </c>
    </row>
    <row r="1657" spans="1:6" hidden="1" outlineLevel="1" collapsed="1" x14ac:dyDescent="0.25">
      <c r="A1657" s="321" t="s">
        <v>282</v>
      </c>
      <c r="B1657" s="321" t="s">
        <v>755</v>
      </c>
      <c r="C1657" s="293">
        <v>639.18719999999996</v>
      </c>
      <c r="D1657" s="293">
        <v>633.05999999999995</v>
      </c>
      <c r="E1657" s="293">
        <v>-6.1272000000000002</v>
      </c>
      <c r="F1657" s="294" t="s">
        <v>364</v>
      </c>
    </row>
    <row r="1658" spans="1:6" hidden="1" outlineLevel="1" collapsed="1" x14ac:dyDescent="0.25">
      <c r="A1658" s="321" t="s">
        <v>282</v>
      </c>
      <c r="B1658" s="321" t="s">
        <v>756</v>
      </c>
      <c r="C1658" s="293">
        <v>350.30880000000002</v>
      </c>
      <c r="D1658" s="293">
        <v>274.32</v>
      </c>
      <c r="E1658" s="293">
        <v>-75.988799999999998</v>
      </c>
      <c r="F1658" s="294" t="s">
        <v>368</v>
      </c>
    </row>
    <row r="1659" spans="1:6" hidden="1" outlineLevel="1" collapsed="1" x14ac:dyDescent="0.25">
      <c r="A1659" s="321" t="s">
        <v>282</v>
      </c>
      <c r="B1659" s="321" t="s">
        <v>369</v>
      </c>
      <c r="C1659" s="293">
        <v>29.063997000000001</v>
      </c>
      <c r="D1659" s="293">
        <v>40.543151999999999</v>
      </c>
      <c r="E1659" s="293">
        <v>11.479155</v>
      </c>
      <c r="F1659" s="294" t="s">
        <v>913</v>
      </c>
    </row>
    <row r="1660" spans="1:6" hidden="1" outlineLevel="1" collapsed="1" x14ac:dyDescent="0.25">
      <c r="A1660" s="321" t="s">
        <v>282</v>
      </c>
      <c r="B1660" s="321" t="s">
        <v>757</v>
      </c>
      <c r="C1660" s="293">
        <v>64.747377</v>
      </c>
      <c r="D1660" s="293">
        <v>0</v>
      </c>
      <c r="E1660" s="293">
        <v>-64.747377</v>
      </c>
      <c r="F1660" s="294" t="s">
        <v>286</v>
      </c>
    </row>
    <row r="1661" spans="1:6" hidden="1" outlineLevel="1" collapsed="1" x14ac:dyDescent="0.25">
      <c r="A1661" s="321" t="s">
        <v>282</v>
      </c>
      <c r="B1661" s="321" t="s">
        <v>758</v>
      </c>
      <c r="C1661" s="293">
        <v>0</v>
      </c>
      <c r="D1661" s="293">
        <v>64.746204000000006</v>
      </c>
      <c r="E1661" s="293">
        <v>64.746204000000006</v>
      </c>
      <c r="F1661" s="294" t="s">
        <v>298</v>
      </c>
    </row>
    <row r="1662" spans="1:6" hidden="1" outlineLevel="1" collapsed="1" x14ac:dyDescent="0.25">
      <c r="A1662" s="321" t="s">
        <v>282</v>
      </c>
      <c r="B1662" s="321" t="s">
        <v>370</v>
      </c>
      <c r="C1662" s="293">
        <v>1125</v>
      </c>
      <c r="D1662" s="293">
        <v>1500</v>
      </c>
      <c r="E1662" s="293">
        <v>375</v>
      </c>
      <c r="F1662" s="294" t="s">
        <v>886</v>
      </c>
    </row>
    <row r="1663" spans="1:6" hidden="1" outlineLevel="1" collapsed="1" x14ac:dyDescent="0.25">
      <c r="A1663" s="321" t="s">
        <v>282</v>
      </c>
      <c r="B1663" s="321" t="s">
        <v>759</v>
      </c>
      <c r="C1663" s="293">
        <v>2250</v>
      </c>
      <c r="D1663" s="293">
        <v>0</v>
      </c>
      <c r="E1663" s="293">
        <v>-2250</v>
      </c>
      <c r="F1663" s="294" t="s">
        <v>286</v>
      </c>
    </row>
    <row r="1664" spans="1:6" hidden="1" outlineLevel="1" collapsed="1" x14ac:dyDescent="0.25">
      <c r="A1664" s="321" t="s">
        <v>282</v>
      </c>
      <c r="B1664" s="321" t="s">
        <v>760</v>
      </c>
      <c r="C1664" s="293">
        <v>0</v>
      </c>
      <c r="D1664" s="293">
        <v>2250</v>
      </c>
      <c r="E1664" s="293">
        <v>2250</v>
      </c>
      <c r="F1664" s="294" t="s">
        <v>298</v>
      </c>
    </row>
    <row r="1665" spans="1:6" hidden="1" outlineLevel="1" collapsed="1" x14ac:dyDescent="0.25">
      <c r="A1665" s="321" t="s">
        <v>282</v>
      </c>
      <c r="B1665" s="321" t="s">
        <v>371</v>
      </c>
      <c r="C1665" s="293">
        <v>37.26</v>
      </c>
      <c r="D1665" s="293">
        <v>48.48</v>
      </c>
      <c r="E1665" s="293">
        <v>11.22</v>
      </c>
      <c r="F1665" s="294" t="s">
        <v>920</v>
      </c>
    </row>
    <row r="1666" spans="1:6" hidden="1" outlineLevel="1" collapsed="1" x14ac:dyDescent="0.25">
      <c r="A1666" s="321" t="s">
        <v>282</v>
      </c>
      <c r="B1666" s="321" t="s">
        <v>761</v>
      </c>
      <c r="C1666" s="293">
        <v>74.52</v>
      </c>
      <c r="D1666" s="293">
        <v>0</v>
      </c>
      <c r="E1666" s="293">
        <v>-74.52</v>
      </c>
      <c r="F1666" s="294" t="s">
        <v>286</v>
      </c>
    </row>
    <row r="1667" spans="1:6" hidden="1" outlineLevel="1" collapsed="1" x14ac:dyDescent="0.25">
      <c r="A1667" s="321" t="s">
        <v>282</v>
      </c>
      <c r="B1667" s="321" t="s">
        <v>762</v>
      </c>
      <c r="C1667" s="293">
        <v>0</v>
      </c>
      <c r="D1667" s="293">
        <v>72.72</v>
      </c>
      <c r="E1667" s="293">
        <v>72.72</v>
      </c>
      <c r="F1667" s="294" t="s">
        <v>298</v>
      </c>
    </row>
    <row r="1668" spans="1:6" hidden="1" outlineLevel="1" collapsed="1" x14ac:dyDescent="0.25">
      <c r="A1668" s="321" t="s">
        <v>282</v>
      </c>
      <c r="B1668" s="321" t="s">
        <v>373</v>
      </c>
      <c r="C1668" s="293">
        <v>18</v>
      </c>
      <c r="D1668" s="293">
        <v>11.04</v>
      </c>
      <c r="E1668" s="293">
        <v>-6.96</v>
      </c>
      <c r="F1668" s="294" t="s">
        <v>921</v>
      </c>
    </row>
    <row r="1669" spans="1:6" hidden="1" outlineLevel="1" collapsed="1" x14ac:dyDescent="0.25">
      <c r="A1669" s="321" t="s">
        <v>282</v>
      </c>
      <c r="B1669" s="321" t="s">
        <v>763</v>
      </c>
      <c r="C1669" s="293">
        <v>36</v>
      </c>
      <c r="D1669" s="293">
        <v>16.559999999999999</v>
      </c>
      <c r="E1669" s="293">
        <v>-19.440000000000001</v>
      </c>
      <c r="F1669" s="294" t="s">
        <v>374</v>
      </c>
    </row>
    <row r="1670" spans="1:6" hidden="1" outlineLevel="1" collapsed="1" x14ac:dyDescent="0.25">
      <c r="A1670" s="321" t="s">
        <v>282</v>
      </c>
      <c r="B1670" s="321" t="s">
        <v>505</v>
      </c>
      <c r="C1670" s="293">
        <v>5000</v>
      </c>
      <c r="D1670" s="293">
        <v>0</v>
      </c>
      <c r="E1670" s="293">
        <v>-5000</v>
      </c>
      <c r="F1670" s="294" t="s">
        <v>286</v>
      </c>
    </row>
    <row r="1671" spans="1:6" hidden="1" outlineLevel="1" collapsed="1" x14ac:dyDescent="0.25">
      <c r="A1671" s="321" t="s">
        <v>282</v>
      </c>
      <c r="B1671" s="321" t="s">
        <v>375</v>
      </c>
      <c r="C1671" s="293">
        <v>0</v>
      </c>
      <c r="D1671" s="293">
        <v>8000</v>
      </c>
      <c r="E1671" s="293">
        <v>8000</v>
      </c>
      <c r="F1671" s="294" t="s">
        <v>298</v>
      </c>
    </row>
    <row r="1672" spans="1:6" hidden="1" outlineLevel="1" collapsed="1" x14ac:dyDescent="0.25">
      <c r="A1672" s="321" t="s">
        <v>282</v>
      </c>
      <c r="B1672" s="321" t="s">
        <v>376</v>
      </c>
      <c r="C1672" s="293">
        <v>9040</v>
      </c>
      <c r="D1672" s="293">
        <v>8000</v>
      </c>
      <c r="E1672" s="293">
        <v>-1040</v>
      </c>
      <c r="F1672" s="294" t="s">
        <v>923</v>
      </c>
    </row>
    <row r="1673" spans="1:6" hidden="1" outlineLevel="1" collapsed="1" x14ac:dyDescent="0.25">
      <c r="A1673" s="321" t="s">
        <v>282</v>
      </c>
      <c r="B1673" s="321" t="s">
        <v>557</v>
      </c>
      <c r="C1673" s="293">
        <v>1960</v>
      </c>
      <c r="D1673" s="293">
        <v>0</v>
      </c>
      <c r="E1673" s="293">
        <v>-1960</v>
      </c>
      <c r="F1673" s="294" t="s">
        <v>286</v>
      </c>
    </row>
    <row r="1674" spans="1:6" collapsed="1" x14ac:dyDescent="0.25">
      <c r="A1674" s="560" t="s">
        <v>924</v>
      </c>
      <c r="B1674" s="561"/>
      <c r="C1674" s="292">
        <v>169709.63496600001</v>
      </c>
      <c r="D1674" s="293">
        <v>165429.32829599999</v>
      </c>
      <c r="E1674" s="293">
        <v>-4280.3066699999999</v>
      </c>
      <c r="F1674" s="294" t="s">
        <v>2067</v>
      </c>
    </row>
    <row r="1675" spans="1:6" hidden="1" outlineLevel="1" collapsed="1" x14ac:dyDescent="0.25">
      <c r="A1675" s="321" t="s">
        <v>282</v>
      </c>
      <c r="B1675" s="321" t="s">
        <v>750</v>
      </c>
      <c r="C1675" s="293">
        <v>47.999997</v>
      </c>
      <c r="D1675" s="293">
        <v>0</v>
      </c>
      <c r="E1675" s="293">
        <v>-47.999997</v>
      </c>
      <c r="F1675" s="294" t="s">
        <v>286</v>
      </c>
    </row>
    <row r="1676" spans="1:6" hidden="1" outlineLevel="1" collapsed="1" x14ac:dyDescent="0.25">
      <c r="A1676" s="321" t="s">
        <v>282</v>
      </c>
      <c r="B1676" s="321" t="s">
        <v>464</v>
      </c>
      <c r="C1676" s="293">
        <v>116268.279562</v>
      </c>
      <c r="D1676" s="293">
        <v>118033.14961399999</v>
      </c>
      <c r="E1676" s="293">
        <v>1764.870052</v>
      </c>
      <c r="F1676" s="294" t="s">
        <v>926</v>
      </c>
    </row>
    <row r="1677" spans="1:6" hidden="1" outlineLevel="1" collapsed="1" x14ac:dyDescent="0.25">
      <c r="A1677" s="321" t="s">
        <v>282</v>
      </c>
      <c r="B1677" s="321" t="s">
        <v>360</v>
      </c>
      <c r="C1677" s="293">
        <v>2022.8543979999999</v>
      </c>
      <c r="D1677" s="293">
        <v>0</v>
      </c>
      <c r="E1677" s="293">
        <v>-2022.8543979999999</v>
      </c>
      <c r="F1677" s="294" t="s">
        <v>286</v>
      </c>
    </row>
    <row r="1678" spans="1:6" hidden="1" outlineLevel="1" collapsed="1" x14ac:dyDescent="0.25">
      <c r="A1678" s="321" t="s">
        <v>282</v>
      </c>
      <c r="B1678" s="321" t="s">
        <v>751</v>
      </c>
      <c r="C1678" s="293">
        <v>1898.409598</v>
      </c>
      <c r="D1678" s="293">
        <v>0</v>
      </c>
      <c r="E1678" s="293">
        <v>-1898.409598</v>
      </c>
      <c r="F1678" s="294" t="s">
        <v>286</v>
      </c>
    </row>
    <row r="1679" spans="1:6" hidden="1" outlineLevel="1" collapsed="1" x14ac:dyDescent="0.25">
      <c r="A1679" s="321" t="s">
        <v>282</v>
      </c>
      <c r="B1679" s="321" t="s">
        <v>384</v>
      </c>
      <c r="C1679" s="293">
        <v>11791.32142</v>
      </c>
      <c r="D1679" s="293">
        <v>0</v>
      </c>
      <c r="E1679" s="293">
        <v>-11791.32142</v>
      </c>
      <c r="F1679" s="294" t="s">
        <v>286</v>
      </c>
    </row>
    <row r="1680" spans="1:6" hidden="1" outlineLevel="1" collapsed="1" x14ac:dyDescent="0.25">
      <c r="A1680" s="321" t="s">
        <v>282</v>
      </c>
      <c r="B1680" s="321" t="s">
        <v>385</v>
      </c>
      <c r="C1680" s="293">
        <v>0</v>
      </c>
      <c r="D1680" s="293">
        <v>16133.576408999999</v>
      </c>
      <c r="E1680" s="293">
        <v>16133.576408999999</v>
      </c>
      <c r="F1680" s="294" t="s">
        <v>298</v>
      </c>
    </row>
    <row r="1681" spans="1:6" hidden="1" outlineLevel="1" collapsed="1" x14ac:dyDescent="0.25">
      <c r="A1681" s="321" t="s">
        <v>282</v>
      </c>
      <c r="B1681" s="321" t="s">
        <v>386</v>
      </c>
      <c r="C1681" s="293">
        <v>7208.6333139999997</v>
      </c>
      <c r="D1681" s="293">
        <v>0</v>
      </c>
      <c r="E1681" s="293">
        <v>-7208.6333139999997</v>
      </c>
      <c r="F1681" s="294" t="s">
        <v>286</v>
      </c>
    </row>
    <row r="1682" spans="1:6" hidden="1" outlineLevel="1" collapsed="1" x14ac:dyDescent="0.25">
      <c r="A1682" s="321" t="s">
        <v>282</v>
      </c>
      <c r="B1682" s="321" t="s">
        <v>387</v>
      </c>
      <c r="C1682" s="293">
        <v>0</v>
      </c>
      <c r="D1682" s="293">
        <v>7318.0552580000003</v>
      </c>
      <c r="E1682" s="293">
        <v>7318.0552580000003</v>
      </c>
      <c r="F1682" s="294" t="s">
        <v>298</v>
      </c>
    </row>
    <row r="1683" spans="1:6" hidden="1" outlineLevel="1" collapsed="1" x14ac:dyDescent="0.25">
      <c r="A1683" s="321" t="s">
        <v>282</v>
      </c>
      <c r="B1683" s="321" t="s">
        <v>753</v>
      </c>
      <c r="C1683" s="293">
        <v>901.92639799999995</v>
      </c>
      <c r="D1683" s="293">
        <v>0</v>
      </c>
      <c r="E1683" s="293">
        <v>-901.92639799999995</v>
      </c>
      <c r="F1683" s="294" t="s">
        <v>286</v>
      </c>
    </row>
    <row r="1684" spans="1:6" hidden="1" outlineLevel="1" collapsed="1" x14ac:dyDescent="0.25">
      <c r="A1684" s="321" t="s">
        <v>282</v>
      </c>
      <c r="B1684" s="321" t="s">
        <v>362</v>
      </c>
      <c r="C1684" s="293">
        <v>224.76159799999999</v>
      </c>
      <c r="D1684" s="293">
        <v>0</v>
      </c>
      <c r="E1684" s="293">
        <v>-224.76159799999999</v>
      </c>
      <c r="F1684" s="294" t="s">
        <v>286</v>
      </c>
    </row>
    <row r="1685" spans="1:6" hidden="1" outlineLevel="1" collapsed="1" x14ac:dyDescent="0.25">
      <c r="A1685" s="321" t="s">
        <v>282</v>
      </c>
      <c r="B1685" s="321" t="s">
        <v>388</v>
      </c>
      <c r="C1685" s="293">
        <v>1896.8244380000001</v>
      </c>
      <c r="D1685" s="293">
        <v>1711.4806510000001</v>
      </c>
      <c r="E1685" s="293">
        <v>-185.34378699999999</v>
      </c>
      <c r="F1685" s="294" t="s">
        <v>927</v>
      </c>
    </row>
    <row r="1686" spans="1:6" hidden="1" outlineLevel="1" collapsed="1" x14ac:dyDescent="0.25">
      <c r="A1686" s="321" t="s">
        <v>282</v>
      </c>
      <c r="B1686" s="321" t="s">
        <v>480</v>
      </c>
      <c r="C1686" s="293">
        <v>286.34491500000001</v>
      </c>
      <c r="D1686" s="293">
        <v>176.99980199999999</v>
      </c>
      <c r="E1686" s="293">
        <v>-109.345113</v>
      </c>
      <c r="F1686" s="294" t="s">
        <v>928</v>
      </c>
    </row>
    <row r="1687" spans="1:6" hidden="1" outlineLevel="1" collapsed="1" x14ac:dyDescent="0.25">
      <c r="A1687" s="321" t="s">
        <v>282</v>
      </c>
      <c r="B1687" s="321" t="s">
        <v>363</v>
      </c>
      <c r="C1687" s="293">
        <v>85.224959999999996</v>
      </c>
      <c r="D1687" s="293">
        <v>0</v>
      </c>
      <c r="E1687" s="293">
        <v>-85.224959999999996</v>
      </c>
      <c r="F1687" s="294" t="s">
        <v>286</v>
      </c>
    </row>
    <row r="1688" spans="1:6" hidden="1" outlineLevel="1" collapsed="1" x14ac:dyDescent="0.25">
      <c r="A1688" s="321" t="s">
        <v>282</v>
      </c>
      <c r="B1688" s="321" t="s">
        <v>365</v>
      </c>
      <c r="C1688" s="293">
        <v>3071.712</v>
      </c>
      <c r="D1688" s="293">
        <v>0</v>
      </c>
      <c r="E1688" s="293">
        <v>-3071.712</v>
      </c>
      <c r="F1688" s="294" t="s">
        <v>286</v>
      </c>
    </row>
    <row r="1689" spans="1:6" hidden="1" outlineLevel="1" collapsed="1" x14ac:dyDescent="0.25">
      <c r="A1689" s="321" t="s">
        <v>282</v>
      </c>
      <c r="B1689" s="321" t="s">
        <v>367</v>
      </c>
      <c r="C1689" s="293">
        <v>46.707839999999997</v>
      </c>
      <c r="D1689" s="293">
        <v>0</v>
      </c>
      <c r="E1689" s="293">
        <v>-46.707839999999997</v>
      </c>
      <c r="F1689" s="294" t="s">
        <v>286</v>
      </c>
    </row>
    <row r="1690" spans="1:6" hidden="1" outlineLevel="1" collapsed="1" x14ac:dyDescent="0.25">
      <c r="A1690" s="321" t="s">
        <v>282</v>
      </c>
      <c r="B1690" s="321" t="s">
        <v>389</v>
      </c>
      <c r="C1690" s="293">
        <v>703.10591999999997</v>
      </c>
      <c r="D1690" s="293">
        <v>738.57</v>
      </c>
      <c r="E1690" s="293">
        <v>35.464080000000003</v>
      </c>
      <c r="F1690" s="294" t="s">
        <v>729</v>
      </c>
    </row>
    <row r="1691" spans="1:6" hidden="1" outlineLevel="1" collapsed="1" x14ac:dyDescent="0.25">
      <c r="A1691" s="321" t="s">
        <v>282</v>
      </c>
      <c r="B1691" s="321" t="s">
        <v>390</v>
      </c>
      <c r="C1691" s="293">
        <v>14717.342000000001</v>
      </c>
      <c r="D1691" s="293">
        <v>15959.28</v>
      </c>
      <c r="E1691" s="293">
        <v>1241.9380000000001</v>
      </c>
      <c r="F1691" s="294" t="s">
        <v>929</v>
      </c>
    </row>
    <row r="1692" spans="1:6" hidden="1" outlineLevel="1" collapsed="1" x14ac:dyDescent="0.25">
      <c r="A1692" s="321" t="s">
        <v>282</v>
      </c>
      <c r="B1692" s="321" t="s">
        <v>392</v>
      </c>
      <c r="C1692" s="293">
        <v>385.33967999999999</v>
      </c>
      <c r="D1692" s="293">
        <v>320.04000000000002</v>
      </c>
      <c r="E1692" s="293">
        <v>-65.299679999999995</v>
      </c>
      <c r="F1692" s="294" t="s">
        <v>930</v>
      </c>
    </row>
    <row r="1693" spans="1:6" hidden="1" outlineLevel="1" collapsed="1" x14ac:dyDescent="0.25">
      <c r="A1693" s="321" t="s">
        <v>282</v>
      </c>
      <c r="B1693" s="321" t="s">
        <v>754</v>
      </c>
      <c r="C1693" s="293">
        <v>3071.712</v>
      </c>
      <c r="D1693" s="293">
        <v>0</v>
      </c>
      <c r="E1693" s="293">
        <v>-3071.712</v>
      </c>
      <c r="F1693" s="294" t="s">
        <v>286</v>
      </c>
    </row>
    <row r="1694" spans="1:6" hidden="1" outlineLevel="1" collapsed="1" x14ac:dyDescent="0.25">
      <c r="A1694" s="321" t="s">
        <v>282</v>
      </c>
      <c r="B1694" s="321" t="s">
        <v>755</v>
      </c>
      <c r="C1694" s="293">
        <v>85.224959999999996</v>
      </c>
      <c r="D1694" s="293">
        <v>0</v>
      </c>
      <c r="E1694" s="293">
        <v>-85.224959999999996</v>
      </c>
      <c r="F1694" s="294" t="s">
        <v>286</v>
      </c>
    </row>
    <row r="1695" spans="1:6" hidden="1" outlineLevel="1" collapsed="1" x14ac:dyDescent="0.25">
      <c r="A1695" s="321" t="s">
        <v>282</v>
      </c>
      <c r="B1695" s="321" t="s">
        <v>756</v>
      </c>
      <c r="C1695" s="293">
        <v>46.707839999999997</v>
      </c>
      <c r="D1695" s="293">
        <v>0</v>
      </c>
      <c r="E1695" s="293">
        <v>-46.707839999999997</v>
      </c>
      <c r="F1695" s="294" t="s">
        <v>286</v>
      </c>
    </row>
    <row r="1696" spans="1:6" hidden="1" outlineLevel="1" collapsed="1" x14ac:dyDescent="0.25">
      <c r="A1696" s="321" t="s">
        <v>282</v>
      </c>
      <c r="B1696" s="321" t="s">
        <v>369</v>
      </c>
      <c r="C1696" s="293">
        <v>7.7503989999999998</v>
      </c>
      <c r="D1696" s="293">
        <v>0</v>
      </c>
      <c r="E1696" s="293">
        <v>-7.7503989999999998</v>
      </c>
      <c r="F1696" s="294" t="s">
        <v>286</v>
      </c>
    </row>
    <row r="1697" spans="1:6" hidden="1" outlineLevel="1" collapsed="1" x14ac:dyDescent="0.25">
      <c r="A1697" s="321" t="s">
        <v>282</v>
      </c>
      <c r="B1697" s="321" t="s">
        <v>393</v>
      </c>
      <c r="C1697" s="293">
        <v>58.134131000000004</v>
      </c>
      <c r="D1697" s="293">
        <v>59.016562</v>
      </c>
      <c r="E1697" s="293">
        <v>0.88243099999999997</v>
      </c>
      <c r="F1697" s="294" t="s">
        <v>926</v>
      </c>
    </row>
    <row r="1698" spans="1:6" hidden="1" outlineLevel="1" collapsed="1" x14ac:dyDescent="0.25">
      <c r="A1698" s="321" t="s">
        <v>282</v>
      </c>
      <c r="B1698" s="321" t="s">
        <v>757</v>
      </c>
      <c r="C1698" s="293">
        <v>7.2735979999999998</v>
      </c>
      <c r="D1698" s="293">
        <v>0</v>
      </c>
      <c r="E1698" s="293">
        <v>-7.2735979999999998</v>
      </c>
      <c r="F1698" s="294" t="s">
        <v>286</v>
      </c>
    </row>
    <row r="1699" spans="1:6" hidden="1" outlineLevel="1" collapsed="1" x14ac:dyDescent="0.25">
      <c r="A1699" s="321" t="s">
        <v>282</v>
      </c>
      <c r="B1699" s="321" t="s">
        <v>370</v>
      </c>
      <c r="C1699" s="293">
        <v>300</v>
      </c>
      <c r="D1699" s="293">
        <v>0</v>
      </c>
      <c r="E1699" s="293">
        <v>-300</v>
      </c>
      <c r="F1699" s="294" t="s">
        <v>286</v>
      </c>
    </row>
    <row r="1700" spans="1:6" hidden="1" outlineLevel="1" collapsed="1" x14ac:dyDescent="0.25">
      <c r="A1700" s="321" t="s">
        <v>282</v>
      </c>
      <c r="B1700" s="321" t="s">
        <v>394</v>
      </c>
      <c r="C1700" s="293">
        <v>2475</v>
      </c>
      <c r="D1700" s="293">
        <v>0</v>
      </c>
      <c r="E1700" s="293">
        <v>-2475</v>
      </c>
      <c r="F1700" s="294" t="s">
        <v>286</v>
      </c>
    </row>
    <row r="1701" spans="1:6" hidden="1" outlineLevel="1" collapsed="1" x14ac:dyDescent="0.25">
      <c r="A1701" s="321" t="s">
        <v>282</v>
      </c>
      <c r="B1701" s="321" t="s">
        <v>395</v>
      </c>
      <c r="C1701" s="293">
        <v>0</v>
      </c>
      <c r="D1701" s="293">
        <v>2625</v>
      </c>
      <c r="E1701" s="293">
        <v>2625</v>
      </c>
      <c r="F1701" s="294" t="s">
        <v>298</v>
      </c>
    </row>
    <row r="1702" spans="1:6" hidden="1" outlineLevel="1" collapsed="1" x14ac:dyDescent="0.25">
      <c r="A1702" s="321" t="s">
        <v>282</v>
      </c>
      <c r="B1702" s="321" t="s">
        <v>759</v>
      </c>
      <c r="C1702" s="293">
        <v>300</v>
      </c>
      <c r="D1702" s="293">
        <v>0</v>
      </c>
      <c r="E1702" s="293">
        <v>-300</v>
      </c>
      <c r="F1702" s="294" t="s">
        <v>286</v>
      </c>
    </row>
    <row r="1703" spans="1:6" hidden="1" outlineLevel="1" collapsed="1" x14ac:dyDescent="0.25">
      <c r="A1703" s="321" t="s">
        <v>282</v>
      </c>
      <c r="B1703" s="321" t="s">
        <v>371</v>
      </c>
      <c r="C1703" s="293">
        <v>9.9359999999999999</v>
      </c>
      <c r="D1703" s="293">
        <v>0</v>
      </c>
      <c r="E1703" s="293">
        <v>-9.9359999999999999</v>
      </c>
      <c r="F1703" s="294" t="s">
        <v>286</v>
      </c>
    </row>
    <row r="1704" spans="1:6" hidden="1" outlineLevel="1" collapsed="1" x14ac:dyDescent="0.25">
      <c r="A1704" s="321" t="s">
        <v>282</v>
      </c>
      <c r="B1704" s="321" t="s">
        <v>396</v>
      </c>
      <c r="C1704" s="293">
        <v>81.971999999999994</v>
      </c>
      <c r="D1704" s="293">
        <v>0</v>
      </c>
      <c r="E1704" s="293">
        <v>-81.971999999999994</v>
      </c>
      <c r="F1704" s="294" t="s">
        <v>286</v>
      </c>
    </row>
    <row r="1705" spans="1:6" hidden="1" outlineLevel="1" collapsed="1" x14ac:dyDescent="0.25">
      <c r="A1705" s="321" t="s">
        <v>282</v>
      </c>
      <c r="B1705" s="321" t="s">
        <v>397</v>
      </c>
      <c r="C1705" s="293">
        <v>0</v>
      </c>
      <c r="D1705" s="293">
        <v>84.84</v>
      </c>
      <c r="E1705" s="293">
        <v>84.84</v>
      </c>
      <c r="F1705" s="294" t="s">
        <v>298</v>
      </c>
    </row>
    <row r="1706" spans="1:6" hidden="1" outlineLevel="1" collapsed="1" x14ac:dyDescent="0.25">
      <c r="A1706" s="321" t="s">
        <v>282</v>
      </c>
      <c r="B1706" s="321" t="s">
        <v>761</v>
      </c>
      <c r="C1706" s="293">
        <v>9.9359999999999999</v>
      </c>
      <c r="D1706" s="293">
        <v>0</v>
      </c>
      <c r="E1706" s="293">
        <v>-9.9359999999999999</v>
      </c>
      <c r="F1706" s="294" t="s">
        <v>286</v>
      </c>
    </row>
    <row r="1707" spans="1:6" hidden="1" outlineLevel="1" collapsed="1" x14ac:dyDescent="0.25">
      <c r="A1707" s="321" t="s">
        <v>282</v>
      </c>
      <c r="B1707" s="321" t="s">
        <v>373</v>
      </c>
      <c r="C1707" s="293">
        <v>4.8</v>
      </c>
      <c r="D1707" s="293">
        <v>0</v>
      </c>
      <c r="E1707" s="293">
        <v>-4.8</v>
      </c>
      <c r="F1707" s="294" t="s">
        <v>286</v>
      </c>
    </row>
    <row r="1708" spans="1:6" hidden="1" outlineLevel="1" collapsed="1" x14ac:dyDescent="0.25">
      <c r="A1708" s="321" t="s">
        <v>282</v>
      </c>
      <c r="B1708" s="321" t="s">
        <v>398</v>
      </c>
      <c r="C1708" s="293">
        <v>39.6</v>
      </c>
      <c r="D1708" s="293">
        <v>19.32</v>
      </c>
      <c r="E1708" s="293">
        <v>-20.28</v>
      </c>
      <c r="F1708" s="294" t="s">
        <v>931</v>
      </c>
    </row>
    <row r="1709" spans="1:6" hidden="1" outlineLevel="1" collapsed="1" x14ac:dyDescent="0.25">
      <c r="A1709" s="321" t="s">
        <v>282</v>
      </c>
      <c r="B1709" s="321" t="s">
        <v>763</v>
      </c>
      <c r="C1709" s="293">
        <v>4.8</v>
      </c>
      <c r="D1709" s="293">
        <v>0</v>
      </c>
      <c r="E1709" s="293">
        <v>-4.8</v>
      </c>
      <c r="F1709" s="294" t="s">
        <v>286</v>
      </c>
    </row>
    <row r="1710" spans="1:6" hidden="1" outlineLevel="1" collapsed="1" x14ac:dyDescent="0.25">
      <c r="A1710" s="321" t="s">
        <v>282</v>
      </c>
      <c r="B1710" s="321" t="s">
        <v>522</v>
      </c>
      <c r="C1710" s="293">
        <v>1650</v>
      </c>
      <c r="D1710" s="293">
        <v>2250</v>
      </c>
      <c r="E1710" s="293">
        <v>600</v>
      </c>
      <c r="F1710" s="294" t="s">
        <v>932</v>
      </c>
    </row>
    <row r="1711" spans="1:6" collapsed="1" x14ac:dyDescent="0.25">
      <c r="A1711" s="560" t="s">
        <v>933</v>
      </c>
      <c r="B1711" s="561"/>
      <c r="C1711" s="292">
        <v>304328.318921</v>
      </c>
      <c r="D1711" s="293">
        <v>301634.86695300002</v>
      </c>
      <c r="E1711" s="293">
        <v>-2693.4519679999999</v>
      </c>
      <c r="F1711" s="294" t="s">
        <v>2068</v>
      </c>
    </row>
    <row r="1712" spans="1:6" hidden="1" outlineLevel="1" collapsed="1" x14ac:dyDescent="0.25">
      <c r="A1712" s="321" t="s">
        <v>282</v>
      </c>
      <c r="B1712" s="321" t="s">
        <v>780</v>
      </c>
      <c r="C1712" s="293">
        <v>135039.819036</v>
      </c>
      <c r="D1712" s="293">
        <v>137048.31487199999</v>
      </c>
      <c r="E1712" s="293">
        <v>2008.4958360000001</v>
      </c>
      <c r="F1712" s="294" t="s">
        <v>781</v>
      </c>
    </row>
    <row r="1713" spans="1:6" hidden="1" outlineLevel="1" collapsed="1" x14ac:dyDescent="0.25">
      <c r="A1713" s="321" t="s">
        <v>282</v>
      </c>
      <c r="B1713" s="321" t="s">
        <v>464</v>
      </c>
      <c r="C1713" s="293">
        <v>71405.861011000001</v>
      </c>
      <c r="D1713" s="293">
        <v>73704.554548999993</v>
      </c>
      <c r="E1713" s="293">
        <v>2298.693538</v>
      </c>
      <c r="F1713" s="294" t="s">
        <v>647</v>
      </c>
    </row>
    <row r="1714" spans="1:6" hidden="1" outlineLevel="1" collapsed="1" x14ac:dyDescent="0.25">
      <c r="A1714" s="321" t="s">
        <v>282</v>
      </c>
      <c r="B1714" s="321" t="s">
        <v>935</v>
      </c>
      <c r="C1714" s="293">
        <v>24812</v>
      </c>
      <c r="D1714" s="293">
        <v>12312</v>
      </c>
      <c r="E1714" s="293">
        <v>-12500</v>
      </c>
      <c r="F1714" s="294" t="s">
        <v>2069</v>
      </c>
    </row>
    <row r="1715" spans="1:6" hidden="1" outlineLevel="1" collapsed="1" x14ac:dyDescent="0.25">
      <c r="A1715" s="321" t="s">
        <v>282</v>
      </c>
      <c r="B1715" s="321" t="s">
        <v>751</v>
      </c>
      <c r="C1715" s="293">
        <v>17473.926383999999</v>
      </c>
      <c r="D1715" s="293">
        <v>0</v>
      </c>
      <c r="E1715" s="293">
        <v>-17473.926383999999</v>
      </c>
      <c r="F1715" s="294" t="s">
        <v>286</v>
      </c>
    </row>
    <row r="1716" spans="1:6" hidden="1" outlineLevel="1" collapsed="1" x14ac:dyDescent="0.25">
      <c r="A1716" s="321" t="s">
        <v>282</v>
      </c>
      <c r="B1716" s="321" t="s">
        <v>752</v>
      </c>
      <c r="C1716" s="293">
        <v>0</v>
      </c>
      <c r="D1716" s="293">
        <v>19611.569832000001</v>
      </c>
      <c r="E1716" s="293">
        <v>19611.569832000001</v>
      </c>
      <c r="F1716" s="294" t="s">
        <v>298</v>
      </c>
    </row>
    <row r="1717" spans="1:6" hidden="1" outlineLevel="1" collapsed="1" x14ac:dyDescent="0.25">
      <c r="A1717" s="321" t="s">
        <v>282</v>
      </c>
      <c r="B1717" s="321" t="s">
        <v>384</v>
      </c>
      <c r="C1717" s="293">
        <v>8901.0873100000008</v>
      </c>
      <c r="D1717" s="293">
        <v>0</v>
      </c>
      <c r="E1717" s="293">
        <v>-8901.0873100000008</v>
      </c>
      <c r="F1717" s="294" t="s">
        <v>286</v>
      </c>
    </row>
    <row r="1718" spans="1:6" hidden="1" outlineLevel="1" collapsed="1" x14ac:dyDescent="0.25">
      <c r="A1718" s="321" t="s">
        <v>282</v>
      </c>
      <c r="B1718" s="321" t="s">
        <v>385</v>
      </c>
      <c r="C1718" s="293">
        <v>0</v>
      </c>
      <c r="D1718" s="293">
        <v>11346.102867</v>
      </c>
      <c r="E1718" s="293">
        <v>11346.102867</v>
      </c>
      <c r="F1718" s="294" t="s">
        <v>298</v>
      </c>
    </row>
    <row r="1719" spans="1:6" hidden="1" outlineLevel="1" collapsed="1" x14ac:dyDescent="0.25">
      <c r="A1719" s="321" t="s">
        <v>282</v>
      </c>
      <c r="B1719" s="321" t="s">
        <v>386</v>
      </c>
      <c r="C1719" s="293">
        <v>4427.1633730000003</v>
      </c>
      <c r="D1719" s="293">
        <v>0</v>
      </c>
      <c r="E1719" s="293">
        <v>-4427.1633730000003</v>
      </c>
      <c r="F1719" s="294" t="s">
        <v>286</v>
      </c>
    </row>
    <row r="1720" spans="1:6" hidden="1" outlineLevel="1" collapsed="1" x14ac:dyDescent="0.25">
      <c r="A1720" s="321" t="s">
        <v>282</v>
      </c>
      <c r="B1720" s="321" t="s">
        <v>387</v>
      </c>
      <c r="C1720" s="293">
        <v>0</v>
      </c>
      <c r="D1720" s="293">
        <v>4569.6823770000001</v>
      </c>
      <c r="E1720" s="293">
        <v>4569.6823770000001</v>
      </c>
      <c r="F1720" s="294" t="s">
        <v>298</v>
      </c>
    </row>
    <row r="1721" spans="1:6" hidden="1" outlineLevel="1" collapsed="1" x14ac:dyDescent="0.25">
      <c r="A1721" s="321" t="s">
        <v>282</v>
      </c>
      <c r="B1721" s="321" t="s">
        <v>388</v>
      </c>
      <c r="C1721" s="293">
        <v>1035.3849749999999</v>
      </c>
      <c r="D1721" s="293">
        <v>1068.7160280000001</v>
      </c>
      <c r="E1721" s="293">
        <v>33.331052999999997</v>
      </c>
      <c r="F1721" s="294" t="s">
        <v>647</v>
      </c>
    </row>
    <row r="1722" spans="1:6" hidden="1" outlineLevel="1" collapsed="1" x14ac:dyDescent="0.25">
      <c r="A1722" s="321" t="s">
        <v>282</v>
      </c>
      <c r="B1722" s="321" t="s">
        <v>444</v>
      </c>
      <c r="C1722" s="293">
        <v>1109</v>
      </c>
      <c r="D1722" s="293">
        <v>1108</v>
      </c>
      <c r="E1722" s="293">
        <v>-1</v>
      </c>
      <c r="F1722" s="294" t="s">
        <v>850</v>
      </c>
    </row>
    <row r="1723" spans="1:6" hidden="1" outlineLevel="1" collapsed="1" x14ac:dyDescent="0.25">
      <c r="A1723" s="321" t="s">
        <v>282</v>
      </c>
      <c r="B1723" s="321" t="s">
        <v>389</v>
      </c>
      <c r="C1723" s="293">
        <v>532.65599999999995</v>
      </c>
      <c r="D1723" s="293">
        <v>527.54999999999995</v>
      </c>
      <c r="E1723" s="293">
        <v>-5.1059999999999999</v>
      </c>
      <c r="F1723" s="294" t="s">
        <v>364</v>
      </c>
    </row>
    <row r="1724" spans="1:6" hidden="1" outlineLevel="1" collapsed="1" x14ac:dyDescent="0.25">
      <c r="A1724" s="321" t="s">
        <v>282</v>
      </c>
      <c r="B1724" s="321" t="s">
        <v>390</v>
      </c>
      <c r="C1724" s="293">
        <v>15485.27</v>
      </c>
      <c r="D1724" s="293">
        <v>15959.28</v>
      </c>
      <c r="E1724" s="293">
        <v>474.01</v>
      </c>
      <c r="F1724" s="294" t="s">
        <v>391</v>
      </c>
    </row>
    <row r="1725" spans="1:6" hidden="1" outlineLevel="1" collapsed="1" x14ac:dyDescent="0.25">
      <c r="A1725" s="321" t="s">
        <v>282</v>
      </c>
      <c r="B1725" s="321" t="s">
        <v>392</v>
      </c>
      <c r="C1725" s="293">
        <v>291.92399999999998</v>
      </c>
      <c r="D1725" s="293">
        <v>228.6</v>
      </c>
      <c r="E1725" s="293">
        <v>-63.323999999999998</v>
      </c>
      <c r="F1725" s="294" t="s">
        <v>368</v>
      </c>
    </row>
    <row r="1726" spans="1:6" hidden="1" outlineLevel="1" collapsed="1" x14ac:dyDescent="0.25">
      <c r="A1726" s="321" t="s">
        <v>282</v>
      </c>
      <c r="B1726" s="321" t="s">
        <v>754</v>
      </c>
      <c r="C1726" s="293">
        <v>15358.56</v>
      </c>
      <c r="D1726" s="293">
        <v>15959.28</v>
      </c>
      <c r="E1726" s="293">
        <v>600.72</v>
      </c>
      <c r="F1726" s="294" t="s">
        <v>366</v>
      </c>
    </row>
    <row r="1727" spans="1:6" hidden="1" outlineLevel="1" collapsed="1" x14ac:dyDescent="0.25">
      <c r="A1727" s="321" t="s">
        <v>282</v>
      </c>
      <c r="B1727" s="321" t="s">
        <v>755</v>
      </c>
      <c r="C1727" s="293">
        <v>426.12479999999999</v>
      </c>
      <c r="D1727" s="293">
        <v>422.04</v>
      </c>
      <c r="E1727" s="293">
        <v>-4.0848000000000004</v>
      </c>
      <c r="F1727" s="294" t="s">
        <v>364</v>
      </c>
    </row>
    <row r="1728" spans="1:6" hidden="1" outlineLevel="1" collapsed="1" x14ac:dyDescent="0.25">
      <c r="A1728" s="321" t="s">
        <v>282</v>
      </c>
      <c r="B1728" s="321" t="s">
        <v>756</v>
      </c>
      <c r="C1728" s="293">
        <v>233.53919999999999</v>
      </c>
      <c r="D1728" s="293">
        <v>182.88</v>
      </c>
      <c r="E1728" s="293">
        <v>-50.659199999999998</v>
      </c>
      <c r="F1728" s="294" t="s">
        <v>368</v>
      </c>
    </row>
    <row r="1729" spans="1:6" hidden="1" outlineLevel="1" collapsed="1" x14ac:dyDescent="0.25">
      <c r="A1729" s="321" t="s">
        <v>282</v>
      </c>
      <c r="B1729" s="321" t="s">
        <v>393</v>
      </c>
      <c r="C1729" s="293">
        <v>35.702924000000003</v>
      </c>
      <c r="D1729" s="293">
        <v>36.852276000000003</v>
      </c>
      <c r="E1729" s="293">
        <v>1.1493519999999999</v>
      </c>
      <c r="F1729" s="294" t="s">
        <v>647</v>
      </c>
    </row>
    <row r="1730" spans="1:6" hidden="1" outlineLevel="1" collapsed="1" x14ac:dyDescent="0.25">
      <c r="A1730" s="321" t="s">
        <v>282</v>
      </c>
      <c r="B1730" s="321" t="s">
        <v>757</v>
      </c>
      <c r="C1730" s="293">
        <v>67.519908000000001</v>
      </c>
      <c r="D1730" s="293">
        <v>0</v>
      </c>
      <c r="E1730" s="293">
        <v>-67.519908000000001</v>
      </c>
      <c r="F1730" s="294" t="s">
        <v>286</v>
      </c>
    </row>
    <row r="1731" spans="1:6" hidden="1" outlineLevel="1" collapsed="1" x14ac:dyDescent="0.25">
      <c r="A1731" s="321" t="s">
        <v>282</v>
      </c>
      <c r="B1731" s="321" t="s">
        <v>758</v>
      </c>
      <c r="C1731" s="293">
        <v>0</v>
      </c>
      <c r="D1731" s="293">
        <v>68.524152000000001</v>
      </c>
      <c r="E1731" s="293">
        <v>68.524152000000001</v>
      </c>
      <c r="F1731" s="294" t="s">
        <v>298</v>
      </c>
    </row>
    <row r="1732" spans="1:6" hidden="1" outlineLevel="1" collapsed="1" x14ac:dyDescent="0.25">
      <c r="A1732" s="321" t="s">
        <v>282</v>
      </c>
      <c r="B1732" s="321" t="s">
        <v>394</v>
      </c>
      <c r="C1732" s="293">
        <v>1875</v>
      </c>
      <c r="D1732" s="293">
        <v>0</v>
      </c>
      <c r="E1732" s="293">
        <v>-1875</v>
      </c>
      <c r="F1732" s="294" t="s">
        <v>286</v>
      </c>
    </row>
    <row r="1733" spans="1:6" hidden="1" outlineLevel="1" collapsed="1" x14ac:dyDescent="0.25">
      <c r="A1733" s="321" t="s">
        <v>282</v>
      </c>
      <c r="B1733" s="321" t="s">
        <v>395</v>
      </c>
      <c r="C1733" s="293">
        <v>0</v>
      </c>
      <c r="D1733" s="293">
        <v>1875</v>
      </c>
      <c r="E1733" s="293">
        <v>1875</v>
      </c>
      <c r="F1733" s="294" t="s">
        <v>298</v>
      </c>
    </row>
    <row r="1734" spans="1:6" hidden="1" outlineLevel="1" collapsed="1" x14ac:dyDescent="0.25">
      <c r="A1734" s="321" t="s">
        <v>282</v>
      </c>
      <c r="B1734" s="321" t="s">
        <v>759</v>
      </c>
      <c r="C1734" s="293">
        <v>1500</v>
      </c>
      <c r="D1734" s="293">
        <v>0</v>
      </c>
      <c r="E1734" s="293">
        <v>-1500</v>
      </c>
      <c r="F1734" s="294" t="s">
        <v>286</v>
      </c>
    </row>
    <row r="1735" spans="1:6" hidden="1" outlineLevel="1" collapsed="1" x14ac:dyDescent="0.25">
      <c r="A1735" s="321" t="s">
        <v>282</v>
      </c>
      <c r="B1735" s="321" t="s">
        <v>760</v>
      </c>
      <c r="C1735" s="293">
        <v>0</v>
      </c>
      <c r="D1735" s="293">
        <v>1500</v>
      </c>
      <c r="E1735" s="293">
        <v>1500</v>
      </c>
      <c r="F1735" s="294" t="s">
        <v>298</v>
      </c>
    </row>
    <row r="1736" spans="1:6" hidden="1" outlineLevel="1" collapsed="1" x14ac:dyDescent="0.25">
      <c r="A1736" s="321" t="s">
        <v>282</v>
      </c>
      <c r="B1736" s="321" t="s">
        <v>396</v>
      </c>
      <c r="C1736" s="293">
        <v>62.1</v>
      </c>
      <c r="D1736" s="293">
        <v>0</v>
      </c>
      <c r="E1736" s="293">
        <v>-62.1</v>
      </c>
      <c r="F1736" s="294" t="s">
        <v>286</v>
      </c>
    </row>
    <row r="1737" spans="1:6" hidden="1" outlineLevel="1" collapsed="1" x14ac:dyDescent="0.25">
      <c r="A1737" s="321" t="s">
        <v>282</v>
      </c>
      <c r="B1737" s="321" t="s">
        <v>397</v>
      </c>
      <c r="C1737" s="293">
        <v>0</v>
      </c>
      <c r="D1737" s="293">
        <v>60.6</v>
      </c>
      <c r="E1737" s="293">
        <v>60.6</v>
      </c>
      <c r="F1737" s="294" t="s">
        <v>298</v>
      </c>
    </row>
    <row r="1738" spans="1:6" hidden="1" outlineLevel="1" collapsed="1" x14ac:dyDescent="0.25">
      <c r="A1738" s="321" t="s">
        <v>282</v>
      </c>
      <c r="B1738" s="321" t="s">
        <v>761</v>
      </c>
      <c r="C1738" s="293">
        <v>49.68</v>
      </c>
      <c r="D1738" s="293">
        <v>0</v>
      </c>
      <c r="E1738" s="293">
        <v>-49.68</v>
      </c>
      <c r="F1738" s="294" t="s">
        <v>286</v>
      </c>
    </row>
    <row r="1739" spans="1:6" hidden="1" outlineLevel="1" collapsed="1" x14ac:dyDescent="0.25">
      <c r="A1739" s="321" t="s">
        <v>282</v>
      </c>
      <c r="B1739" s="321" t="s">
        <v>762</v>
      </c>
      <c r="C1739" s="293">
        <v>0</v>
      </c>
      <c r="D1739" s="293">
        <v>48.48</v>
      </c>
      <c r="E1739" s="293">
        <v>48.48</v>
      </c>
      <c r="F1739" s="294" t="s">
        <v>298</v>
      </c>
    </row>
    <row r="1740" spans="1:6" hidden="1" outlineLevel="1" collapsed="1" x14ac:dyDescent="0.25">
      <c r="A1740" s="321" t="s">
        <v>282</v>
      </c>
      <c r="B1740" s="321" t="s">
        <v>398</v>
      </c>
      <c r="C1740" s="293">
        <v>30</v>
      </c>
      <c r="D1740" s="293">
        <v>13.8</v>
      </c>
      <c r="E1740" s="293">
        <v>-16.2</v>
      </c>
      <c r="F1740" s="294" t="s">
        <v>374</v>
      </c>
    </row>
    <row r="1741" spans="1:6" hidden="1" outlineLevel="1" collapsed="1" x14ac:dyDescent="0.25">
      <c r="A1741" s="321" t="s">
        <v>282</v>
      </c>
      <c r="B1741" s="321" t="s">
        <v>763</v>
      </c>
      <c r="C1741" s="293">
        <v>24</v>
      </c>
      <c r="D1741" s="293">
        <v>11.04</v>
      </c>
      <c r="E1741" s="293">
        <v>-12.96</v>
      </c>
      <c r="F1741" s="294" t="s">
        <v>374</v>
      </c>
    </row>
    <row r="1742" spans="1:6" hidden="1" outlineLevel="1" collapsed="1" x14ac:dyDescent="0.25">
      <c r="A1742" s="321" t="s">
        <v>282</v>
      </c>
      <c r="B1742" s="321" t="s">
        <v>522</v>
      </c>
      <c r="C1742" s="293">
        <v>750</v>
      </c>
      <c r="D1742" s="293">
        <v>750</v>
      </c>
      <c r="E1742" s="293">
        <v>0</v>
      </c>
      <c r="F1742" s="294" t="s">
        <v>316</v>
      </c>
    </row>
    <row r="1743" spans="1:6" hidden="1" outlineLevel="1" collapsed="1" x14ac:dyDescent="0.25">
      <c r="A1743" s="321" t="s">
        <v>282</v>
      </c>
      <c r="B1743" s="321" t="s">
        <v>523</v>
      </c>
      <c r="C1743" s="293">
        <v>75.83</v>
      </c>
      <c r="D1743" s="293">
        <v>90</v>
      </c>
      <c r="E1743" s="293">
        <v>14.17</v>
      </c>
      <c r="F1743" s="294" t="s">
        <v>936</v>
      </c>
    </row>
    <row r="1744" spans="1:6" hidden="1" outlineLevel="1" collapsed="1" x14ac:dyDescent="0.25">
      <c r="A1744" s="321" t="s">
        <v>282</v>
      </c>
      <c r="B1744" s="321" t="s">
        <v>399</v>
      </c>
      <c r="C1744" s="293">
        <v>285</v>
      </c>
      <c r="D1744" s="293">
        <v>130</v>
      </c>
      <c r="E1744" s="293">
        <v>-155</v>
      </c>
      <c r="F1744" s="294" t="s">
        <v>2070</v>
      </c>
    </row>
    <row r="1745" spans="1:6" hidden="1" outlineLevel="1" collapsed="1" x14ac:dyDescent="0.25">
      <c r="A1745" s="321" t="s">
        <v>282</v>
      </c>
      <c r="B1745" s="321" t="s">
        <v>431</v>
      </c>
      <c r="C1745" s="293">
        <v>350</v>
      </c>
      <c r="D1745" s="293">
        <v>0</v>
      </c>
      <c r="E1745" s="293">
        <v>-350</v>
      </c>
      <c r="F1745" s="294" t="s">
        <v>286</v>
      </c>
    </row>
    <row r="1746" spans="1:6" hidden="1" outlineLevel="1" collapsed="1" x14ac:dyDescent="0.25">
      <c r="A1746" s="321" t="s">
        <v>282</v>
      </c>
      <c r="B1746" s="321" t="s">
        <v>376</v>
      </c>
      <c r="C1746" s="293">
        <v>364</v>
      </c>
      <c r="D1746" s="293">
        <v>534</v>
      </c>
      <c r="E1746" s="293">
        <v>170</v>
      </c>
      <c r="F1746" s="294" t="s">
        <v>2071</v>
      </c>
    </row>
    <row r="1747" spans="1:6" hidden="1" outlineLevel="1" collapsed="1" x14ac:dyDescent="0.25">
      <c r="A1747" s="321" t="s">
        <v>282</v>
      </c>
      <c r="B1747" s="321" t="s">
        <v>662</v>
      </c>
      <c r="C1747" s="293">
        <v>250</v>
      </c>
      <c r="D1747" s="293">
        <v>240</v>
      </c>
      <c r="E1747" s="293">
        <v>-10</v>
      </c>
      <c r="F1747" s="294" t="s">
        <v>938</v>
      </c>
    </row>
    <row r="1748" spans="1:6" hidden="1" outlineLevel="1" collapsed="1" x14ac:dyDescent="0.25">
      <c r="A1748" s="321" t="s">
        <v>282</v>
      </c>
      <c r="B1748" s="321" t="s">
        <v>426</v>
      </c>
      <c r="C1748" s="293">
        <v>1628.17</v>
      </c>
      <c r="D1748" s="293">
        <v>1629</v>
      </c>
      <c r="E1748" s="293">
        <v>0.83</v>
      </c>
      <c r="F1748" s="294" t="s">
        <v>939</v>
      </c>
    </row>
    <row r="1749" spans="1:6" hidden="1" outlineLevel="1" collapsed="1" x14ac:dyDescent="0.25">
      <c r="A1749" s="321" t="s">
        <v>282</v>
      </c>
      <c r="B1749" s="321" t="s">
        <v>597</v>
      </c>
      <c r="C1749" s="293">
        <v>449</v>
      </c>
      <c r="D1749" s="293">
        <v>599</v>
      </c>
      <c r="E1749" s="293">
        <v>150</v>
      </c>
      <c r="F1749" s="294" t="s">
        <v>2072</v>
      </c>
    </row>
    <row r="1750" spans="1:6" collapsed="1" x14ac:dyDescent="0.25">
      <c r="A1750" s="560" t="s">
        <v>941</v>
      </c>
      <c r="B1750" s="561"/>
      <c r="C1750" s="292">
        <v>315443.55914299999</v>
      </c>
      <c r="D1750" s="293">
        <v>324972.31144800002</v>
      </c>
      <c r="E1750" s="293">
        <v>9528.752305</v>
      </c>
      <c r="F1750" s="294" t="s">
        <v>520</v>
      </c>
    </row>
    <row r="1751" spans="1:6" hidden="1" outlineLevel="1" collapsed="1" x14ac:dyDescent="0.25">
      <c r="A1751" s="321" t="s">
        <v>282</v>
      </c>
      <c r="B1751" s="321" t="s">
        <v>942</v>
      </c>
      <c r="C1751" s="293">
        <v>115666.358076</v>
      </c>
      <c r="D1751" s="293">
        <v>123271.576476</v>
      </c>
      <c r="E1751" s="293">
        <v>7605.2183999999997</v>
      </c>
      <c r="F1751" s="294" t="s">
        <v>790</v>
      </c>
    </row>
    <row r="1752" spans="1:6" hidden="1" outlineLevel="1" collapsed="1" x14ac:dyDescent="0.25">
      <c r="A1752" s="321" t="s">
        <v>282</v>
      </c>
      <c r="B1752" s="321" t="s">
        <v>464</v>
      </c>
      <c r="C1752" s="293">
        <v>42990.093142999998</v>
      </c>
      <c r="D1752" s="293">
        <v>43138.556927999998</v>
      </c>
      <c r="E1752" s="293">
        <v>148.463785</v>
      </c>
      <c r="F1752" s="294" t="s">
        <v>2073</v>
      </c>
    </row>
    <row r="1753" spans="1:6" hidden="1" outlineLevel="1" collapsed="1" x14ac:dyDescent="0.25">
      <c r="A1753" s="321" t="s">
        <v>282</v>
      </c>
      <c r="B1753" s="321" t="s">
        <v>424</v>
      </c>
      <c r="C1753" s="293">
        <v>5000</v>
      </c>
      <c r="D1753" s="293">
        <v>3500</v>
      </c>
      <c r="E1753" s="293">
        <v>-1500</v>
      </c>
      <c r="F1753" s="294" t="s">
        <v>944</v>
      </c>
    </row>
    <row r="1754" spans="1:6" hidden="1" outlineLevel="1" collapsed="1" x14ac:dyDescent="0.25">
      <c r="A1754" s="321" t="s">
        <v>282</v>
      </c>
      <c r="B1754" s="321" t="s">
        <v>945</v>
      </c>
      <c r="C1754" s="293">
        <v>36500</v>
      </c>
      <c r="D1754" s="293">
        <v>35000</v>
      </c>
      <c r="E1754" s="293">
        <v>-1500</v>
      </c>
      <c r="F1754" s="294" t="s">
        <v>946</v>
      </c>
    </row>
    <row r="1755" spans="1:6" hidden="1" outlineLevel="1" collapsed="1" x14ac:dyDescent="0.25">
      <c r="A1755" s="321" t="s">
        <v>282</v>
      </c>
      <c r="B1755" s="321" t="s">
        <v>384</v>
      </c>
      <c r="C1755" s="293">
        <v>19566.806358000002</v>
      </c>
      <c r="D1755" s="293">
        <v>0</v>
      </c>
      <c r="E1755" s="293">
        <v>-19566.806358000002</v>
      </c>
      <c r="F1755" s="294" t="s">
        <v>286</v>
      </c>
    </row>
    <row r="1756" spans="1:6" hidden="1" outlineLevel="1" collapsed="1" x14ac:dyDescent="0.25">
      <c r="A1756" s="321" t="s">
        <v>282</v>
      </c>
      <c r="B1756" s="321" t="s">
        <v>385</v>
      </c>
      <c r="C1756" s="293">
        <v>0</v>
      </c>
      <c r="D1756" s="293">
        <v>25845.157805999999</v>
      </c>
      <c r="E1756" s="293">
        <v>25845.157805999999</v>
      </c>
      <c r="F1756" s="294" t="s">
        <v>298</v>
      </c>
    </row>
    <row r="1757" spans="1:6" hidden="1" outlineLevel="1" collapsed="1" x14ac:dyDescent="0.25">
      <c r="A1757" s="321" t="s">
        <v>282</v>
      </c>
      <c r="B1757" s="321" t="s">
        <v>386</v>
      </c>
      <c r="C1757" s="293">
        <v>9836.6999629999991</v>
      </c>
      <c r="D1757" s="293">
        <v>0</v>
      </c>
      <c r="E1757" s="293">
        <v>-9836.6999629999991</v>
      </c>
      <c r="F1757" s="294" t="s">
        <v>286</v>
      </c>
    </row>
    <row r="1758" spans="1:6" hidden="1" outlineLevel="1" collapsed="1" x14ac:dyDescent="0.25">
      <c r="A1758" s="321" t="s">
        <v>282</v>
      </c>
      <c r="B1758" s="321" t="s">
        <v>387</v>
      </c>
      <c r="C1758" s="293">
        <v>0</v>
      </c>
      <c r="D1758" s="293">
        <v>10317.428264</v>
      </c>
      <c r="E1758" s="293">
        <v>10317.428264</v>
      </c>
      <c r="F1758" s="294" t="s">
        <v>298</v>
      </c>
    </row>
    <row r="1759" spans="1:6" hidden="1" outlineLevel="1" collapsed="1" x14ac:dyDescent="0.25">
      <c r="A1759" s="321" t="s">
        <v>282</v>
      </c>
      <c r="B1759" s="321" t="s">
        <v>388</v>
      </c>
      <c r="C1759" s="293">
        <v>2300.5185419999998</v>
      </c>
      <c r="D1759" s="293">
        <v>2412.9469199999999</v>
      </c>
      <c r="E1759" s="293">
        <v>112.428378</v>
      </c>
      <c r="F1759" s="294" t="s">
        <v>709</v>
      </c>
    </row>
    <row r="1760" spans="1:6" hidden="1" outlineLevel="1" collapsed="1" x14ac:dyDescent="0.25">
      <c r="A1760" s="321" t="s">
        <v>282</v>
      </c>
      <c r="B1760" s="321" t="s">
        <v>480</v>
      </c>
      <c r="C1760" s="293">
        <v>40.526848999999999</v>
      </c>
      <c r="D1760" s="293">
        <v>0</v>
      </c>
      <c r="E1760" s="293">
        <v>-40.526848999999999</v>
      </c>
      <c r="F1760" s="294" t="s">
        <v>286</v>
      </c>
    </row>
    <row r="1761" spans="1:6" hidden="1" outlineLevel="1" collapsed="1" x14ac:dyDescent="0.25">
      <c r="A1761" s="321" t="s">
        <v>282</v>
      </c>
      <c r="B1761" s="321" t="s">
        <v>444</v>
      </c>
      <c r="C1761" s="293">
        <v>0</v>
      </c>
      <c r="D1761" s="293">
        <v>3150</v>
      </c>
      <c r="E1761" s="293">
        <v>3150</v>
      </c>
      <c r="F1761" s="294" t="s">
        <v>298</v>
      </c>
    </row>
    <row r="1762" spans="1:6" hidden="1" outlineLevel="1" collapsed="1" x14ac:dyDescent="0.25">
      <c r="A1762" s="321" t="s">
        <v>282</v>
      </c>
      <c r="B1762" s="321" t="s">
        <v>389</v>
      </c>
      <c r="C1762" s="293">
        <v>852.24959999999999</v>
      </c>
      <c r="D1762" s="293">
        <v>844.08</v>
      </c>
      <c r="E1762" s="293">
        <v>-8.1696000000000009</v>
      </c>
      <c r="F1762" s="294" t="s">
        <v>364</v>
      </c>
    </row>
    <row r="1763" spans="1:6" hidden="1" outlineLevel="1" collapsed="1" x14ac:dyDescent="0.25">
      <c r="A1763" s="321" t="s">
        <v>282</v>
      </c>
      <c r="B1763" s="321" t="s">
        <v>390</v>
      </c>
      <c r="C1763" s="293">
        <v>30970.54</v>
      </c>
      <c r="D1763" s="293">
        <v>31918.560000000001</v>
      </c>
      <c r="E1763" s="293">
        <v>948.02</v>
      </c>
      <c r="F1763" s="294" t="s">
        <v>391</v>
      </c>
    </row>
    <row r="1764" spans="1:6" hidden="1" outlineLevel="1" collapsed="1" x14ac:dyDescent="0.25">
      <c r="A1764" s="321" t="s">
        <v>282</v>
      </c>
      <c r="B1764" s="321" t="s">
        <v>392</v>
      </c>
      <c r="C1764" s="293">
        <v>467.07839999999999</v>
      </c>
      <c r="D1764" s="293">
        <v>365.76</v>
      </c>
      <c r="E1764" s="293">
        <v>-101.3184</v>
      </c>
      <c r="F1764" s="294" t="s">
        <v>368</v>
      </c>
    </row>
    <row r="1765" spans="1:6" hidden="1" outlineLevel="1" collapsed="1" x14ac:dyDescent="0.25">
      <c r="A1765" s="321" t="s">
        <v>282</v>
      </c>
      <c r="B1765" s="321" t="s">
        <v>393</v>
      </c>
      <c r="C1765" s="293">
        <v>79.328211999999994</v>
      </c>
      <c r="D1765" s="293">
        <v>83.205054000000004</v>
      </c>
      <c r="E1765" s="293">
        <v>3.8768419999999999</v>
      </c>
      <c r="F1765" s="294" t="s">
        <v>709</v>
      </c>
    </row>
    <row r="1766" spans="1:6" hidden="1" outlineLevel="1" collapsed="1" x14ac:dyDescent="0.25">
      <c r="A1766" s="321" t="s">
        <v>282</v>
      </c>
      <c r="B1766" s="321" t="s">
        <v>394</v>
      </c>
      <c r="C1766" s="293">
        <v>3000</v>
      </c>
      <c r="D1766" s="293">
        <v>0</v>
      </c>
      <c r="E1766" s="293">
        <v>-3000</v>
      </c>
      <c r="F1766" s="294" t="s">
        <v>286</v>
      </c>
    </row>
    <row r="1767" spans="1:6" hidden="1" outlineLevel="1" collapsed="1" x14ac:dyDescent="0.25">
      <c r="A1767" s="321" t="s">
        <v>282</v>
      </c>
      <c r="B1767" s="321" t="s">
        <v>395</v>
      </c>
      <c r="C1767" s="293">
        <v>0</v>
      </c>
      <c r="D1767" s="293">
        <v>3000</v>
      </c>
      <c r="E1767" s="293">
        <v>3000</v>
      </c>
      <c r="F1767" s="294" t="s">
        <v>298</v>
      </c>
    </row>
    <row r="1768" spans="1:6" hidden="1" outlineLevel="1" collapsed="1" x14ac:dyDescent="0.25">
      <c r="A1768" s="321" t="s">
        <v>282</v>
      </c>
      <c r="B1768" s="321" t="s">
        <v>396</v>
      </c>
      <c r="C1768" s="293">
        <v>99.36</v>
      </c>
      <c r="D1768" s="293">
        <v>0</v>
      </c>
      <c r="E1768" s="293">
        <v>-99.36</v>
      </c>
      <c r="F1768" s="294" t="s">
        <v>286</v>
      </c>
    </row>
    <row r="1769" spans="1:6" hidden="1" outlineLevel="1" collapsed="1" x14ac:dyDescent="0.25">
      <c r="A1769" s="321" t="s">
        <v>282</v>
      </c>
      <c r="B1769" s="321" t="s">
        <v>397</v>
      </c>
      <c r="C1769" s="293">
        <v>0</v>
      </c>
      <c r="D1769" s="293">
        <v>96.96</v>
      </c>
      <c r="E1769" s="293">
        <v>96.96</v>
      </c>
      <c r="F1769" s="294" t="s">
        <v>298</v>
      </c>
    </row>
    <row r="1770" spans="1:6" hidden="1" outlineLevel="1" collapsed="1" x14ac:dyDescent="0.25">
      <c r="A1770" s="321" t="s">
        <v>282</v>
      </c>
      <c r="B1770" s="321" t="s">
        <v>398</v>
      </c>
      <c r="C1770" s="293">
        <v>48</v>
      </c>
      <c r="D1770" s="293">
        <v>22.08</v>
      </c>
      <c r="E1770" s="293">
        <v>-25.92</v>
      </c>
      <c r="F1770" s="294" t="s">
        <v>374</v>
      </c>
    </row>
    <row r="1771" spans="1:6" hidden="1" outlineLevel="1" collapsed="1" x14ac:dyDescent="0.25">
      <c r="A1771" s="321" t="s">
        <v>282</v>
      </c>
      <c r="B1771" s="321" t="s">
        <v>523</v>
      </c>
      <c r="C1771" s="293">
        <v>0</v>
      </c>
      <c r="D1771" s="293">
        <v>84</v>
      </c>
      <c r="E1771" s="293">
        <v>84</v>
      </c>
      <c r="F1771" s="294" t="s">
        <v>298</v>
      </c>
    </row>
    <row r="1772" spans="1:6" hidden="1" outlineLevel="1" collapsed="1" x14ac:dyDescent="0.25">
      <c r="A1772" s="321" t="s">
        <v>282</v>
      </c>
      <c r="B1772" s="321" t="s">
        <v>431</v>
      </c>
      <c r="C1772" s="293">
        <v>500</v>
      </c>
      <c r="D1772" s="293">
        <v>0</v>
      </c>
      <c r="E1772" s="293">
        <v>-500</v>
      </c>
      <c r="F1772" s="294" t="s">
        <v>286</v>
      </c>
    </row>
    <row r="1773" spans="1:6" hidden="1" outlineLevel="1" collapsed="1" x14ac:dyDescent="0.25">
      <c r="A1773" s="321" t="s">
        <v>282</v>
      </c>
      <c r="B1773" s="321" t="s">
        <v>376</v>
      </c>
      <c r="C1773" s="293">
        <v>2576</v>
      </c>
      <c r="D1773" s="293">
        <v>5229</v>
      </c>
      <c r="E1773" s="293">
        <v>2653</v>
      </c>
      <c r="F1773" s="294" t="s">
        <v>2074</v>
      </c>
    </row>
    <row r="1774" spans="1:6" hidden="1" outlineLevel="1" collapsed="1" x14ac:dyDescent="0.25">
      <c r="A1774" s="321" t="s">
        <v>282</v>
      </c>
      <c r="B1774" s="321" t="s">
        <v>662</v>
      </c>
      <c r="C1774" s="293">
        <v>6100</v>
      </c>
      <c r="D1774" s="293">
        <v>3906</v>
      </c>
      <c r="E1774" s="293">
        <v>-2194</v>
      </c>
      <c r="F1774" s="294" t="s">
        <v>2075</v>
      </c>
    </row>
    <row r="1775" spans="1:6" hidden="1" outlineLevel="1" collapsed="1" x14ac:dyDescent="0.25">
      <c r="A1775" s="321" t="s">
        <v>282</v>
      </c>
      <c r="B1775" s="321" t="s">
        <v>567</v>
      </c>
      <c r="C1775" s="293">
        <v>5900</v>
      </c>
      <c r="D1775" s="293">
        <v>8500</v>
      </c>
      <c r="E1775" s="293">
        <v>2600</v>
      </c>
      <c r="F1775" s="294" t="s">
        <v>950</v>
      </c>
    </row>
    <row r="1776" spans="1:6" hidden="1" outlineLevel="1" collapsed="1" x14ac:dyDescent="0.25">
      <c r="A1776" s="321" t="s">
        <v>282</v>
      </c>
      <c r="B1776" s="321" t="s">
        <v>426</v>
      </c>
      <c r="C1776" s="293">
        <v>6390</v>
      </c>
      <c r="D1776" s="293">
        <v>7277</v>
      </c>
      <c r="E1776" s="293">
        <v>887</v>
      </c>
      <c r="F1776" s="294" t="s">
        <v>951</v>
      </c>
    </row>
    <row r="1777" spans="1:6" hidden="1" outlineLevel="1" collapsed="1" x14ac:dyDescent="0.25">
      <c r="A1777" s="321" t="s">
        <v>282</v>
      </c>
      <c r="B1777" s="321" t="s">
        <v>952</v>
      </c>
      <c r="C1777" s="293">
        <v>600</v>
      </c>
      <c r="D1777" s="293">
        <v>600</v>
      </c>
      <c r="E1777" s="293">
        <v>0</v>
      </c>
      <c r="F1777" s="294" t="s">
        <v>316</v>
      </c>
    </row>
    <row r="1778" spans="1:6" hidden="1" outlineLevel="1" collapsed="1" x14ac:dyDescent="0.25">
      <c r="A1778" s="321" t="s">
        <v>282</v>
      </c>
      <c r="B1778" s="321" t="s">
        <v>597</v>
      </c>
      <c r="C1778" s="293">
        <v>2000</v>
      </c>
      <c r="D1778" s="293">
        <v>2010</v>
      </c>
      <c r="E1778" s="293">
        <v>10</v>
      </c>
      <c r="F1778" s="294" t="s">
        <v>2076</v>
      </c>
    </row>
    <row r="1779" spans="1:6" hidden="1" outlineLevel="1" collapsed="1" x14ac:dyDescent="0.25">
      <c r="A1779" s="321" t="s">
        <v>282</v>
      </c>
      <c r="B1779" s="321" t="s">
        <v>842</v>
      </c>
      <c r="C1779" s="293">
        <v>4208</v>
      </c>
      <c r="D1779" s="293">
        <v>4300</v>
      </c>
      <c r="E1779" s="293">
        <v>92</v>
      </c>
      <c r="F1779" s="294" t="s">
        <v>953</v>
      </c>
    </row>
    <row r="1780" spans="1:6" hidden="1" outlineLevel="1" collapsed="1" x14ac:dyDescent="0.25">
      <c r="A1780" s="321" t="s">
        <v>282</v>
      </c>
      <c r="B1780" s="321" t="s">
        <v>843</v>
      </c>
      <c r="C1780" s="293">
        <v>600</v>
      </c>
      <c r="D1780" s="293">
        <v>600</v>
      </c>
      <c r="E1780" s="293">
        <v>0</v>
      </c>
      <c r="F1780" s="294" t="s">
        <v>316</v>
      </c>
    </row>
    <row r="1781" spans="1:6" hidden="1" outlineLevel="1" collapsed="1" x14ac:dyDescent="0.25">
      <c r="A1781" s="321" t="s">
        <v>282</v>
      </c>
      <c r="B1781" s="321" t="s">
        <v>448</v>
      </c>
      <c r="C1781" s="293">
        <v>12738.26</v>
      </c>
      <c r="D1781" s="293">
        <v>4500</v>
      </c>
      <c r="E1781" s="293">
        <v>-8238.26</v>
      </c>
      <c r="F1781" s="294" t="s">
        <v>954</v>
      </c>
    </row>
    <row r="1782" spans="1:6" hidden="1" outlineLevel="1" collapsed="1" x14ac:dyDescent="0.25">
      <c r="A1782" s="321" t="s">
        <v>282</v>
      </c>
      <c r="B1782" s="321" t="s">
        <v>626</v>
      </c>
      <c r="C1782" s="293">
        <v>4000</v>
      </c>
      <c r="D1782" s="293">
        <v>4000</v>
      </c>
      <c r="E1782" s="293">
        <v>0</v>
      </c>
      <c r="F1782" s="294" t="s">
        <v>316</v>
      </c>
    </row>
    <row r="1783" spans="1:6" hidden="1" outlineLevel="1" collapsed="1" x14ac:dyDescent="0.25">
      <c r="A1783" s="321" t="s">
        <v>282</v>
      </c>
      <c r="B1783" s="321" t="s">
        <v>557</v>
      </c>
      <c r="C1783" s="293">
        <v>1750</v>
      </c>
      <c r="D1783" s="293">
        <v>1000</v>
      </c>
      <c r="E1783" s="293">
        <v>-750</v>
      </c>
      <c r="F1783" s="294" t="s">
        <v>311</v>
      </c>
    </row>
    <row r="1784" spans="1:6" hidden="1" outlineLevel="1" collapsed="1" x14ac:dyDescent="0.25">
      <c r="A1784" s="321" t="s">
        <v>282</v>
      </c>
      <c r="B1784" s="321" t="s">
        <v>770</v>
      </c>
      <c r="C1784" s="293">
        <v>663.74</v>
      </c>
      <c r="D1784" s="293">
        <v>0</v>
      </c>
      <c r="E1784" s="293">
        <v>-663.74</v>
      </c>
      <c r="F1784" s="294" t="s">
        <v>286</v>
      </c>
    </row>
    <row r="1785" spans="1:6" collapsed="1" x14ac:dyDescent="0.25">
      <c r="A1785" s="560" t="s">
        <v>2077</v>
      </c>
      <c r="B1785" s="561"/>
      <c r="C1785" s="292">
        <v>0</v>
      </c>
      <c r="D1785" s="293">
        <v>122098.93563599999</v>
      </c>
      <c r="E1785" s="293">
        <v>122098.93563599999</v>
      </c>
      <c r="F1785" s="294" t="s">
        <v>298</v>
      </c>
    </row>
    <row r="1786" spans="1:6" hidden="1" outlineLevel="1" collapsed="1" x14ac:dyDescent="0.25">
      <c r="A1786" s="321" t="s">
        <v>282</v>
      </c>
      <c r="B1786" s="321" t="s">
        <v>780</v>
      </c>
      <c r="C1786" s="293">
        <v>0</v>
      </c>
      <c r="D1786" s="293">
        <v>88051.014477000004</v>
      </c>
      <c r="E1786" s="293">
        <v>88051.014477000004</v>
      </c>
      <c r="F1786" s="294" t="s">
        <v>298</v>
      </c>
    </row>
    <row r="1787" spans="1:6" hidden="1" outlineLevel="1" collapsed="1" x14ac:dyDescent="0.25">
      <c r="A1787" s="321" t="s">
        <v>282</v>
      </c>
      <c r="B1787" s="321" t="s">
        <v>385</v>
      </c>
      <c r="C1787" s="293">
        <v>0</v>
      </c>
      <c r="D1787" s="293">
        <v>13675.203054</v>
      </c>
      <c r="E1787" s="293">
        <v>13675.203054</v>
      </c>
      <c r="F1787" s="294" t="s">
        <v>298</v>
      </c>
    </row>
    <row r="1788" spans="1:6" hidden="1" outlineLevel="1" collapsed="1" x14ac:dyDescent="0.25">
      <c r="A1788" s="321" t="s">
        <v>282</v>
      </c>
      <c r="B1788" s="321" t="s">
        <v>753</v>
      </c>
      <c r="C1788" s="293">
        <v>0</v>
      </c>
      <c r="D1788" s="293">
        <v>5459.1628950000004</v>
      </c>
      <c r="E1788" s="293">
        <v>5459.1628950000004</v>
      </c>
      <c r="F1788" s="294" t="s">
        <v>298</v>
      </c>
    </row>
    <row r="1789" spans="1:6" hidden="1" outlineLevel="1" collapsed="1" x14ac:dyDescent="0.25">
      <c r="A1789" s="321" t="s">
        <v>282</v>
      </c>
      <c r="B1789" s="321" t="s">
        <v>388</v>
      </c>
      <c r="C1789" s="293">
        <v>0</v>
      </c>
      <c r="D1789" s="293">
        <v>1276.739703</v>
      </c>
      <c r="E1789" s="293">
        <v>1276.739703</v>
      </c>
      <c r="F1789" s="294" t="s">
        <v>298</v>
      </c>
    </row>
    <row r="1790" spans="1:6" hidden="1" outlineLevel="1" collapsed="1" x14ac:dyDescent="0.25">
      <c r="A1790" s="321" t="s">
        <v>282</v>
      </c>
      <c r="B1790" s="321" t="s">
        <v>754</v>
      </c>
      <c r="C1790" s="293">
        <v>0</v>
      </c>
      <c r="D1790" s="293">
        <v>11969.46</v>
      </c>
      <c r="E1790" s="293">
        <v>11969.46</v>
      </c>
      <c r="F1790" s="294" t="s">
        <v>298</v>
      </c>
    </row>
    <row r="1791" spans="1:6" hidden="1" outlineLevel="1" collapsed="1" x14ac:dyDescent="0.25">
      <c r="A1791" s="321" t="s">
        <v>282</v>
      </c>
      <c r="B1791" s="321" t="s">
        <v>755</v>
      </c>
      <c r="C1791" s="293">
        <v>0</v>
      </c>
      <c r="D1791" s="293">
        <v>316.52999999999997</v>
      </c>
      <c r="E1791" s="293">
        <v>316.52999999999997</v>
      </c>
      <c r="F1791" s="294" t="s">
        <v>298</v>
      </c>
    </row>
    <row r="1792" spans="1:6" hidden="1" outlineLevel="1" collapsed="1" x14ac:dyDescent="0.25">
      <c r="A1792" s="321" t="s">
        <v>282</v>
      </c>
      <c r="B1792" s="321" t="s">
        <v>756</v>
      </c>
      <c r="C1792" s="293">
        <v>0</v>
      </c>
      <c r="D1792" s="293">
        <v>137.16</v>
      </c>
      <c r="E1792" s="293">
        <v>137.16</v>
      </c>
      <c r="F1792" s="294" t="s">
        <v>298</v>
      </c>
    </row>
    <row r="1793" spans="1:6" hidden="1" outlineLevel="1" collapsed="1" x14ac:dyDescent="0.25">
      <c r="A1793" s="321" t="s">
        <v>282</v>
      </c>
      <c r="B1793" s="321" t="s">
        <v>758</v>
      </c>
      <c r="C1793" s="293">
        <v>0</v>
      </c>
      <c r="D1793" s="293">
        <v>44.025506999999998</v>
      </c>
      <c r="E1793" s="293">
        <v>44.025506999999998</v>
      </c>
      <c r="F1793" s="294" t="s">
        <v>298</v>
      </c>
    </row>
    <row r="1794" spans="1:6" hidden="1" outlineLevel="1" collapsed="1" x14ac:dyDescent="0.25">
      <c r="A1794" s="321" t="s">
        <v>282</v>
      </c>
      <c r="B1794" s="321" t="s">
        <v>760</v>
      </c>
      <c r="C1794" s="293">
        <v>0</v>
      </c>
      <c r="D1794" s="293">
        <v>1125</v>
      </c>
      <c r="E1794" s="293">
        <v>1125</v>
      </c>
      <c r="F1794" s="294" t="s">
        <v>298</v>
      </c>
    </row>
    <row r="1795" spans="1:6" hidden="1" outlineLevel="1" collapsed="1" x14ac:dyDescent="0.25">
      <c r="A1795" s="321" t="s">
        <v>282</v>
      </c>
      <c r="B1795" s="321" t="s">
        <v>762</v>
      </c>
      <c r="C1795" s="293">
        <v>0</v>
      </c>
      <c r="D1795" s="293">
        <v>36.36</v>
      </c>
      <c r="E1795" s="293">
        <v>36.36</v>
      </c>
      <c r="F1795" s="294" t="s">
        <v>298</v>
      </c>
    </row>
    <row r="1796" spans="1:6" hidden="1" outlineLevel="1" collapsed="1" x14ac:dyDescent="0.25">
      <c r="A1796" s="321" t="s">
        <v>282</v>
      </c>
      <c r="B1796" s="321" t="s">
        <v>763</v>
      </c>
      <c r="C1796" s="293">
        <v>0</v>
      </c>
      <c r="D1796" s="293">
        <v>8.2799999999999994</v>
      </c>
      <c r="E1796" s="293">
        <v>8.2799999999999994</v>
      </c>
      <c r="F1796" s="294" t="s">
        <v>298</v>
      </c>
    </row>
    <row r="1797" spans="1:6" collapsed="1" x14ac:dyDescent="0.25">
      <c r="A1797" s="560" t="s">
        <v>955</v>
      </c>
      <c r="B1797" s="561"/>
      <c r="C1797" s="292">
        <v>1245562.759175</v>
      </c>
      <c r="D1797" s="293">
        <v>1223328.9702250001</v>
      </c>
      <c r="E1797" s="293">
        <v>-22233.788949999998</v>
      </c>
      <c r="F1797" s="294" t="s">
        <v>1045</v>
      </c>
    </row>
    <row r="1798" spans="1:6" hidden="1" outlineLevel="1" collapsed="1" x14ac:dyDescent="0.25">
      <c r="A1798" s="321" t="s">
        <v>282</v>
      </c>
      <c r="B1798" s="321" t="s">
        <v>942</v>
      </c>
      <c r="C1798" s="293">
        <v>95274.928151999993</v>
      </c>
      <c r="D1798" s="293">
        <v>101529.063828</v>
      </c>
      <c r="E1798" s="293">
        <v>6254.1356759999999</v>
      </c>
      <c r="F1798" s="294" t="s">
        <v>957</v>
      </c>
    </row>
    <row r="1799" spans="1:6" hidden="1" outlineLevel="1" collapsed="1" x14ac:dyDescent="0.25">
      <c r="A1799" s="321" t="s">
        <v>282</v>
      </c>
      <c r="B1799" s="321" t="s">
        <v>464</v>
      </c>
      <c r="C1799" s="293">
        <v>669554.02697899996</v>
      </c>
      <c r="D1799" s="293">
        <v>666800.50432099996</v>
      </c>
      <c r="E1799" s="293">
        <v>-2753.5226579999999</v>
      </c>
      <c r="F1799" s="294" t="s">
        <v>2078</v>
      </c>
    </row>
    <row r="1800" spans="1:6" hidden="1" outlineLevel="1" collapsed="1" x14ac:dyDescent="0.25">
      <c r="A1800" s="321" t="s">
        <v>282</v>
      </c>
      <c r="B1800" s="321" t="s">
        <v>424</v>
      </c>
      <c r="C1800" s="293">
        <v>15</v>
      </c>
      <c r="D1800" s="293">
        <v>0</v>
      </c>
      <c r="E1800" s="293">
        <v>-15</v>
      </c>
      <c r="F1800" s="294" t="s">
        <v>286</v>
      </c>
    </row>
    <row r="1801" spans="1:6" hidden="1" outlineLevel="1" collapsed="1" x14ac:dyDescent="0.25">
      <c r="A1801" s="321" t="s">
        <v>282</v>
      </c>
      <c r="B1801" s="321" t="s">
        <v>475</v>
      </c>
      <c r="C1801" s="293">
        <v>1415</v>
      </c>
      <c r="D1801" s="293">
        <v>2405</v>
      </c>
      <c r="E1801" s="293">
        <v>990</v>
      </c>
      <c r="F1801" s="294" t="s">
        <v>958</v>
      </c>
    </row>
    <row r="1802" spans="1:6" hidden="1" outlineLevel="1" collapsed="1" x14ac:dyDescent="0.25">
      <c r="A1802" s="321" t="s">
        <v>282</v>
      </c>
      <c r="B1802" s="321" t="s">
        <v>425</v>
      </c>
      <c r="C1802" s="293">
        <v>915</v>
      </c>
      <c r="D1802" s="293">
        <v>3000</v>
      </c>
      <c r="E1802" s="293">
        <v>2085</v>
      </c>
      <c r="F1802" s="294" t="s">
        <v>2079</v>
      </c>
    </row>
    <row r="1803" spans="1:6" hidden="1" outlineLevel="1" collapsed="1" x14ac:dyDescent="0.25">
      <c r="A1803" s="321" t="s">
        <v>282</v>
      </c>
      <c r="B1803" s="321" t="s">
        <v>799</v>
      </c>
      <c r="C1803" s="293">
        <v>28600</v>
      </c>
      <c r="D1803" s="293">
        <v>5000</v>
      </c>
      <c r="E1803" s="293">
        <v>-23600</v>
      </c>
      <c r="F1803" s="294" t="s">
        <v>2080</v>
      </c>
    </row>
    <row r="1804" spans="1:6" hidden="1" outlineLevel="1" collapsed="1" x14ac:dyDescent="0.25">
      <c r="A1804" s="321" t="s">
        <v>282</v>
      </c>
      <c r="B1804" s="321" t="s">
        <v>384</v>
      </c>
      <c r="C1804" s="293">
        <v>91321.668772000005</v>
      </c>
      <c r="D1804" s="293">
        <v>0</v>
      </c>
      <c r="E1804" s="293">
        <v>-91321.668772000005</v>
      </c>
      <c r="F1804" s="294" t="s">
        <v>286</v>
      </c>
    </row>
    <row r="1805" spans="1:6" hidden="1" outlineLevel="1" collapsed="1" x14ac:dyDescent="0.25">
      <c r="A1805" s="321" t="s">
        <v>282</v>
      </c>
      <c r="B1805" s="321" t="s">
        <v>385</v>
      </c>
      <c r="C1805" s="293">
        <v>0</v>
      </c>
      <c r="D1805" s="293">
        <v>117645.46562</v>
      </c>
      <c r="E1805" s="293">
        <v>117645.46562</v>
      </c>
      <c r="F1805" s="294" t="s">
        <v>298</v>
      </c>
    </row>
    <row r="1806" spans="1:6" hidden="1" outlineLevel="1" collapsed="1" x14ac:dyDescent="0.25">
      <c r="A1806" s="321" t="s">
        <v>282</v>
      </c>
      <c r="B1806" s="321" t="s">
        <v>386</v>
      </c>
      <c r="C1806" s="293">
        <v>45729.275131000002</v>
      </c>
      <c r="D1806" s="293">
        <v>0</v>
      </c>
      <c r="E1806" s="293">
        <v>-45729.275131000002</v>
      </c>
      <c r="F1806" s="294" t="s">
        <v>286</v>
      </c>
    </row>
    <row r="1807" spans="1:6" hidden="1" outlineLevel="1" collapsed="1" x14ac:dyDescent="0.25">
      <c r="A1807" s="321" t="s">
        <v>282</v>
      </c>
      <c r="B1807" s="321" t="s">
        <v>387</v>
      </c>
      <c r="C1807" s="293">
        <v>0</v>
      </c>
      <c r="D1807" s="293">
        <v>47636.433138</v>
      </c>
      <c r="E1807" s="293">
        <v>47636.433138</v>
      </c>
      <c r="F1807" s="294" t="s">
        <v>298</v>
      </c>
    </row>
    <row r="1808" spans="1:6" hidden="1" outlineLevel="1" collapsed="1" x14ac:dyDescent="0.25">
      <c r="A1808" s="321" t="s">
        <v>282</v>
      </c>
      <c r="B1808" s="321" t="s">
        <v>388</v>
      </c>
      <c r="C1808" s="293">
        <v>10694.749744000001</v>
      </c>
      <c r="D1808" s="293">
        <v>11140.778656</v>
      </c>
      <c r="E1808" s="293">
        <v>446.02891199999999</v>
      </c>
      <c r="F1808" s="294" t="s">
        <v>733</v>
      </c>
    </row>
    <row r="1809" spans="1:6" hidden="1" outlineLevel="1" collapsed="1" x14ac:dyDescent="0.25">
      <c r="A1809" s="321" t="s">
        <v>282</v>
      </c>
      <c r="B1809" s="321" t="s">
        <v>444</v>
      </c>
      <c r="C1809" s="293">
        <v>27000</v>
      </c>
      <c r="D1809" s="293">
        <v>216</v>
      </c>
      <c r="E1809" s="293">
        <v>-26784</v>
      </c>
      <c r="F1809" s="294" t="s">
        <v>960</v>
      </c>
    </row>
    <row r="1810" spans="1:6" hidden="1" outlineLevel="1" collapsed="1" x14ac:dyDescent="0.25">
      <c r="A1810" s="321" t="s">
        <v>282</v>
      </c>
      <c r="B1810" s="321" t="s">
        <v>389</v>
      </c>
      <c r="C1810" s="293">
        <v>5965.7471999999998</v>
      </c>
      <c r="D1810" s="293">
        <v>5767.88</v>
      </c>
      <c r="E1810" s="293">
        <v>-197.8672</v>
      </c>
      <c r="F1810" s="294" t="s">
        <v>2081</v>
      </c>
    </row>
    <row r="1811" spans="1:6" hidden="1" outlineLevel="1" collapsed="1" x14ac:dyDescent="0.25">
      <c r="A1811" s="321" t="s">
        <v>282</v>
      </c>
      <c r="B1811" s="321" t="s">
        <v>390</v>
      </c>
      <c r="C1811" s="293">
        <v>201308.51</v>
      </c>
      <c r="D1811" s="293">
        <v>202150.88</v>
      </c>
      <c r="E1811" s="293">
        <v>842.37</v>
      </c>
      <c r="F1811" s="294" t="s">
        <v>2082</v>
      </c>
    </row>
    <row r="1812" spans="1:6" hidden="1" outlineLevel="1" collapsed="1" x14ac:dyDescent="0.25">
      <c r="A1812" s="321" t="s">
        <v>282</v>
      </c>
      <c r="B1812" s="321" t="s">
        <v>392</v>
      </c>
      <c r="C1812" s="293">
        <v>3269.5488</v>
      </c>
      <c r="D1812" s="293">
        <v>2499.36</v>
      </c>
      <c r="E1812" s="293">
        <v>-770.18880000000001</v>
      </c>
      <c r="F1812" s="294" t="s">
        <v>1845</v>
      </c>
    </row>
    <row r="1813" spans="1:6" hidden="1" outlineLevel="1" collapsed="1" x14ac:dyDescent="0.25">
      <c r="A1813" s="321" t="s">
        <v>282</v>
      </c>
      <c r="B1813" s="321" t="s">
        <v>393</v>
      </c>
      <c r="C1813" s="293">
        <v>368.78439700000001</v>
      </c>
      <c r="D1813" s="293">
        <v>384.16466200000002</v>
      </c>
      <c r="E1813" s="293">
        <v>15.380265</v>
      </c>
      <c r="F1813" s="294" t="s">
        <v>733</v>
      </c>
    </row>
    <row r="1814" spans="1:6" hidden="1" outlineLevel="1" collapsed="1" x14ac:dyDescent="0.25">
      <c r="A1814" s="321" t="s">
        <v>282</v>
      </c>
      <c r="B1814" s="321" t="s">
        <v>394</v>
      </c>
      <c r="C1814" s="293">
        <v>21000</v>
      </c>
      <c r="D1814" s="293">
        <v>0</v>
      </c>
      <c r="E1814" s="293">
        <v>-21000</v>
      </c>
      <c r="F1814" s="294" t="s">
        <v>286</v>
      </c>
    </row>
    <row r="1815" spans="1:6" hidden="1" outlineLevel="1" collapsed="1" x14ac:dyDescent="0.25">
      <c r="A1815" s="321" t="s">
        <v>282</v>
      </c>
      <c r="B1815" s="321" t="s">
        <v>395</v>
      </c>
      <c r="C1815" s="293">
        <v>0</v>
      </c>
      <c r="D1815" s="293">
        <v>20500</v>
      </c>
      <c r="E1815" s="293">
        <v>20500</v>
      </c>
      <c r="F1815" s="294" t="s">
        <v>298</v>
      </c>
    </row>
    <row r="1816" spans="1:6" hidden="1" outlineLevel="1" collapsed="1" x14ac:dyDescent="0.25">
      <c r="A1816" s="321" t="s">
        <v>282</v>
      </c>
      <c r="B1816" s="321" t="s">
        <v>396</v>
      </c>
      <c r="C1816" s="293">
        <v>695.52</v>
      </c>
      <c r="D1816" s="293">
        <v>0</v>
      </c>
      <c r="E1816" s="293">
        <v>-695.52</v>
      </c>
      <c r="F1816" s="294" t="s">
        <v>286</v>
      </c>
    </row>
    <row r="1817" spans="1:6" hidden="1" outlineLevel="1" collapsed="1" x14ac:dyDescent="0.25">
      <c r="A1817" s="321" t="s">
        <v>282</v>
      </c>
      <c r="B1817" s="321" t="s">
        <v>397</v>
      </c>
      <c r="C1817" s="293">
        <v>0</v>
      </c>
      <c r="D1817" s="293">
        <v>662.56</v>
      </c>
      <c r="E1817" s="293">
        <v>662.56</v>
      </c>
      <c r="F1817" s="294" t="s">
        <v>298</v>
      </c>
    </row>
    <row r="1818" spans="1:6" hidden="1" outlineLevel="1" collapsed="1" x14ac:dyDescent="0.25">
      <c r="A1818" s="321" t="s">
        <v>282</v>
      </c>
      <c r="B1818" s="321" t="s">
        <v>398</v>
      </c>
      <c r="C1818" s="293">
        <v>336</v>
      </c>
      <c r="D1818" s="293">
        <v>150.88</v>
      </c>
      <c r="E1818" s="293">
        <v>-185.12</v>
      </c>
      <c r="F1818" s="294" t="s">
        <v>2083</v>
      </c>
    </row>
    <row r="1819" spans="1:6" hidden="1" outlineLevel="1" collapsed="1" x14ac:dyDescent="0.25">
      <c r="A1819" s="321" t="s">
        <v>282</v>
      </c>
      <c r="B1819" s="321" t="s">
        <v>522</v>
      </c>
      <c r="C1819" s="293">
        <v>3000</v>
      </c>
      <c r="D1819" s="293">
        <v>3000</v>
      </c>
      <c r="E1819" s="293">
        <v>0</v>
      </c>
      <c r="F1819" s="294" t="s">
        <v>316</v>
      </c>
    </row>
    <row r="1820" spans="1:6" hidden="1" outlineLevel="1" collapsed="1" x14ac:dyDescent="0.25">
      <c r="A1820" s="321" t="s">
        <v>282</v>
      </c>
      <c r="B1820" s="321" t="s">
        <v>376</v>
      </c>
      <c r="C1820" s="293">
        <v>17310</v>
      </c>
      <c r="D1820" s="293">
        <v>7352</v>
      </c>
      <c r="E1820" s="293">
        <v>-9958</v>
      </c>
      <c r="F1820" s="294" t="s">
        <v>2084</v>
      </c>
    </row>
    <row r="1821" spans="1:6" hidden="1" outlineLevel="1" collapsed="1" x14ac:dyDescent="0.25">
      <c r="A1821" s="321" t="s">
        <v>282</v>
      </c>
      <c r="B1821" s="321" t="s">
        <v>828</v>
      </c>
      <c r="C1821" s="293">
        <v>2360</v>
      </c>
      <c r="D1821" s="293">
        <v>2700</v>
      </c>
      <c r="E1821" s="293">
        <v>340</v>
      </c>
      <c r="F1821" s="294" t="s">
        <v>962</v>
      </c>
    </row>
    <row r="1822" spans="1:6" hidden="1" outlineLevel="1" collapsed="1" x14ac:dyDescent="0.25">
      <c r="A1822" s="321" t="s">
        <v>282</v>
      </c>
      <c r="B1822" s="321" t="s">
        <v>506</v>
      </c>
      <c r="C1822" s="293">
        <v>0</v>
      </c>
      <c r="D1822" s="293">
        <v>2000</v>
      </c>
      <c r="E1822" s="293">
        <v>2000</v>
      </c>
      <c r="F1822" s="294" t="s">
        <v>298</v>
      </c>
    </row>
    <row r="1823" spans="1:6" hidden="1" outlineLevel="1" collapsed="1" x14ac:dyDescent="0.25">
      <c r="A1823" s="321" t="s">
        <v>282</v>
      </c>
      <c r="B1823" s="321" t="s">
        <v>567</v>
      </c>
      <c r="C1823" s="293">
        <v>2081</v>
      </c>
      <c r="D1823" s="293">
        <v>1500</v>
      </c>
      <c r="E1823" s="293">
        <v>-581</v>
      </c>
      <c r="F1823" s="294" t="s">
        <v>2085</v>
      </c>
    </row>
    <row r="1824" spans="1:6" hidden="1" outlineLevel="1" collapsed="1" x14ac:dyDescent="0.25">
      <c r="A1824" s="321" t="s">
        <v>282</v>
      </c>
      <c r="B1824" s="321" t="s">
        <v>426</v>
      </c>
      <c r="C1824" s="293">
        <v>7978</v>
      </c>
      <c r="D1824" s="293">
        <v>5633</v>
      </c>
      <c r="E1824" s="293">
        <v>-2345</v>
      </c>
      <c r="F1824" s="294" t="s">
        <v>2086</v>
      </c>
    </row>
    <row r="1825" spans="1:6" hidden="1" outlineLevel="1" collapsed="1" x14ac:dyDescent="0.25">
      <c r="A1825" s="321" t="s">
        <v>282</v>
      </c>
      <c r="B1825" s="321" t="s">
        <v>482</v>
      </c>
      <c r="C1825" s="293">
        <v>225</v>
      </c>
      <c r="D1825" s="293">
        <v>400</v>
      </c>
      <c r="E1825" s="293">
        <v>175</v>
      </c>
      <c r="F1825" s="294" t="s">
        <v>965</v>
      </c>
    </row>
    <row r="1826" spans="1:6" hidden="1" outlineLevel="1" collapsed="1" x14ac:dyDescent="0.25">
      <c r="A1826" s="321" t="s">
        <v>282</v>
      </c>
      <c r="B1826" s="321" t="s">
        <v>597</v>
      </c>
      <c r="C1826" s="293">
        <v>200</v>
      </c>
      <c r="D1826" s="293">
        <v>400</v>
      </c>
      <c r="E1826" s="293">
        <v>200</v>
      </c>
      <c r="F1826" s="294" t="s">
        <v>298</v>
      </c>
    </row>
    <row r="1827" spans="1:6" hidden="1" outlineLevel="1" collapsed="1" x14ac:dyDescent="0.25">
      <c r="A1827" s="321" t="s">
        <v>282</v>
      </c>
      <c r="B1827" s="321" t="s">
        <v>448</v>
      </c>
      <c r="C1827" s="293">
        <v>7875</v>
      </c>
      <c r="D1827" s="293">
        <v>4700</v>
      </c>
      <c r="E1827" s="293">
        <v>-3175</v>
      </c>
      <c r="F1827" s="294" t="s">
        <v>2087</v>
      </c>
    </row>
    <row r="1828" spans="1:6" hidden="1" outlineLevel="1" collapsed="1" x14ac:dyDescent="0.25">
      <c r="A1828" s="321" t="s">
        <v>282</v>
      </c>
      <c r="B1828" s="321" t="s">
        <v>405</v>
      </c>
      <c r="C1828" s="293">
        <v>60</v>
      </c>
      <c r="D1828" s="293">
        <v>0</v>
      </c>
      <c r="E1828" s="293">
        <v>-60</v>
      </c>
      <c r="F1828" s="294" t="s">
        <v>286</v>
      </c>
    </row>
    <row r="1829" spans="1:6" hidden="1" outlineLevel="1" collapsed="1" x14ac:dyDescent="0.25">
      <c r="A1829" s="321" t="s">
        <v>282</v>
      </c>
      <c r="B1829" s="321" t="s">
        <v>557</v>
      </c>
      <c r="C1829" s="293">
        <v>330</v>
      </c>
      <c r="D1829" s="293">
        <v>7155</v>
      </c>
      <c r="E1829" s="293">
        <v>6825</v>
      </c>
      <c r="F1829" s="294" t="s">
        <v>967</v>
      </c>
    </row>
    <row r="1830" spans="1:6" hidden="1" outlineLevel="1" collapsed="1" x14ac:dyDescent="0.25">
      <c r="A1830" s="321" t="s">
        <v>282</v>
      </c>
      <c r="B1830" s="321" t="s">
        <v>422</v>
      </c>
      <c r="C1830" s="293">
        <v>680</v>
      </c>
      <c r="D1830" s="293">
        <v>1000</v>
      </c>
      <c r="E1830" s="293">
        <v>320</v>
      </c>
      <c r="F1830" s="294" t="s">
        <v>968</v>
      </c>
    </row>
    <row r="1831" spans="1:6" hidden="1" outlineLevel="1" collapsed="1" x14ac:dyDescent="0.25">
      <c r="A1831" s="321" t="s">
        <v>282</v>
      </c>
      <c r="B1831" s="321" t="s">
        <v>770</v>
      </c>
      <c r="C1831" s="293">
        <v>0</v>
      </c>
      <c r="D1831" s="293">
        <v>0</v>
      </c>
      <c r="E1831" s="293">
        <v>0</v>
      </c>
      <c r="F1831" s="294" t="s">
        <v>316</v>
      </c>
    </row>
    <row r="1832" spans="1:6" collapsed="1" x14ac:dyDescent="0.25">
      <c r="A1832" s="560" t="s">
        <v>969</v>
      </c>
      <c r="B1832" s="561"/>
      <c r="C1832" s="292">
        <v>11536</v>
      </c>
      <c r="D1832" s="293">
        <v>12536</v>
      </c>
      <c r="E1832" s="293">
        <v>1000</v>
      </c>
      <c r="F1832" s="294" t="s">
        <v>970</v>
      </c>
    </row>
    <row r="1833" spans="1:6" hidden="1" outlineLevel="1" collapsed="1" x14ac:dyDescent="0.25">
      <c r="A1833" s="321" t="s">
        <v>282</v>
      </c>
      <c r="B1833" s="321" t="s">
        <v>441</v>
      </c>
      <c r="C1833" s="293">
        <v>0</v>
      </c>
      <c r="D1833" s="293">
        <v>2500</v>
      </c>
      <c r="E1833" s="293">
        <v>2500</v>
      </c>
      <c r="F1833" s="294" t="s">
        <v>298</v>
      </c>
    </row>
    <row r="1834" spans="1:6" hidden="1" outlineLevel="1" collapsed="1" x14ac:dyDescent="0.25">
      <c r="A1834" s="321" t="s">
        <v>282</v>
      </c>
      <c r="B1834" s="321" t="s">
        <v>444</v>
      </c>
      <c r="C1834" s="293">
        <v>0</v>
      </c>
      <c r="D1834" s="293">
        <v>306</v>
      </c>
      <c r="E1834" s="293">
        <v>306</v>
      </c>
      <c r="F1834" s="294" t="s">
        <v>298</v>
      </c>
    </row>
    <row r="1835" spans="1:6" hidden="1" outlineLevel="1" collapsed="1" x14ac:dyDescent="0.25">
      <c r="A1835" s="321" t="s">
        <v>282</v>
      </c>
      <c r="B1835" s="321" t="s">
        <v>505</v>
      </c>
      <c r="C1835" s="293">
        <v>0</v>
      </c>
      <c r="D1835" s="293">
        <v>1955</v>
      </c>
      <c r="E1835" s="293">
        <v>1955</v>
      </c>
      <c r="F1835" s="294" t="s">
        <v>298</v>
      </c>
    </row>
    <row r="1836" spans="1:6" hidden="1" outlineLevel="1" collapsed="1" x14ac:dyDescent="0.25">
      <c r="A1836" s="321" t="s">
        <v>282</v>
      </c>
      <c r="B1836" s="321" t="s">
        <v>376</v>
      </c>
      <c r="C1836" s="293">
        <v>1433.81</v>
      </c>
      <c r="D1836" s="293">
        <v>500</v>
      </c>
      <c r="E1836" s="293">
        <v>-933.81</v>
      </c>
      <c r="F1836" s="294" t="s">
        <v>971</v>
      </c>
    </row>
    <row r="1837" spans="1:6" hidden="1" outlineLevel="1" collapsed="1" x14ac:dyDescent="0.25">
      <c r="A1837" s="321" t="s">
        <v>282</v>
      </c>
      <c r="B1837" s="321" t="s">
        <v>662</v>
      </c>
      <c r="C1837" s="293">
        <v>0</v>
      </c>
      <c r="D1837" s="293">
        <v>150</v>
      </c>
      <c r="E1837" s="293">
        <v>150</v>
      </c>
      <c r="F1837" s="294" t="s">
        <v>298</v>
      </c>
    </row>
    <row r="1838" spans="1:6" hidden="1" outlineLevel="1" collapsed="1" x14ac:dyDescent="0.25">
      <c r="A1838" s="321" t="s">
        <v>282</v>
      </c>
      <c r="B1838" s="321" t="s">
        <v>506</v>
      </c>
      <c r="C1838" s="293">
        <v>1077.19</v>
      </c>
      <c r="D1838" s="293">
        <v>0</v>
      </c>
      <c r="E1838" s="293">
        <v>-1077.19</v>
      </c>
      <c r="F1838" s="294" t="s">
        <v>286</v>
      </c>
    </row>
    <row r="1839" spans="1:6" hidden="1" outlineLevel="1" collapsed="1" x14ac:dyDescent="0.25">
      <c r="A1839" s="321" t="s">
        <v>282</v>
      </c>
      <c r="B1839" s="321" t="s">
        <v>426</v>
      </c>
      <c r="C1839" s="293">
        <v>4100</v>
      </c>
      <c r="D1839" s="293">
        <v>3500</v>
      </c>
      <c r="E1839" s="293">
        <v>-600</v>
      </c>
      <c r="F1839" s="294" t="s">
        <v>972</v>
      </c>
    </row>
    <row r="1840" spans="1:6" hidden="1" outlineLevel="1" collapsed="1" x14ac:dyDescent="0.25">
      <c r="A1840" s="321" t="s">
        <v>282</v>
      </c>
      <c r="B1840" s="321" t="s">
        <v>597</v>
      </c>
      <c r="C1840" s="293">
        <v>2000</v>
      </c>
      <c r="D1840" s="293">
        <v>2000</v>
      </c>
      <c r="E1840" s="293">
        <v>0</v>
      </c>
      <c r="F1840" s="294" t="s">
        <v>316</v>
      </c>
    </row>
    <row r="1841" spans="1:6" hidden="1" outlineLevel="1" collapsed="1" x14ac:dyDescent="0.25">
      <c r="A1841" s="321" t="s">
        <v>282</v>
      </c>
      <c r="B1841" s="321" t="s">
        <v>401</v>
      </c>
      <c r="C1841" s="293">
        <v>1625</v>
      </c>
      <c r="D1841" s="293">
        <v>1625</v>
      </c>
      <c r="E1841" s="293">
        <v>0</v>
      </c>
      <c r="F1841" s="294" t="s">
        <v>316</v>
      </c>
    </row>
    <row r="1842" spans="1:6" hidden="1" outlineLevel="1" collapsed="1" x14ac:dyDescent="0.25">
      <c r="A1842" s="321" t="s">
        <v>282</v>
      </c>
      <c r="B1842" s="321" t="s">
        <v>405</v>
      </c>
      <c r="C1842" s="293">
        <v>1300</v>
      </c>
      <c r="D1842" s="293">
        <v>0</v>
      </c>
      <c r="E1842" s="293">
        <v>-1300</v>
      </c>
      <c r="F1842" s="294" t="s">
        <v>286</v>
      </c>
    </row>
    <row r="1843" spans="1:6" collapsed="1" x14ac:dyDescent="0.25">
      <c r="A1843" s="560" t="s">
        <v>973</v>
      </c>
      <c r="B1843" s="561"/>
      <c r="C1843" s="292">
        <v>1455599.562596</v>
      </c>
      <c r="D1843" s="293">
        <v>1519393.593966</v>
      </c>
      <c r="E1843" s="293">
        <v>63794.031369999997</v>
      </c>
      <c r="F1843" s="294" t="s">
        <v>978</v>
      </c>
    </row>
    <row r="1844" spans="1:6" hidden="1" outlineLevel="1" collapsed="1" x14ac:dyDescent="0.25">
      <c r="A1844" s="321" t="s">
        <v>282</v>
      </c>
      <c r="B1844" s="321" t="s">
        <v>750</v>
      </c>
      <c r="C1844" s="293">
        <v>896404.68792000005</v>
      </c>
      <c r="D1844" s="293">
        <v>924056.860644</v>
      </c>
      <c r="E1844" s="293">
        <v>27652.172724</v>
      </c>
      <c r="F1844" s="294" t="s">
        <v>582</v>
      </c>
    </row>
    <row r="1845" spans="1:6" hidden="1" outlineLevel="1" collapsed="1" x14ac:dyDescent="0.25">
      <c r="A1845" s="321" t="s">
        <v>282</v>
      </c>
      <c r="B1845" s="321" t="s">
        <v>412</v>
      </c>
      <c r="C1845" s="293">
        <v>9720</v>
      </c>
      <c r="D1845" s="293">
        <v>9720</v>
      </c>
      <c r="E1845" s="293">
        <v>0</v>
      </c>
      <c r="F1845" s="294" t="s">
        <v>316</v>
      </c>
    </row>
    <row r="1846" spans="1:6" hidden="1" outlineLevel="1" collapsed="1" x14ac:dyDescent="0.25">
      <c r="A1846" s="321" t="s">
        <v>282</v>
      </c>
      <c r="B1846" s="321" t="s">
        <v>441</v>
      </c>
      <c r="C1846" s="293">
        <v>88931</v>
      </c>
      <c r="D1846" s="293">
        <v>88931</v>
      </c>
      <c r="E1846" s="293">
        <v>0</v>
      </c>
      <c r="F1846" s="294" t="s">
        <v>316</v>
      </c>
    </row>
    <row r="1847" spans="1:6" hidden="1" outlineLevel="1" collapsed="1" x14ac:dyDescent="0.25">
      <c r="A1847" s="321" t="s">
        <v>282</v>
      </c>
      <c r="B1847" s="321" t="s">
        <v>464</v>
      </c>
      <c r="C1847" s="293">
        <v>73694.339917000005</v>
      </c>
      <c r="D1847" s="293">
        <v>74088.667551999999</v>
      </c>
      <c r="E1847" s="293">
        <v>394.32763499999999</v>
      </c>
      <c r="F1847" s="294" t="s">
        <v>2088</v>
      </c>
    </row>
    <row r="1848" spans="1:6" hidden="1" outlineLevel="1" collapsed="1" x14ac:dyDescent="0.25">
      <c r="A1848" s="321" t="s">
        <v>282</v>
      </c>
      <c r="B1848" s="321" t="s">
        <v>424</v>
      </c>
      <c r="C1848" s="293">
        <v>5800</v>
      </c>
      <c r="D1848" s="293">
        <v>5800</v>
      </c>
      <c r="E1848" s="293">
        <v>0</v>
      </c>
      <c r="F1848" s="294" t="s">
        <v>316</v>
      </c>
    </row>
    <row r="1849" spans="1:6" hidden="1" outlineLevel="1" collapsed="1" x14ac:dyDescent="0.25">
      <c r="A1849" s="321" t="s">
        <v>282</v>
      </c>
      <c r="B1849" s="321" t="s">
        <v>360</v>
      </c>
      <c r="C1849" s="293">
        <v>10966.175988000001</v>
      </c>
      <c r="D1849" s="293">
        <v>12656.87622</v>
      </c>
      <c r="E1849" s="293">
        <v>1690.7002319999999</v>
      </c>
      <c r="F1849" s="294" t="s">
        <v>977</v>
      </c>
    </row>
    <row r="1850" spans="1:6" hidden="1" outlineLevel="1" collapsed="1" x14ac:dyDescent="0.25">
      <c r="A1850" s="321" t="s">
        <v>282</v>
      </c>
      <c r="B1850" s="321" t="s">
        <v>751</v>
      </c>
      <c r="C1850" s="293">
        <v>106014.635685</v>
      </c>
      <c r="D1850" s="293">
        <v>0</v>
      </c>
      <c r="E1850" s="293">
        <v>-106014.635685</v>
      </c>
      <c r="F1850" s="294" t="s">
        <v>286</v>
      </c>
    </row>
    <row r="1851" spans="1:6" hidden="1" outlineLevel="1" collapsed="1" x14ac:dyDescent="0.25">
      <c r="A1851" s="321" t="s">
        <v>282</v>
      </c>
      <c r="B1851" s="321" t="s">
        <v>752</v>
      </c>
      <c r="C1851" s="293">
        <v>0</v>
      </c>
      <c r="D1851" s="293">
        <v>120684.528674</v>
      </c>
      <c r="E1851" s="293">
        <v>120684.528674</v>
      </c>
      <c r="F1851" s="294" t="s">
        <v>298</v>
      </c>
    </row>
    <row r="1852" spans="1:6" hidden="1" outlineLevel="1" collapsed="1" x14ac:dyDescent="0.25">
      <c r="A1852" s="321" t="s">
        <v>282</v>
      </c>
      <c r="B1852" s="321" t="s">
        <v>384</v>
      </c>
      <c r="C1852" s="293">
        <v>9188.9779479999997</v>
      </c>
      <c r="D1852" s="293">
        <v>0</v>
      </c>
      <c r="E1852" s="293">
        <v>-9188.9779479999997</v>
      </c>
      <c r="F1852" s="294" t="s">
        <v>286</v>
      </c>
    </row>
    <row r="1853" spans="1:6" hidden="1" outlineLevel="1" collapsed="1" x14ac:dyDescent="0.25">
      <c r="A1853" s="321" t="s">
        <v>282</v>
      </c>
      <c r="B1853" s="321" t="s">
        <v>385</v>
      </c>
      <c r="C1853" s="293">
        <v>0</v>
      </c>
      <c r="D1853" s="293">
        <v>11405.759445</v>
      </c>
      <c r="E1853" s="293">
        <v>11405.759445</v>
      </c>
      <c r="F1853" s="294" t="s">
        <v>298</v>
      </c>
    </row>
    <row r="1854" spans="1:6" hidden="1" outlineLevel="1" collapsed="1" x14ac:dyDescent="0.25">
      <c r="A1854" s="321" t="s">
        <v>282</v>
      </c>
      <c r="B1854" s="321" t="s">
        <v>386</v>
      </c>
      <c r="C1854" s="293">
        <v>4569.0490600000003</v>
      </c>
      <c r="D1854" s="293">
        <v>0</v>
      </c>
      <c r="E1854" s="293">
        <v>-4569.0490600000003</v>
      </c>
      <c r="F1854" s="294" t="s">
        <v>286</v>
      </c>
    </row>
    <row r="1855" spans="1:6" hidden="1" outlineLevel="1" collapsed="1" x14ac:dyDescent="0.25">
      <c r="A1855" s="321" t="s">
        <v>282</v>
      </c>
      <c r="B1855" s="321" t="s">
        <v>387</v>
      </c>
      <c r="C1855" s="293">
        <v>0</v>
      </c>
      <c r="D1855" s="293">
        <v>4593.4973749999999</v>
      </c>
      <c r="E1855" s="293">
        <v>4593.4973749999999</v>
      </c>
      <c r="F1855" s="294" t="s">
        <v>298</v>
      </c>
    </row>
    <row r="1856" spans="1:6" hidden="1" outlineLevel="1" collapsed="1" x14ac:dyDescent="0.25">
      <c r="A1856" s="321" t="s">
        <v>282</v>
      </c>
      <c r="B1856" s="321" t="s">
        <v>753</v>
      </c>
      <c r="C1856" s="293">
        <v>50969.746587000001</v>
      </c>
      <c r="D1856" s="293">
        <v>52456.006418999998</v>
      </c>
      <c r="E1856" s="293">
        <v>1486.259832</v>
      </c>
      <c r="F1856" s="294" t="s">
        <v>871</v>
      </c>
    </row>
    <row r="1857" spans="1:6" hidden="1" outlineLevel="1" collapsed="1" x14ac:dyDescent="0.25">
      <c r="A1857" s="321" t="s">
        <v>282</v>
      </c>
      <c r="B1857" s="321" t="s">
        <v>362</v>
      </c>
      <c r="C1857" s="293">
        <v>1218.463992</v>
      </c>
      <c r="D1857" s="293">
        <v>1271.8274759999999</v>
      </c>
      <c r="E1857" s="293">
        <v>53.363484</v>
      </c>
      <c r="F1857" s="294" t="s">
        <v>978</v>
      </c>
    </row>
    <row r="1858" spans="1:6" hidden="1" outlineLevel="1" collapsed="1" x14ac:dyDescent="0.25">
      <c r="A1858" s="321" t="s">
        <v>282</v>
      </c>
      <c r="B1858" s="321" t="s">
        <v>388</v>
      </c>
      <c r="C1858" s="293">
        <v>12988.911827</v>
      </c>
      <c r="D1858" s="293">
        <v>13342.222600999999</v>
      </c>
      <c r="E1858" s="293">
        <v>353.31077399999998</v>
      </c>
      <c r="F1858" s="294" t="s">
        <v>666</v>
      </c>
    </row>
    <row r="1859" spans="1:6" hidden="1" outlineLevel="1" collapsed="1" x14ac:dyDescent="0.25">
      <c r="A1859" s="321" t="s">
        <v>282</v>
      </c>
      <c r="B1859" s="321" t="s">
        <v>363</v>
      </c>
      <c r="C1859" s="293">
        <v>426.12479999999999</v>
      </c>
      <c r="D1859" s="293">
        <v>422.04</v>
      </c>
      <c r="E1859" s="293">
        <v>-4.0848000000000004</v>
      </c>
      <c r="F1859" s="294" t="s">
        <v>364</v>
      </c>
    </row>
    <row r="1860" spans="1:6" hidden="1" outlineLevel="1" collapsed="1" x14ac:dyDescent="0.25">
      <c r="A1860" s="321" t="s">
        <v>282</v>
      </c>
      <c r="B1860" s="321" t="s">
        <v>365</v>
      </c>
      <c r="C1860" s="293">
        <v>15358.56</v>
      </c>
      <c r="D1860" s="293">
        <v>15959.28</v>
      </c>
      <c r="E1860" s="293">
        <v>600.72</v>
      </c>
      <c r="F1860" s="294" t="s">
        <v>366</v>
      </c>
    </row>
    <row r="1861" spans="1:6" hidden="1" outlineLevel="1" collapsed="1" x14ac:dyDescent="0.25">
      <c r="A1861" s="321" t="s">
        <v>282</v>
      </c>
      <c r="B1861" s="321" t="s">
        <v>367</v>
      </c>
      <c r="C1861" s="293">
        <v>233.53919999999999</v>
      </c>
      <c r="D1861" s="293">
        <v>182.88</v>
      </c>
      <c r="E1861" s="293">
        <v>-50.659199999999998</v>
      </c>
      <c r="F1861" s="294" t="s">
        <v>368</v>
      </c>
    </row>
    <row r="1862" spans="1:6" hidden="1" outlineLevel="1" collapsed="1" x14ac:dyDescent="0.25">
      <c r="A1862" s="321" t="s">
        <v>282</v>
      </c>
      <c r="B1862" s="321" t="s">
        <v>444</v>
      </c>
      <c r="C1862" s="293">
        <v>10876</v>
      </c>
      <c r="D1862" s="293">
        <v>21752</v>
      </c>
      <c r="E1862" s="293">
        <v>10876</v>
      </c>
      <c r="F1862" s="294" t="s">
        <v>298</v>
      </c>
    </row>
    <row r="1863" spans="1:6" hidden="1" outlineLevel="1" collapsed="1" x14ac:dyDescent="0.25">
      <c r="A1863" s="321" t="s">
        <v>282</v>
      </c>
      <c r="B1863" s="321" t="s">
        <v>389</v>
      </c>
      <c r="C1863" s="293">
        <v>669.01593600000001</v>
      </c>
      <c r="D1863" s="293">
        <v>662.6028</v>
      </c>
      <c r="E1863" s="293">
        <v>-6.4131359999999997</v>
      </c>
      <c r="F1863" s="294" t="s">
        <v>364</v>
      </c>
    </row>
    <row r="1864" spans="1:6" hidden="1" outlineLevel="1" collapsed="1" x14ac:dyDescent="0.25">
      <c r="A1864" s="321" t="s">
        <v>282</v>
      </c>
      <c r="B1864" s="321" t="s">
        <v>390</v>
      </c>
      <c r="C1864" s="293">
        <v>24311.873899999999</v>
      </c>
      <c r="D1864" s="293">
        <v>25056.069599999999</v>
      </c>
      <c r="E1864" s="293">
        <v>744.19569999999999</v>
      </c>
      <c r="F1864" s="294" t="s">
        <v>391</v>
      </c>
    </row>
    <row r="1865" spans="1:6" hidden="1" outlineLevel="1" collapsed="1" x14ac:dyDescent="0.25">
      <c r="A1865" s="321" t="s">
        <v>282</v>
      </c>
      <c r="B1865" s="321" t="s">
        <v>392</v>
      </c>
      <c r="C1865" s="293">
        <v>366.656544</v>
      </c>
      <c r="D1865" s="293">
        <v>287.1216</v>
      </c>
      <c r="E1865" s="293">
        <v>-79.534943999999996</v>
      </c>
      <c r="F1865" s="294" t="s">
        <v>368</v>
      </c>
    </row>
    <row r="1866" spans="1:6" hidden="1" outlineLevel="1" collapsed="1" x14ac:dyDescent="0.25">
      <c r="A1866" s="321" t="s">
        <v>282</v>
      </c>
      <c r="B1866" s="321" t="s">
        <v>754</v>
      </c>
      <c r="C1866" s="293">
        <v>95898.848639999997</v>
      </c>
      <c r="D1866" s="293">
        <v>99649.744319999998</v>
      </c>
      <c r="E1866" s="293">
        <v>3750.8956800000001</v>
      </c>
      <c r="F1866" s="294" t="s">
        <v>366</v>
      </c>
    </row>
    <row r="1867" spans="1:6" hidden="1" outlineLevel="1" collapsed="1" x14ac:dyDescent="0.25">
      <c r="A1867" s="321" t="s">
        <v>282</v>
      </c>
      <c r="B1867" s="321" t="s">
        <v>755</v>
      </c>
      <c r="C1867" s="293">
        <v>3500.1891070000001</v>
      </c>
      <c r="D1867" s="293">
        <v>3466.6365599999999</v>
      </c>
      <c r="E1867" s="293">
        <v>-33.552546999999997</v>
      </c>
      <c r="F1867" s="294" t="s">
        <v>364</v>
      </c>
    </row>
    <row r="1868" spans="1:6" hidden="1" outlineLevel="1" collapsed="1" x14ac:dyDescent="0.25">
      <c r="A1868" s="321" t="s">
        <v>282</v>
      </c>
      <c r="B1868" s="321" t="s">
        <v>756</v>
      </c>
      <c r="C1868" s="293">
        <v>1918.2909890000001</v>
      </c>
      <c r="D1868" s="293">
        <v>1502.17632</v>
      </c>
      <c r="E1868" s="293">
        <v>-416.11466899999999</v>
      </c>
      <c r="F1868" s="294" t="s">
        <v>368</v>
      </c>
    </row>
    <row r="1869" spans="1:6" hidden="1" outlineLevel="1" collapsed="1" x14ac:dyDescent="0.25">
      <c r="A1869" s="321" t="s">
        <v>282</v>
      </c>
      <c r="B1869" s="321" t="s">
        <v>369</v>
      </c>
      <c r="C1869" s="293">
        <v>42.015996000000001</v>
      </c>
      <c r="D1869" s="293">
        <v>43.856112000000003</v>
      </c>
      <c r="E1869" s="293">
        <v>1.8401160000000001</v>
      </c>
      <c r="F1869" s="294" t="s">
        <v>978</v>
      </c>
    </row>
    <row r="1870" spans="1:6" hidden="1" outlineLevel="1" collapsed="1" x14ac:dyDescent="0.25">
      <c r="A1870" s="321" t="s">
        <v>282</v>
      </c>
      <c r="B1870" s="321" t="s">
        <v>393</v>
      </c>
      <c r="C1870" s="293">
        <v>36.847164999999997</v>
      </c>
      <c r="D1870" s="293">
        <v>37.044320999999997</v>
      </c>
      <c r="E1870" s="293">
        <v>0.197156</v>
      </c>
      <c r="F1870" s="294" t="s">
        <v>2088</v>
      </c>
    </row>
    <row r="1871" spans="1:6" hidden="1" outlineLevel="1" collapsed="1" x14ac:dyDescent="0.25">
      <c r="A1871" s="321" t="s">
        <v>282</v>
      </c>
      <c r="B1871" s="321" t="s">
        <v>757</v>
      </c>
      <c r="C1871" s="293">
        <v>411.04627499999998</v>
      </c>
      <c r="D1871" s="293">
        <v>0</v>
      </c>
      <c r="E1871" s="293">
        <v>-411.04627499999998</v>
      </c>
      <c r="F1871" s="294" t="s">
        <v>286</v>
      </c>
    </row>
    <row r="1872" spans="1:6" hidden="1" outlineLevel="1" collapsed="1" x14ac:dyDescent="0.25">
      <c r="A1872" s="321" t="s">
        <v>282</v>
      </c>
      <c r="B1872" s="321" t="s">
        <v>758</v>
      </c>
      <c r="C1872" s="293">
        <v>0</v>
      </c>
      <c r="D1872" s="293">
        <v>423.03224699999998</v>
      </c>
      <c r="E1872" s="293">
        <v>423.03224699999998</v>
      </c>
      <c r="F1872" s="294" t="s">
        <v>298</v>
      </c>
    </row>
    <row r="1873" spans="1:6" hidden="1" outlineLevel="1" collapsed="1" x14ac:dyDescent="0.25">
      <c r="A1873" s="321" t="s">
        <v>282</v>
      </c>
      <c r="B1873" s="321" t="s">
        <v>370</v>
      </c>
      <c r="C1873" s="293">
        <v>1500</v>
      </c>
      <c r="D1873" s="293">
        <v>1500</v>
      </c>
      <c r="E1873" s="293">
        <v>0</v>
      </c>
      <c r="F1873" s="294" t="s">
        <v>316</v>
      </c>
    </row>
    <row r="1874" spans="1:6" hidden="1" outlineLevel="1" collapsed="1" x14ac:dyDescent="0.25">
      <c r="A1874" s="321" t="s">
        <v>282</v>
      </c>
      <c r="B1874" s="321" t="s">
        <v>394</v>
      </c>
      <c r="C1874" s="293">
        <v>2355</v>
      </c>
      <c r="D1874" s="293">
        <v>0</v>
      </c>
      <c r="E1874" s="293">
        <v>-2355</v>
      </c>
      <c r="F1874" s="294" t="s">
        <v>286</v>
      </c>
    </row>
    <row r="1875" spans="1:6" hidden="1" outlineLevel="1" collapsed="1" x14ac:dyDescent="0.25">
      <c r="A1875" s="321" t="s">
        <v>282</v>
      </c>
      <c r="B1875" s="321" t="s">
        <v>395</v>
      </c>
      <c r="C1875" s="293">
        <v>0</v>
      </c>
      <c r="D1875" s="293">
        <v>2355</v>
      </c>
      <c r="E1875" s="293">
        <v>2355</v>
      </c>
      <c r="F1875" s="294" t="s">
        <v>298</v>
      </c>
    </row>
    <row r="1876" spans="1:6" hidden="1" outlineLevel="1" collapsed="1" x14ac:dyDescent="0.25">
      <c r="A1876" s="321" t="s">
        <v>282</v>
      </c>
      <c r="B1876" s="321" t="s">
        <v>759</v>
      </c>
      <c r="C1876" s="293">
        <v>12321</v>
      </c>
      <c r="D1876" s="293">
        <v>0</v>
      </c>
      <c r="E1876" s="293">
        <v>-12321</v>
      </c>
      <c r="F1876" s="294" t="s">
        <v>286</v>
      </c>
    </row>
    <row r="1877" spans="1:6" hidden="1" outlineLevel="1" collapsed="1" x14ac:dyDescent="0.25">
      <c r="A1877" s="321" t="s">
        <v>282</v>
      </c>
      <c r="B1877" s="321" t="s">
        <v>760</v>
      </c>
      <c r="C1877" s="293">
        <v>0</v>
      </c>
      <c r="D1877" s="293">
        <v>12321</v>
      </c>
      <c r="E1877" s="293">
        <v>12321</v>
      </c>
      <c r="F1877" s="294" t="s">
        <v>298</v>
      </c>
    </row>
    <row r="1878" spans="1:6" hidden="1" outlineLevel="1" collapsed="1" x14ac:dyDescent="0.25">
      <c r="A1878" s="321" t="s">
        <v>282</v>
      </c>
      <c r="B1878" s="321" t="s">
        <v>371</v>
      </c>
      <c r="C1878" s="293">
        <v>49.68</v>
      </c>
      <c r="D1878" s="293">
        <v>48.48</v>
      </c>
      <c r="E1878" s="293">
        <v>-1.2</v>
      </c>
      <c r="F1878" s="294" t="s">
        <v>372</v>
      </c>
    </row>
    <row r="1879" spans="1:6" hidden="1" outlineLevel="1" collapsed="1" x14ac:dyDescent="0.25">
      <c r="A1879" s="321" t="s">
        <v>282</v>
      </c>
      <c r="B1879" s="321" t="s">
        <v>396</v>
      </c>
      <c r="C1879" s="293">
        <v>77.997600000000006</v>
      </c>
      <c r="D1879" s="293">
        <v>0</v>
      </c>
      <c r="E1879" s="293">
        <v>-77.997600000000006</v>
      </c>
      <c r="F1879" s="294" t="s">
        <v>286</v>
      </c>
    </row>
    <row r="1880" spans="1:6" hidden="1" outlineLevel="1" collapsed="1" x14ac:dyDescent="0.25">
      <c r="A1880" s="321" t="s">
        <v>282</v>
      </c>
      <c r="B1880" s="321" t="s">
        <v>397</v>
      </c>
      <c r="C1880" s="293">
        <v>0</v>
      </c>
      <c r="D1880" s="293">
        <v>76.113600000000005</v>
      </c>
      <c r="E1880" s="293">
        <v>76.113600000000005</v>
      </c>
      <c r="F1880" s="294" t="s">
        <v>298</v>
      </c>
    </row>
    <row r="1881" spans="1:6" hidden="1" outlineLevel="1" collapsed="1" x14ac:dyDescent="0.25">
      <c r="A1881" s="321" t="s">
        <v>282</v>
      </c>
      <c r="B1881" s="321" t="s">
        <v>761</v>
      </c>
      <c r="C1881" s="293">
        <v>408.07152000000002</v>
      </c>
      <c r="D1881" s="293">
        <v>0</v>
      </c>
      <c r="E1881" s="293">
        <v>-408.07152000000002</v>
      </c>
      <c r="F1881" s="294" t="s">
        <v>286</v>
      </c>
    </row>
    <row r="1882" spans="1:6" hidden="1" outlineLevel="1" collapsed="1" x14ac:dyDescent="0.25">
      <c r="A1882" s="321" t="s">
        <v>282</v>
      </c>
      <c r="B1882" s="321" t="s">
        <v>762</v>
      </c>
      <c r="C1882" s="293">
        <v>0</v>
      </c>
      <c r="D1882" s="293">
        <v>398.21472</v>
      </c>
      <c r="E1882" s="293">
        <v>398.21472</v>
      </c>
      <c r="F1882" s="294" t="s">
        <v>298</v>
      </c>
    </row>
    <row r="1883" spans="1:6" hidden="1" outlineLevel="1" collapsed="1" x14ac:dyDescent="0.25">
      <c r="A1883" s="321" t="s">
        <v>282</v>
      </c>
      <c r="B1883" s="321" t="s">
        <v>373</v>
      </c>
      <c r="C1883" s="293">
        <v>24</v>
      </c>
      <c r="D1883" s="293">
        <v>11.04</v>
      </c>
      <c r="E1883" s="293">
        <v>-12.96</v>
      </c>
      <c r="F1883" s="294" t="s">
        <v>374</v>
      </c>
    </row>
    <row r="1884" spans="1:6" hidden="1" outlineLevel="1" collapsed="1" x14ac:dyDescent="0.25">
      <c r="A1884" s="321" t="s">
        <v>282</v>
      </c>
      <c r="B1884" s="321" t="s">
        <v>398</v>
      </c>
      <c r="C1884" s="293">
        <v>37.68</v>
      </c>
      <c r="D1884" s="293">
        <v>17.332799999999999</v>
      </c>
      <c r="E1884" s="293">
        <v>-20.347200000000001</v>
      </c>
      <c r="F1884" s="294" t="s">
        <v>374</v>
      </c>
    </row>
    <row r="1885" spans="1:6" hidden="1" outlineLevel="1" collapsed="1" x14ac:dyDescent="0.25">
      <c r="A1885" s="321" t="s">
        <v>282</v>
      </c>
      <c r="B1885" s="321" t="s">
        <v>763</v>
      </c>
      <c r="C1885" s="293">
        <v>197.136</v>
      </c>
      <c r="D1885" s="293">
        <v>90.682559999999995</v>
      </c>
      <c r="E1885" s="293">
        <v>-106.45344</v>
      </c>
      <c r="F1885" s="294" t="s">
        <v>374</v>
      </c>
    </row>
    <row r="1886" spans="1:6" hidden="1" outlineLevel="1" collapsed="1" x14ac:dyDescent="0.25">
      <c r="A1886" s="321" t="s">
        <v>282</v>
      </c>
      <c r="B1886" s="321" t="s">
        <v>522</v>
      </c>
      <c r="C1886" s="293">
        <v>5910</v>
      </c>
      <c r="D1886" s="293">
        <v>5910</v>
      </c>
      <c r="E1886" s="293">
        <v>0</v>
      </c>
      <c r="F1886" s="294" t="s">
        <v>316</v>
      </c>
    </row>
    <row r="1887" spans="1:6" hidden="1" outlineLevel="1" collapsed="1" x14ac:dyDescent="0.25">
      <c r="A1887" s="321" t="s">
        <v>282</v>
      </c>
      <c r="B1887" s="321" t="s">
        <v>496</v>
      </c>
      <c r="C1887" s="293">
        <v>0</v>
      </c>
      <c r="D1887" s="293">
        <v>0</v>
      </c>
      <c r="E1887" s="293">
        <v>0</v>
      </c>
      <c r="F1887" s="294" t="s">
        <v>316</v>
      </c>
    </row>
    <row r="1888" spans="1:6" hidden="1" outlineLevel="1" collapsed="1" x14ac:dyDescent="0.25">
      <c r="A1888" s="321" t="s">
        <v>282</v>
      </c>
      <c r="B1888" s="321" t="s">
        <v>376</v>
      </c>
      <c r="C1888" s="293">
        <v>0</v>
      </c>
      <c r="D1888" s="293">
        <v>2992</v>
      </c>
      <c r="E1888" s="293">
        <v>2992</v>
      </c>
      <c r="F1888" s="294" t="s">
        <v>298</v>
      </c>
    </row>
    <row r="1889" spans="1:6" hidden="1" outlineLevel="1" collapsed="1" x14ac:dyDescent="0.25">
      <c r="A1889" s="321" t="s">
        <v>282</v>
      </c>
      <c r="B1889" s="321" t="s">
        <v>662</v>
      </c>
      <c r="C1889" s="293">
        <v>0</v>
      </c>
      <c r="D1889" s="293">
        <v>202</v>
      </c>
      <c r="E1889" s="293">
        <v>202</v>
      </c>
      <c r="F1889" s="294" t="s">
        <v>298</v>
      </c>
    </row>
    <row r="1890" spans="1:6" hidden="1" outlineLevel="1" collapsed="1" x14ac:dyDescent="0.25">
      <c r="A1890" s="321" t="s">
        <v>282</v>
      </c>
      <c r="B1890" s="321" t="s">
        <v>426</v>
      </c>
      <c r="C1890" s="293">
        <v>66</v>
      </c>
      <c r="D1890" s="293">
        <v>2477</v>
      </c>
      <c r="E1890" s="293">
        <v>2411</v>
      </c>
      <c r="F1890" s="294" t="s">
        <v>979</v>
      </c>
    </row>
    <row r="1891" spans="1:6" hidden="1" outlineLevel="1" collapsed="1" x14ac:dyDescent="0.25">
      <c r="A1891" s="321" t="s">
        <v>282</v>
      </c>
      <c r="B1891" s="321" t="s">
        <v>482</v>
      </c>
      <c r="C1891" s="293">
        <v>21</v>
      </c>
      <c r="D1891" s="293">
        <v>500</v>
      </c>
      <c r="E1891" s="293">
        <v>479</v>
      </c>
      <c r="F1891" s="294" t="s">
        <v>980</v>
      </c>
    </row>
    <row r="1892" spans="1:6" hidden="1" outlineLevel="1" collapsed="1" x14ac:dyDescent="0.25">
      <c r="A1892" s="321" t="s">
        <v>282</v>
      </c>
      <c r="B1892" s="321" t="s">
        <v>597</v>
      </c>
      <c r="C1892" s="293">
        <v>233</v>
      </c>
      <c r="D1892" s="293">
        <v>1233</v>
      </c>
      <c r="E1892" s="293">
        <v>1000</v>
      </c>
      <c r="F1892" s="294" t="s">
        <v>981</v>
      </c>
    </row>
    <row r="1893" spans="1:6" hidden="1" outlineLevel="1" collapsed="1" x14ac:dyDescent="0.25">
      <c r="A1893" s="321" t="s">
        <v>282</v>
      </c>
      <c r="B1893" s="321" t="s">
        <v>405</v>
      </c>
      <c r="C1893" s="293">
        <v>800</v>
      </c>
      <c r="D1893" s="293">
        <v>810</v>
      </c>
      <c r="E1893" s="293">
        <v>10</v>
      </c>
      <c r="F1893" s="294" t="s">
        <v>982</v>
      </c>
    </row>
    <row r="1894" spans="1:6" hidden="1" outlineLevel="1" collapsed="1" x14ac:dyDescent="0.25">
      <c r="A1894" s="321" t="s">
        <v>282</v>
      </c>
      <c r="B1894" s="321" t="s">
        <v>422</v>
      </c>
      <c r="C1894" s="293">
        <v>7084</v>
      </c>
      <c r="D1894" s="293">
        <v>0</v>
      </c>
      <c r="E1894" s="293">
        <v>-7084</v>
      </c>
      <c r="F1894" s="294" t="s">
        <v>286</v>
      </c>
    </row>
    <row r="1895" spans="1:6" collapsed="1" x14ac:dyDescent="0.25">
      <c r="A1895" s="560" t="s">
        <v>983</v>
      </c>
      <c r="B1895" s="561"/>
      <c r="C1895" s="292">
        <v>1290</v>
      </c>
      <c r="D1895" s="293">
        <v>1290</v>
      </c>
      <c r="E1895" s="293">
        <v>0</v>
      </c>
      <c r="F1895" s="294" t="s">
        <v>316</v>
      </c>
    </row>
    <row r="1896" spans="1:6" hidden="1" outlineLevel="1" collapsed="1" x14ac:dyDescent="0.25">
      <c r="A1896" s="321" t="s">
        <v>282</v>
      </c>
      <c r="B1896" s="321" t="s">
        <v>426</v>
      </c>
      <c r="C1896" s="293">
        <v>965</v>
      </c>
      <c r="D1896" s="293">
        <v>965</v>
      </c>
      <c r="E1896" s="293">
        <v>0</v>
      </c>
      <c r="F1896" s="294" t="s">
        <v>316</v>
      </c>
    </row>
    <row r="1897" spans="1:6" hidden="1" outlineLevel="1" collapsed="1" x14ac:dyDescent="0.25">
      <c r="A1897" s="321" t="s">
        <v>282</v>
      </c>
      <c r="B1897" s="321" t="s">
        <v>482</v>
      </c>
      <c r="C1897" s="293">
        <v>325</v>
      </c>
      <c r="D1897" s="293">
        <v>325</v>
      </c>
      <c r="E1897" s="293">
        <v>0</v>
      </c>
      <c r="F1897" s="294" t="s">
        <v>316</v>
      </c>
    </row>
    <row r="1898" spans="1:6" collapsed="1" x14ac:dyDescent="0.25">
      <c r="A1898" s="560" t="s">
        <v>984</v>
      </c>
      <c r="B1898" s="561"/>
      <c r="C1898" s="292">
        <v>283570.76386000001</v>
      </c>
      <c r="D1898" s="293">
        <v>293980.88269</v>
      </c>
      <c r="E1898" s="293">
        <v>10410.118829999999</v>
      </c>
      <c r="F1898" s="294" t="s">
        <v>2089</v>
      </c>
    </row>
    <row r="1899" spans="1:6" hidden="1" outlineLevel="1" collapsed="1" x14ac:dyDescent="0.25">
      <c r="A1899" s="321" t="s">
        <v>282</v>
      </c>
      <c r="B1899" s="321" t="s">
        <v>750</v>
      </c>
      <c r="C1899" s="293">
        <v>135440.879984</v>
      </c>
      <c r="D1899" s="293">
        <v>139478.78279100001</v>
      </c>
      <c r="E1899" s="293">
        <v>4037.9028069999999</v>
      </c>
      <c r="F1899" s="294" t="s">
        <v>381</v>
      </c>
    </row>
    <row r="1900" spans="1:6" hidden="1" outlineLevel="1" collapsed="1" x14ac:dyDescent="0.25">
      <c r="A1900" s="321" t="s">
        <v>282</v>
      </c>
      <c r="B1900" s="321" t="s">
        <v>412</v>
      </c>
      <c r="C1900" s="293">
        <v>720</v>
      </c>
      <c r="D1900" s="293">
        <v>720</v>
      </c>
      <c r="E1900" s="293">
        <v>0</v>
      </c>
      <c r="F1900" s="294" t="s">
        <v>316</v>
      </c>
    </row>
    <row r="1901" spans="1:6" hidden="1" outlineLevel="1" collapsed="1" x14ac:dyDescent="0.25">
      <c r="A1901" s="321" t="s">
        <v>282</v>
      </c>
      <c r="B1901" s="321" t="s">
        <v>464</v>
      </c>
      <c r="C1901" s="293">
        <v>47925.057271999998</v>
      </c>
      <c r="D1901" s="293">
        <v>49331.274548000001</v>
      </c>
      <c r="E1901" s="293">
        <v>1406.2172760000001</v>
      </c>
      <c r="F1901" s="294" t="s">
        <v>805</v>
      </c>
    </row>
    <row r="1902" spans="1:6" hidden="1" outlineLevel="1" collapsed="1" x14ac:dyDescent="0.25">
      <c r="A1902" s="321" t="s">
        <v>282</v>
      </c>
      <c r="B1902" s="321" t="s">
        <v>424</v>
      </c>
      <c r="C1902" s="293">
        <v>3265</v>
      </c>
      <c r="D1902" s="293">
        <v>0</v>
      </c>
      <c r="E1902" s="293">
        <v>-3265</v>
      </c>
      <c r="F1902" s="294" t="s">
        <v>286</v>
      </c>
    </row>
    <row r="1903" spans="1:6" hidden="1" outlineLevel="1" collapsed="1" x14ac:dyDescent="0.25">
      <c r="A1903" s="321" t="s">
        <v>282</v>
      </c>
      <c r="B1903" s="321" t="s">
        <v>425</v>
      </c>
      <c r="C1903" s="293">
        <v>0</v>
      </c>
      <c r="D1903" s="293">
        <v>2600</v>
      </c>
      <c r="E1903" s="293">
        <v>2600</v>
      </c>
      <c r="F1903" s="294" t="s">
        <v>298</v>
      </c>
    </row>
    <row r="1904" spans="1:6" hidden="1" outlineLevel="1" collapsed="1" x14ac:dyDescent="0.25">
      <c r="A1904" s="321" t="s">
        <v>282</v>
      </c>
      <c r="B1904" s="321" t="s">
        <v>751</v>
      </c>
      <c r="C1904" s="293">
        <v>17675.034823999998</v>
      </c>
      <c r="D1904" s="293">
        <v>0</v>
      </c>
      <c r="E1904" s="293">
        <v>-17675.034823999998</v>
      </c>
      <c r="F1904" s="294" t="s">
        <v>286</v>
      </c>
    </row>
    <row r="1905" spans="1:6" hidden="1" outlineLevel="1" collapsed="1" x14ac:dyDescent="0.25">
      <c r="A1905" s="321" t="s">
        <v>282</v>
      </c>
      <c r="B1905" s="321" t="s">
        <v>752</v>
      </c>
      <c r="C1905" s="293">
        <v>0</v>
      </c>
      <c r="D1905" s="293">
        <v>20126.788345000001</v>
      </c>
      <c r="E1905" s="293">
        <v>20126.788345000001</v>
      </c>
      <c r="F1905" s="294" t="s">
        <v>298</v>
      </c>
    </row>
    <row r="1906" spans="1:6" hidden="1" outlineLevel="1" collapsed="1" x14ac:dyDescent="0.25">
      <c r="A1906" s="321" t="s">
        <v>282</v>
      </c>
      <c r="B1906" s="321" t="s">
        <v>384</v>
      </c>
      <c r="C1906" s="293">
        <v>5852.8521959999998</v>
      </c>
      <c r="D1906" s="293">
        <v>0</v>
      </c>
      <c r="E1906" s="293">
        <v>-5852.8521959999998</v>
      </c>
      <c r="F1906" s="294" t="s">
        <v>286</v>
      </c>
    </row>
    <row r="1907" spans="1:6" hidden="1" outlineLevel="1" collapsed="1" x14ac:dyDescent="0.25">
      <c r="A1907" s="321" t="s">
        <v>282</v>
      </c>
      <c r="B1907" s="321" t="s">
        <v>385</v>
      </c>
      <c r="C1907" s="293">
        <v>0</v>
      </c>
      <c r="D1907" s="293">
        <v>7444.2062400000004</v>
      </c>
      <c r="E1907" s="293">
        <v>7444.2062400000004</v>
      </c>
      <c r="F1907" s="294" t="s">
        <v>298</v>
      </c>
    </row>
    <row r="1908" spans="1:6" hidden="1" outlineLevel="1" collapsed="1" x14ac:dyDescent="0.25">
      <c r="A1908" s="321" t="s">
        <v>282</v>
      </c>
      <c r="B1908" s="321" t="s">
        <v>386</v>
      </c>
      <c r="C1908" s="293">
        <v>2934.1535399999998</v>
      </c>
      <c r="D1908" s="293">
        <v>0</v>
      </c>
      <c r="E1908" s="293">
        <v>-2934.1535399999998</v>
      </c>
      <c r="F1908" s="294" t="s">
        <v>286</v>
      </c>
    </row>
    <row r="1909" spans="1:6" hidden="1" outlineLevel="1" collapsed="1" x14ac:dyDescent="0.25">
      <c r="A1909" s="321" t="s">
        <v>282</v>
      </c>
      <c r="B1909" s="321" t="s">
        <v>387</v>
      </c>
      <c r="C1909" s="293">
        <v>0</v>
      </c>
      <c r="D1909" s="293">
        <v>3021.3390119999999</v>
      </c>
      <c r="E1909" s="293">
        <v>3021.3390119999999</v>
      </c>
      <c r="F1909" s="294" t="s">
        <v>298</v>
      </c>
    </row>
    <row r="1910" spans="1:6" hidden="1" outlineLevel="1" collapsed="1" x14ac:dyDescent="0.25">
      <c r="A1910" s="321" t="s">
        <v>282</v>
      </c>
      <c r="B1910" s="321" t="s">
        <v>753</v>
      </c>
      <c r="C1910" s="293">
        <v>8441.9745440000006</v>
      </c>
      <c r="D1910" s="293">
        <v>8692.3245239999997</v>
      </c>
      <c r="E1910" s="293">
        <v>250.34997999999999</v>
      </c>
      <c r="F1910" s="294" t="s">
        <v>553</v>
      </c>
    </row>
    <row r="1911" spans="1:6" hidden="1" outlineLevel="1" collapsed="1" x14ac:dyDescent="0.25">
      <c r="A1911" s="321" t="s">
        <v>282</v>
      </c>
      <c r="B1911" s="321" t="s">
        <v>388</v>
      </c>
      <c r="C1911" s="293">
        <v>2660.5460720000001</v>
      </c>
      <c r="D1911" s="293">
        <v>2739.4858180000001</v>
      </c>
      <c r="E1911" s="293">
        <v>78.939746</v>
      </c>
      <c r="F1911" s="294" t="s">
        <v>553</v>
      </c>
    </row>
    <row r="1912" spans="1:6" hidden="1" outlineLevel="1" collapsed="1" x14ac:dyDescent="0.25">
      <c r="A1912" s="321" t="s">
        <v>282</v>
      </c>
      <c r="B1912" s="321" t="s">
        <v>444</v>
      </c>
      <c r="C1912" s="293">
        <v>630</v>
      </c>
      <c r="D1912" s="293">
        <v>0</v>
      </c>
      <c r="E1912" s="293">
        <v>-630</v>
      </c>
      <c r="F1912" s="294" t="s">
        <v>286</v>
      </c>
    </row>
    <row r="1913" spans="1:6" hidden="1" outlineLevel="1" collapsed="1" x14ac:dyDescent="0.25">
      <c r="A1913" s="321" t="s">
        <v>282</v>
      </c>
      <c r="B1913" s="321" t="s">
        <v>389</v>
      </c>
      <c r="C1913" s="293">
        <v>426.12479999999999</v>
      </c>
      <c r="D1913" s="293">
        <v>422.04</v>
      </c>
      <c r="E1913" s="293">
        <v>-4.0848000000000004</v>
      </c>
      <c r="F1913" s="294" t="s">
        <v>364</v>
      </c>
    </row>
    <row r="1914" spans="1:6" hidden="1" outlineLevel="1" collapsed="1" x14ac:dyDescent="0.25">
      <c r="A1914" s="321" t="s">
        <v>282</v>
      </c>
      <c r="B1914" s="321" t="s">
        <v>390</v>
      </c>
      <c r="C1914" s="293">
        <v>15485.27</v>
      </c>
      <c r="D1914" s="293">
        <v>15959.28</v>
      </c>
      <c r="E1914" s="293">
        <v>474.01</v>
      </c>
      <c r="F1914" s="294" t="s">
        <v>391</v>
      </c>
    </row>
    <row r="1915" spans="1:6" hidden="1" outlineLevel="1" collapsed="1" x14ac:dyDescent="0.25">
      <c r="A1915" s="321" t="s">
        <v>282</v>
      </c>
      <c r="B1915" s="321" t="s">
        <v>392</v>
      </c>
      <c r="C1915" s="293">
        <v>233.53919999999999</v>
      </c>
      <c r="D1915" s="293">
        <v>182.88</v>
      </c>
      <c r="E1915" s="293">
        <v>-50.659199999999998</v>
      </c>
      <c r="F1915" s="294" t="s">
        <v>368</v>
      </c>
    </row>
    <row r="1916" spans="1:6" hidden="1" outlineLevel="1" collapsed="1" x14ac:dyDescent="0.25">
      <c r="A1916" s="321" t="s">
        <v>282</v>
      </c>
      <c r="B1916" s="321" t="s">
        <v>754</v>
      </c>
      <c r="C1916" s="293">
        <v>21041.227200000001</v>
      </c>
      <c r="D1916" s="293">
        <v>21864.213599999999</v>
      </c>
      <c r="E1916" s="293">
        <v>822.9864</v>
      </c>
      <c r="F1916" s="294" t="s">
        <v>366</v>
      </c>
    </row>
    <row r="1917" spans="1:6" hidden="1" outlineLevel="1" collapsed="1" x14ac:dyDescent="0.25">
      <c r="A1917" s="321" t="s">
        <v>282</v>
      </c>
      <c r="B1917" s="321" t="s">
        <v>755</v>
      </c>
      <c r="C1917" s="293">
        <v>583.790976</v>
      </c>
      <c r="D1917" s="293">
        <v>578.19479999999999</v>
      </c>
      <c r="E1917" s="293">
        <v>-5.5961759999999998</v>
      </c>
      <c r="F1917" s="294" t="s">
        <v>364</v>
      </c>
    </row>
    <row r="1918" spans="1:6" hidden="1" outlineLevel="1" collapsed="1" x14ac:dyDescent="0.25">
      <c r="A1918" s="321" t="s">
        <v>282</v>
      </c>
      <c r="B1918" s="321" t="s">
        <v>756</v>
      </c>
      <c r="C1918" s="293">
        <v>319.94870400000002</v>
      </c>
      <c r="D1918" s="293">
        <v>250.54560000000001</v>
      </c>
      <c r="E1918" s="293">
        <v>-69.403103999999999</v>
      </c>
      <c r="F1918" s="294" t="s">
        <v>368</v>
      </c>
    </row>
    <row r="1919" spans="1:6" hidden="1" outlineLevel="1" collapsed="1" x14ac:dyDescent="0.25">
      <c r="A1919" s="321" t="s">
        <v>282</v>
      </c>
      <c r="B1919" s="321" t="s">
        <v>393</v>
      </c>
      <c r="C1919" s="293">
        <v>23.662524000000001</v>
      </c>
      <c r="D1919" s="293">
        <v>24.365628000000001</v>
      </c>
      <c r="E1919" s="293">
        <v>0.70310399999999995</v>
      </c>
      <c r="F1919" s="294" t="s">
        <v>553</v>
      </c>
    </row>
    <row r="1920" spans="1:6" hidden="1" outlineLevel="1" collapsed="1" x14ac:dyDescent="0.25">
      <c r="A1920" s="321" t="s">
        <v>282</v>
      </c>
      <c r="B1920" s="321" t="s">
        <v>757</v>
      </c>
      <c r="C1920" s="293">
        <v>68.080423999999994</v>
      </c>
      <c r="D1920" s="293">
        <v>0</v>
      </c>
      <c r="E1920" s="293">
        <v>-68.080423999999994</v>
      </c>
      <c r="F1920" s="294" t="s">
        <v>286</v>
      </c>
    </row>
    <row r="1921" spans="1:6" hidden="1" outlineLevel="1" collapsed="1" x14ac:dyDescent="0.25">
      <c r="A1921" s="321" t="s">
        <v>282</v>
      </c>
      <c r="B1921" s="321" t="s">
        <v>758</v>
      </c>
      <c r="C1921" s="293">
        <v>0</v>
      </c>
      <c r="D1921" s="293">
        <v>70.099384000000001</v>
      </c>
      <c r="E1921" s="293">
        <v>70.099384000000001</v>
      </c>
      <c r="F1921" s="294" t="s">
        <v>298</v>
      </c>
    </row>
    <row r="1922" spans="1:6" hidden="1" outlineLevel="1" collapsed="1" x14ac:dyDescent="0.25">
      <c r="A1922" s="321" t="s">
        <v>282</v>
      </c>
      <c r="B1922" s="321" t="s">
        <v>394</v>
      </c>
      <c r="C1922" s="293">
        <v>1500</v>
      </c>
      <c r="D1922" s="293">
        <v>0</v>
      </c>
      <c r="E1922" s="293">
        <v>-1500</v>
      </c>
      <c r="F1922" s="294" t="s">
        <v>286</v>
      </c>
    </row>
    <row r="1923" spans="1:6" hidden="1" outlineLevel="1" collapsed="1" x14ac:dyDescent="0.25">
      <c r="A1923" s="321" t="s">
        <v>282</v>
      </c>
      <c r="B1923" s="321" t="s">
        <v>395</v>
      </c>
      <c r="C1923" s="293">
        <v>0</v>
      </c>
      <c r="D1923" s="293">
        <v>1500</v>
      </c>
      <c r="E1923" s="293">
        <v>1500</v>
      </c>
      <c r="F1923" s="294" t="s">
        <v>298</v>
      </c>
    </row>
    <row r="1924" spans="1:6" hidden="1" outlineLevel="1" collapsed="1" x14ac:dyDescent="0.25">
      <c r="A1924" s="321" t="s">
        <v>282</v>
      </c>
      <c r="B1924" s="321" t="s">
        <v>759</v>
      </c>
      <c r="C1924" s="293">
        <v>2055</v>
      </c>
      <c r="D1924" s="293">
        <v>0</v>
      </c>
      <c r="E1924" s="293">
        <v>-2055</v>
      </c>
      <c r="F1924" s="294" t="s">
        <v>286</v>
      </c>
    </row>
    <row r="1925" spans="1:6" hidden="1" outlineLevel="1" collapsed="1" x14ac:dyDescent="0.25">
      <c r="A1925" s="321" t="s">
        <v>282</v>
      </c>
      <c r="B1925" s="321" t="s">
        <v>760</v>
      </c>
      <c r="C1925" s="293">
        <v>0</v>
      </c>
      <c r="D1925" s="293">
        <v>2055</v>
      </c>
      <c r="E1925" s="293">
        <v>2055</v>
      </c>
      <c r="F1925" s="294" t="s">
        <v>298</v>
      </c>
    </row>
    <row r="1926" spans="1:6" hidden="1" outlineLevel="1" collapsed="1" x14ac:dyDescent="0.25">
      <c r="A1926" s="321" t="s">
        <v>282</v>
      </c>
      <c r="B1926" s="321" t="s">
        <v>396</v>
      </c>
      <c r="C1926" s="293">
        <v>49.68</v>
      </c>
      <c r="D1926" s="293">
        <v>0</v>
      </c>
      <c r="E1926" s="293">
        <v>-49.68</v>
      </c>
      <c r="F1926" s="294" t="s">
        <v>286</v>
      </c>
    </row>
    <row r="1927" spans="1:6" hidden="1" outlineLevel="1" collapsed="1" x14ac:dyDescent="0.25">
      <c r="A1927" s="321" t="s">
        <v>282</v>
      </c>
      <c r="B1927" s="321" t="s">
        <v>397</v>
      </c>
      <c r="C1927" s="293">
        <v>0</v>
      </c>
      <c r="D1927" s="293">
        <v>48.48</v>
      </c>
      <c r="E1927" s="293">
        <v>48.48</v>
      </c>
      <c r="F1927" s="294" t="s">
        <v>298</v>
      </c>
    </row>
    <row r="1928" spans="1:6" hidden="1" outlineLevel="1" collapsed="1" x14ac:dyDescent="0.25">
      <c r="A1928" s="321" t="s">
        <v>282</v>
      </c>
      <c r="B1928" s="321" t="s">
        <v>761</v>
      </c>
      <c r="C1928" s="293">
        <v>68.061599999999999</v>
      </c>
      <c r="D1928" s="293">
        <v>0</v>
      </c>
      <c r="E1928" s="293">
        <v>-68.061599999999999</v>
      </c>
      <c r="F1928" s="294" t="s">
        <v>286</v>
      </c>
    </row>
    <row r="1929" spans="1:6" hidden="1" outlineLevel="1" collapsed="1" x14ac:dyDescent="0.25">
      <c r="A1929" s="321" t="s">
        <v>282</v>
      </c>
      <c r="B1929" s="321" t="s">
        <v>762</v>
      </c>
      <c r="C1929" s="293">
        <v>0</v>
      </c>
      <c r="D1929" s="293">
        <v>66.417599999999993</v>
      </c>
      <c r="E1929" s="293">
        <v>66.417599999999993</v>
      </c>
      <c r="F1929" s="294" t="s">
        <v>298</v>
      </c>
    </row>
    <row r="1930" spans="1:6" hidden="1" outlineLevel="1" collapsed="1" x14ac:dyDescent="0.25">
      <c r="A1930" s="321" t="s">
        <v>282</v>
      </c>
      <c r="B1930" s="321" t="s">
        <v>398</v>
      </c>
      <c r="C1930" s="293">
        <v>24</v>
      </c>
      <c r="D1930" s="293">
        <v>11.04</v>
      </c>
      <c r="E1930" s="293">
        <v>-12.96</v>
      </c>
      <c r="F1930" s="294" t="s">
        <v>374</v>
      </c>
    </row>
    <row r="1931" spans="1:6" hidden="1" outlineLevel="1" collapsed="1" x14ac:dyDescent="0.25">
      <c r="A1931" s="321" t="s">
        <v>282</v>
      </c>
      <c r="B1931" s="321" t="s">
        <v>763</v>
      </c>
      <c r="C1931" s="293">
        <v>32.880000000000003</v>
      </c>
      <c r="D1931" s="293">
        <v>15.1248</v>
      </c>
      <c r="E1931" s="293">
        <v>-17.755199999999999</v>
      </c>
      <c r="F1931" s="294" t="s">
        <v>374</v>
      </c>
    </row>
    <row r="1932" spans="1:6" hidden="1" outlineLevel="1" collapsed="1" x14ac:dyDescent="0.25">
      <c r="A1932" s="321" t="s">
        <v>282</v>
      </c>
      <c r="B1932" s="321" t="s">
        <v>376</v>
      </c>
      <c r="C1932" s="293">
        <v>2300.48</v>
      </c>
      <c r="D1932" s="293">
        <v>1500</v>
      </c>
      <c r="E1932" s="293">
        <v>-800.48</v>
      </c>
      <c r="F1932" s="294" t="s">
        <v>986</v>
      </c>
    </row>
    <row r="1933" spans="1:6" hidden="1" outlineLevel="1" collapsed="1" x14ac:dyDescent="0.25">
      <c r="A1933" s="321" t="s">
        <v>282</v>
      </c>
      <c r="B1933" s="321" t="s">
        <v>662</v>
      </c>
      <c r="C1933" s="293">
        <v>10</v>
      </c>
      <c r="D1933" s="293">
        <v>0</v>
      </c>
      <c r="E1933" s="293">
        <v>-10</v>
      </c>
      <c r="F1933" s="294" t="s">
        <v>286</v>
      </c>
    </row>
    <row r="1934" spans="1:6" hidden="1" outlineLevel="1" collapsed="1" x14ac:dyDescent="0.25">
      <c r="A1934" s="321" t="s">
        <v>282</v>
      </c>
      <c r="B1934" s="321" t="s">
        <v>506</v>
      </c>
      <c r="C1934" s="293">
        <v>1051.72</v>
      </c>
      <c r="D1934" s="293">
        <v>3000</v>
      </c>
      <c r="E1934" s="293">
        <v>1948.28</v>
      </c>
      <c r="F1934" s="294" t="s">
        <v>987</v>
      </c>
    </row>
    <row r="1935" spans="1:6" hidden="1" outlineLevel="1" collapsed="1" x14ac:dyDescent="0.25">
      <c r="A1935" s="321" t="s">
        <v>282</v>
      </c>
      <c r="B1935" s="321" t="s">
        <v>426</v>
      </c>
      <c r="C1935" s="293">
        <v>1862</v>
      </c>
      <c r="D1935" s="293">
        <v>2000</v>
      </c>
      <c r="E1935" s="293">
        <v>138</v>
      </c>
      <c r="F1935" s="294" t="s">
        <v>988</v>
      </c>
    </row>
    <row r="1936" spans="1:6" hidden="1" outlineLevel="1" collapsed="1" x14ac:dyDescent="0.25">
      <c r="A1936" s="321" t="s">
        <v>282</v>
      </c>
      <c r="B1936" s="321" t="s">
        <v>482</v>
      </c>
      <c r="C1936" s="293">
        <v>1</v>
      </c>
      <c r="D1936" s="293">
        <v>0</v>
      </c>
      <c r="E1936" s="293">
        <v>-1</v>
      </c>
      <c r="F1936" s="294" t="s">
        <v>286</v>
      </c>
    </row>
    <row r="1937" spans="1:6" hidden="1" outlineLevel="1" collapsed="1" x14ac:dyDescent="0.25">
      <c r="A1937" s="321" t="s">
        <v>282</v>
      </c>
      <c r="B1937" s="321" t="s">
        <v>416</v>
      </c>
      <c r="C1937" s="293">
        <v>0</v>
      </c>
      <c r="D1937" s="293">
        <v>1500</v>
      </c>
      <c r="E1937" s="293">
        <v>1500</v>
      </c>
      <c r="F1937" s="294" t="s">
        <v>298</v>
      </c>
    </row>
    <row r="1938" spans="1:6" hidden="1" outlineLevel="1" collapsed="1" x14ac:dyDescent="0.25">
      <c r="A1938" s="321" t="s">
        <v>282</v>
      </c>
      <c r="B1938" s="321" t="s">
        <v>401</v>
      </c>
      <c r="C1938" s="293">
        <v>1426</v>
      </c>
      <c r="D1938" s="293">
        <v>2200</v>
      </c>
      <c r="E1938" s="293">
        <v>774</v>
      </c>
      <c r="F1938" s="294" t="s">
        <v>989</v>
      </c>
    </row>
    <row r="1939" spans="1:6" hidden="1" outlineLevel="1" collapsed="1" x14ac:dyDescent="0.25">
      <c r="A1939" s="321" t="s">
        <v>282</v>
      </c>
      <c r="B1939" s="321" t="s">
        <v>448</v>
      </c>
      <c r="C1939" s="293">
        <v>2805</v>
      </c>
      <c r="D1939" s="293">
        <v>2800</v>
      </c>
      <c r="E1939" s="293">
        <v>-5</v>
      </c>
      <c r="F1939" s="294" t="s">
        <v>990</v>
      </c>
    </row>
    <row r="1940" spans="1:6" hidden="1" outlineLevel="1" collapsed="1" x14ac:dyDescent="0.25">
      <c r="A1940" s="321" t="s">
        <v>282</v>
      </c>
      <c r="B1940" s="321" t="s">
        <v>403</v>
      </c>
      <c r="C1940" s="293">
        <v>0</v>
      </c>
      <c r="D1940" s="293">
        <v>200</v>
      </c>
      <c r="E1940" s="293">
        <v>200</v>
      </c>
      <c r="F1940" s="294" t="s">
        <v>298</v>
      </c>
    </row>
    <row r="1941" spans="1:6" hidden="1" outlineLevel="1" collapsed="1" x14ac:dyDescent="0.25">
      <c r="A1941" s="321" t="s">
        <v>282</v>
      </c>
      <c r="B1941" s="321" t="s">
        <v>626</v>
      </c>
      <c r="C1941" s="293">
        <v>0</v>
      </c>
      <c r="D1941" s="293">
        <v>0</v>
      </c>
      <c r="E1941" s="293">
        <v>0</v>
      </c>
      <c r="F1941" s="294" t="s">
        <v>316</v>
      </c>
    </row>
    <row r="1942" spans="1:6" hidden="1" outlineLevel="1" collapsed="1" x14ac:dyDescent="0.25">
      <c r="A1942" s="321" t="s">
        <v>282</v>
      </c>
      <c r="B1942" s="321" t="s">
        <v>405</v>
      </c>
      <c r="C1942" s="293">
        <v>4</v>
      </c>
      <c r="D1942" s="293">
        <v>2579</v>
      </c>
      <c r="E1942" s="293">
        <v>2575</v>
      </c>
      <c r="F1942" s="294" t="s">
        <v>991</v>
      </c>
    </row>
    <row r="1943" spans="1:6" hidden="1" outlineLevel="1" collapsed="1" x14ac:dyDescent="0.25">
      <c r="A1943" s="321" t="s">
        <v>282</v>
      </c>
      <c r="B1943" s="321" t="s">
        <v>557</v>
      </c>
      <c r="C1943" s="293">
        <v>5491.8</v>
      </c>
      <c r="D1943" s="293">
        <v>1000</v>
      </c>
      <c r="E1943" s="293">
        <v>-4491.8</v>
      </c>
      <c r="F1943" s="294" t="s">
        <v>992</v>
      </c>
    </row>
    <row r="1944" spans="1:6" hidden="1" outlineLevel="1" collapsed="1" x14ac:dyDescent="0.25">
      <c r="A1944" s="321" t="s">
        <v>282</v>
      </c>
      <c r="B1944" s="321" t="s">
        <v>422</v>
      </c>
      <c r="C1944" s="293">
        <v>1162</v>
      </c>
      <c r="D1944" s="293">
        <v>0</v>
      </c>
      <c r="E1944" s="293">
        <v>-1162</v>
      </c>
      <c r="F1944" s="294" t="s">
        <v>286</v>
      </c>
    </row>
    <row r="1945" spans="1:6" collapsed="1" x14ac:dyDescent="0.25">
      <c r="A1945" s="560" t="s">
        <v>993</v>
      </c>
      <c r="B1945" s="561"/>
      <c r="C1945" s="292">
        <v>230621.39275500001</v>
      </c>
      <c r="D1945" s="293">
        <v>245943.732384</v>
      </c>
      <c r="E1945" s="293">
        <v>15322.339629</v>
      </c>
      <c r="F1945" s="294" t="s">
        <v>2090</v>
      </c>
    </row>
    <row r="1946" spans="1:6" hidden="1" outlineLevel="1" collapsed="1" x14ac:dyDescent="0.25">
      <c r="A1946" s="321" t="s">
        <v>282</v>
      </c>
      <c r="B1946" s="321" t="s">
        <v>464</v>
      </c>
      <c r="C1946" s="293">
        <v>102504.82606399999</v>
      </c>
      <c r="D1946" s="293">
        <v>108349.7987</v>
      </c>
      <c r="E1946" s="293">
        <v>5844.9726360000004</v>
      </c>
      <c r="F1946" s="294" t="s">
        <v>995</v>
      </c>
    </row>
    <row r="1947" spans="1:6" hidden="1" outlineLevel="1" collapsed="1" x14ac:dyDescent="0.25">
      <c r="A1947" s="321" t="s">
        <v>282</v>
      </c>
      <c r="B1947" s="321" t="s">
        <v>935</v>
      </c>
      <c r="C1947" s="293">
        <v>70000</v>
      </c>
      <c r="D1947" s="293">
        <v>70000</v>
      </c>
      <c r="E1947" s="293">
        <v>0</v>
      </c>
      <c r="F1947" s="294" t="s">
        <v>316</v>
      </c>
    </row>
    <row r="1948" spans="1:6" hidden="1" outlineLevel="1" collapsed="1" x14ac:dyDescent="0.25">
      <c r="A1948" s="321" t="s">
        <v>282</v>
      </c>
      <c r="B1948" s="321" t="s">
        <v>384</v>
      </c>
      <c r="C1948" s="293">
        <v>12794.467116</v>
      </c>
      <c r="D1948" s="293">
        <v>0</v>
      </c>
      <c r="E1948" s="293">
        <v>-12794.467116</v>
      </c>
      <c r="F1948" s="294" t="s">
        <v>286</v>
      </c>
    </row>
    <row r="1949" spans="1:6" hidden="1" outlineLevel="1" collapsed="1" x14ac:dyDescent="0.25">
      <c r="A1949" s="321" t="s">
        <v>282</v>
      </c>
      <c r="B1949" s="321" t="s">
        <v>385</v>
      </c>
      <c r="C1949" s="293">
        <v>0</v>
      </c>
      <c r="D1949" s="293">
        <v>16703.559227999998</v>
      </c>
      <c r="E1949" s="293">
        <v>16703.559227999998</v>
      </c>
      <c r="F1949" s="294" t="s">
        <v>298</v>
      </c>
    </row>
    <row r="1950" spans="1:6" hidden="1" outlineLevel="1" collapsed="1" x14ac:dyDescent="0.25">
      <c r="A1950" s="321" t="s">
        <v>282</v>
      </c>
      <c r="B1950" s="321" t="s">
        <v>386</v>
      </c>
      <c r="C1950" s="293">
        <v>6355.299215</v>
      </c>
      <c r="D1950" s="293">
        <v>0</v>
      </c>
      <c r="E1950" s="293">
        <v>-6355.299215</v>
      </c>
      <c r="F1950" s="294" t="s">
        <v>286</v>
      </c>
    </row>
    <row r="1951" spans="1:6" hidden="1" outlineLevel="1" collapsed="1" x14ac:dyDescent="0.25">
      <c r="A1951" s="321" t="s">
        <v>282</v>
      </c>
      <c r="B1951" s="321" t="s">
        <v>387</v>
      </c>
      <c r="C1951" s="293">
        <v>0</v>
      </c>
      <c r="D1951" s="293">
        <v>6717.6875040000004</v>
      </c>
      <c r="E1951" s="293">
        <v>6717.6875040000004</v>
      </c>
      <c r="F1951" s="294" t="s">
        <v>298</v>
      </c>
    </row>
    <row r="1952" spans="1:6" hidden="1" outlineLevel="1" collapsed="1" x14ac:dyDescent="0.25">
      <c r="A1952" s="321" t="s">
        <v>282</v>
      </c>
      <c r="B1952" s="321" t="s">
        <v>388</v>
      </c>
      <c r="C1952" s="293">
        <v>1486.319964</v>
      </c>
      <c r="D1952" s="293">
        <v>1571.072064</v>
      </c>
      <c r="E1952" s="293">
        <v>84.752099999999999</v>
      </c>
      <c r="F1952" s="294" t="s">
        <v>995</v>
      </c>
    </row>
    <row r="1953" spans="1:6" hidden="1" outlineLevel="1" collapsed="1" x14ac:dyDescent="0.25">
      <c r="A1953" s="321" t="s">
        <v>282</v>
      </c>
      <c r="B1953" s="321" t="s">
        <v>444</v>
      </c>
      <c r="C1953" s="293">
        <v>0</v>
      </c>
      <c r="D1953" s="293">
        <v>6300</v>
      </c>
      <c r="E1953" s="293">
        <v>6300</v>
      </c>
      <c r="F1953" s="294" t="s">
        <v>298</v>
      </c>
    </row>
    <row r="1954" spans="1:6" hidden="1" outlineLevel="1" collapsed="1" x14ac:dyDescent="0.25">
      <c r="A1954" s="321" t="s">
        <v>282</v>
      </c>
      <c r="B1954" s="321" t="s">
        <v>389</v>
      </c>
      <c r="C1954" s="293">
        <v>852.24959999999999</v>
      </c>
      <c r="D1954" s="293">
        <v>844.08</v>
      </c>
      <c r="E1954" s="293">
        <v>-8.1696000000000009</v>
      </c>
      <c r="F1954" s="294" t="s">
        <v>364</v>
      </c>
    </row>
    <row r="1955" spans="1:6" hidden="1" outlineLevel="1" collapsed="1" x14ac:dyDescent="0.25">
      <c r="A1955" s="321" t="s">
        <v>282</v>
      </c>
      <c r="B1955" s="321" t="s">
        <v>390</v>
      </c>
      <c r="C1955" s="293">
        <v>30970.54</v>
      </c>
      <c r="D1955" s="293">
        <v>31918.560000000001</v>
      </c>
      <c r="E1955" s="293">
        <v>948.02</v>
      </c>
      <c r="F1955" s="294" t="s">
        <v>391</v>
      </c>
    </row>
    <row r="1956" spans="1:6" hidden="1" outlineLevel="1" collapsed="1" x14ac:dyDescent="0.25">
      <c r="A1956" s="321" t="s">
        <v>282</v>
      </c>
      <c r="B1956" s="321" t="s">
        <v>392</v>
      </c>
      <c r="C1956" s="293">
        <v>467.07839999999999</v>
      </c>
      <c r="D1956" s="293">
        <v>365.76</v>
      </c>
      <c r="E1956" s="293">
        <v>-101.3184</v>
      </c>
      <c r="F1956" s="294" t="s">
        <v>368</v>
      </c>
    </row>
    <row r="1957" spans="1:6" hidden="1" outlineLevel="1" collapsed="1" x14ac:dyDescent="0.25">
      <c r="A1957" s="321" t="s">
        <v>282</v>
      </c>
      <c r="B1957" s="321" t="s">
        <v>393</v>
      </c>
      <c r="C1957" s="293">
        <v>51.252395999999997</v>
      </c>
      <c r="D1957" s="293">
        <v>54.174888000000003</v>
      </c>
      <c r="E1957" s="293">
        <v>2.9224920000000001</v>
      </c>
      <c r="F1957" s="294" t="s">
        <v>995</v>
      </c>
    </row>
    <row r="1958" spans="1:6" hidden="1" outlineLevel="1" collapsed="1" x14ac:dyDescent="0.25">
      <c r="A1958" s="321" t="s">
        <v>282</v>
      </c>
      <c r="B1958" s="321" t="s">
        <v>394</v>
      </c>
      <c r="C1958" s="293">
        <v>3000</v>
      </c>
      <c r="D1958" s="293">
        <v>0</v>
      </c>
      <c r="E1958" s="293">
        <v>-3000</v>
      </c>
      <c r="F1958" s="294" t="s">
        <v>286</v>
      </c>
    </row>
    <row r="1959" spans="1:6" hidden="1" outlineLevel="1" collapsed="1" x14ac:dyDescent="0.25">
      <c r="A1959" s="321" t="s">
        <v>282</v>
      </c>
      <c r="B1959" s="321" t="s">
        <v>395</v>
      </c>
      <c r="C1959" s="293">
        <v>0</v>
      </c>
      <c r="D1959" s="293">
        <v>3000</v>
      </c>
      <c r="E1959" s="293">
        <v>3000</v>
      </c>
      <c r="F1959" s="294" t="s">
        <v>298</v>
      </c>
    </row>
    <row r="1960" spans="1:6" hidden="1" outlineLevel="1" collapsed="1" x14ac:dyDescent="0.25">
      <c r="A1960" s="321" t="s">
        <v>282</v>
      </c>
      <c r="B1960" s="321" t="s">
        <v>396</v>
      </c>
      <c r="C1960" s="293">
        <v>99.36</v>
      </c>
      <c r="D1960" s="293">
        <v>0</v>
      </c>
      <c r="E1960" s="293">
        <v>-99.36</v>
      </c>
      <c r="F1960" s="294" t="s">
        <v>286</v>
      </c>
    </row>
    <row r="1961" spans="1:6" hidden="1" outlineLevel="1" collapsed="1" x14ac:dyDescent="0.25">
      <c r="A1961" s="321" t="s">
        <v>282</v>
      </c>
      <c r="B1961" s="321" t="s">
        <v>397</v>
      </c>
      <c r="C1961" s="293">
        <v>0</v>
      </c>
      <c r="D1961" s="293">
        <v>96.96</v>
      </c>
      <c r="E1961" s="293">
        <v>96.96</v>
      </c>
      <c r="F1961" s="294" t="s">
        <v>298</v>
      </c>
    </row>
    <row r="1962" spans="1:6" hidden="1" outlineLevel="1" collapsed="1" x14ac:dyDescent="0.25">
      <c r="A1962" s="321" t="s">
        <v>282</v>
      </c>
      <c r="B1962" s="321" t="s">
        <v>398</v>
      </c>
      <c r="C1962" s="293">
        <v>48</v>
      </c>
      <c r="D1962" s="293">
        <v>22.08</v>
      </c>
      <c r="E1962" s="293">
        <v>-25.92</v>
      </c>
      <c r="F1962" s="294" t="s">
        <v>374</v>
      </c>
    </row>
    <row r="1963" spans="1:6" hidden="1" outlineLevel="1" collapsed="1" x14ac:dyDescent="0.25">
      <c r="A1963" s="321" t="s">
        <v>282</v>
      </c>
      <c r="B1963" s="321" t="s">
        <v>448</v>
      </c>
      <c r="C1963" s="293">
        <v>1992</v>
      </c>
      <c r="D1963" s="293">
        <v>0</v>
      </c>
      <c r="E1963" s="293">
        <v>-1992</v>
      </c>
      <c r="F1963" s="294" t="s">
        <v>286</v>
      </c>
    </row>
    <row r="1964" spans="1:6" collapsed="1" x14ac:dyDescent="0.25">
      <c r="A1964" s="560" t="s">
        <v>996</v>
      </c>
      <c r="B1964" s="561"/>
      <c r="C1964" s="292">
        <v>223937.90738700001</v>
      </c>
      <c r="D1964" s="293">
        <v>237500.14234799999</v>
      </c>
      <c r="E1964" s="293">
        <v>13562.234961</v>
      </c>
      <c r="F1964" s="294" t="s">
        <v>2091</v>
      </c>
    </row>
    <row r="1965" spans="1:6" hidden="1" outlineLevel="1" collapsed="1" x14ac:dyDescent="0.25">
      <c r="A1965" s="321" t="s">
        <v>282</v>
      </c>
      <c r="B1965" s="321" t="s">
        <v>780</v>
      </c>
      <c r="C1965" s="293">
        <v>110159.97823199999</v>
      </c>
      <c r="D1965" s="293">
        <v>117401.352636</v>
      </c>
      <c r="E1965" s="293">
        <v>7241.3744040000001</v>
      </c>
      <c r="F1965" s="294" t="s">
        <v>816</v>
      </c>
    </row>
    <row r="1966" spans="1:6" hidden="1" outlineLevel="1" collapsed="1" x14ac:dyDescent="0.25">
      <c r="A1966" s="321" t="s">
        <v>282</v>
      </c>
      <c r="B1966" s="321" t="s">
        <v>464</v>
      </c>
      <c r="C1966" s="293">
        <v>53307.469268000001</v>
      </c>
      <c r="D1966" s="293">
        <v>54249.039515999997</v>
      </c>
      <c r="E1966" s="293">
        <v>941.57024799999999</v>
      </c>
      <c r="F1966" s="294" t="s">
        <v>2092</v>
      </c>
    </row>
    <row r="1967" spans="1:6" hidden="1" outlineLevel="1" collapsed="1" x14ac:dyDescent="0.25">
      <c r="A1967" s="321" t="s">
        <v>282</v>
      </c>
      <c r="B1967" s="321" t="s">
        <v>751</v>
      </c>
      <c r="C1967" s="293">
        <v>14375.877156</v>
      </c>
      <c r="D1967" s="293">
        <v>0</v>
      </c>
      <c r="E1967" s="293">
        <v>-14375.877156</v>
      </c>
      <c r="F1967" s="294" t="s">
        <v>286</v>
      </c>
    </row>
    <row r="1968" spans="1:6" hidden="1" outlineLevel="1" collapsed="1" x14ac:dyDescent="0.25">
      <c r="A1968" s="321" t="s">
        <v>282</v>
      </c>
      <c r="B1968" s="321" t="s">
        <v>752</v>
      </c>
      <c r="C1968" s="293">
        <v>0</v>
      </c>
      <c r="D1968" s="293">
        <v>16941.015179999999</v>
      </c>
      <c r="E1968" s="293">
        <v>16941.015179999999</v>
      </c>
      <c r="F1968" s="294" t="s">
        <v>298</v>
      </c>
    </row>
    <row r="1969" spans="1:6" hidden="1" outlineLevel="1" collapsed="1" x14ac:dyDescent="0.25">
      <c r="A1969" s="321" t="s">
        <v>282</v>
      </c>
      <c r="B1969" s="321" t="s">
        <v>384</v>
      </c>
      <c r="C1969" s="293">
        <v>6624.3096240000004</v>
      </c>
      <c r="D1969" s="293">
        <v>0</v>
      </c>
      <c r="E1969" s="293">
        <v>-6624.3096240000004</v>
      </c>
      <c r="F1969" s="294" t="s">
        <v>286</v>
      </c>
    </row>
    <row r="1970" spans="1:6" hidden="1" outlineLevel="1" collapsed="1" x14ac:dyDescent="0.25">
      <c r="A1970" s="321" t="s">
        <v>282</v>
      </c>
      <c r="B1970" s="321" t="s">
        <v>385</v>
      </c>
      <c r="C1970" s="293">
        <v>0</v>
      </c>
      <c r="D1970" s="293">
        <v>8425.4183159999993</v>
      </c>
      <c r="E1970" s="293">
        <v>8425.4183159999993</v>
      </c>
      <c r="F1970" s="294" t="s">
        <v>298</v>
      </c>
    </row>
    <row r="1971" spans="1:6" hidden="1" outlineLevel="1" collapsed="1" x14ac:dyDescent="0.25">
      <c r="A1971" s="321" t="s">
        <v>282</v>
      </c>
      <c r="B1971" s="321" t="s">
        <v>386</v>
      </c>
      <c r="C1971" s="293">
        <v>3305.0630879999999</v>
      </c>
      <c r="D1971" s="293">
        <v>0</v>
      </c>
      <c r="E1971" s="293">
        <v>-3305.0630879999999</v>
      </c>
      <c r="F1971" s="294" t="s">
        <v>286</v>
      </c>
    </row>
    <row r="1972" spans="1:6" hidden="1" outlineLevel="1" collapsed="1" x14ac:dyDescent="0.25">
      <c r="A1972" s="321" t="s">
        <v>282</v>
      </c>
      <c r="B1972" s="321" t="s">
        <v>387</v>
      </c>
      <c r="C1972" s="293">
        <v>0</v>
      </c>
      <c r="D1972" s="293">
        <v>3363.4404479999998</v>
      </c>
      <c r="E1972" s="293">
        <v>3363.4404479999998</v>
      </c>
      <c r="F1972" s="294" t="s">
        <v>298</v>
      </c>
    </row>
    <row r="1973" spans="1:6" hidden="1" outlineLevel="1" collapsed="1" x14ac:dyDescent="0.25">
      <c r="A1973" s="321" t="s">
        <v>282</v>
      </c>
      <c r="B1973" s="321" t="s">
        <v>388</v>
      </c>
      <c r="C1973" s="293">
        <v>772.958303</v>
      </c>
      <c r="D1973" s="293">
        <v>786.61106400000006</v>
      </c>
      <c r="E1973" s="293">
        <v>13.652761</v>
      </c>
      <c r="F1973" s="294" t="s">
        <v>2092</v>
      </c>
    </row>
    <row r="1974" spans="1:6" hidden="1" outlineLevel="1" collapsed="1" x14ac:dyDescent="0.25">
      <c r="A1974" s="321" t="s">
        <v>282</v>
      </c>
      <c r="B1974" s="321" t="s">
        <v>389</v>
      </c>
      <c r="C1974" s="293">
        <v>426.12479999999999</v>
      </c>
      <c r="D1974" s="293">
        <v>422.04</v>
      </c>
      <c r="E1974" s="293">
        <v>-4.0848000000000004</v>
      </c>
      <c r="F1974" s="294" t="s">
        <v>364</v>
      </c>
    </row>
    <row r="1975" spans="1:6" hidden="1" outlineLevel="1" collapsed="1" x14ac:dyDescent="0.25">
      <c r="A1975" s="321" t="s">
        <v>282</v>
      </c>
      <c r="B1975" s="321" t="s">
        <v>390</v>
      </c>
      <c r="C1975" s="293">
        <v>15485.27</v>
      </c>
      <c r="D1975" s="293">
        <v>15959.28</v>
      </c>
      <c r="E1975" s="293">
        <v>474.01</v>
      </c>
      <c r="F1975" s="294" t="s">
        <v>391</v>
      </c>
    </row>
    <row r="1976" spans="1:6" hidden="1" outlineLevel="1" collapsed="1" x14ac:dyDescent="0.25">
      <c r="A1976" s="321" t="s">
        <v>282</v>
      </c>
      <c r="B1976" s="321" t="s">
        <v>392</v>
      </c>
      <c r="C1976" s="293">
        <v>233.53919999999999</v>
      </c>
      <c r="D1976" s="293">
        <v>182.88</v>
      </c>
      <c r="E1976" s="293">
        <v>-50.659199999999998</v>
      </c>
      <c r="F1976" s="294" t="s">
        <v>368</v>
      </c>
    </row>
    <row r="1977" spans="1:6" hidden="1" outlineLevel="1" collapsed="1" x14ac:dyDescent="0.25">
      <c r="A1977" s="321" t="s">
        <v>282</v>
      </c>
      <c r="B1977" s="321" t="s">
        <v>754</v>
      </c>
      <c r="C1977" s="293">
        <v>15358.56</v>
      </c>
      <c r="D1977" s="293">
        <v>15959.28</v>
      </c>
      <c r="E1977" s="293">
        <v>600.72</v>
      </c>
      <c r="F1977" s="294" t="s">
        <v>366</v>
      </c>
    </row>
    <row r="1978" spans="1:6" hidden="1" outlineLevel="1" collapsed="1" x14ac:dyDescent="0.25">
      <c r="A1978" s="321" t="s">
        <v>282</v>
      </c>
      <c r="B1978" s="321" t="s">
        <v>755</v>
      </c>
      <c r="C1978" s="293">
        <v>426.12479999999999</v>
      </c>
      <c r="D1978" s="293">
        <v>422.04</v>
      </c>
      <c r="E1978" s="293">
        <v>-4.0848000000000004</v>
      </c>
      <c r="F1978" s="294" t="s">
        <v>364</v>
      </c>
    </row>
    <row r="1979" spans="1:6" hidden="1" outlineLevel="1" collapsed="1" x14ac:dyDescent="0.25">
      <c r="A1979" s="321" t="s">
        <v>282</v>
      </c>
      <c r="B1979" s="321" t="s">
        <v>756</v>
      </c>
      <c r="C1979" s="293">
        <v>233.53919999999999</v>
      </c>
      <c r="D1979" s="293">
        <v>182.88</v>
      </c>
      <c r="E1979" s="293">
        <v>-50.659199999999998</v>
      </c>
      <c r="F1979" s="294" t="s">
        <v>368</v>
      </c>
    </row>
    <row r="1980" spans="1:6" hidden="1" outlineLevel="1" collapsed="1" x14ac:dyDescent="0.25">
      <c r="A1980" s="321" t="s">
        <v>282</v>
      </c>
      <c r="B1980" s="321" t="s">
        <v>393</v>
      </c>
      <c r="C1980" s="293">
        <v>26.653728000000001</v>
      </c>
      <c r="D1980" s="293">
        <v>27.124511999999999</v>
      </c>
      <c r="E1980" s="293">
        <v>0.47078399999999998</v>
      </c>
      <c r="F1980" s="294" t="s">
        <v>2092</v>
      </c>
    </row>
    <row r="1981" spans="1:6" hidden="1" outlineLevel="1" collapsed="1" x14ac:dyDescent="0.25">
      <c r="A1981" s="321" t="s">
        <v>282</v>
      </c>
      <c r="B1981" s="321" t="s">
        <v>757</v>
      </c>
      <c r="C1981" s="293">
        <v>55.079988</v>
      </c>
      <c r="D1981" s="293">
        <v>0</v>
      </c>
      <c r="E1981" s="293">
        <v>-55.079988</v>
      </c>
      <c r="F1981" s="294" t="s">
        <v>286</v>
      </c>
    </row>
    <row r="1982" spans="1:6" hidden="1" outlineLevel="1" collapsed="1" x14ac:dyDescent="0.25">
      <c r="A1982" s="321" t="s">
        <v>282</v>
      </c>
      <c r="B1982" s="321" t="s">
        <v>758</v>
      </c>
      <c r="C1982" s="293">
        <v>0</v>
      </c>
      <c r="D1982" s="293">
        <v>58.700676000000001</v>
      </c>
      <c r="E1982" s="293">
        <v>58.700676000000001</v>
      </c>
      <c r="F1982" s="294" t="s">
        <v>298</v>
      </c>
    </row>
    <row r="1983" spans="1:6" hidden="1" outlineLevel="1" collapsed="1" x14ac:dyDescent="0.25">
      <c r="A1983" s="321" t="s">
        <v>282</v>
      </c>
      <c r="B1983" s="321" t="s">
        <v>394</v>
      </c>
      <c r="C1983" s="293">
        <v>1500</v>
      </c>
      <c r="D1983" s="293">
        <v>0</v>
      </c>
      <c r="E1983" s="293">
        <v>-1500</v>
      </c>
      <c r="F1983" s="294" t="s">
        <v>286</v>
      </c>
    </row>
    <row r="1984" spans="1:6" hidden="1" outlineLevel="1" collapsed="1" x14ac:dyDescent="0.25">
      <c r="A1984" s="321" t="s">
        <v>282</v>
      </c>
      <c r="B1984" s="321" t="s">
        <v>395</v>
      </c>
      <c r="C1984" s="293">
        <v>0</v>
      </c>
      <c r="D1984" s="293">
        <v>1500</v>
      </c>
      <c r="E1984" s="293">
        <v>1500</v>
      </c>
      <c r="F1984" s="294" t="s">
        <v>298</v>
      </c>
    </row>
    <row r="1985" spans="1:6" hidden="1" outlineLevel="1" collapsed="1" x14ac:dyDescent="0.25">
      <c r="A1985" s="321" t="s">
        <v>282</v>
      </c>
      <c r="B1985" s="321" t="s">
        <v>759</v>
      </c>
      <c r="C1985" s="293">
        <v>1500</v>
      </c>
      <c r="D1985" s="293">
        <v>0</v>
      </c>
      <c r="E1985" s="293">
        <v>-1500</v>
      </c>
      <c r="F1985" s="294" t="s">
        <v>286</v>
      </c>
    </row>
    <row r="1986" spans="1:6" hidden="1" outlineLevel="1" collapsed="1" x14ac:dyDescent="0.25">
      <c r="A1986" s="321" t="s">
        <v>282</v>
      </c>
      <c r="B1986" s="321" t="s">
        <v>760</v>
      </c>
      <c r="C1986" s="293">
        <v>0</v>
      </c>
      <c r="D1986" s="293">
        <v>1500</v>
      </c>
      <c r="E1986" s="293">
        <v>1500</v>
      </c>
      <c r="F1986" s="294" t="s">
        <v>298</v>
      </c>
    </row>
    <row r="1987" spans="1:6" hidden="1" outlineLevel="1" collapsed="1" x14ac:dyDescent="0.25">
      <c r="A1987" s="321" t="s">
        <v>282</v>
      </c>
      <c r="B1987" s="321" t="s">
        <v>396</v>
      </c>
      <c r="C1987" s="293">
        <v>49.68</v>
      </c>
      <c r="D1987" s="293">
        <v>0</v>
      </c>
      <c r="E1987" s="293">
        <v>-49.68</v>
      </c>
      <c r="F1987" s="294" t="s">
        <v>286</v>
      </c>
    </row>
    <row r="1988" spans="1:6" hidden="1" outlineLevel="1" collapsed="1" x14ac:dyDescent="0.25">
      <c r="A1988" s="321" t="s">
        <v>282</v>
      </c>
      <c r="B1988" s="321" t="s">
        <v>397</v>
      </c>
      <c r="C1988" s="293">
        <v>0</v>
      </c>
      <c r="D1988" s="293">
        <v>48.48</v>
      </c>
      <c r="E1988" s="293">
        <v>48.48</v>
      </c>
      <c r="F1988" s="294" t="s">
        <v>298</v>
      </c>
    </row>
    <row r="1989" spans="1:6" hidden="1" outlineLevel="1" collapsed="1" x14ac:dyDescent="0.25">
      <c r="A1989" s="321" t="s">
        <v>282</v>
      </c>
      <c r="B1989" s="321" t="s">
        <v>761</v>
      </c>
      <c r="C1989" s="293">
        <v>49.68</v>
      </c>
      <c r="D1989" s="293">
        <v>0</v>
      </c>
      <c r="E1989" s="293">
        <v>-49.68</v>
      </c>
      <c r="F1989" s="294" t="s">
        <v>286</v>
      </c>
    </row>
    <row r="1990" spans="1:6" hidden="1" outlineLevel="1" collapsed="1" x14ac:dyDescent="0.25">
      <c r="A1990" s="321" t="s">
        <v>282</v>
      </c>
      <c r="B1990" s="321" t="s">
        <v>762</v>
      </c>
      <c r="C1990" s="293">
        <v>0</v>
      </c>
      <c r="D1990" s="293">
        <v>48.48</v>
      </c>
      <c r="E1990" s="293">
        <v>48.48</v>
      </c>
      <c r="F1990" s="294" t="s">
        <v>298</v>
      </c>
    </row>
    <row r="1991" spans="1:6" hidden="1" outlineLevel="1" collapsed="1" x14ac:dyDescent="0.25">
      <c r="A1991" s="321" t="s">
        <v>282</v>
      </c>
      <c r="B1991" s="321" t="s">
        <v>398</v>
      </c>
      <c r="C1991" s="293">
        <v>24</v>
      </c>
      <c r="D1991" s="293">
        <v>11.04</v>
      </c>
      <c r="E1991" s="293">
        <v>-12.96</v>
      </c>
      <c r="F1991" s="294" t="s">
        <v>374</v>
      </c>
    </row>
    <row r="1992" spans="1:6" hidden="1" outlineLevel="1" collapsed="1" x14ac:dyDescent="0.25">
      <c r="A1992" s="321" t="s">
        <v>282</v>
      </c>
      <c r="B1992" s="321" t="s">
        <v>763</v>
      </c>
      <c r="C1992" s="293">
        <v>24</v>
      </c>
      <c r="D1992" s="293">
        <v>11.04</v>
      </c>
      <c r="E1992" s="293">
        <v>-12.96</v>
      </c>
      <c r="F1992" s="294" t="s">
        <v>374</v>
      </c>
    </row>
    <row r="1993" spans="1:6" collapsed="1" x14ac:dyDescent="0.25">
      <c r="A1993" s="560" t="s">
        <v>312</v>
      </c>
      <c r="B1993" s="561"/>
      <c r="C1993" s="292">
        <v>8500</v>
      </c>
      <c r="D1993" s="293">
        <v>8500</v>
      </c>
      <c r="E1993" s="293">
        <v>0</v>
      </c>
      <c r="F1993" s="294" t="s">
        <v>316</v>
      </c>
    </row>
    <row r="1994" spans="1:6" hidden="1" outlineLevel="1" collapsed="1" x14ac:dyDescent="0.25">
      <c r="A1994" s="321" t="s">
        <v>282</v>
      </c>
      <c r="B1994" s="321" t="s">
        <v>567</v>
      </c>
      <c r="C1994" s="293">
        <v>5057</v>
      </c>
      <c r="D1994" s="293">
        <v>5055</v>
      </c>
      <c r="E1994" s="293">
        <v>-2</v>
      </c>
      <c r="F1994" s="294" t="s">
        <v>998</v>
      </c>
    </row>
    <row r="1995" spans="1:6" hidden="1" outlineLevel="1" collapsed="1" x14ac:dyDescent="0.25">
      <c r="A1995" s="321" t="s">
        <v>282</v>
      </c>
      <c r="B1995" s="321" t="s">
        <v>448</v>
      </c>
      <c r="C1995" s="293">
        <v>3443</v>
      </c>
      <c r="D1995" s="293">
        <v>3445</v>
      </c>
      <c r="E1995" s="293">
        <v>2</v>
      </c>
      <c r="F1995" s="294" t="s">
        <v>848</v>
      </c>
    </row>
    <row r="1996" spans="1:6" collapsed="1" x14ac:dyDescent="0.25">
      <c r="A1996" s="560" t="s">
        <v>999</v>
      </c>
      <c r="B1996" s="561"/>
      <c r="C1996" s="292">
        <v>396777.81694400002</v>
      </c>
      <c r="D1996" s="293">
        <v>459978.748502</v>
      </c>
      <c r="E1996" s="293">
        <v>63200.931557999997</v>
      </c>
      <c r="F1996" s="294" t="s">
        <v>2093</v>
      </c>
    </row>
    <row r="1997" spans="1:6" hidden="1" outlineLevel="1" collapsed="1" x14ac:dyDescent="0.25">
      <c r="A1997" s="321" t="s">
        <v>282</v>
      </c>
      <c r="B1997" s="321" t="s">
        <v>780</v>
      </c>
      <c r="C1997" s="293">
        <v>133899.819036</v>
      </c>
      <c r="D1997" s="293">
        <v>135908.31487199999</v>
      </c>
      <c r="E1997" s="293">
        <v>2008.4958360000001</v>
      </c>
      <c r="F1997" s="294" t="s">
        <v>510</v>
      </c>
    </row>
    <row r="1998" spans="1:6" hidden="1" outlineLevel="1" collapsed="1" x14ac:dyDescent="0.25">
      <c r="A1998" s="321" t="s">
        <v>282</v>
      </c>
      <c r="B1998" s="321" t="s">
        <v>750</v>
      </c>
      <c r="C1998" s="293">
        <v>72735.999995999999</v>
      </c>
      <c r="D1998" s="293">
        <v>76246.799987999999</v>
      </c>
      <c r="E1998" s="293">
        <v>3510.7999920000002</v>
      </c>
      <c r="F1998" s="294" t="s">
        <v>774</v>
      </c>
    </row>
    <row r="1999" spans="1:6" hidden="1" outlineLevel="1" collapsed="1" x14ac:dyDescent="0.25">
      <c r="A1999" s="321" t="s">
        <v>282</v>
      </c>
      <c r="B1999" s="321" t="s">
        <v>464</v>
      </c>
      <c r="C1999" s="293">
        <v>70366.742335999996</v>
      </c>
      <c r="D1999" s="293">
        <v>110983.882704</v>
      </c>
      <c r="E1999" s="293">
        <v>40617.140368</v>
      </c>
      <c r="F1999" s="294" t="s">
        <v>1000</v>
      </c>
    </row>
    <row r="2000" spans="1:6" hidden="1" outlineLevel="1" collapsed="1" x14ac:dyDescent="0.25">
      <c r="A2000" s="321" t="s">
        <v>282</v>
      </c>
      <c r="B2000" s="321" t="s">
        <v>360</v>
      </c>
      <c r="C2000" s="293">
        <v>9492.0479880000003</v>
      </c>
      <c r="D2000" s="293">
        <v>11002.413227999999</v>
      </c>
      <c r="E2000" s="293">
        <v>1510.3652400000001</v>
      </c>
      <c r="F2000" s="294" t="s">
        <v>1001</v>
      </c>
    </row>
    <row r="2001" spans="1:6" hidden="1" outlineLevel="1" collapsed="1" x14ac:dyDescent="0.25">
      <c r="A2001" s="321" t="s">
        <v>282</v>
      </c>
      <c r="B2001" s="321" t="s">
        <v>751</v>
      </c>
      <c r="C2001" s="293">
        <v>17473.926383999999</v>
      </c>
      <c r="D2001" s="293">
        <v>0</v>
      </c>
      <c r="E2001" s="293">
        <v>-17473.926383999999</v>
      </c>
      <c r="F2001" s="294" t="s">
        <v>286</v>
      </c>
    </row>
    <row r="2002" spans="1:6" hidden="1" outlineLevel="1" collapsed="1" x14ac:dyDescent="0.25">
      <c r="A2002" s="321" t="s">
        <v>282</v>
      </c>
      <c r="B2002" s="321" t="s">
        <v>752</v>
      </c>
      <c r="C2002" s="293">
        <v>0</v>
      </c>
      <c r="D2002" s="293">
        <v>19611.569832000001</v>
      </c>
      <c r="E2002" s="293">
        <v>19611.569832000001</v>
      </c>
      <c r="F2002" s="294" t="s">
        <v>298</v>
      </c>
    </row>
    <row r="2003" spans="1:6" hidden="1" outlineLevel="1" collapsed="1" x14ac:dyDescent="0.25">
      <c r="A2003" s="321" t="s">
        <v>282</v>
      </c>
      <c r="B2003" s="321" t="s">
        <v>384</v>
      </c>
      <c r="C2003" s="293">
        <v>8676.0161800000005</v>
      </c>
      <c r="D2003" s="293">
        <v>0</v>
      </c>
      <c r="E2003" s="293">
        <v>-8676.0161800000005</v>
      </c>
      <c r="F2003" s="294" t="s">
        <v>286</v>
      </c>
    </row>
    <row r="2004" spans="1:6" hidden="1" outlineLevel="1" collapsed="1" x14ac:dyDescent="0.25">
      <c r="A2004" s="321" t="s">
        <v>282</v>
      </c>
      <c r="B2004" s="321" t="s">
        <v>385</v>
      </c>
      <c r="C2004" s="293">
        <v>0</v>
      </c>
      <c r="D2004" s="293">
        <v>17019.472817999998</v>
      </c>
      <c r="E2004" s="293">
        <v>17019.472817999998</v>
      </c>
      <c r="F2004" s="294" t="s">
        <v>298</v>
      </c>
    </row>
    <row r="2005" spans="1:6" hidden="1" outlineLevel="1" collapsed="1" x14ac:dyDescent="0.25">
      <c r="A2005" s="321" t="s">
        <v>282</v>
      </c>
      <c r="B2005" s="321" t="s">
        <v>386</v>
      </c>
      <c r="C2005" s="293">
        <v>4362.7380119999998</v>
      </c>
      <c r="D2005" s="293">
        <v>0</v>
      </c>
      <c r="E2005" s="293">
        <v>-4362.7380119999998</v>
      </c>
      <c r="F2005" s="294" t="s">
        <v>286</v>
      </c>
    </row>
    <row r="2006" spans="1:6" hidden="1" outlineLevel="1" collapsed="1" x14ac:dyDescent="0.25">
      <c r="A2006" s="321" t="s">
        <v>282</v>
      </c>
      <c r="B2006" s="321" t="s">
        <v>387</v>
      </c>
      <c r="C2006" s="293">
        <v>0</v>
      </c>
      <c r="D2006" s="293">
        <v>6881.0007219999998</v>
      </c>
      <c r="E2006" s="293">
        <v>6881.0007219999998</v>
      </c>
      <c r="F2006" s="294" t="s">
        <v>298</v>
      </c>
    </row>
    <row r="2007" spans="1:6" hidden="1" outlineLevel="1" collapsed="1" x14ac:dyDescent="0.25">
      <c r="A2007" s="321" t="s">
        <v>282</v>
      </c>
      <c r="B2007" s="321" t="s">
        <v>362</v>
      </c>
      <c r="C2007" s="293">
        <v>1054.671996</v>
      </c>
      <c r="D2007" s="293">
        <v>1105.5785880000001</v>
      </c>
      <c r="E2007" s="293">
        <v>50.906592000000003</v>
      </c>
      <c r="F2007" s="294" t="s">
        <v>774</v>
      </c>
    </row>
    <row r="2008" spans="1:6" hidden="1" outlineLevel="1" collapsed="1" x14ac:dyDescent="0.25">
      <c r="A2008" s="321" t="s">
        <v>282</v>
      </c>
      <c r="B2008" s="321" t="s">
        <v>388</v>
      </c>
      <c r="C2008" s="293">
        <v>1020.317752</v>
      </c>
      <c r="D2008" s="293">
        <v>1609.2662800000001</v>
      </c>
      <c r="E2008" s="293">
        <v>588.94852800000001</v>
      </c>
      <c r="F2008" s="294" t="s">
        <v>1000</v>
      </c>
    </row>
    <row r="2009" spans="1:6" hidden="1" outlineLevel="1" collapsed="1" x14ac:dyDescent="0.25">
      <c r="A2009" s="321" t="s">
        <v>282</v>
      </c>
      <c r="B2009" s="321" t="s">
        <v>363</v>
      </c>
      <c r="C2009" s="293">
        <v>426.12479999999999</v>
      </c>
      <c r="D2009" s="293">
        <v>422.04</v>
      </c>
      <c r="E2009" s="293">
        <v>-4.0848000000000004</v>
      </c>
      <c r="F2009" s="294" t="s">
        <v>364</v>
      </c>
    </row>
    <row r="2010" spans="1:6" hidden="1" outlineLevel="1" collapsed="1" x14ac:dyDescent="0.25">
      <c r="A2010" s="321" t="s">
        <v>282</v>
      </c>
      <c r="B2010" s="321" t="s">
        <v>365</v>
      </c>
      <c r="C2010" s="293">
        <v>15358.56</v>
      </c>
      <c r="D2010" s="293">
        <v>15959.28</v>
      </c>
      <c r="E2010" s="293">
        <v>600.72</v>
      </c>
      <c r="F2010" s="294" t="s">
        <v>366</v>
      </c>
    </row>
    <row r="2011" spans="1:6" hidden="1" outlineLevel="1" collapsed="1" x14ac:dyDescent="0.25">
      <c r="A2011" s="321" t="s">
        <v>282</v>
      </c>
      <c r="B2011" s="321" t="s">
        <v>367</v>
      </c>
      <c r="C2011" s="293">
        <v>233.53919999999999</v>
      </c>
      <c r="D2011" s="293">
        <v>182.88</v>
      </c>
      <c r="E2011" s="293">
        <v>-50.659199999999998</v>
      </c>
      <c r="F2011" s="294" t="s">
        <v>368</v>
      </c>
    </row>
    <row r="2012" spans="1:6" hidden="1" outlineLevel="1" collapsed="1" x14ac:dyDescent="0.25">
      <c r="A2012" s="321" t="s">
        <v>282</v>
      </c>
      <c r="B2012" s="321" t="s">
        <v>389</v>
      </c>
      <c r="C2012" s="293">
        <v>852.24959999999999</v>
      </c>
      <c r="D2012" s="293">
        <v>844.08</v>
      </c>
      <c r="E2012" s="293">
        <v>-8.1696000000000009</v>
      </c>
      <c r="F2012" s="294" t="s">
        <v>364</v>
      </c>
    </row>
    <row r="2013" spans="1:6" hidden="1" outlineLevel="1" collapsed="1" x14ac:dyDescent="0.25">
      <c r="A2013" s="321" t="s">
        <v>282</v>
      </c>
      <c r="B2013" s="321" t="s">
        <v>390</v>
      </c>
      <c r="C2013" s="293">
        <v>30970.54</v>
      </c>
      <c r="D2013" s="293">
        <v>31918.560000000001</v>
      </c>
      <c r="E2013" s="293">
        <v>948.02</v>
      </c>
      <c r="F2013" s="294" t="s">
        <v>391</v>
      </c>
    </row>
    <row r="2014" spans="1:6" hidden="1" outlineLevel="1" collapsed="1" x14ac:dyDescent="0.25">
      <c r="A2014" s="321" t="s">
        <v>282</v>
      </c>
      <c r="B2014" s="321" t="s">
        <v>392</v>
      </c>
      <c r="C2014" s="293">
        <v>467.07839999999999</v>
      </c>
      <c r="D2014" s="293">
        <v>365.76</v>
      </c>
      <c r="E2014" s="293">
        <v>-101.3184</v>
      </c>
      <c r="F2014" s="294" t="s">
        <v>368</v>
      </c>
    </row>
    <row r="2015" spans="1:6" hidden="1" outlineLevel="1" collapsed="1" x14ac:dyDescent="0.25">
      <c r="A2015" s="321" t="s">
        <v>282</v>
      </c>
      <c r="B2015" s="321" t="s">
        <v>754</v>
      </c>
      <c r="C2015" s="293">
        <v>15358.56</v>
      </c>
      <c r="D2015" s="293">
        <v>15959.28</v>
      </c>
      <c r="E2015" s="293">
        <v>600.72</v>
      </c>
      <c r="F2015" s="294" t="s">
        <v>366</v>
      </c>
    </row>
    <row r="2016" spans="1:6" hidden="1" outlineLevel="1" collapsed="1" x14ac:dyDescent="0.25">
      <c r="A2016" s="321" t="s">
        <v>282</v>
      </c>
      <c r="B2016" s="321" t="s">
        <v>755</v>
      </c>
      <c r="C2016" s="293">
        <v>426.12479999999999</v>
      </c>
      <c r="D2016" s="293">
        <v>422.04</v>
      </c>
      <c r="E2016" s="293">
        <v>-4.0848000000000004</v>
      </c>
      <c r="F2016" s="294" t="s">
        <v>364</v>
      </c>
    </row>
    <row r="2017" spans="1:6" hidden="1" outlineLevel="1" collapsed="1" x14ac:dyDescent="0.25">
      <c r="A2017" s="321" t="s">
        <v>282</v>
      </c>
      <c r="B2017" s="321" t="s">
        <v>756</v>
      </c>
      <c r="C2017" s="293">
        <v>233.53919999999999</v>
      </c>
      <c r="D2017" s="293">
        <v>182.88</v>
      </c>
      <c r="E2017" s="293">
        <v>-50.659199999999998</v>
      </c>
      <c r="F2017" s="294" t="s">
        <v>368</v>
      </c>
    </row>
    <row r="2018" spans="1:6" hidden="1" outlineLevel="1" collapsed="1" x14ac:dyDescent="0.25">
      <c r="A2018" s="321" t="s">
        <v>282</v>
      </c>
      <c r="B2018" s="321" t="s">
        <v>369</v>
      </c>
      <c r="C2018" s="293">
        <v>36.367992000000001</v>
      </c>
      <c r="D2018" s="293">
        <v>38.123387999999998</v>
      </c>
      <c r="E2018" s="293">
        <v>1.755396</v>
      </c>
      <c r="F2018" s="294" t="s">
        <v>774</v>
      </c>
    </row>
    <row r="2019" spans="1:6" hidden="1" outlineLevel="1" collapsed="1" x14ac:dyDescent="0.25">
      <c r="A2019" s="321" t="s">
        <v>282</v>
      </c>
      <c r="B2019" s="321" t="s">
        <v>393</v>
      </c>
      <c r="C2019" s="293">
        <v>35.183363999999997</v>
      </c>
      <c r="D2019" s="293">
        <v>55.491930000000004</v>
      </c>
      <c r="E2019" s="293">
        <v>20.308565999999999</v>
      </c>
      <c r="F2019" s="294" t="s">
        <v>1000</v>
      </c>
    </row>
    <row r="2020" spans="1:6" hidden="1" outlineLevel="1" collapsed="1" x14ac:dyDescent="0.25">
      <c r="A2020" s="321" t="s">
        <v>282</v>
      </c>
      <c r="B2020" s="321" t="s">
        <v>757</v>
      </c>
      <c r="C2020" s="293">
        <v>66.949907999999994</v>
      </c>
      <c r="D2020" s="293">
        <v>0</v>
      </c>
      <c r="E2020" s="293">
        <v>-66.949907999999994</v>
      </c>
      <c r="F2020" s="294" t="s">
        <v>286</v>
      </c>
    </row>
    <row r="2021" spans="1:6" hidden="1" outlineLevel="1" collapsed="1" x14ac:dyDescent="0.25">
      <c r="A2021" s="321" t="s">
        <v>282</v>
      </c>
      <c r="B2021" s="321" t="s">
        <v>758</v>
      </c>
      <c r="C2021" s="293">
        <v>0</v>
      </c>
      <c r="D2021" s="293">
        <v>67.954151999999993</v>
      </c>
      <c r="E2021" s="293">
        <v>67.954151999999993</v>
      </c>
      <c r="F2021" s="294" t="s">
        <v>298</v>
      </c>
    </row>
    <row r="2022" spans="1:6" hidden="1" outlineLevel="1" collapsed="1" x14ac:dyDescent="0.25">
      <c r="A2022" s="321" t="s">
        <v>282</v>
      </c>
      <c r="B2022" s="321" t="s">
        <v>370</v>
      </c>
      <c r="C2022" s="293">
        <v>1500</v>
      </c>
      <c r="D2022" s="293">
        <v>1500</v>
      </c>
      <c r="E2022" s="293">
        <v>0</v>
      </c>
      <c r="F2022" s="294" t="s">
        <v>316</v>
      </c>
    </row>
    <row r="2023" spans="1:6" hidden="1" outlineLevel="1" collapsed="1" x14ac:dyDescent="0.25">
      <c r="A2023" s="321" t="s">
        <v>282</v>
      </c>
      <c r="B2023" s="321" t="s">
        <v>394</v>
      </c>
      <c r="C2023" s="293">
        <v>3000</v>
      </c>
      <c r="D2023" s="293">
        <v>0</v>
      </c>
      <c r="E2023" s="293">
        <v>-3000</v>
      </c>
      <c r="F2023" s="294" t="s">
        <v>286</v>
      </c>
    </row>
    <row r="2024" spans="1:6" hidden="1" outlineLevel="1" collapsed="1" x14ac:dyDescent="0.25">
      <c r="A2024" s="321" t="s">
        <v>282</v>
      </c>
      <c r="B2024" s="321" t="s">
        <v>395</v>
      </c>
      <c r="C2024" s="293">
        <v>0</v>
      </c>
      <c r="D2024" s="293">
        <v>3000</v>
      </c>
      <c r="E2024" s="293">
        <v>3000</v>
      </c>
      <c r="F2024" s="294" t="s">
        <v>298</v>
      </c>
    </row>
    <row r="2025" spans="1:6" hidden="1" outlineLevel="1" collapsed="1" x14ac:dyDescent="0.25">
      <c r="A2025" s="321" t="s">
        <v>282</v>
      </c>
      <c r="B2025" s="321" t="s">
        <v>759</v>
      </c>
      <c r="C2025" s="293">
        <v>1500</v>
      </c>
      <c r="D2025" s="293">
        <v>0</v>
      </c>
      <c r="E2025" s="293">
        <v>-1500</v>
      </c>
      <c r="F2025" s="294" t="s">
        <v>286</v>
      </c>
    </row>
    <row r="2026" spans="1:6" hidden="1" outlineLevel="1" collapsed="1" x14ac:dyDescent="0.25">
      <c r="A2026" s="321" t="s">
        <v>282</v>
      </c>
      <c r="B2026" s="321" t="s">
        <v>760</v>
      </c>
      <c r="C2026" s="293">
        <v>0</v>
      </c>
      <c r="D2026" s="293">
        <v>1500</v>
      </c>
      <c r="E2026" s="293">
        <v>1500</v>
      </c>
      <c r="F2026" s="294" t="s">
        <v>298</v>
      </c>
    </row>
    <row r="2027" spans="1:6" hidden="1" outlineLevel="1" collapsed="1" x14ac:dyDescent="0.25">
      <c r="A2027" s="321" t="s">
        <v>282</v>
      </c>
      <c r="B2027" s="321" t="s">
        <v>371</v>
      </c>
      <c r="C2027" s="293">
        <v>49.68</v>
      </c>
      <c r="D2027" s="293">
        <v>48.48</v>
      </c>
      <c r="E2027" s="293">
        <v>-1.2</v>
      </c>
      <c r="F2027" s="294" t="s">
        <v>372</v>
      </c>
    </row>
    <row r="2028" spans="1:6" hidden="1" outlineLevel="1" collapsed="1" x14ac:dyDescent="0.25">
      <c r="A2028" s="321" t="s">
        <v>282</v>
      </c>
      <c r="B2028" s="321" t="s">
        <v>396</v>
      </c>
      <c r="C2028" s="293">
        <v>99.36</v>
      </c>
      <c r="D2028" s="293">
        <v>0</v>
      </c>
      <c r="E2028" s="293">
        <v>-99.36</v>
      </c>
      <c r="F2028" s="294" t="s">
        <v>286</v>
      </c>
    </row>
    <row r="2029" spans="1:6" hidden="1" outlineLevel="1" collapsed="1" x14ac:dyDescent="0.25">
      <c r="A2029" s="321" t="s">
        <v>282</v>
      </c>
      <c r="B2029" s="321" t="s">
        <v>397</v>
      </c>
      <c r="C2029" s="293">
        <v>0</v>
      </c>
      <c r="D2029" s="293">
        <v>96.96</v>
      </c>
      <c r="E2029" s="293">
        <v>96.96</v>
      </c>
      <c r="F2029" s="294" t="s">
        <v>298</v>
      </c>
    </row>
    <row r="2030" spans="1:6" hidden="1" outlineLevel="1" collapsed="1" x14ac:dyDescent="0.25">
      <c r="A2030" s="321" t="s">
        <v>282</v>
      </c>
      <c r="B2030" s="321" t="s">
        <v>761</v>
      </c>
      <c r="C2030" s="293">
        <v>49.68</v>
      </c>
      <c r="D2030" s="293">
        <v>0</v>
      </c>
      <c r="E2030" s="293">
        <v>-49.68</v>
      </c>
      <c r="F2030" s="294" t="s">
        <v>286</v>
      </c>
    </row>
    <row r="2031" spans="1:6" hidden="1" outlineLevel="1" collapsed="1" x14ac:dyDescent="0.25">
      <c r="A2031" s="321" t="s">
        <v>282</v>
      </c>
      <c r="B2031" s="321" t="s">
        <v>762</v>
      </c>
      <c r="C2031" s="293">
        <v>0</v>
      </c>
      <c r="D2031" s="293">
        <v>48.48</v>
      </c>
      <c r="E2031" s="293">
        <v>48.48</v>
      </c>
      <c r="F2031" s="294" t="s">
        <v>298</v>
      </c>
    </row>
    <row r="2032" spans="1:6" hidden="1" outlineLevel="1" collapsed="1" x14ac:dyDescent="0.25">
      <c r="A2032" s="321" t="s">
        <v>282</v>
      </c>
      <c r="B2032" s="321" t="s">
        <v>373</v>
      </c>
      <c r="C2032" s="293">
        <v>24</v>
      </c>
      <c r="D2032" s="293">
        <v>11.04</v>
      </c>
      <c r="E2032" s="293">
        <v>-12.96</v>
      </c>
      <c r="F2032" s="294" t="s">
        <v>374</v>
      </c>
    </row>
    <row r="2033" spans="1:6" hidden="1" outlineLevel="1" collapsed="1" x14ac:dyDescent="0.25">
      <c r="A2033" s="321" t="s">
        <v>282</v>
      </c>
      <c r="B2033" s="321" t="s">
        <v>398</v>
      </c>
      <c r="C2033" s="293">
        <v>48</v>
      </c>
      <c r="D2033" s="293">
        <v>22.08</v>
      </c>
      <c r="E2033" s="293">
        <v>-25.92</v>
      </c>
      <c r="F2033" s="294" t="s">
        <v>374</v>
      </c>
    </row>
    <row r="2034" spans="1:6" hidden="1" outlineLevel="1" collapsed="1" x14ac:dyDescent="0.25">
      <c r="A2034" s="321" t="s">
        <v>282</v>
      </c>
      <c r="B2034" s="321" t="s">
        <v>763</v>
      </c>
      <c r="C2034" s="293">
        <v>24</v>
      </c>
      <c r="D2034" s="293">
        <v>11.04</v>
      </c>
      <c r="E2034" s="293">
        <v>-12.96</v>
      </c>
      <c r="F2034" s="294" t="s">
        <v>374</v>
      </c>
    </row>
    <row r="2035" spans="1:6" hidden="1" outlineLevel="1" collapsed="1" x14ac:dyDescent="0.25">
      <c r="A2035" s="321" t="s">
        <v>282</v>
      </c>
      <c r="B2035" s="321" t="s">
        <v>376</v>
      </c>
      <c r="C2035" s="293">
        <v>984</v>
      </c>
      <c r="D2035" s="293">
        <v>1000</v>
      </c>
      <c r="E2035" s="293">
        <v>16</v>
      </c>
      <c r="F2035" s="294" t="s">
        <v>1002</v>
      </c>
    </row>
    <row r="2036" spans="1:6" hidden="1" outlineLevel="1" collapsed="1" x14ac:dyDescent="0.25">
      <c r="A2036" s="321" t="s">
        <v>282</v>
      </c>
      <c r="B2036" s="321" t="s">
        <v>506</v>
      </c>
      <c r="C2036" s="293">
        <v>0</v>
      </c>
      <c r="D2036" s="293">
        <v>289</v>
      </c>
      <c r="E2036" s="293">
        <v>289</v>
      </c>
      <c r="F2036" s="294" t="s">
        <v>298</v>
      </c>
    </row>
    <row r="2037" spans="1:6" hidden="1" outlineLevel="1" collapsed="1" x14ac:dyDescent="0.25">
      <c r="A2037" s="321" t="s">
        <v>282</v>
      </c>
      <c r="B2037" s="321" t="s">
        <v>426</v>
      </c>
      <c r="C2037" s="293">
        <v>2787</v>
      </c>
      <c r="D2037" s="293">
        <v>2500</v>
      </c>
      <c r="E2037" s="293">
        <v>-287</v>
      </c>
      <c r="F2037" s="294" t="s">
        <v>1003</v>
      </c>
    </row>
    <row r="2038" spans="1:6" hidden="1" outlineLevel="1" collapsed="1" x14ac:dyDescent="0.25">
      <c r="A2038" s="321" t="s">
        <v>282</v>
      </c>
      <c r="B2038" s="321" t="s">
        <v>597</v>
      </c>
      <c r="C2038" s="293">
        <v>1065</v>
      </c>
      <c r="D2038" s="293">
        <v>1065</v>
      </c>
      <c r="E2038" s="293">
        <v>0</v>
      </c>
      <c r="F2038" s="294" t="s">
        <v>316</v>
      </c>
    </row>
    <row r="2039" spans="1:6" hidden="1" outlineLevel="1" collapsed="1" x14ac:dyDescent="0.25">
      <c r="A2039" s="321" t="s">
        <v>282</v>
      </c>
      <c r="B2039" s="321" t="s">
        <v>405</v>
      </c>
      <c r="C2039" s="293">
        <v>900</v>
      </c>
      <c r="D2039" s="293">
        <v>900</v>
      </c>
      <c r="E2039" s="293">
        <v>0</v>
      </c>
      <c r="F2039" s="294" t="s">
        <v>316</v>
      </c>
    </row>
    <row r="2040" spans="1:6" hidden="1" outlineLevel="1" collapsed="1" x14ac:dyDescent="0.25">
      <c r="A2040" s="321" t="s">
        <v>282</v>
      </c>
      <c r="B2040" s="321" t="s">
        <v>557</v>
      </c>
      <c r="C2040" s="293">
        <v>1200</v>
      </c>
      <c r="D2040" s="293">
        <v>1200</v>
      </c>
      <c r="E2040" s="293">
        <v>0</v>
      </c>
      <c r="F2040" s="294" t="s">
        <v>316</v>
      </c>
    </row>
    <row r="2041" spans="1:6" collapsed="1" x14ac:dyDescent="0.25">
      <c r="A2041" s="560" t="s">
        <v>1004</v>
      </c>
      <c r="B2041" s="561"/>
      <c r="C2041" s="292">
        <v>341976.46204399999</v>
      </c>
      <c r="D2041" s="293">
        <v>314871.92731599999</v>
      </c>
      <c r="E2041" s="293">
        <v>-27104.534727999999</v>
      </c>
      <c r="F2041" s="294" t="s">
        <v>2094</v>
      </c>
    </row>
    <row r="2042" spans="1:6" hidden="1" outlineLevel="1" collapsed="1" x14ac:dyDescent="0.25">
      <c r="A2042" s="321" t="s">
        <v>282</v>
      </c>
      <c r="B2042" s="321" t="s">
        <v>780</v>
      </c>
      <c r="C2042" s="293">
        <v>165030.17823600001</v>
      </c>
      <c r="D2042" s="293">
        <v>157329.77935200001</v>
      </c>
      <c r="E2042" s="293">
        <v>-7700.3988840000002</v>
      </c>
      <c r="F2042" s="294" t="s">
        <v>2095</v>
      </c>
    </row>
    <row r="2043" spans="1:6" hidden="1" outlineLevel="1" collapsed="1" x14ac:dyDescent="0.25">
      <c r="A2043" s="321" t="s">
        <v>282</v>
      </c>
      <c r="B2043" s="321" t="s">
        <v>464</v>
      </c>
      <c r="C2043" s="293">
        <v>56697.929592</v>
      </c>
      <c r="D2043" s="293">
        <v>58411.622867999999</v>
      </c>
      <c r="E2043" s="293">
        <v>1713.693276</v>
      </c>
      <c r="F2043" s="294" t="s">
        <v>520</v>
      </c>
    </row>
    <row r="2044" spans="1:6" hidden="1" outlineLevel="1" collapsed="1" x14ac:dyDescent="0.25">
      <c r="A2044" s="321" t="s">
        <v>282</v>
      </c>
      <c r="B2044" s="321" t="s">
        <v>384</v>
      </c>
      <c r="C2044" s="293">
        <v>27606.571956</v>
      </c>
      <c r="D2044" s="293">
        <v>0</v>
      </c>
      <c r="E2044" s="293">
        <v>-27606.571956</v>
      </c>
      <c r="F2044" s="294" t="s">
        <v>286</v>
      </c>
    </row>
    <row r="2045" spans="1:6" hidden="1" outlineLevel="1" collapsed="1" x14ac:dyDescent="0.25">
      <c r="A2045" s="321" t="s">
        <v>282</v>
      </c>
      <c r="B2045" s="321" t="s">
        <v>385</v>
      </c>
      <c r="C2045" s="293">
        <v>0</v>
      </c>
      <c r="D2045" s="293">
        <v>33506.797176</v>
      </c>
      <c r="E2045" s="293">
        <v>33506.797176</v>
      </c>
      <c r="F2045" s="294" t="s">
        <v>298</v>
      </c>
    </row>
    <row r="2046" spans="1:6" hidden="1" outlineLevel="1" collapsed="1" x14ac:dyDescent="0.25">
      <c r="A2046" s="321" t="s">
        <v>282</v>
      </c>
      <c r="B2046" s="321" t="s">
        <v>386</v>
      </c>
      <c r="C2046" s="293">
        <v>3515.271624</v>
      </c>
      <c r="D2046" s="293">
        <v>0</v>
      </c>
      <c r="E2046" s="293">
        <v>-3515.271624</v>
      </c>
      <c r="F2046" s="294" t="s">
        <v>286</v>
      </c>
    </row>
    <row r="2047" spans="1:6" hidden="1" outlineLevel="1" collapsed="1" x14ac:dyDescent="0.25">
      <c r="A2047" s="321" t="s">
        <v>282</v>
      </c>
      <c r="B2047" s="321" t="s">
        <v>387</v>
      </c>
      <c r="C2047" s="293">
        <v>0</v>
      </c>
      <c r="D2047" s="293">
        <v>3621.5206079999998</v>
      </c>
      <c r="E2047" s="293">
        <v>3621.5206079999998</v>
      </c>
      <c r="F2047" s="294" t="s">
        <v>298</v>
      </c>
    </row>
    <row r="2048" spans="1:6" hidden="1" outlineLevel="1" collapsed="1" x14ac:dyDescent="0.25">
      <c r="A2048" s="321" t="s">
        <v>282</v>
      </c>
      <c r="B2048" s="321" t="s">
        <v>753</v>
      </c>
      <c r="C2048" s="293">
        <v>10269.071040000001</v>
      </c>
      <c r="D2048" s="293">
        <v>9791.6463120000008</v>
      </c>
      <c r="E2048" s="293">
        <v>-477.42472800000002</v>
      </c>
      <c r="F2048" s="294" t="s">
        <v>865</v>
      </c>
    </row>
    <row r="2049" spans="1:6" hidden="1" outlineLevel="1" collapsed="1" x14ac:dyDescent="0.25">
      <c r="A2049" s="321" t="s">
        <v>282</v>
      </c>
      <c r="B2049" s="321" t="s">
        <v>388</v>
      </c>
      <c r="C2049" s="293">
        <v>3223.757556</v>
      </c>
      <c r="D2049" s="293">
        <v>3136.9503119999999</v>
      </c>
      <c r="E2049" s="293">
        <v>-86.807243999999997</v>
      </c>
      <c r="F2049" s="294" t="s">
        <v>2096</v>
      </c>
    </row>
    <row r="2050" spans="1:6" hidden="1" outlineLevel="1" collapsed="1" x14ac:dyDescent="0.25">
      <c r="A2050" s="321" t="s">
        <v>282</v>
      </c>
      <c r="B2050" s="321" t="s">
        <v>389</v>
      </c>
      <c r="C2050" s="293">
        <v>426.12479999999999</v>
      </c>
      <c r="D2050" s="293">
        <v>422.04</v>
      </c>
      <c r="E2050" s="293">
        <v>-4.0848000000000004</v>
      </c>
      <c r="F2050" s="294" t="s">
        <v>364</v>
      </c>
    </row>
    <row r="2051" spans="1:6" hidden="1" outlineLevel="1" collapsed="1" x14ac:dyDescent="0.25">
      <c r="A2051" s="321" t="s">
        <v>282</v>
      </c>
      <c r="B2051" s="321" t="s">
        <v>390</v>
      </c>
      <c r="C2051" s="293">
        <v>15485.27</v>
      </c>
      <c r="D2051" s="293">
        <v>15959.28</v>
      </c>
      <c r="E2051" s="293">
        <v>474.01</v>
      </c>
      <c r="F2051" s="294" t="s">
        <v>391</v>
      </c>
    </row>
    <row r="2052" spans="1:6" hidden="1" outlineLevel="1" collapsed="1" x14ac:dyDescent="0.25">
      <c r="A2052" s="321" t="s">
        <v>282</v>
      </c>
      <c r="B2052" s="321" t="s">
        <v>392</v>
      </c>
      <c r="C2052" s="293">
        <v>233.53919999999999</v>
      </c>
      <c r="D2052" s="293">
        <v>182.88</v>
      </c>
      <c r="E2052" s="293">
        <v>-50.659199999999998</v>
      </c>
      <c r="F2052" s="294" t="s">
        <v>368</v>
      </c>
    </row>
    <row r="2053" spans="1:6" hidden="1" outlineLevel="1" collapsed="1" x14ac:dyDescent="0.25">
      <c r="A2053" s="321" t="s">
        <v>282</v>
      </c>
      <c r="B2053" s="321" t="s">
        <v>754</v>
      </c>
      <c r="C2053" s="293">
        <v>15358.56</v>
      </c>
      <c r="D2053" s="293">
        <v>15959.28</v>
      </c>
      <c r="E2053" s="293">
        <v>600.72</v>
      </c>
      <c r="F2053" s="294" t="s">
        <v>366</v>
      </c>
    </row>
    <row r="2054" spans="1:6" hidden="1" outlineLevel="1" collapsed="1" x14ac:dyDescent="0.25">
      <c r="A2054" s="321" t="s">
        <v>282</v>
      </c>
      <c r="B2054" s="321" t="s">
        <v>755</v>
      </c>
      <c r="C2054" s="293">
        <v>426.12479999999999</v>
      </c>
      <c r="D2054" s="293">
        <v>422.04</v>
      </c>
      <c r="E2054" s="293">
        <v>-4.0848000000000004</v>
      </c>
      <c r="F2054" s="294" t="s">
        <v>364</v>
      </c>
    </row>
    <row r="2055" spans="1:6" hidden="1" outlineLevel="1" collapsed="1" x14ac:dyDescent="0.25">
      <c r="A2055" s="321" t="s">
        <v>282</v>
      </c>
      <c r="B2055" s="321" t="s">
        <v>756</v>
      </c>
      <c r="C2055" s="293">
        <v>233.53919999999999</v>
      </c>
      <c r="D2055" s="293">
        <v>182.88</v>
      </c>
      <c r="E2055" s="293">
        <v>-50.659199999999998</v>
      </c>
      <c r="F2055" s="294" t="s">
        <v>368</v>
      </c>
    </row>
    <row r="2056" spans="1:6" hidden="1" outlineLevel="1" collapsed="1" x14ac:dyDescent="0.25">
      <c r="A2056" s="321" t="s">
        <v>282</v>
      </c>
      <c r="B2056" s="321" t="s">
        <v>393</v>
      </c>
      <c r="C2056" s="293">
        <v>28.348956000000001</v>
      </c>
      <c r="D2056" s="293">
        <v>29.205804000000001</v>
      </c>
      <c r="E2056" s="293">
        <v>0.85684800000000005</v>
      </c>
      <c r="F2056" s="294" t="s">
        <v>520</v>
      </c>
    </row>
    <row r="2057" spans="1:6" hidden="1" outlineLevel="1" collapsed="1" x14ac:dyDescent="0.25">
      <c r="A2057" s="321" t="s">
        <v>282</v>
      </c>
      <c r="B2057" s="321" t="s">
        <v>757</v>
      </c>
      <c r="C2057" s="293">
        <v>82.815083999999999</v>
      </c>
      <c r="D2057" s="293">
        <v>0</v>
      </c>
      <c r="E2057" s="293">
        <v>-82.815083999999999</v>
      </c>
      <c r="F2057" s="294" t="s">
        <v>286</v>
      </c>
    </row>
    <row r="2058" spans="1:6" hidden="1" outlineLevel="1" collapsed="1" x14ac:dyDescent="0.25">
      <c r="A2058" s="321" t="s">
        <v>282</v>
      </c>
      <c r="B2058" s="321" t="s">
        <v>758</v>
      </c>
      <c r="C2058" s="293">
        <v>0</v>
      </c>
      <c r="D2058" s="293">
        <v>78.964883999999998</v>
      </c>
      <c r="E2058" s="293">
        <v>78.964883999999998</v>
      </c>
      <c r="F2058" s="294" t="s">
        <v>298</v>
      </c>
    </row>
    <row r="2059" spans="1:6" hidden="1" outlineLevel="1" collapsed="1" x14ac:dyDescent="0.25">
      <c r="A2059" s="321" t="s">
        <v>282</v>
      </c>
      <c r="B2059" s="321" t="s">
        <v>394</v>
      </c>
      <c r="C2059" s="293">
        <v>1500</v>
      </c>
      <c r="D2059" s="293">
        <v>0</v>
      </c>
      <c r="E2059" s="293">
        <v>-1500</v>
      </c>
      <c r="F2059" s="294" t="s">
        <v>286</v>
      </c>
    </row>
    <row r="2060" spans="1:6" hidden="1" outlineLevel="1" collapsed="1" x14ac:dyDescent="0.25">
      <c r="A2060" s="321" t="s">
        <v>282</v>
      </c>
      <c r="B2060" s="321" t="s">
        <v>395</v>
      </c>
      <c r="C2060" s="293">
        <v>0</v>
      </c>
      <c r="D2060" s="293">
        <v>1500</v>
      </c>
      <c r="E2060" s="293">
        <v>1500</v>
      </c>
      <c r="F2060" s="294" t="s">
        <v>298</v>
      </c>
    </row>
    <row r="2061" spans="1:6" hidden="1" outlineLevel="1" collapsed="1" x14ac:dyDescent="0.25">
      <c r="A2061" s="321" t="s">
        <v>282</v>
      </c>
      <c r="B2061" s="321" t="s">
        <v>759</v>
      </c>
      <c r="C2061" s="293">
        <v>1500</v>
      </c>
      <c r="D2061" s="293">
        <v>0</v>
      </c>
      <c r="E2061" s="293">
        <v>-1500</v>
      </c>
      <c r="F2061" s="294" t="s">
        <v>286</v>
      </c>
    </row>
    <row r="2062" spans="1:6" hidden="1" outlineLevel="1" collapsed="1" x14ac:dyDescent="0.25">
      <c r="A2062" s="321" t="s">
        <v>282</v>
      </c>
      <c r="B2062" s="321" t="s">
        <v>760</v>
      </c>
      <c r="C2062" s="293">
        <v>0</v>
      </c>
      <c r="D2062" s="293">
        <v>1500</v>
      </c>
      <c r="E2062" s="293">
        <v>1500</v>
      </c>
      <c r="F2062" s="294" t="s">
        <v>298</v>
      </c>
    </row>
    <row r="2063" spans="1:6" hidden="1" outlineLevel="1" collapsed="1" x14ac:dyDescent="0.25">
      <c r="A2063" s="321" t="s">
        <v>282</v>
      </c>
      <c r="B2063" s="321" t="s">
        <v>396</v>
      </c>
      <c r="C2063" s="293">
        <v>49.68</v>
      </c>
      <c r="D2063" s="293">
        <v>0</v>
      </c>
      <c r="E2063" s="293">
        <v>-49.68</v>
      </c>
      <c r="F2063" s="294" t="s">
        <v>286</v>
      </c>
    </row>
    <row r="2064" spans="1:6" hidden="1" outlineLevel="1" collapsed="1" x14ac:dyDescent="0.25">
      <c r="A2064" s="321" t="s">
        <v>282</v>
      </c>
      <c r="B2064" s="321" t="s">
        <v>397</v>
      </c>
      <c r="C2064" s="293">
        <v>0</v>
      </c>
      <c r="D2064" s="293">
        <v>48.48</v>
      </c>
      <c r="E2064" s="293">
        <v>48.48</v>
      </c>
      <c r="F2064" s="294" t="s">
        <v>298</v>
      </c>
    </row>
    <row r="2065" spans="1:6" hidden="1" outlineLevel="1" collapsed="1" x14ac:dyDescent="0.25">
      <c r="A2065" s="321" t="s">
        <v>282</v>
      </c>
      <c r="B2065" s="321" t="s">
        <v>761</v>
      </c>
      <c r="C2065" s="293">
        <v>49.68</v>
      </c>
      <c r="D2065" s="293">
        <v>0</v>
      </c>
      <c r="E2065" s="293">
        <v>-49.68</v>
      </c>
      <c r="F2065" s="294" t="s">
        <v>286</v>
      </c>
    </row>
    <row r="2066" spans="1:6" hidden="1" outlineLevel="1" collapsed="1" x14ac:dyDescent="0.25">
      <c r="A2066" s="321" t="s">
        <v>282</v>
      </c>
      <c r="B2066" s="321" t="s">
        <v>762</v>
      </c>
      <c r="C2066" s="293">
        <v>0</v>
      </c>
      <c r="D2066" s="293">
        <v>48.48</v>
      </c>
      <c r="E2066" s="293">
        <v>48.48</v>
      </c>
      <c r="F2066" s="294" t="s">
        <v>298</v>
      </c>
    </row>
    <row r="2067" spans="1:6" hidden="1" outlineLevel="1" collapsed="1" x14ac:dyDescent="0.25">
      <c r="A2067" s="321" t="s">
        <v>282</v>
      </c>
      <c r="B2067" s="321" t="s">
        <v>398</v>
      </c>
      <c r="C2067" s="293">
        <v>24</v>
      </c>
      <c r="D2067" s="293">
        <v>11.04</v>
      </c>
      <c r="E2067" s="293">
        <v>-12.96</v>
      </c>
      <c r="F2067" s="294" t="s">
        <v>374</v>
      </c>
    </row>
    <row r="2068" spans="1:6" hidden="1" outlineLevel="1" collapsed="1" x14ac:dyDescent="0.25">
      <c r="A2068" s="321" t="s">
        <v>282</v>
      </c>
      <c r="B2068" s="321" t="s">
        <v>763</v>
      </c>
      <c r="C2068" s="293">
        <v>24</v>
      </c>
      <c r="D2068" s="293">
        <v>11.04</v>
      </c>
      <c r="E2068" s="293">
        <v>-12.96</v>
      </c>
      <c r="F2068" s="294" t="s">
        <v>374</v>
      </c>
    </row>
    <row r="2069" spans="1:6" hidden="1" outlineLevel="1" collapsed="1" x14ac:dyDescent="0.25">
      <c r="A2069" s="321" t="s">
        <v>282</v>
      </c>
      <c r="B2069" s="321" t="s">
        <v>399</v>
      </c>
      <c r="C2069" s="293">
        <v>0</v>
      </c>
      <c r="D2069" s="293">
        <v>57</v>
      </c>
      <c r="E2069" s="293">
        <v>57</v>
      </c>
      <c r="F2069" s="294" t="s">
        <v>298</v>
      </c>
    </row>
    <row r="2070" spans="1:6" hidden="1" outlineLevel="1" collapsed="1" x14ac:dyDescent="0.25">
      <c r="A2070" s="321" t="s">
        <v>282</v>
      </c>
      <c r="B2070" s="321" t="s">
        <v>376</v>
      </c>
      <c r="C2070" s="293">
        <v>1656</v>
      </c>
      <c r="D2070" s="293">
        <v>2389</v>
      </c>
      <c r="E2070" s="293">
        <v>733</v>
      </c>
      <c r="F2070" s="294" t="s">
        <v>2097</v>
      </c>
    </row>
    <row r="2071" spans="1:6" hidden="1" outlineLevel="1" collapsed="1" x14ac:dyDescent="0.25">
      <c r="A2071" s="321" t="s">
        <v>282</v>
      </c>
      <c r="B2071" s="321" t="s">
        <v>662</v>
      </c>
      <c r="C2071" s="293">
        <v>100</v>
      </c>
      <c r="D2071" s="293">
        <v>420</v>
      </c>
      <c r="E2071" s="293">
        <v>320</v>
      </c>
      <c r="F2071" s="294" t="s">
        <v>1008</v>
      </c>
    </row>
    <row r="2072" spans="1:6" hidden="1" outlineLevel="1" collapsed="1" x14ac:dyDescent="0.25">
      <c r="A2072" s="321" t="s">
        <v>282</v>
      </c>
      <c r="B2072" s="321" t="s">
        <v>426</v>
      </c>
      <c r="C2072" s="293">
        <v>9156</v>
      </c>
      <c r="D2072" s="293">
        <v>8118</v>
      </c>
      <c r="E2072" s="293">
        <v>-1038</v>
      </c>
      <c r="F2072" s="294" t="s">
        <v>1009</v>
      </c>
    </row>
    <row r="2073" spans="1:6" hidden="1" outlineLevel="1" collapsed="1" x14ac:dyDescent="0.25">
      <c r="A2073" s="321" t="s">
        <v>282</v>
      </c>
      <c r="B2073" s="321" t="s">
        <v>707</v>
      </c>
      <c r="C2073" s="293">
        <v>600</v>
      </c>
      <c r="D2073" s="293">
        <v>600</v>
      </c>
      <c r="E2073" s="293">
        <v>0</v>
      </c>
      <c r="F2073" s="294" t="s">
        <v>316</v>
      </c>
    </row>
    <row r="2074" spans="1:6" hidden="1" outlineLevel="1" collapsed="1" x14ac:dyDescent="0.25">
      <c r="A2074" s="321" t="s">
        <v>282</v>
      </c>
      <c r="B2074" s="321" t="s">
        <v>482</v>
      </c>
      <c r="C2074" s="293">
        <v>158</v>
      </c>
      <c r="D2074" s="293">
        <v>158</v>
      </c>
      <c r="E2074" s="293">
        <v>0</v>
      </c>
      <c r="F2074" s="294" t="s">
        <v>316</v>
      </c>
    </row>
    <row r="2075" spans="1:6" hidden="1" outlineLevel="1" collapsed="1" x14ac:dyDescent="0.25">
      <c r="A2075" s="321" t="s">
        <v>282</v>
      </c>
      <c r="B2075" s="321" t="s">
        <v>597</v>
      </c>
      <c r="C2075" s="293">
        <v>300</v>
      </c>
      <c r="D2075" s="293">
        <v>315</v>
      </c>
      <c r="E2075" s="293">
        <v>15</v>
      </c>
      <c r="F2075" s="294" t="s">
        <v>732</v>
      </c>
    </row>
    <row r="2076" spans="1:6" hidden="1" outlineLevel="1" collapsed="1" x14ac:dyDescent="0.25">
      <c r="A2076" s="321" t="s">
        <v>282</v>
      </c>
      <c r="B2076" s="321" t="s">
        <v>543</v>
      </c>
      <c r="C2076" s="293">
        <v>28100</v>
      </c>
      <c r="D2076" s="293">
        <v>0</v>
      </c>
      <c r="E2076" s="293">
        <v>-28100</v>
      </c>
      <c r="F2076" s="294" t="s">
        <v>286</v>
      </c>
    </row>
    <row r="2077" spans="1:6" hidden="1" outlineLevel="1" collapsed="1" x14ac:dyDescent="0.25">
      <c r="A2077" s="321" t="s">
        <v>282</v>
      </c>
      <c r="B2077" s="321" t="s">
        <v>405</v>
      </c>
      <c r="C2077" s="293">
        <v>0</v>
      </c>
      <c r="D2077" s="293">
        <v>300</v>
      </c>
      <c r="E2077" s="293">
        <v>300</v>
      </c>
      <c r="F2077" s="294" t="s">
        <v>298</v>
      </c>
    </row>
    <row r="2078" spans="1:6" hidden="1" outlineLevel="1" collapsed="1" x14ac:dyDescent="0.25">
      <c r="A2078" s="321" t="s">
        <v>282</v>
      </c>
      <c r="B2078" s="321" t="s">
        <v>557</v>
      </c>
      <c r="C2078" s="293">
        <v>0</v>
      </c>
      <c r="D2078" s="293">
        <v>361</v>
      </c>
      <c r="E2078" s="293">
        <v>361</v>
      </c>
      <c r="F2078" s="294" t="s">
        <v>298</v>
      </c>
    </row>
    <row r="2079" spans="1:6" hidden="1" outlineLevel="1" collapsed="1" x14ac:dyDescent="0.25">
      <c r="A2079" s="321" t="s">
        <v>282</v>
      </c>
      <c r="B2079" s="321" t="s">
        <v>770</v>
      </c>
      <c r="C2079" s="293">
        <v>142</v>
      </c>
      <c r="D2079" s="293">
        <v>0</v>
      </c>
      <c r="E2079" s="293">
        <v>-142</v>
      </c>
      <c r="F2079" s="294" t="s">
        <v>286</v>
      </c>
    </row>
    <row r="2080" spans="1:6" collapsed="1" x14ac:dyDescent="0.25">
      <c r="A2080" s="560" t="s">
        <v>313</v>
      </c>
      <c r="B2080" s="561"/>
      <c r="C2080" s="292">
        <v>916176.86409399996</v>
      </c>
      <c r="D2080" s="293">
        <v>875303.95498899999</v>
      </c>
      <c r="E2080" s="293">
        <v>-40872.909104999999</v>
      </c>
      <c r="F2080" s="294" t="s">
        <v>2098</v>
      </c>
    </row>
    <row r="2081" spans="1:6" hidden="1" outlineLevel="1" collapsed="1" x14ac:dyDescent="0.25">
      <c r="A2081" s="321" t="s">
        <v>282</v>
      </c>
      <c r="B2081" s="321" t="s">
        <v>942</v>
      </c>
      <c r="C2081" s="293">
        <v>95168.428151999993</v>
      </c>
      <c r="D2081" s="293">
        <v>101422.563828</v>
      </c>
      <c r="E2081" s="293">
        <v>6254.1356759999999</v>
      </c>
      <c r="F2081" s="294" t="s">
        <v>816</v>
      </c>
    </row>
    <row r="2082" spans="1:6" hidden="1" outlineLevel="1" collapsed="1" x14ac:dyDescent="0.25">
      <c r="A2082" s="321" t="s">
        <v>282</v>
      </c>
      <c r="B2082" s="321" t="s">
        <v>464</v>
      </c>
      <c r="C2082" s="293">
        <v>500354.38086799998</v>
      </c>
      <c r="D2082" s="293">
        <v>435774.21515599999</v>
      </c>
      <c r="E2082" s="293">
        <v>-64580.165712000002</v>
      </c>
      <c r="F2082" s="294" t="s">
        <v>2099</v>
      </c>
    </row>
    <row r="2083" spans="1:6" hidden="1" outlineLevel="1" collapsed="1" x14ac:dyDescent="0.25">
      <c r="A2083" s="321" t="s">
        <v>282</v>
      </c>
      <c r="B2083" s="321" t="s">
        <v>475</v>
      </c>
      <c r="C2083" s="293">
        <v>7958.33</v>
      </c>
      <c r="D2083" s="293">
        <v>10000</v>
      </c>
      <c r="E2083" s="293">
        <v>2041.67</v>
      </c>
      <c r="F2083" s="294" t="s">
        <v>1012</v>
      </c>
    </row>
    <row r="2084" spans="1:6" hidden="1" outlineLevel="1" collapsed="1" x14ac:dyDescent="0.25">
      <c r="A2084" s="321" t="s">
        <v>282</v>
      </c>
      <c r="B2084" s="321" t="s">
        <v>476</v>
      </c>
      <c r="C2084" s="293">
        <v>7509.67</v>
      </c>
      <c r="D2084" s="293">
        <v>20000</v>
      </c>
      <c r="E2084" s="293">
        <v>12490.33</v>
      </c>
      <c r="F2084" s="294" t="s">
        <v>1013</v>
      </c>
    </row>
    <row r="2085" spans="1:6" hidden="1" outlineLevel="1" collapsed="1" x14ac:dyDescent="0.25">
      <c r="A2085" s="321" t="s">
        <v>282</v>
      </c>
      <c r="B2085" s="321" t="s">
        <v>384</v>
      </c>
      <c r="C2085" s="293">
        <v>65910.351336000007</v>
      </c>
      <c r="D2085" s="293">
        <v>0</v>
      </c>
      <c r="E2085" s="293">
        <v>-65910.351336000007</v>
      </c>
      <c r="F2085" s="294" t="s">
        <v>286</v>
      </c>
    </row>
    <row r="2086" spans="1:6" hidden="1" outlineLevel="1" collapsed="1" x14ac:dyDescent="0.25">
      <c r="A2086" s="321" t="s">
        <v>282</v>
      </c>
      <c r="B2086" s="321" t="s">
        <v>385</v>
      </c>
      <c r="C2086" s="293">
        <v>0</v>
      </c>
      <c r="D2086" s="293">
        <v>82771.964202999996</v>
      </c>
      <c r="E2086" s="293">
        <v>82771.964202999996</v>
      </c>
      <c r="F2086" s="294" t="s">
        <v>298</v>
      </c>
    </row>
    <row r="2087" spans="1:6" hidden="1" outlineLevel="1" collapsed="1" x14ac:dyDescent="0.25">
      <c r="A2087" s="321" t="s">
        <v>282</v>
      </c>
      <c r="B2087" s="321" t="s">
        <v>386</v>
      </c>
      <c r="C2087" s="293">
        <v>32747.138953999998</v>
      </c>
      <c r="D2087" s="293">
        <v>0</v>
      </c>
      <c r="E2087" s="293">
        <v>-32747.138953999998</v>
      </c>
      <c r="F2087" s="294" t="s">
        <v>286</v>
      </c>
    </row>
    <row r="2088" spans="1:6" hidden="1" outlineLevel="1" collapsed="1" x14ac:dyDescent="0.25">
      <c r="A2088" s="321" t="s">
        <v>282</v>
      </c>
      <c r="B2088" s="321" t="s">
        <v>387</v>
      </c>
      <c r="C2088" s="293">
        <v>0</v>
      </c>
      <c r="D2088" s="293">
        <v>33306.200228000002</v>
      </c>
      <c r="E2088" s="293">
        <v>33306.200228000002</v>
      </c>
      <c r="F2088" s="294" t="s">
        <v>298</v>
      </c>
    </row>
    <row r="2089" spans="1:6" hidden="1" outlineLevel="1" collapsed="1" x14ac:dyDescent="0.25">
      <c r="A2089" s="321" t="s">
        <v>282</v>
      </c>
      <c r="B2089" s="321" t="s">
        <v>388</v>
      </c>
      <c r="C2089" s="293">
        <v>7658.6050240000004</v>
      </c>
      <c r="D2089" s="293">
        <v>7789.3532249999998</v>
      </c>
      <c r="E2089" s="293">
        <v>130.74820099999999</v>
      </c>
      <c r="F2089" s="294" t="s">
        <v>296</v>
      </c>
    </row>
    <row r="2090" spans="1:6" hidden="1" outlineLevel="1" collapsed="1" x14ac:dyDescent="0.25">
      <c r="A2090" s="321" t="s">
        <v>282</v>
      </c>
      <c r="B2090" s="321" t="s">
        <v>444</v>
      </c>
      <c r="C2090" s="293">
        <v>2700</v>
      </c>
      <c r="D2090" s="293">
        <v>1800</v>
      </c>
      <c r="E2090" s="293">
        <v>-900</v>
      </c>
      <c r="F2090" s="294" t="s">
        <v>858</v>
      </c>
    </row>
    <row r="2091" spans="1:6" hidden="1" outlineLevel="1" collapsed="1" x14ac:dyDescent="0.25">
      <c r="A2091" s="321" t="s">
        <v>282</v>
      </c>
      <c r="B2091" s="321" t="s">
        <v>389</v>
      </c>
      <c r="C2091" s="293">
        <v>4261.2479999999996</v>
      </c>
      <c r="D2091" s="293">
        <v>4009.38</v>
      </c>
      <c r="E2091" s="293">
        <v>-251.86799999999999</v>
      </c>
      <c r="F2091" s="294" t="s">
        <v>2100</v>
      </c>
    </row>
    <row r="2092" spans="1:6" hidden="1" outlineLevel="1" collapsed="1" x14ac:dyDescent="0.25">
      <c r="A2092" s="321" t="s">
        <v>282</v>
      </c>
      <c r="B2092" s="321" t="s">
        <v>390</v>
      </c>
      <c r="C2092" s="293">
        <v>139367.43</v>
      </c>
      <c r="D2092" s="293">
        <v>135653.88</v>
      </c>
      <c r="E2092" s="293">
        <v>-3713.55</v>
      </c>
      <c r="F2092" s="294" t="s">
        <v>2101</v>
      </c>
    </row>
    <row r="2093" spans="1:6" hidden="1" outlineLevel="1" collapsed="1" x14ac:dyDescent="0.25">
      <c r="A2093" s="321" t="s">
        <v>282</v>
      </c>
      <c r="B2093" s="321" t="s">
        <v>392</v>
      </c>
      <c r="C2093" s="293">
        <v>2335.3919999999998</v>
      </c>
      <c r="D2093" s="293">
        <v>1737.36</v>
      </c>
      <c r="E2093" s="293">
        <v>-598.03200000000004</v>
      </c>
      <c r="F2093" s="294" t="s">
        <v>2102</v>
      </c>
    </row>
    <row r="2094" spans="1:6" hidden="1" outlineLevel="1" collapsed="1" x14ac:dyDescent="0.25">
      <c r="A2094" s="321" t="s">
        <v>282</v>
      </c>
      <c r="B2094" s="321" t="s">
        <v>393</v>
      </c>
      <c r="C2094" s="293">
        <v>264.08976000000001</v>
      </c>
      <c r="D2094" s="293">
        <v>268.59834899999998</v>
      </c>
      <c r="E2094" s="293">
        <v>4.5085889999999997</v>
      </c>
      <c r="F2094" s="294" t="s">
        <v>296</v>
      </c>
    </row>
    <row r="2095" spans="1:6" hidden="1" outlineLevel="1" collapsed="1" x14ac:dyDescent="0.25">
      <c r="A2095" s="321" t="s">
        <v>282</v>
      </c>
      <c r="B2095" s="321" t="s">
        <v>394</v>
      </c>
      <c r="C2095" s="293">
        <v>15000</v>
      </c>
      <c r="D2095" s="293">
        <v>0</v>
      </c>
      <c r="E2095" s="293">
        <v>-15000</v>
      </c>
      <c r="F2095" s="294" t="s">
        <v>286</v>
      </c>
    </row>
    <row r="2096" spans="1:6" hidden="1" outlineLevel="1" collapsed="1" x14ac:dyDescent="0.25">
      <c r="A2096" s="321" t="s">
        <v>282</v>
      </c>
      <c r="B2096" s="321" t="s">
        <v>395</v>
      </c>
      <c r="C2096" s="293">
        <v>0</v>
      </c>
      <c r="D2096" s="293">
        <v>14250</v>
      </c>
      <c r="E2096" s="293">
        <v>14250</v>
      </c>
      <c r="F2096" s="294" t="s">
        <v>298</v>
      </c>
    </row>
    <row r="2097" spans="1:6" hidden="1" outlineLevel="1" collapsed="1" x14ac:dyDescent="0.25">
      <c r="A2097" s="321" t="s">
        <v>282</v>
      </c>
      <c r="B2097" s="321" t="s">
        <v>396</v>
      </c>
      <c r="C2097" s="293">
        <v>496.8</v>
      </c>
      <c r="D2097" s="293">
        <v>0</v>
      </c>
      <c r="E2097" s="293">
        <v>-496.8</v>
      </c>
      <c r="F2097" s="294" t="s">
        <v>286</v>
      </c>
    </row>
    <row r="2098" spans="1:6" hidden="1" outlineLevel="1" collapsed="1" x14ac:dyDescent="0.25">
      <c r="A2098" s="321" t="s">
        <v>282</v>
      </c>
      <c r="B2098" s="321" t="s">
        <v>397</v>
      </c>
      <c r="C2098" s="293">
        <v>0</v>
      </c>
      <c r="D2098" s="293">
        <v>460.56</v>
      </c>
      <c r="E2098" s="293">
        <v>460.56</v>
      </c>
      <c r="F2098" s="294" t="s">
        <v>298</v>
      </c>
    </row>
    <row r="2099" spans="1:6" hidden="1" outlineLevel="1" collapsed="1" x14ac:dyDescent="0.25">
      <c r="A2099" s="321" t="s">
        <v>282</v>
      </c>
      <c r="B2099" s="321" t="s">
        <v>398</v>
      </c>
      <c r="C2099" s="293">
        <v>240</v>
      </c>
      <c r="D2099" s="293">
        <v>104.88</v>
      </c>
      <c r="E2099" s="293">
        <v>-135.12</v>
      </c>
      <c r="F2099" s="294" t="s">
        <v>2103</v>
      </c>
    </row>
    <row r="2100" spans="1:6" hidden="1" outlineLevel="1" collapsed="1" x14ac:dyDescent="0.25">
      <c r="A2100" s="321" t="s">
        <v>282</v>
      </c>
      <c r="B2100" s="321" t="s">
        <v>522</v>
      </c>
      <c r="C2100" s="293">
        <v>3000</v>
      </c>
      <c r="D2100" s="293">
        <v>3000</v>
      </c>
      <c r="E2100" s="293">
        <v>0</v>
      </c>
      <c r="F2100" s="294" t="s">
        <v>316</v>
      </c>
    </row>
    <row r="2101" spans="1:6" hidden="1" outlineLevel="1" collapsed="1" x14ac:dyDescent="0.25">
      <c r="A2101" s="321" t="s">
        <v>282</v>
      </c>
      <c r="B2101" s="321" t="s">
        <v>376</v>
      </c>
      <c r="C2101" s="293">
        <v>9504</v>
      </c>
      <c r="D2101" s="293">
        <v>3696</v>
      </c>
      <c r="E2101" s="293">
        <v>-5808</v>
      </c>
      <c r="F2101" s="294" t="s">
        <v>1019</v>
      </c>
    </row>
    <row r="2102" spans="1:6" hidden="1" outlineLevel="1" collapsed="1" x14ac:dyDescent="0.25">
      <c r="A2102" s="321" t="s">
        <v>282</v>
      </c>
      <c r="B2102" s="321" t="s">
        <v>506</v>
      </c>
      <c r="C2102" s="293">
        <v>0</v>
      </c>
      <c r="D2102" s="293">
        <v>600</v>
      </c>
      <c r="E2102" s="293">
        <v>600</v>
      </c>
      <c r="F2102" s="294" t="s">
        <v>298</v>
      </c>
    </row>
    <row r="2103" spans="1:6" hidden="1" outlineLevel="1" collapsed="1" x14ac:dyDescent="0.25">
      <c r="A2103" s="321" t="s">
        <v>282</v>
      </c>
      <c r="B2103" s="321" t="s">
        <v>567</v>
      </c>
      <c r="C2103" s="293">
        <v>3662</v>
      </c>
      <c r="D2103" s="293">
        <v>2395</v>
      </c>
      <c r="E2103" s="293">
        <v>-1267</v>
      </c>
      <c r="F2103" s="294" t="s">
        <v>1020</v>
      </c>
    </row>
    <row r="2104" spans="1:6" hidden="1" outlineLevel="1" collapsed="1" x14ac:dyDescent="0.25">
      <c r="A2104" s="321" t="s">
        <v>282</v>
      </c>
      <c r="B2104" s="321" t="s">
        <v>952</v>
      </c>
      <c r="C2104" s="293">
        <v>600</v>
      </c>
      <c r="D2104" s="293">
        <v>600</v>
      </c>
      <c r="E2104" s="293">
        <v>0</v>
      </c>
      <c r="F2104" s="294" t="s">
        <v>316</v>
      </c>
    </row>
    <row r="2105" spans="1:6" hidden="1" outlineLevel="1" collapsed="1" x14ac:dyDescent="0.25">
      <c r="A2105" s="321" t="s">
        <v>282</v>
      </c>
      <c r="B2105" s="321" t="s">
        <v>597</v>
      </c>
      <c r="C2105" s="293">
        <v>2064</v>
      </c>
      <c r="D2105" s="293">
        <v>2064</v>
      </c>
      <c r="E2105" s="293">
        <v>0</v>
      </c>
      <c r="F2105" s="294" t="s">
        <v>316</v>
      </c>
    </row>
    <row r="2106" spans="1:6" hidden="1" outlineLevel="1" collapsed="1" x14ac:dyDescent="0.25">
      <c r="A2106" s="321" t="s">
        <v>282</v>
      </c>
      <c r="B2106" s="321" t="s">
        <v>842</v>
      </c>
      <c r="C2106" s="293">
        <v>0</v>
      </c>
      <c r="D2106" s="293">
        <v>1600</v>
      </c>
      <c r="E2106" s="293">
        <v>1600</v>
      </c>
      <c r="F2106" s="294" t="s">
        <v>298</v>
      </c>
    </row>
    <row r="2107" spans="1:6" hidden="1" outlineLevel="1" collapsed="1" x14ac:dyDescent="0.25">
      <c r="A2107" s="321" t="s">
        <v>282</v>
      </c>
      <c r="B2107" s="321" t="s">
        <v>843</v>
      </c>
      <c r="C2107" s="293">
        <v>500</v>
      </c>
      <c r="D2107" s="293">
        <v>500</v>
      </c>
      <c r="E2107" s="293">
        <v>0</v>
      </c>
      <c r="F2107" s="294" t="s">
        <v>316</v>
      </c>
    </row>
    <row r="2108" spans="1:6" hidden="1" outlineLevel="1" collapsed="1" x14ac:dyDescent="0.25">
      <c r="A2108" s="321" t="s">
        <v>282</v>
      </c>
      <c r="B2108" s="321" t="s">
        <v>543</v>
      </c>
      <c r="C2108" s="293">
        <v>0</v>
      </c>
      <c r="D2108" s="293">
        <v>0</v>
      </c>
      <c r="E2108" s="293">
        <v>0</v>
      </c>
      <c r="F2108" s="294" t="s">
        <v>316</v>
      </c>
    </row>
    <row r="2109" spans="1:6" hidden="1" outlineLevel="1" collapsed="1" x14ac:dyDescent="0.25">
      <c r="A2109" s="321" t="s">
        <v>282</v>
      </c>
      <c r="B2109" s="321" t="s">
        <v>448</v>
      </c>
      <c r="C2109" s="293">
        <v>11500</v>
      </c>
      <c r="D2109" s="293">
        <v>11500</v>
      </c>
      <c r="E2109" s="293">
        <v>0</v>
      </c>
      <c r="F2109" s="294" t="s">
        <v>316</v>
      </c>
    </row>
    <row r="2110" spans="1:6" hidden="1" outlineLevel="1" collapsed="1" x14ac:dyDescent="0.25">
      <c r="A2110" s="321" t="s">
        <v>282</v>
      </c>
      <c r="B2110" s="321" t="s">
        <v>557</v>
      </c>
      <c r="C2110" s="293">
        <v>3100</v>
      </c>
      <c r="D2110" s="293">
        <v>0</v>
      </c>
      <c r="E2110" s="293">
        <v>-3100</v>
      </c>
      <c r="F2110" s="294" t="s">
        <v>286</v>
      </c>
    </row>
    <row r="2111" spans="1:6" hidden="1" outlineLevel="1" collapsed="1" x14ac:dyDescent="0.25">
      <c r="A2111" s="321" t="s">
        <v>282</v>
      </c>
      <c r="B2111" s="321" t="s">
        <v>770</v>
      </c>
      <c r="C2111" s="293">
        <v>275</v>
      </c>
      <c r="D2111" s="293">
        <v>0</v>
      </c>
      <c r="E2111" s="293">
        <v>-275</v>
      </c>
      <c r="F2111" s="294" t="s">
        <v>286</v>
      </c>
    </row>
    <row r="2112" spans="1:6" collapsed="1" x14ac:dyDescent="0.25">
      <c r="A2112" s="560" t="s">
        <v>1021</v>
      </c>
      <c r="B2112" s="561"/>
      <c r="C2112" s="292">
        <v>100000</v>
      </c>
      <c r="D2112" s="293">
        <v>100000</v>
      </c>
      <c r="E2112" s="293">
        <v>0</v>
      </c>
      <c r="F2112" s="294" t="s">
        <v>316</v>
      </c>
    </row>
    <row r="2113" spans="1:6" hidden="1" outlineLevel="1" collapsed="1" x14ac:dyDescent="0.25">
      <c r="A2113" s="321" t="s">
        <v>282</v>
      </c>
      <c r="B2113" s="321" t="s">
        <v>405</v>
      </c>
      <c r="C2113" s="293">
        <v>100000</v>
      </c>
      <c r="D2113" s="293">
        <v>100000</v>
      </c>
      <c r="E2113" s="293">
        <v>0</v>
      </c>
      <c r="F2113" s="294" t="s">
        <v>316</v>
      </c>
    </row>
    <row r="2114" spans="1:6" collapsed="1" x14ac:dyDescent="0.25">
      <c r="A2114" s="560" t="s">
        <v>1022</v>
      </c>
      <c r="B2114" s="561"/>
      <c r="C2114" s="292">
        <v>26810.919957999999</v>
      </c>
      <c r="D2114" s="293">
        <v>29129.779632999998</v>
      </c>
      <c r="E2114" s="293">
        <v>2318.8596750000002</v>
      </c>
      <c r="F2114" s="294" t="s">
        <v>2104</v>
      </c>
    </row>
    <row r="2115" spans="1:6" hidden="1" outlineLevel="1" collapsed="1" x14ac:dyDescent="0.25">
      <c r="A2115" s="321" t="s">
        <v>282</v>
      </c>
      <c r="B2115" s="321" t="s">
        <v>942</v>
      </c>
      <c r="C2115" s="293">
        <v>13595.315758000001</v>
      </c>
      <c r="D2115" s="293">
        <v>14489.392943000001</v>
      </c>
      <c r="E2115" s="293">
        <v>894.07718499999999</v>
      </c>
      <c r="F2115" s="294" t="s">
        <v>790</v>
      </c>
    </row>
    <row r="2116" spans="1:6" hidden="1" outlineLevel="1" collapsed="1" x14ac:dyDescent="0.25">
      <c r="A2116" s="321" t="s">
        <v>282</v>
      </c>
      <c r="B2116" s="321" t="s">
        <v>464</v>
      </c>
      <c r="C2116" s="293">
        <v>5012.3218070000003</v>
      </c>
      <c r="D2116" s="293">
        <v>5163.819023</v>
      </c>
      <c r="E2116" s="293">
        <v>151.49721600000001</v>
      </c>
      <c r="F2116" s="294" t="s">
        <v>520</v>
      </c>
    </row>
    <row r="2117" spans="1:6" hidden="1" outlineLevel="1" collapsed="1" x14ac:dyDescent="0.25">
      <c r="A2117" s="321" t="s">
        <v>282</v>
      </c>
      <c r="B2117" s="321" t="s">
        <v>384</v>
      </c>
      <c r="C2117" s="293">
        <v>2340.8408039999999</v>
      </c>
      <c r="D2117" s="293">
        <v>0</v>
      </c>
      <c r="E2117" s="293">
        <v>-2340.8408039999999</v>
      </c>
      <c r="F2117" s="294" t="s">
        <v>286</v>
      </c>
    </row>
    <row r="2118" spans="1:6" hidden="1" outlineLevel="1" collapsed="1" x14ac:dyDescent="0.25">
      <c r="A2118" s="321" t="s">
        <v>282</v>
      </c>
      <c r="B2118" s="321" t="s">
        <v>385</v>
      </c>
      <c r="C2118" s="293">
        <v>0</v>
      </c>
      <c r="D2118" s="293">
        <v>3052.3403499999999</v>
      </c>
      <c r="E2118" s="293">
        <v>3052.3403499999999</v>
      </c>
      <c r="F2118" s="294" t="s">
        <v>298</v>
      </c>
    </row>
    <row r="2119" spans="1:6" hidden="1" outlineLevel="1" collapsed="1" x14ac:dyDescent="0.25">
      <c r="A2119" s="321" t="s">
        <v>282</v>
      </c>
      <c r="B2119" s="321" t="s">
        <v>386</v>
      </c>
      <c r="C2119" s="293">
        <v>1153.673528</v>
      </c>
      <c r="D2119" s="293">
        <v>0</v>
      </c>
      <c r="E2119" s="293">
        <v>-1153.673528</v>
      </c>
      <c r="F2119" s="294" t="s">
        <v>286</v>
      </c>
    </row>
    <row r="2120" spans="1:6" hidden="1" outlineLevel="1" collapsed="1" x14ac:dyDescent="0.25">
      <c r="A2120" s="321" t="s">
        <v>282</v>
      </c>
      <c r="B2120" s="321" t="s">
        <v>387</v>
      </c>
      <c r="C2120" s="293">
        <v>0</v>
      </c>
      <c r="D2120" s="293">
        <v>1218.499141</v>
      </c>
      <c r="E2120" s="293">
        <v>1218.499141</v>
      </c>
      <c r="F2120" s="294" t="s">
        <v>298</v>
      </c>
    </row>
    <row r="2121" spans="1:6" hidden="1" outlineLevel="1" collapsed="1" x14ac:dyDescent="0.25">
      <c r="A2121" s="321" t="s">
        <v>282</v>
      </c>
      <c r="B2121" s="321" t="s">
        <v>388</v>
      </c>
      <c r="C2121" s="293">
        <v>269.810744</v>
      </c>
      <c r="D2121" s="293">
        <v>284.97157099999998</v>
      </c>
      <c r="E2121" s="293">
        <v>15.160826999999999</v>
      </c>
      <c r="F2121" s="294" t="s">
        <v>1024</v>
      </c>
    </row>
    <row r="2122" spans="1:6" hidden="1" outlineLevel="1" collapsed="1" x14ac:dyDescent="0.25">
      <c r="A2122" s="321" t="s">
        <v>282</v>
      </c>
      <c r="B2122" s="321" t="s">
        <v>389</v>
      </c>
      <c r="C2122" s="293">
        <v>106.5312</v>
      </c>
      <c r="D2122" s="293">
        <v>105.51</v>
      </c>
      <c r="E2122" s="293">
        <v>-1.0212000000000001</v>
      </c>
      <c r="F2122" s="294" t="s">
        <v>364</v>
      </c>
    </row>
    <row r="2123" spans="1:6" hidden="1" outlineLevel="1" collapsed="1" x14ac:dyDescent="0.25">
      <c r="A2123" s="321" t="s">
        <v>282</v>
      </c>
      <c r="B2123" s="321" t="s">
        <v>390</v>
      </c>
      <c r="C2123" s="293">
        <v>3871.3175000000001</v>
      </c>
      <c r="D2123" s="293">
        <v>3989.82</v>
      </c>
      <c r="E2123" s="293">
        <v>118.5025</v>
      </c>
      <c r="F2123" s="294" t="s">
        <v>391</v>
      </c>
    </row>
    <row r="2124" spans="1:6" hidden="1" outlineLevel="1" collapsed="1" x14ac:dyDescent="0.25">
      <c r="A2124" s="321" t="s">
        <v>282</v>
      </c>
      <c r="B2124" s="321" t="s">
        <v>392</v>
      </c>
      <c r="C2124" s="293">
        <v>58.384799999999998</v>
      </c>
      <c r="D2124" s="293">
        <v>45.72</v>
      </c>
      <c r="E2124" s="293">
        <v>-12.6648</v>
      </c>
      <c r="F2124" s="294" t="s">
        <v>368</v>
      </c>
    </row>
    <row r="2125" spans="1:6" hidden="1" outlineLevel="1" collapsed="1" x14ac:dyDescent="0.25">
      <c r="A2125" s="321" t="s">
        <v>282</v>
      </c>
      <c r="B2125" s="321" t="s">
        <v>393</v>
      </c>
      <c r="C2125" s="293">
        <v>9.3038170000000004</v>
      </c>
      <c r="D2125" s="293">
        <v>9.8266050000000007</v>
      </c>
      <c r="E2125" s="293">
        <v>0.52278800000000003</v>
      </c>
      <c r="F2125" s="294" t="s">
        <v>1024</v>
      </c>
    </row>
    <row r="2126" spans="1:6" hidden="1" outlineLevel="1" collapsed="1" x14ac:dyDescent="0.25">
      <c r="A2126" s="321" t="s">
        <v>282</v>
      </c>
      <c r="B2126" s="321" t="s">
        <v>394</v>
      </c>
      <c r="C2126" s="293">
        <v>375</v>
      </c>
      <c r="D2126" s="293">
        <v>0</v>
      </c>
      <c r="E2126" s="293">
        <v>-375</v>
      </c>
      <c r="F2126" s="294" t="s">
        <v>286</v>
      </c>
    </row>
    <row r="2127" spans="1:6" hidden="1" outlineLevel="1" collapsed="1" x14ac:dyDescent="0.25">
      <c r="A2127" s="321" t="s">
        <v>282</v>
      </c>
      <c r="B2127" s="321" t="s">
        <v>395</v>
      </c>
      <c r="C2127" s="293">
        <v>0</v>
      </c>
      <c r="D2127" s="293">
        <v>375</v>
      </c>
      <c r="E2127" s="293">
        <v>375</v>
      </c>
      <c r="F2127" s="294" t="s">
        <v>298</v>
      </c>
    </row>
    <row r="2128" spans="1:6" hidden="1" outlineLevel="1" collapsed="1" x14ac:dyDescent="0.25">
      <c r="A2128" s="321" t="s">
        <v>282</v>
      </c>
      <c r="B2128" s="321" t="s">
        <v>396</v>
      </c>
      <c r="C2128" s="293">
        <v>12.42</v>
      </c>
      <c r="D2128" s="293">
        <v>0</v>
      </c>
      <c r="E2128" s="293">
        <v>-12.42</v>
      </c>
      <c r="F2128" s="294" t="s">
        <v>286</v>
      </c>
    </row>
    <row r="2129" spans="1:6" hidden="1" outlineLevel="1" collapsed="1" x14ac:dyDescent="0.25">
      <c r="A2129" s="321" t="s">
        <v>282</v>
      </c>
      <c r="B2129" s="321" t="s">
        <v>397</v>
      </c>
      <c r="C2129" s="293">
        <v>0</v>
      </c>
      <c r="D2129" s="293">
        <v>12.12</v>
      </c>
      <c r="E2129" s="293">
        <v>12.12</v>
      </c>
      <c r="F2129" s="294" t="s">
        <v>298</v>
      </c>
    </row>
    <row r="2130" spans="1:6" hidden="1" outlineLevel="1" collapsed="1" x14ac:dyDescent="0.25">
      <c r="A2130" s="321" t="s">
        <v>282</v>
      </c>
      <c r="B2130" s="321" t="s">
        <v>398</v>
      </c>
      <c r="C2130" s="293">
        <v>6</v>
      </c>
      <c r="D2130" s="293">
        <v>2.76</v>
      </c>
      <c r="E2130" s="293">
        <v>-3.24</v>
      </c>
      <c r="F2130" s="294" t="s">
        <v>374</v>
      </c>
    </row>
    <row r="2131" spans="1:6" hidden="1" outlineLevel="1" collapsed="1" x14ac:dyDescent="0.25">
      <c r="A2131" s="321" t="s">
        <v>282</v>
      </c>
      <c r="B2131" s="321" t="s">
        <v>843</v>
      </c>
      <c r="C2131" s="293">
        <v>0</v>
      </c>
      <c r="D2131" s="293">
        <v>380</v>
      </c>
      <c r="E2131" s="293">
        <v>380</v>
      </c>
      <c r="F2131" s="294" t="s">
        <v>298</v>
      </c>
    </row>
    <row r="2132" spans="1:6" collapsed="1" x14ac:dyDescent="0.25">
      <c r="A2132" s="560" t="s">
        <v>1025</v>
      </c>
      <c r="B2132" s="561"/>
      <c r="C2132" s="292">
        <v>0</v>
      </c>
      <c r="D2132" s="293">
        <v>5716</v>
      </c>
      <c r="E2132" s="293">
        <v>5716</v>
      </c>
      <c r="F2132" s="294" t="s">
        <v>298</v>
      </c>
    </row>
    <row r="2133" spans="1:6" hidden="1" outlineLevel="1" collapsed="1" x14ac:dyDescent="0.25">
      <c r="A2133" s="321" t="s">
        <v>282</v>
      </c>
      <c r="B2133" s="321" t="s">
        <v>1026</v>
      </c>
      <c r="C2133" s="293">
        <v>0</v>
      </c>
      <c r="D2133" s="293">
        <v>5716</v>
      </c>
      <c r="E2133" s="293">
        <v>5716</v>
      </c>
      <c r="F2133" s="294" t="s">
        <v>298</v>
      </c>
    </row>
    <row r="2134" spans="1:6" collapsed="1" x14ac:dyDescent="0.25">
      <c r="A2134" s="560" t="s">
        <v>1027</v>
      </c>
      <c r="B2134" s="561"/>
      <c r="C2134" s="292">
        <v>51841.994313000003</v>
      </c>
      <c r="D2134" s="293">
        <v>54627.453711000002</v>
      </c>
      <c r="E2134" s="293">
        <v>2785.459398</v>
      </c>
      <c r="F2134" s="294" t="s">
        <v>2105</v>
      </c>
    </row>
    <row r="2135" spans="1:6" hidden="1" outlineLevel="1" collapsed="1" x14ac:dyDescent="0.25">
      <c r="A2135" s="321" t="s">
        <v>282</v>
      </c>
      <c r="B2135" s="321" t="s">
        <v>750</v>
      </c>
      <c r="C2135" s="293">
        <v>21535.999997999999</v>
      </c>
      <c r="D2135" s="293">
        <v>22415.259999000002</v>
      </c>
      <c r="E2135" s="293">
        <v>879.26000099999999</v>
      </c>
      <c r="F2135" s="294" t="s">
        <v>1028</v>
      </c>
    </row>
    <row r="2136" spans="1:6" hidden="1" outlineLevel="1" collapsed="1" x14ac:dyDescent="0.25">
      <c r="A2136" s="321" t="s">
        <v>282</v>
      </c>
      <c r="B2136" s="321" t="s">
        <v>464</v>
      </c>
      <c r="C2136" s="293">
        <v>14476.815869</v>
      </c>
      <c r="D2136" s="293">
        <v>14866.764077</v>
      </c>
      <c r="E2136" s="293">
        <v>389.94820800000002</v>
      </c>
      <c r="F2136" s="294" t="s">
        <v>429</v>
      </c>
    </row>
    <row r="2137" spans="1:6" hidden="1" outlineLevel="1" collapsed="1" x14ac:dyDescent="0.25">
      <c r="A2137" s="321" t="s">
        <v>282</v>
      </c>
      <c r="B2137" s="321" t="s">
        <v>751</v>
      </c>
      <c r="C2137" s="293">
        <v>2810.4479970000002</v>
      </c>
      <c r="D2137" s="293">
        <v>0</v>
      </c>
      <c r="E2137" s="293">
        <v>-2810.4479970000002</v>
      </c>
      <c r="F2137" s="294" t="s">
        <v>286</v>
      </c>
    </row>
    <row r="2138" spans="1:6" hidden="1" outlineLevel="1" collapsed="1" x14ac:dyDescent="0.25">
      <c r="A2138" s="321" t="s">
        <v>282</v>
      </c>
      <c r="B2138" s="321" t="s">
        <v>752</v>
      </c>
      <c r="C2138" s="293">
        <v>0</v>
      </c>
      <c r="D2138" s="293">
        <v>3234.522015</v>
      </c>
      <c r="E2138" s="293">
        <v>3234.522015</v>
      </c>
      <c r="F2138" s="294" t="s">
        <v>298</v>
      </c>
    </row>
    <row r="2139" spans="1:6" hidden="1" outlineLevel="1" collapsed="1" x14ac:dyDescent="0.25">
      <c r="A2139" s="321" t="s">
        <v>282</v>
      </c>
      <c r="B2139" s="321" t="s">
        <v>384</v>
      </c>
      <c r="C2139" s="293">
        <v>1785.330436</v>
      </c>
      <c r="D2139" s="293">
        <v>0</v>
      </c>
      <c r="E2139" s="293">
        <v>-1785.330436</v>
      </c>
      <c r="F2139" s="294" t="s">
        <v>286</v>
      </c>
    </row>
    <row r="2140" spans="1:6" hidden="1" outlineLevel="1" collapsed="1" x14ac:dyDescent="0.25">
      <c r="A2140" s="321" t="s">
        <v>282</v>
      </c>
      <c r="B2140" s="321" t="s">
        <v>385</v>
      </c>
      <c r="C2140" s="293">
        <v>0</v>
      </c>
      <c r="D2140" s="293">
        <v>2264.6937760000001</v>
      </c>
      <c r="E2140" s="293">
        <v>2264.6937760000001</v>
      </c>
      <c r="F2140" s="294" t="s">
        <v>298</v>
      </c>
    </row>
    <row r="2141" spans="1:6" hidden="1" outlineLevel="1" collapsed="1" x14ac:dyDescent="0.25">
      <c r="A2141" s="321" t="s">
        <v>282</v>
      </c>
      <c r="B2141" s="321" t="s">
        <v>386</v>
      </c>
      <c r="C2141" s="293">
        <v>893.84258199999999</v>
      </c>
      <c r="D2141" s="293">
        <v>0</v>
      </c>
      <c r="E2141" s="293">
        <v>-893.84258199999999</v>
      </c>
      <c r="F2141" s="294" t="s">
        <v>286</v>
      </c>
    </row>
    <row r="2142" spans="1:6" hidden="1" outlineLevel="1" collapsed="1" x14ac:dyDescent="0.25">
      <c r="A2142" s="321" t="s">
        <v>282</v>
      </c>
      <c r="B2142" s="321" t="s">
        <v>387</v>
      </c>
      <c r="C2142" s="293">
        <v>0</v>
      </c>
      <c r="D2142" s="293">
        <v>918.01937099999998</v>
      </c>
      <c r="E2142" s="293">
        <v>918.01937099999998</v>
      </c>
      <c r="F2142" s="294" t="s">
        <v>298</v>
      </c>
    </row>
    <row r="2143" spans="1:6" hidden="1" outlineLevel="1" collapsed="1" x14ac:dyDescent="0.25">
      <c r="A2143" s="321" t="s">
        <v>282</v>
      </c>
      <c r="B2143" s="321" t="s">
        <v>753</v>
      </c>
      <c r="C2143" s="293">
        <v>1335.2319990000001</v>
      </c>
      <c r="D2143" s="293">
        <v>1389.746118</v>
      </c>
      <c r="E2143" s="293">
        <v>54.514119000000001</v>
      </c>
      <c r="F2143" s="294" t="s">
        <v>1028</v>
      </c>
    </row>
    <row r="2144" spans="1:6" hidden="1" outlineLevel="1" collapsed="1" x14ac:dyDescent="0.25">
      <c r="A2144" s="321" t="s">
        <v>282</v>
      </c>
      <c r="B2144" s="321" t="s">
        <v>388</v>
      </c>
      <c r="C2144" s="293">
        <v>521.31582700000001</v>
      </c>
      <c r="D2144" s="293">
        <v>539.71934699999997</v>
      </c>
      <c r="E2144" s="293">
        <v>18.40352</v>
      </c>
      <c r="F2144" s="294" t="s">
        <v>1029</v>
      </c>
    </row>
    <row r="2145" spans="1:6" hidden="1" outlineLevel="1" collapsed="1" x14ac:dyDescent="0.25">
      <c r="A2145" s="321" t="s">
        <v>282</v>
      </c>
      <c r="B2145" s="321" t="s">
        <v>389</v>
      </c>
      <c r="C2145" s="293">
        <v>127.83744</v>
      </c>
      <c r="D2145" s="293">
        <v>126.61199999999999</v>
      </c>
      <c r="E2145" s="293">
        <v>-1.2254400000000001</v>
      </c>
      <c r="F2145" s="294" t="s">
        <v>364</v>
      </c>
    </row>
    <row r="2146" spans="1:6" hidden="1" outlineLevel="1" collapsed="1" x14ac:dyDescent="0.25">
      <c r="A2146" s="321" t="s">
        <v>282</v>
      </c>
      <c r="B2146" s="321" t="s">
        <v>390</v>
      </c>
      <c r="C2146" s="293">
        <v>3097.0540000000001</v>
      </c>
      <c r="D2146" s="293">
        <v>3191.8560000000002</v>
      </c>
      <c r="E2146" s="293">
        <v>94.802000000000007</v>
      </c>
      <c r="F2146" s="294" t="s">
        <v>391</v>
      </c>
    </row>
    <row r="2147" spans="1:6" hidden="1" outlineLevel="1" collapsed="1" x14ac:dyDescent="0.25">
      <c r="A2147" s="321" t="s">
        <v>282</v>
      </c>
      <c r="B2147" s="321" t="s">
        <v>392</v>
      </c>
      <c r="C2147" s="293">
        <v>70.061760000000007</v>
      </c>
      <c r="D2147" s="293">
        <v>54.863999999999997</v>
      </c>
      <c r="E2147" s="293">
        <v>-15.197760000000001</v>
      </c>
      <c r="F2147" s="294" t="s">
        <v>368</v>
      </c>
    </row>
    <row r="2148" spans="1:6" hidden="1" outlineLevel="1" collapsed="1" x14ac:dyDescent="0.25">
      <c r="A2148" s="321" t="s">
        <v>282</v>
      </c>
      <c r="B2148" s="321" t="s">
        <v>754</v>
      </c>
      <c r="C2148" s="293">
        <v>3839.64</v>
      </c>
      <c r="D2148" s="293">
        <v>3989.82</v>
      </c>
      <c r="E2148" s="293">
        <v>150.18</v>
      </c>
      <c r="F2148" s="294" t="s">
        <v>366</v>
      </c>
    </row>
    <row r="2149" spans="1:6" hidden="1" outlineLevel="1" collapsed="1" x14ac:dyDescent="0.25">
      <c r="A2149" s="321" t="s">
        <v>282</v>
      </c>
      <c r="B2149" s="321" t="s">
        <v>755</v>
      </c>
      <c r="C2149" s="293">
        <v>106.5312</v>
      </c>
      <c r="D2149" s="293">
        <v>105.51</v>
      </c>
      <c r="E2149" s="293">
        <v>-1.0212000000000001</v>
      </c>
      <c r="F2149" s="294" t="s">
        <v>364</v>
      </c>
    </row>
    <row r="2150" spans="1:6" hidden="1" outlineLevel="1" collapsed="1" x14ac:dyDescent="0.25">
      <c r="A2150" s="321" t="s">
        <v>282</v>
      </c>
      <c r="B2150" s="321" t="s">
        <v>756</v>
      </c>
      <c r="C2150" s="293">
        <v>58.384799999999998</v>
      </c>
      <c r="D2150" s="293">
        <v>45.72</v>
      </c>
      <c r="E2150" s="293">
        <v>-12.6648</v>
      </c>
      <c r="F2150" s="294" t="s">
        <v>368</v>
      </c>
    </row>
    <row r="2151" spans="1:6" hidden="1" outlineLevel="1" collapsed="1" x14ac:dyDescent="0.25">
      <c r="A2151" s="321" t="s">
        <v>282</v>
      </c>
      <c r="B2151" s="321" t="s">
        <v>393</v>
      </c>
      <c r="C2151" s="293">
        <v>7.2084060000000001</v>
      </c>
      <c r="D2151" s="293">
        <v>7.4033800000000003</v>
      </c>
      <c r="E2151" s="293">
        <v>0.19497400000000001</v>
      </c>
      <c r="F2151" s="294" t="s">
        <v>1030</v>
      </c>
    </row>
    <row r="2152" spans="1:6" hidden="1" outlineLevel="1" collapsed="1" x14ac:dyDescent="0.25">
      <c r="A2152" s="321" t="s">
        <v>282</v>
      </c>
      <c r="B2152" s="321" t="s">
        <v>757</v>
      </c>
      <c r="C2152" s="293">
        <v>10.767999</v>
      </c>
      <c r="D2152" s="293">
        <v>0</v>
      </c>
      <c r="E2152" s="293">
        <v>-10.767999</v>
      </c>
      <c r="F2152" s="294" t="s">
        <v>286</v>
      </c>
    </row>
    <row r="2153" spans="1:6" hidden="1" outlineLevel="1" collapsed="1" x14ac:dyDescent="0.25">
      <c r="A2153" s="321" t="s">
        <v>282</v>
      </c>
      <c r="B2153" s="321" t="s">
        <v>758</v>
      </c>
      <c r="C2153" s="293">
        <v>0</v>
      </c>
      <c r="D2153" s="293">
        <v>11.207628</v>
      </c>
      <c r="E2153" s="293">
        <v>11.207628</v>
      </c>
      <c r="F2153" s="294" t="s">
        <v>298</v>
      </c>
    </row>
    <row r="2154" spans="1:6" hidden="1" outlineLevel="1" collapsed="1" x14ac:dyDescent="0.25">
      <c r="A2154" s="321" t="s">
        <v>282</v>
      </c>
      <c r="B2154" s="321" t="s">
        <v>394</v>
      </c>
      <c r="C2154" s="293">
        <v>450</v>
      </c>
      <c r="D2154" s="293">
        <v>0</v>
      </c>
      <c r="E2154" s="293">
        <v>-450</v>
      </c>
      <c r="F2154" s="294" t="s">
        <v>286</v>
      </c>
    </row>
    <row r="2155" spans="1:6" hidden="1" outlineLevel="1" collapsed="1" x14ac:dyDescent="0.25">
      <c r="A2155" s="321" t="s">
        <v>282</v>
      </c>
      <c r="B2155" s="321" t="s">
        <v>395</v>
      </c>
      <c r="C2155" s="293">
        <v>0</v>
      </c>
      <c r="D2155" s="293">
        <v>450</v>
      </c>
      <c r="E2155" s="293">
        <v>450</v>
      </c>
      <c r="F2155" s="294" t="s">
        <v>298</v>
      </c>
    </row>
    <row r="2156" spans="1:6" hidden="1" outlineLevel="1" collapsed="1" x14ac:dyDescent="0.25">
      <c r="A2156" s="321" t="s">
        <v>282</v>
      </c>
      <c r="B2156" s="321" t="s">
        <v>759</v>
      </c>
      <c r="C2156" s="293">
        <v>375</v>
      </c>
      <c r="D2156" s="293">
        <v>0</v>
      </c>
      <c r="E2156" s="293">
        <v>-375</v>
      </c>
      <c r="F2156" s="294" t="s">
        <v>286</v>
      </c>
    </row>
    <row r="2157" spans="1:6" hidden="1" outlineLevel="1" collapsed="1" x14ac:dyDescent="0.25">
      <c r="A2157" s="321" t="s">
        <v>282</v>
      </c>
      <c r="B2157" s="321" t="s">
        <v>760</v>
      </c>
      <c r="C2157" s="293">
        <v>0</v>
      </c>
      <c r="D2157" s="293">
        <v>375</v>
      </c>
      <c r="E2157" s="293">
        <v>375</v>
      </c>
      <c r="F2157" s="294" t="s">
        <v>298</v>
      </c>
    </row>
    <row r="2158" spans="1:6" hidden="1" outlineLevel="1" collapsed="1" x14ac:dyDescent="0.25">
      <c r="A2158" s="321" t="s">
        <v>282</v>
      </c>
      <c r="B2158" s="321" t="s">
        <v>396</v>
      </c>
      <c r="C2158" s="293">
        <v>14.904</v>
      </c>
      <c r="D2158" s="293">
        <v>0</v>
      </c>
      <c r="E2158" s="293">
        <v>-14.904</v>
      </c>
      <c r="F2158" s="294" t="s">
        <v>286</v>
      </c>
    </row>
    <row r="2159" spans="1:6" hidden="1" outlineLevel="1" collapsed="1" x14ac:dyDescent="0.25">
      <c r="A2159" s="321" t="s">
        <v>282</v>
      </c>
      <c r="B2159" s="321" t="s">
        <v>397</v>
      </c>
      <c r="C2159" s="293">
        <v>0</v>
      </c>
      <c r="D2159" s="293">
        <v>14.544</v>
      </c>
      <c r="E2159" s="293">
        <v>14.544</v>
      </c>
      <c r="F2159" s="294" t="s">
        <v>298</v>
      </c>
    </row>
    <row r="2160" spans="1:6" hidden="1" outlineLevel="1" collapsed="1" x14ac:dyDescent="0.25">
      <c r="A2160" s="321" t="s">
        <v>282</v>
      </c>
      <c r="B2160" s="321" t="s">
        <v>761</v>
      </c>
      <c r="C2160" s="293">
        <v>12.42</v>
      </c>
      <c r="D2160" s="293">
        <v>0</v>
      </c>
      <c r="E2160" s="293">
        <v>-12.42</v>
      </c>
      <c r="F2160" s="294" t="s">
        <v>286</v>
      </c>
    </row>
    <row r="2161" spans="1:6" hidden="1" outlineLevel="1" collapsed="1" x14ac:dyDescent="0.25">
      <c r="A2161" s="321" t="s">
        <v>282</v>
      </c>
      <c r="B2161" s="321" t="s">
        <v>762</v>
      </c>
      <c r="C2161" s="293">
        <v>0</v>
      </c>
      <c r="D2161" s="293">
        <v>12.12</v>
      </c>
      <c r="E2161" s="293">
        <v>12.12</v>
      </c>
      <c r="F2161" s="294" t="s">
        <v>298</v>
      </c>
    </row>
    <row r="2162" spans="1:6" hidden="1" outlineLevel="1" collapsed="1" x14ac:dyDescent="0.25">
      <c r="A2162" s="321" t="s">
        <v>282</v>
      </c>
      <c r="B2162" s="321" t="s">
        <v>398</v>
      </c>
      <c r="C2162" s="293">
        <v>7.2</v>
      </c>
      <c r="D2162" s="293">
        <v>3.3119999999999998</v>
      </c>
      <c r="E2162" s="293">
        <v>-3.8879999999999999</v>
      </c>
      <c r="F2162" s="294" t="s">
        <v>374</v>
      </c>
    </row>
    <row r="2163" spans="1:6" hidden="1" outlineLevel="1" collapsed="1" x14ac:dyDescent="0.25">
      <c r="A2163" s="321" t="s">
        <v>282</v>
      </c>
      <c r="B2163" s="321" t="s">
        <v>763</v>
      </c>
      <c r="C2163" s="293">
        <v>6</v>
      </c>
      <c r="D2163" s="293">
        <v>2.76</v>
      </c>
      <c r="E2163" s="293">
        <v>-3.24</v>
      </c>
      <c r="F2163" s="294" t="s">
        <v>374</v>
      </c>
    </row>
    <row r="2164" spans="1:6" hidden="1" outlineLevel="1" collapsed="1" x14ac:dyDescent="0.25">
      <c r="A2164" s="321" t="s">
        <v>282</v>
      </c>
      <c r="B2164" s="321" t="s">
        <v>522</v>
      </c>
      <c r="C2164" s="293">
        <v>300</v>
      </c>
      <c r="D2164" s="293">
        <v>300</v>
      </c>
      <c r="E2164" s="293">
        <v>0</v>
      </c>
      <c r="F2164" s="294" t="s">
        <v>316</v>
      </c>
    </row>
    <row r="2165" spans="1:6" hidden="1" outlineLevel="1" collapsed="1" x14ac:dyDescent="0.25">
      <c r="A2165" s="321" t="s">
        <v>282</v>
      </c>
      <c r="B2165" s="321" t="s">
        <v>422</v>
      </c>
      <c r="C2165" s="293">
        <v>0</v>
      </c>
      <c r="D2165" s="293">
        <v>308</v>
      </c>
      <c r="E2165" s="293">
        <v>308</v>
      </c>
      <c r="F2165" s="294" t="s">
        <v>298</v>
      </c>
    </row>
    <row r="2166" spans="1:6" collapsed="1" x14ac:dyDescent="0.25">
      <c r="A2166" s="560" t="s">
        <v>1031</v>
      </c>
      <c r="B2166" s="561"/>
      <c r="C2166" s="292">
        <v>8201</v>
      </c>
      <c r="D2166" s="293">
        <v>55888</v>
      </c>
      <c r="E2166" s="293">
        <v>47687</v>
      </c>
      <c r="F2166" s="294" t="s">
        <v>1032</v>
      </c>
    </row>
    <row r="2167" spans="1:6" hidden="1" outlineLevel="1" collapsed="1" x14ac:dyDescent="0.25">
      <c r="A2167" s="321" t="s">
        <v>282</v>
      </c>
      <c r="B2167" s="321" t="s">
        <v>424</v>
      </c>
      <c r="C2167" s="293">
        <v>0</v>
      </c>
      <c r="D2167" s="293">
        <v>10000</v>
      </c>
      <c r="E2167" s="293">
        <v>10000</v>
      </c>
      <c r="F2167" s="294" t="s">
        <v>298</v>
      </c>
    </row>
    <row r="2168" spans="1:6" hidden="1" outlineLevel="1" collapsed="1" x14ac:dyDescent="0.25">
      <c r="A2168" s="321" t="s">
        <v>282</v>
      </c>
      <c r="B2168" s="321" t="s">
        <v>376</v>
      </c>
      <c r="C2168" s="293">
        <v>0</v>
      </c>
      <c r="D2168" s="293">
        <v>5087</v>
      </c>
      <c r="E2168" s="293">
        <v>5087</v>
      </c>
      <c r="F2168" s="294" t="s">
        <v>298</v>
      </c>
    </row>
    <row r="2169" spans="1:6" hidden="1" outlineLevel="1" collapsed="1" x14ac:dyDescent="0.25">
      <c r="A2169" s="321" t="s">
        <v>282</v>
      </c>
      <c r="B2169" s="321" t="s">
        <v>952</v>
      </c>
      <c r="C2169" s="293">
        <v>0</v>
      </c>
      <c r="D2169" s="293">
        <v>600</v>
      </c>
      <c r="E2169" s="293">
        <v>600</v>
      </c>
      <c r="F2169" s="294" t="s">
        <v>298</v>
      </c>
    </row>
    <row r="2170" spans="1:6" hidden="1" outlineLevel="1" collapsed="1" x14ac:dyDescent="0.25">
      <c r="A2170" s="321" t="s">
        <v>282</v>
      </c>
      <c r="B2170" s="321" t="s">
        <v>482</v>
      </c>
      <c r="C2170" s="293">
        <v>0</v>
      </c>
      <c r="D2170" s="293">
        <v>20000</v>
      </c>
      <c r="E2170" s="293">
        <v>20000</v>
      </c>
      <c r="F2170" s="294" t="s">
        <v>298</v>
      </c>
    </row>
    <row r="2171" spans="1:6" hidden="1" outlineLevel="1" collapsed="1" x14ac:dyDescent="0.25">
      <c r="A2171" s="321" t="s">
        <v>282</v>
      </c>
      <c r="B2171" s="321" t="s">
        <v>401</v>
      </c>
      <c r="C2171" s="293">
        <v>0</v>
      </c>
      <c r="D2171" s="293">
        <v>0</v>
      </c>
      <c r="E2171" s="293">
        <v>0</v>
      </c>
      <c r="F2171" s="294" t="s">
        <v>316</v>
      </c>
    </row>
    <row r="2172" spans="1:6" hidden="1" outlineLevel="1" collapsed="1" x14ac:dyDescent="0.25">
      <c r="A2172" s="321" t="s">
        <v>282</v>
      </c>
      <c r="B2172" s="321" t="s">
        <v>405</v>
      </c>
      <c r="C2172" s="293">
        <v>0</v>
      </c>
      <c r="D2172" s="293">
        <v>0</v>
      </c>
      <c r="E2172" s="293">
        <v>0</v>
      </c>
      <c r="F2172" s="294" t="s">
        <v>316</v>
      </c>
    </row>
    <row r="2173" spans="1:6" hidden="1" outlineLevel="1" collapsed="1" x14ac:dyDescent="0.25">
      <c r="A2173" s="321" t="s">
        <v>282</v>
      </c>
      <c r="B2173" s="321" t="s">
        <v>557</v>
      </c>
      <c r="C2173" s="293">
        <v>8201</v>
      </c>
      <c r="D2173" s="293">
        <v>20201</v>
      </c>
      <c r="E2173" s="293">
        <v>12000</v>
      </c>
      <c r="F2173" s="294" t="s">
        <v>1033</v>
      </c>
    </row>
    <row r="2174" spans="1:6" collapsed="1" x14ac:dyDescent="0.25">
      <c r="A2174" s="560" t="s">
        <v>1034</v>
      </c>
      <c r="B2174" s="561"/>
      <c r="C2174" s="292">
        <v>56655</v>
      </c>
      <c r="D2174" s="293">
        <v>56870</v>
      </c>
      <c r="E2174" s="293">
        <v>215</v>
      </c>
      <c r="F2174" s="294" t="s">
        <v>1035</v>
      </c>
    </row>
    <row r="2175" spans="1:6" hidden="1" outlineLevel="1" collapsed="1" x14ac:dyDescent="0.25">
      <c r="A2175" s="321" t="s">
        <v>282</v>
      </c>
      <c r="B2175" s="321" t="s">
        <v>376</v>
      </c>
      <c r="C2175" s="293">
        <v>1633.23</v>
      </c>
      <c r="D2175" s="293">
        <v>2300</v>
      </c>
      <c r="E2175" s="293">
        <v>666.77</v>
      </c>
      <c r="F2175" s="294" t="s">
        <v>2106</v>
      </c>
    </row>
    <row r="2176" spans="1:6" hidden="1" outlineLevel="1" collapsed="1" x14ac:dyDescent="0.25">
      <c r="A2176" s="321" t="s">
        <v>282</v>
      </c>
      <c r="B2176" s="321" t="s">
        <v>567</v>
      </c>
      <c r="C2176" s="293">
        <v>910</v>
      </c>
      <c r="D2176" s="293">
        <v>500</v>
      </c>
      <c r="E2176" s="293">
        <v>-410</v>
      </c>
      <c r="F2176" s="294" t="s">
        <v>2107</v>
      </c>
    </row>
    <row r="2177" spans="1:6" hidden="1" outlineLevel="1" collapsed="1" x14ac:dyDescent="0.25">
      <c r="A2177" s="321" t="s">
        <v>282</v>
      </c>
      <c r="B2177" s="321" t="s">
        <v>426</v>
      </c>
      <c r="C2177" s="293">
        <v>0</v>
      </c>
      <c r="D2177" s="293">
        <v>200</v>
      </c>
      <c r="E2177" s="293">
        <v>200</v>
      </c>
      <c r="F2177" s="294" t="s">
        <v>298</v>
      </c>
    </row>
    <row r="2178" spans="1:6" hidden="1" outlineLevel="1" collapsed="1" x14ac:dyDescent="0.25">
      <c r="A2178" s="321" t="s">
        <v>282</v>
      </c>
      <c r="B2178" s="321" t="s">
        <v>416</v>
      </c>
      <c r="C2178" s="293">
        <v>39015.660000000003</v>
      </c>
      <c r="D2178" s="293">
        <v>37200</v>
      </c>
      <c r="E2178" s="293">
        <v>-1815.66</v>
      </c>
      <c r="F2178" s="294" t="s">
        <v>865</v>
      </c>
    </row>
    <row r="2179" spans="1:6" hidden="1" outlineLevel="1" collapsed="1" x14ac:dyDescent="0.25">
      <c r="A2179" s="321" t="s">
        <v>282</v>
      </c>
      <c r="B2179" s="321" t="s">
        <v>405</v>
      </c>
      <c r="C2179" s="293">
        <v>4766.1099999999997</v>
      </c>
      <c r="D2179" s="293">
        <v>12370</v>
      </c>
      <c r="E2179" s="293">
        <v>7603.89</v>
      </c>
      <c r="F2179" s="294" t="s">
        <v>2108</v>
      </c>
    </row>
    <row r="2180" spans="1:6" hidden="1" outlineLevel="1" collapsed="1" x14ac:dyDescent="0.25">
      <c r="A2180" s="321" t="s">
        <v>282</v>
      </c>
      <c r="B2180" s="321" t="s">
        <v>557</v>
      </c>
      <c r="C2180" s="293">
        <v>10330</v>
      </c>
      <c r="D2180" s="293">
        <v>4300</v>
      </c>
      <c r="E2180" s="293">
        <v>-6030</v>
      </c>
      <c r="F2180" s="294" t="s">
        <v>1038</v>
      </c>
    </row>
    <row r="2181" spans="1:6" collapsed="1" x14ac:dyDescent="0.25">
      <c r="A2181" s="560" t="s">
        <v>1039</v>
      </c>
      <c r="B2181" s="561"/>
      <c r="C2181" s="292">
        <v>4938</v>
      </c>
      <c r="D2181" s="293">
        <v>4938</v>
      </c>
      <c r="E2181" s="293">
        <v>0</v>
      </c>
      <c r="F2181" s="294" t="s">
        <v>316</v>
      </c>
    </row>
    <row r="2182" spans="1:6" hidden="1" outlineLevel="1" collapsed="1" x14ac:dyDescent="0.25">
      <c r="A2182" s="321" t="s">
        <v>282</v>
      </c>
      <c r="B2182" s="321" t="s">
        <v>505</v>
      </c>
      <c r="C2182" s="293">
        <v>0</v>
      </c>
      <c r="D2182" s="293">
        <v>998</v>
      </c>
      <c r="E2182" s="293">
        <v>998</v>
      </c>
      <c r="F2182" s="294" t="s">
        <v>298</v>
      </c>
    </row>
    <row r="2183" spans="1:6" hidden="1" outlineLevel="1" collapsed="1" x14ac:dyDescent="0.25">
      <c r="A2183" s="321" t="s">
        <v>282</v>
      </c>
      <c r="B2183" s="321" t="s">
        <v>506</v>
      </c>
      <c r="C2183" s="293">
        <v>1917</v>
      </c>
      <c r="D2183" s="293">
        <v>0</v>
      </c>
      <c r="E2183" s="293">
        <v>-1917</v>
      </c>
      <c r="F2183" s="294" t="s">
        <v>286</v>
      </c>
    </row>
    <row r="2184" spans="1:6" hidden="1" outlineLevel="1" collapsed="1" x14ac:dyDescent="0.25">
      <c r="A2184" s="321" t="s">
        <v>282</v>
      </c>
      <c r="B2184" s="321" t="s">
        <v>401</v>
      </c>
      <c r="C2184" s="293">
        <v>1535</v>
      </c>
      <c r="D2184" s="293">
        <v>2490</v>
      </c>
      <c r="E2184" s="293">
        <v>955</v>
      </c>
      <c r="F2184" s="294" t="s">
        <v>1040</v>
      </c>
    </row>
    <row r="2185" spans="1:6" hidden="1" outlineLevel="1" collapsed="1" x14ac:dyDescent="0.25">
      <c r="A2185" s="321" t="s">
        <v>282</v>
      </c>
      <c r="B2185" s="321" t="s">
        <v>626</v>
      </c>
      <c r="C2185" s="293">
        <v>0</v>
      </c>
      <c r="D2185" s="293">
        <v>0</v>
      </c>
      <c r="E2185" s="293">
        <v>0</v>
      </c>
      <c r="F2185" s="294" t="s">
        <v>316</v>
      </c>
    </row>
    <row r="2186" spans="1:6" hidden="1" outlineLevel="1" collapsed="1" x14ac:dyDescent="0.25">
      <c r="A2186" s="321" t="s">
        <v>282</v>
      </c>
      <c r="B2186" s="321" t="s">
        <v>405</v>
      </c>
      <c r="C2186" s="293">
        <v>0</v>
      </c>
      <c r="D2186" s="293">
        <v>0</v>
      </c>
      <c r="E2186" s="293">
        <v>0</v>
      </c>
      <c r="F2186" s="294" t="s">
        <v>316</v>
      </c>
    </row>
    <row r="2187" spans="1:6" hidden="1" outlineLevel="1" collapsed="1" x14ac:dyDescent="0.25">
      <c r="A2187" s="321" t="s">
        <v>282</v>
      </c>
      <c r="B2187" s="321" t="s">
        <v>557</v>
      </c>
      <c r="C2187" s="293">
        <v>1486</v>
      </c>
      <c r="D2187" s="293">
        <v>1450</v>
      </c>
      <c r="E2187" s="293">
        <v>-36</v>
      </c>
      <c r="F2187" s="294" t="s">
        <v>372</v>
      </c>
    </row>
    <row r="2188" spans="1:6" collapsed="1" x14ac:dyDescent="0.25">
      <c r="A2188" s="560" t="s">
        <v>1041</v>
      </c>
      <c r="B2188" s="561"/>
      <c r="C2188" s="292">
        <v>24637</v>
      </c>
      <c r="D2188" s="293">
        <v>25813</v>
      </c>
      <c r="E2188" s="293">
        <v>1176</v>
      </c>
      <c r="F2188" s="294" t="s">
        <v>1042</v>
      </c>
    </row>
    <row r="2189" spans="1:6" hidden="1" outlineLevel="1" collapsed="1" x14ac:dyDescent="0.25">
      <c r="A2189" s="321" t="s">
        <v>282</v>
      </c>
      <c r="B2189" s="321" t="s">
        <v>441</v>
      </c>
      <c r="C2189" s="293">
        <v>21824</v>
      </c>
      <c r="D2189" s="293">
        <v>23000</v>
      </c>
      <c r="E2189" s="293">
        <v>1176</v>
      </c>
      <c r="F2189" s="294" t="s">
        <v>1043</v>
      </c>
    </row>
    <row r="2190" spans="1:6" hidden="1" outlineLevel="1" collapsed="1" x14ac:dyDescent="0.25">
      <c r="A2190" s="321" t="s">
        <v>282</v>
      </c>
      <c r="B2190" s="321" t="s">
        <v>444</v>
      </c>
      <c r="C2190" s="293">
        <v>2813</v>
      </c>
      <c r="D2190" s="293">
        <v>2813</v>
      </c>
      <c r="E2190" s="293">
        <v>0</v>
      </c>
      <c r="F2190" s="294" t="s">
        <v>316</v>
      </c>
    </row>
    <row r="2191" spans="1:6" collapsed="1" x14ac:dyDescent="0.25">
      <c r="A2191" s="560" t="s">
        <v>1044</v>
      </c>
      <c r="B2191" s="561"/>
      <c r="C2191" s="292">
        <v>889710.60745000001</v>
      </c>
      <c r="D2191" s="293">
        <v>829247.22887200001</v>
      </c>
      <c r="E2191" s="293">
        <v>-60463.378578000003</v>
      </c>
      <c r="F2191" s="294" t="s">
        <v>2109</v>
      </c>
    </row>
    <row r="2192" spans="1:6" hidden="1" outlineLevel="1" collapsed="1" x14ac:dyDescent="0.25">
      <c r="A2192" s="321" t="s">
        <v>282</v>
      </c>
      <c r="B2192" s="321" t="s">
        <v>874</v>
      </c>
      <c r="C2192" s="293">
        <v>39146.519357999998</v>
      </c>
      <c r="D2192" s="293">
        <v>41718.960396000002</v>
      </c>
      <c r="E2192" s="293">
        <v>2572.4410379999999</v>
      </c>
      <c r="F2192" s="294" t="s">
        <v>816</v>
      </c>
    </row>
    <row r="2193" spans="1:6" hidden="1" outlineLevel="1" collapsed="1" x14ac:dyDescent="0.25">
      <c r="A2193" s="321" t="s">
        <v>282</v>
      </c>
      <c r="B2193" s="321" t="s">
        <v>464</v>
      </c>
      <c r="C2193" s="293">
        <v>359504.592748</v>
      </c>
      <c r="D2193" s="293">
        <v>350438.24804600002</v>
      </c>
      <c r="E2193" s="293">
        <v>-9066.3447020000003</v>
      </c>
      <c r="F2193" s="294" t="s">
        <v>2067</v>
      </c>
    </row>
    <row r="2194" spans="1:6" hidden="1" outlineLevel="1" collapsed="1" x14ac:dyDescent="0.25">
      <c r="A2194" s="321" t="s">
        <v>282</v>
      </c>
      <c r="B2194" s="321" t="s">
        <v>475</v>
      </c>
      <c r="C2194" s="293">
        <v>2000</v>
      </c>
      <c r="D2194" s="293">
        <v>2000</v>
      </c>
      <c r="E2194" s="293">
        <v>0</v>
      </c>
      <c r="F2194" s="294" t="s">
        <v>316</v>
      </c>
    </row>
    <row r="2195" spans="1:6" hidden="1" outlineLevel="1" collapsed="1" x14ac:dyDescent="0.25">
      <c r="A2195" s="321" t="s">
        <v>282</v>
      </c>
      <c r="B2195" s="321" t="s">
        <v>425</v>
      </c>
      <c r="C2195" s="293">
        <v>1300</v>
      </c>
      <c r="D2195" s="293">
        <v>1000</v>
      </c>
      <c r="E2195" s="293">
        <v>-300</v>
      </c>
      <c r="F2195" s="294" t="s">
        <v>2110</v>
      </c>
    </row>
    <row r="2196" spans="1:6" hidden="1" outlineLevel="1" collapsed="1" x14ac:dyDescent="0.25">
      <c r="A2196" s="321" t="s">
        <v>282</v>
      </c>
      <c r="B2196" s="321" t="s">
        <v>384</v>
      </c>
      <c r="C2196" s="293">
        <v>49911.289872000001</v>
      </c>
      <c r="D2196" s="293">
        <v>0</v>
      </c>
      <c r="E2196" s="293">
        <v>-49911.289872000001</v>
      </c>
      <c r="F2196" s="294" t="s">
        <v>286</v>
      </c>
    </row>
    <row r="2197" spans="1:6" hidden="1" outlineLevel="1" collapsed="1" x14ac:dyDescent="0.25">
      <c r="A2197" s="321" t="s">
        <v>282</v>
      </c>
      <c r="B2197" s="321" t="s">
        <v>385</v>
      </c>
      <c r="C2197" s="293">
        <v>0</v>
      </c>
      <c r="D2197" s="293">
        <v>60665.205526999998</v>
      </c>
      <c r="E2197" s="293">
        <v>60665.205526999998</v>
      </c>
      <c r="F2197" s="294" t="s">
        <v>298</v>
      </c>
    </row>
    <row r="2198" spans="1:6" hidden="1" outlineLevel="1" collapsed="1" x14ac:dyDescent="0.25">
      <c r="A2198" s="321" t="s">
        <v>282</v>
      </c>
      <c r="B2198" s="321" t="s">
        <v>386</v>
      </c>
      <c r="C2198" s="293">
        <v>24796.968882000001</v>
      </c>
      <c r="D2198" s="293">
        <v>0</v>
      </c>
      <c r="E2198" s="293">
        <v>-24796.968882000001</v>
      </c>
      <c r="F2198" s="294" t="s">
        <v>286</v>
      </c>
    </row>
    <row r="2199" spans="1:6" hidden="1" outlineLevel="1" collapsed="1" x14ac:dyDescent="0.25">
      <c r="A2199" s="321" t="s">
        <v>282</v>
      </c>
      <c r="B2199" s="321" t="s">
        <v>387</v>
      </c>
      <c r="C2199" s="293">
        <v>0</v>
      </c>
      <c r="D2199" s="293">
        <v>24375.746869999999</v>
      </c>
      <c r="E2199" s="293">
        <v>24375.746869999999</v>
      </c>
      <c r="F2199" s="294" t="s">
        <v>298</v>
      </c>
    </row>
    <row r="2200" spans="1:6" hidden="1" outlineLevel="1" collapsed="1" x14ac:dyDescent="0.25">
      <c r="A2200" s="321" t="s">
        <v>282</v>
      </c>
      <c r="B2200" s="321" t="s">
        <v>388</v>
      </c>
      <c r="C2200" s="293">
        <v>5799.2910840000004</v>
      </c>
      <c r="D2200" s="293">
        <v>5700.7794700000004</v>
      </c>
      <c r="E2200" s="293">
        <v>-98.511613999999994</v>
      </c>
      <c r="F2200" s="294" t="s">
        <v>1996</v>
      </c>
    </row>
    <row r="2201" spans="1:6" hidden="1" outlineLevel="1" collapsed="1" x14ac:dyDescent="0.25">
      <c r="A2201" s="321" t="s">
        <v>282</v>
      </c>
      <c r="B2201" s="321" t="s">
        <v>444</v>
      </c>
      <c r="C2201" s="293">
        <v>180</v>
      </c>
      <c r="D2201" s="293">
        <v>180</v>
      </c>
      <c r="E2201" s="293">
        <v>0</v>
      </c>
      <c r="F2201" s="294" t="s">
        <v>316</v>
      </c>
    </row>
    <row r="2202" spans="1:6" hidden="1" outlineLevel="1" collapsed="1" x14ac:dyDescent="0.25">
      <c r="A2202" s="321" t="s">
        <v>282</v>
      </c>
      <c r="B2202" s="321" t="s">
        <v>389</v>
      </c>
      <c r="C2202" s="293">
        <v>3195.9360000000001</v>
      </c>
      <c r="D2202" s="293">
        <v>2989.45</v>
      </c>
      <c r="E2202" s="293">
        <v>-206.48599999999999</v>
      </c>
      <c r="F2202" s="294" t="s">
        <v>2111</v>
      </c>
    </row>
    <row r="2203" spans="1:6" hidden="1" outlineLevel="1" collapsed="1" x14ac:dyDescent="0.25">
      <c r="A2203" s="321" t="s">
        <v>282</v>
      </c>
      <c r="B2203" s="321" t="s">
        <v>390</v>
      </c>
      <c r="C2203" s="293">
        <v>108396.89</v>
      </c>
      <c r="D2203" s="293">
        <v>105065.26</v>
      </c>
      <c r="E2203" s="293">
        <v>-3331.63</v>
      </c>
      <c r="F2203" s="294" t="s">
        <v>2112</v>
      </c>
    </row>
    <row r="2204" spans="1:6" hidden="1" outlineLevel="1" collapsed="1" x14ac:dyDescent="0.25">
      <c r="A2204" s="321" t="s">
        <v>282</v>
      </c>
      <c r="B2204" s="321" t="s">
        <v>392</v>
      </c>
      <c r="C2204" s="293">
        <v>1751.5440000000001</v>
      </c>
      <c r="D2204" s="293">
        <v>1295.4000000000001</v>
      </c>
      <c r="E2204" s="293">
        <v>-456.14400000000001</v>
      </c>
      <c r="F2204" s="294" t="s">
        <v>2113</v>
      </c>
    </row>
    <row r="2205" spans="1:6" hidden="1" outlineLevel="1" collapsed="1" x14ac:dyDescent="0.25">
      <c r="A2205" s="321" t="s">
        <v>282</v>
      </c>
      <c r="B2205" s="321" t="s">
        <v>393</v>
      </c>
      <c r="C2205" s="293">
        <v>199.975506</v>
      </c>
      <c r="D2205" s="293">
        <v>196.578563</v>
      </c>
      <c r="E2205" s="293">
        <v>-3.3969429999999998</v>
      </c>
      <c r="F2205" s="294" t="s">
        <v>1996</v>
      </c>
    </row>
    <row r="2206" spans="1:6" hidden="1" outlineLevel="1" collapsed="1" x14ac:dyDescent="0.25">
      <c r="A2206" s="321" t="s">
        <v>282</v>
      </c>
      <c r="B2206" s="321" t="s">
        <v>394</v>
      </c>
      <c r="C2206" s="293">
        <v>11250</v>
      </c>
      <c r="D2206" s="293">
        <v>0</v>
      </c>
      <c r="E2206" s="293">
        <v>-11250</v>
      </c>
      <c r="F2206" s="294" t="s">
        <v>286</v>
      </c>
    </row>
    <row r="2207" spans="1:6" hidden="1" outlineLevel="1" collapsed="1" x14ac:dyDescent="0.25">
      <c r="A2207" s="321" t="s">
        <v>282</v>
      </c>
      <c r="B2207" s="321" t="s">
        <v>395</v>
      </c>
      <c r="C2207" s="293">
        <v>0</v>
      </c>
      <c r="D2207" s="293">
        <v>10625</v>
      </c>
      <c r="E2207" s="293">
        <v>10625</v>
      </c>
      <c r="F2207" s="294" t="s">
        <v>298</v>
      </c>
    </row>
    <row r="2208" spans="1:6" hidden="1" outlineLevel="1" collapsed="1" x14ac:dyDescent="0.25">
      <c r="A2208" s="321" t="s">
        <v>282</v>
      </c>
      <c r="B2208" s="321" t="s">
        <v>396</v>
      </c>
      <c r="C2208" s="293">
        <v>372.6</v>
      </c>
      <c r="D2208" s="293">
        <v>0</v>
      </c>
      <c r="E2208" s="293">
        <v>-372.6</v>
      </c>
      <c r="F2208" s="294" t="s">
        <v>286</v>
      </c>
    </row>
    <row r="2209" spans="1:6" hidden="1" outlineLevel="1" collapsed="1" x14ac:dyDescent="0.25">
      <c r="A2209" s="321" t="s">
        <v>282</v>
      </c>
      <c r="B2209" s="321" t="s">
        <v>397</v>
      </c>
      <c r="C2209" s="293">
        <v>0</v>
      </c>
      <c r="D2209" s="293">
        <v>343.4</v>
      </c>
      <c r="E2209" s="293">
        <v>343.4</v>
      </c>
      <c r="F2209" s="294" t="s">
        <v>298</v>
      </c>
    </row>
    <row r="2210" spans="1:6" hidden="1" outlineLevel="1" collapsed="1" x14ac:dyDescent="0.25">
      <c r="A2210" s="321" t="s">
        <v>282</v>
      </c>
      <c r="B2210" s="321" t="s">
        <v>398</v>
      </c>
      <c r="C2210" s="293">
        <v>180</v>
      </c>
      <c r="D2210" s="293">
        <v>78.2</v>
      </c>
      <c r="E2210" s="293">
        <v>-101.8</v>
      </c>
      <c r="F2210" s="294" t="s">
        <v>2114</v>
      </c>
    </row>
    <row r="2211" spans="1:6" hidden="1" outlineLevel="1" collapsed="1" x14ac:dyDescent="0.25">
      <c r="A2211" s="321" t="s">
        <v>282</v>
      </c>
      <c r="B2211" s="321" t="s">
        <v>522</v>
      </c>
      <c r="C2211" s="293">
        <v>1500</v>
      </c>
      <c r="D2211" s="293">
        <v>1500</v>
      </c>
      <c r="E2211" s="293">
        <v>0</v>
      </c>
      <c r="F2211" s="294" t="s">
        <v>316</v>
      </c>
    </row>
    <row r="2212" spans="1:6" hidden="1" outlineLevel="1" collapsed="1" x14ac:dyDescent="0.25">
      <c r="A2212" s="321" t="s">
        <v>282</v>
      </c>
      <c r="B2212" s="321" t="s">
        <v>1046</v>
      </c>
      <c r="C2212" s="293">
        <v>104000</v>
      </c>
      <c r="D2212" s="293">
        <v>86650</v>
      </c>
      <c r="E2212" s="293">
        <v>-17350</v>
      </c>
      <c r="F2212" s="294" t="s">
        <v>2115</v>
      </c>
    </row>
    <row r="2213" spans="1:6" hidden="1" outlineLevel="1" collapsed="1" x14ac:dyDescent="0.25">
      <c r="A2213" s="321" t="s">
        <v>282</v>
      </c>
      <c r="B2213" s="321" t="s">
        <v>1048</v>
      </c>
      <c r="C2213" s="293">
        <v>42000</v>
      </c>
      <c r="D2213" s="293">
        <v>35500</v>
      </c>
      <c r="E2213" s="293">
        <v>-6500</v>
      </c>
      <c r="F2213" s="294" t="s">
        <v>1049</v>
      </c>
    </row>
    <row r="2214" spans="1:6" hidden="1" outlineLevel="1" collapsed="1" x14ac:dyDescent="0.25">
      <c r="A2214" s="321" t="s">
        <v>282</v>
      </c>
      <c r="B2214" s="321" t="s">
        <v>1050</v>
      </c>
      <c r="C2214" s="293">
        <v>16000</v>
      </c>
      <c r="D2214" s="293">
        <v>11000</v>
      </c>
      <c r="E2214" s="293">
        <v>-5000</v>
      </c>
      <c r="F2214" s="294" t="s">
        <v>2116</v>
      </c>
    </row>
    <row r="2215" spans="1:6" hidden="1" outlineLevel="1" collapsed="1" x14ac:dyDescent="0.25">
      <c r="A2215" s="321" t="s">
        <v>282</v>
      </c>
      <c r="B2215" s="321" t="s">
        <v>426</v>
      </c>
      <c r="C2215" s="293">
        <v>2000</v>
      </c>
      <c r="D2215" s="293">
        <v>2000</v>
      </c>
      <c r="E2215" s="293">
        <v>0</v>
      </c>
      <c r="F2215" s="294" t="s">
        <v>316</v>
      </c>
    </row>
    <row r="2216" spans="1:6" hidden="1" outlineLevel="1" collapsed="1" x14ac:dyDescent="0.25">
      <c r="A2216" s="321" t="s">
        <v>282</v>
      </c>
      <c r="B2216" s="321" t="s">
        <v>597</v>
      </c>
      <c r="C2216" s="293">
        <v>250</v>
      </c>
      <c r="D2216" s="293">
        <v>250</v>
      </c>
      <c r="E2216" s="293">
        <v>0</v>
      </c>
      <c r="F2216" s="294" t="s">
        <v>316</v>
      </c>
    </row>
    <row r="2217" spans="1:6" hidden="1" outlineLevel="1" collapsed="1" x14ac:dyDescent="0.25">
      <c r="A2217" s="321" t="s">
        <v>282</v>
      </c>
      <c r="B2217" s="321" t="s">
        <v>483</v>
      </c>
      <c r="C2217" s="293">
        <v>3000</v>
      </c>
      <c r="D2217" s="293">
        <v>3000</v>
      </c>
      <c r="E2217" s="293">
        <v>0</v>
      </c>
      <c r="F2217" s="294" t="s">
        <v>316</v>
      </c>
    </row>
    <row r="2218" spans="1:6" hidden="1" outlineLevel="1" collapsed="1" x14ac:dyDescent="0.25">
      <c r="A2218" s="321" t="s">
        <v>282</v>
      </c>
      <c r="B2218" s="321" t="s">
        <v>416</v>
      </c>
      <c r="C2218" s="293">
        <v>2000</v>
      </c>
      <c r="D2218" s="293">
        <v>2000</v>
      </c>
      <c r="E2218" s="293">
        <v>0</v>
      </c>
      <c r="F2218" s="294" t="s">
        <v>316</v>
      </c>
    </row>
    <row r="2219" spans="1:6" hidden="1" outlineLevel="1" collapsed="1" x14ac:dyDescent="0.25">
      <c r="A2219" s="321" t="s">
        <v>282</v>
      </c>
      <c r="B2219" s="321" t="s">
        <v>403</v>
      </c>
      <c r="C2219" s="293">
        <v>56175</v>
      </c>
      <c r="D2219" s="293">
        <v>45175</v>
      </c>
      <c r="E2219" s="293">
        <v>-11000</v>
      </c>
      <c r="F2219" s="294" t="s">
        <v>2117</v>
      </c>
    </row>
    <row r="2220" spans="1:6" hidden="1" outlineLevel="1" collapsed="1" x14ac:dyDescent="0.25">
      <c r="A2220" s="321" t="s">
        <v>282</v>
      </c>
      <c r="B2220" s="321" t="s">
        <v>1052</v>
      </c>
      <c r="C2220" s="293">
        <v>13000</v>
      </c>
      <c r="D2220" s="293">
        <v>10500</v>
      </c>
      <c r="E2220" s="293">
        <v>-2500</v>
      </c>
      <c r="F2220" s="294" t="s">
        <v>1627</v>
      </c>
    </row>
    <row r="2221" spans="1:6" hidden="1" outlineLevel="1" collapsed="1" x14ac:dyDescent="0.25">
      <c r="A2221" s="321" t="s">
        <v>282</v>
      </c>
      <c r="B2221" s="321" t="s">
        <v>1054</v>
      </c>
      <c r="C2221" s="293">
        <v>12000</v>
      </c>
      <c r="D2221" s="293">
        <v>20000</v>
      </c>
      <c r="E2221" s="293">
        <v>8000</v>
      </c>
      <c r="F2221" s="294" t="s">
        <v>829</v>
      </c>
    </row>
    <row r="2222" spans="1:6" hidden="1" outlineLevel="1" collapsed="1" x14ac:dyDescent="0.25">
      <c r="A2222" s="321" t="s">
        <v>282</v>
      </c>
      <c r="B2222" s="321" t="s">
        <v>422</v>
      </c>
      <c r="C2222" s="293">
        <v>29800</v>
      </c>
      <c r="D2222" s="293">
        <v>5000</v>
      </c>
      <c r="E2222" s="293">
        <v>-24800</v>
      </c>
      <c r="F2222" s="294" t="s">
        <v>1055</v>
      </c>
    </row>
    <row r="2223" spans="1:6" collapsed="1" x14ac:dyDescent="0.25">
      <c r="A2223" s="560" t="s">
        <v>1056</v>
      </c>
      <c r="B2223" s="561"/>
      <c r="C2223" s="292">
        <v>1701952.9911839999</v>
      </c>
      <c r="D2223" s="293">
        <v>1923743.139556</v>
      </c>
      <c r="E2223" s="293">
        <v>221790.148372</v>
      </c>
      <c r="F2223" s="294" t="s">
        <v>2118</v>
      </c>
    </row>
    <row r="2224" spans="1:6" hidden="1" outlineLevel="1" collapsed="1" x14ac:dyDescent="0.25">
      <c r="A2224" s="321" t="s">
        <v>282</v>
      </c>
      <c r="B2224" s="321" t="s">
        <v>874</v>
      </c>
      <c r="C2224" s="293">
        <v>33412.238552000003</v>
      </c>
      <c r="D2224" s="293">
        <v>49407.018259999997</v>
      </c>
      <c r="E2224" s="293">
        <v>15994.779708</v>
      </c>
      <c r="F2224" s="294" t="s">
        <v>2119</v>
      </c>
    </row>
    <row r="2225" spans="1:6" hidden="1" outlineLevel="1" collapsed="1" x14ac:dyDescent="0.25">
      <c r="A2225" s="321" t="s">
        <v>282</v>
      </c>
      <c r="B2225" s="321" t="s">
        <v>464</v>
      </c>
      <c r="C2225" s="293">
        <v>767793.81525999994</v>
      </c>
      <c r="D2225" s="293">
        <v>906585.43804699997</v>
      </c>
      <c r="E2225" s="293">
        <v>138791.622787</v>
      </c>
      <c r="F2225" s="294" t="s">
        <v>2120</v>
      </c>
    </row>
    <row r="2226" spans="1:6" hidden="1" outlineLevel="1" collapsed="1" x14ac:dyDescent="0.25">
      <c r="A2226" s="321" t="s">
        <v>282</v>
      </c>
      <c r="B2226" s="321" t="s">
        <v>475</v>
      </c>
      <c r="C2226" s="293">
        <v>10250</v>
      </c>
      <c r="D2226" s="293">
        <v>15250</v>
      </c>
      <c r="E2226" s="293">
        <v>5000</v>
      </c>
      <c r="F2226" s="294" t="s">
        <v>2121</v>
      </c>
    </row>
    <row r="2227" spans="1:6" hidden="1" outlineLevel="1" collapsed="1" x14ac:dyDescent="0.25">
      <c r="A2227" s="321" t="s">
        <v>282</v>
      </c>
      <c r="B2227" s="321" t="s">
        <v>476</v>
      </c>
      <c r="C2227" s="293">
        <v>140000</v>
      </c>
      <c r="D2227" s="293">
        <v>142000</v>
      </c>
      <c r="E2227" s="293">
        <v>2000</v>
      </c>
      <c r="F2227" s="294" t="s">
        <v>2122</v>
      </c>
    </row>
    <row r="2228" spans="1:6" hidden="1" outlineLevel="1" collapsed="1" x14ac:dyDescent="0.25">
      <c r="A2228" s="321" t="s">
        <v>282</v>
      </c>
      <c r="B2228" s="321" t="s">
        <v>384</v>
      </c>
      <c r="C2228" s="293">
        <v>108578.639583</v>
      </c>
      <c r="D2228" s="293">
        <v>0</v>
      </c>
      <c r="E2228" s="293">
        <v>-108578.639583</v>
      </c>
      <c r="F2228" s="294" t="s">
        <v>286</v>
      </c>
    </row>
    <row r="2229" spans="1:6" hidden="1" outlineLevel="1" collapsed="1" x14ac:dyDescent="0.25">
      <c r="A2229" s="321" t="s">
        <v>282</v>
      </c>
      <c r="B2229" s="321" t="s">
        <v>385</v>
      </c>
      <c r="C2229" s="293">
        <v>0</v>
      </c>
      <c r="D2229" s="293">
        <v>144628.84451</v>
      </c>
      <c r="E2229" s="293">
        <v>144628.84451</v>
      </c>
      <c r="F2229" s="294" t="s">
        <v>298</v>
      </c>
    </row>
    <row r="2230" spans="1:6" hidden="1" outlineLevel="1" collapsed="1" x14ac:dyDescent="0.25">
      <c r="A2230" s="321" t="s">
        <v>282</v>
      </c>
      <c r="B2230" s="321" t="s">
        <v>386</v>
      </c>
      <c r="C2230" s="293">
        <v>55037.775241000003</v>
      </c>
      <c r="D2230" s="293">
        <v>0</v>
      </c>
      <c r="E2230" s="293">
        <v>-55037.775241000003</v>
      </c>
      <c r="F2230" s="294" t="s">
        <v>286</v>
      </c>
    </row>
    <row r="2231" spans="1:6" hidden="1" outlineLevel="1" collapsed="1" x14ac:dyDescent="0.25">
      <c r="A2231" s="321" t="s">
        <v>282</v>
      </c>
      <c r="B2231" s="321" t="s">
        <v>387</v>
      </c>
      <c r="C2231" s="293">
        <v>0</v>
      </c>
      <c r="D2231" s="293">
        <v>59271.532148999999</v>
      </c>
      <c r="E2231" s="293">
        <v>59271.532148999999</v>
      </c>
      <c r="F2231" s="294" t="s">
        <v>298</v>
      </c>
    </row>
    <row r="2232" spans="1:6" hidden="1" outlineLevel="1" collapsed="1" x14ac:dyDescent="0.25">
      <c r="A2232" s="321" t="s">
        <v>282</v>
      </c>
      <c r="B2232" s="321" t="s">
        <v>388</v>
      </c>
      <c r="C2232" s="293">
        <v>12871.737643</v>
      </c>
      <c r="D2232" s="293">
        <v>13861.890514000001</v>
      </c>
      <c r="E2232" s="293">
        <v>990.152871</v>
      </c>
      <c r="F2232" s="294" t="s">
        <v>1400</v>
      </c>
    </row>
    <row r="2233" spans="1:6" hidden="1" outlineLevel="1" collapsed="1" x14ac:dyDescent="0.25">
      <c r="A2233" s="321" t="s">
        <v>282</v>
      </c>
      <c r="B2233" s="321" t="s">
        <v>444</v>
      </c>
      <c r="C2233" s="293">
        <v>12893</v>
      </c>
      <c r="D2233" s="293">
        <v>14153</v>
      </c>
      <c r="E2233" s="293">
        <v>1260</v>
      </c>
      <c r="F2233" s="294" t="s">
        <v>2123</v>
      </c>
    </row>
    <row r="2234" spans="1:6" hidden="1" outlineLevel="1" collapsed="1" x14ac:dyDescent="0.25">
      <c r="A2234" s="321" t="s">
        <v>282</v>
      </c>
      <c r="B2234" s="321" t="s">
        <v>389</v>
      </c>
      <c r="C2234" s="293">
        <v>9445.7664000000004</v>
      </c>
      <c r="D2234" s="293">
        <v>9495.9</v>
      </c>
      <c r="E2234" s="293">
        <v>50.133600000000001</v>
      </c>
      <c r="F2234" s="294" t="s">
        <v>2124</v>
      </c>
    </row>
    <row r="2235" spans="1:6" hidden="1" outlineLevel="1" collapsed="1" x14ac:dyDescent="0.25">
      <c r="A2235" s="321" t="s">
        <v>282</v>
      </c>
      <c r="B2235" s="321" t="s">
        <v>390</v>
      </c>
      <c r="C2235" s="293">
        <v>327877.14</v>
      </c>
      <c r="D2235" s="293">
        <v>343124.52</v>
      </c>
      <c r="E2235" s="293">
        <v>15247.38</v>
      </c>
      <c r="F2235" s="294" t="s">
        <v>1478</v>
      </c>
    </row>
    <row r="2236" spans="1:6" hidden="1" outlineLevel="1" collapsed="1" x14ac:dyDescent="0.25">
      <c r="A2236" s="321" t="s">
        <v>282</v>
      </c>
      <c r="B2236" s="321" t="s">
        <v>392</v>
      </c>
      <c r="C2236" s="293">
        <v>5176.7856000000002</v>
      </c>
      <c r="D2236" s="293">
        <v>4114.8</v>
      </c>
      <c r="E2236" s="293">
        <v>-1061.9856</v>
      </c>
      <c r="F2236" s="294" t="s">
        <v>2125</v>
      </c>
    </row>
    <row r="2237" spans="1:6" hidden="1" outlineLevel="1" collapsed="1" x14ac:dyDescent="0.25">
      <c r="A2237" s="321" t="s">
        <v>282</v>
      </c>
      <c r="B2237" s="321" t="s">
        <v>393</v>
      </c>
      <c r="C2237" s="293">
        <v>443.85290500000002</v>
      </c>
      <c r="D2237" s="293">
        <v>477.99607600000002</v>
      </c>
      <c r="E2237" s="293">
        <v>34.143171000000002</v>
      </c>
      <c r="F2237" s="294" t="s">
        <v>1400</v>
      </c>
    </row>
    <row r="2238" spans="1:6" hidden="1" outlineLevel="1" collapsed="1" x14ac:dyDescent="0.25">
      <c r="A2238" s="321" t="s">
        <v>282</v>
      </c>
      <c r="B2238" s="321" t="s">
        <v>394</v>
      </c>
      <c r="C2238" s="293">
        <v>33250</v>
      </c>
      <c r="D2238" s="293">
        <v>0</v>
      </c>
      <c r="E2238" s="293">
        <v>-33250</v>
      </c>
      <c r="F2238" s="294" t="s">
        <v>286</v>
      </c>
    </row>
    <row r="2239" spans="1:6" hidden="1" outlineLevel="1" collapsed="1" x14ac:dyDescent="0.25">
      <c r="A2239" s="321" t="s">
        <v>282</v>
      </c>
      <c r="B2239" s="321" t="s">
        <v>395</v>
      </c>
      <c r="C2239" s="293">
        <v>0</v>
      </c>
      <c r="D2239" s="293">
        <v>33750</v>
      </c>
      <c r="E2239" s="293">
        <v>33750</v>
      </c>
      <c r="F2239" s="294" t="s">
        <v>298</v>
      </c>
    </row>
    <row r="2240" spans="1:6" hidden="1" outlineLevel="1" collapsed="1" x14ac:dyDescent="0.25">
      <c r="A2240" s="321" t="s">
        <v>282</v>
      </c>
      <c r="B2240" s="321" t="s">
        <v>396</v>
      </c>
      <c r="C2240" s="293">
        <v>1101.24</v>
      </c>
      <c r="D2240" s="293">
        <v>0</v>
      </c>
      <c r="E2240" s="293">
        <v>-1101.24</v>
      </c>
      <c r="F2240" s="294" t="s">
        <v>286</v>
      </c>
    </row>
    <row r="2241" spans="1:6" hidden="1" outlineLevel="1" collapsed="1" x14ac:dyDescent="0.25">
      <c r="A2241" s="321" t="s">
        <v>282</v>
      </c>
      <c r="B2241" s="321" t="s">
        <v>397</v>
      </c>
      <c r="C2241" s="293">
        <v>0</v>
      </c>
      <c r="D2241" s="293">
        <v>1090.8</v>
      </c>
      <c r="E2241" s="293">
        <v>1090.8</v>
      </c>
      <c r="F2241" s="294" t="s">
        <v>298</v>
      </c>
    </row>
    <row r="2242" spans="1:6" hidden="1" outlineLevel="1" collapsed="1" x14ac:dyDescent="0.25">
      <c r="A2242" s="321" t="s">
        <v>282</v>
      </c>
      <c r="B2242" s="321" t="s">
        <v>398</v>
      </c>
      <c r="C2242" s="293">
        <v>532</v>
      </c>
      <c r="D2242" s="293">
        <v>248.4</v>
      </c>
      <c r="E2242" s="293">
        <v>-283.60000000000002</v>
      </c>
      <c r="F2242" s="294" t="s">
        <v>2126</v>
      </c>
    </row>
    <row r="2243" spans="1:6" hidden="1" outlineLevel="1" collapsed="1" x14ac:dyDescent="0.25">
      <c r="A2243" s="321" t="s">
        <v>282</v>
      </c>
      <c r="B2243" s="321" t="s">
        <v>522</v>
      </c>
      <c r="C2243" s="293">
        <v>3000</v>
      </c>
      <c r="D2243" s="293">
        <v>3000</v>
      </c>
      <c r="E2243" s="293">
        <v>0</v>
      </c>
      <c r="F2243" s="294" t="s">
        <v>316</v>
      </c>
    </row>
    <row r="2244" spans="1:6" hidden="1" outlineLevel="1" collapsed="1" x14ac:dyDescent="0.25">
      <c r="A2244" s="321" t="s">
        <v>282</v>
      </c>
      <c r="B2244" s="321" t="s">
        <v>376</v>
      </c>
      <c r="C2244" s="293">
        <v>150</v>
      </c>
      <c r="D2244" s="293">
        <v>150</v>
      </c>
      <c r="E2244" s="293">
        <v>0</v>
      </c>
      <c r="F2244" s="294" t="s">
        <v>316</v>
      </c>
    </row>
    <row r="2245" spans="1:6" hidden="1" outlineLevel="1" collapsed="1" x14ac:dyDescent="0.25">
      <c r="A2245" s="321" t="s">
        <v>282</v>
      </c>
      <c r="B2245" s="321" t="s">
        <v>1067</v>
      </c>
      <c r="C2245" s="293">
        <v>153282</v>
      </c>
      <c r="D2245" s="293">
        <v>163769</v>
      </c>
      <c r="E2245" s="293">
        <v>10487</v>
      </c>
      <c r="F2245" s="294" t="s">
        <v>2127</v>
      </c>
    </row>
    <row r="2246" spans="1:6" hidden="1" outlineLevel="1" collapsed="1" x14ac:dyDescent="0.25">
      <c r="A2246" s="321" t="s">
        <v>282</v>
      </c>
      <c r="B2246" s="321" t="s">
        <v>483</v>
      </c>
      <c r="C2246" s="293">
        <v>11000</v>
      </c>
      <c r="D2246" s="293">
        <v>11000</v>
      </c>
      <c r="E2246" s="293">
        <v>0</v>
      </c>
      <c r="F2246" s="294" t="s">
        <v>316</v>
      </c>
    </row>
    <row r="2247" spans="1:6" hidden="1" outlineLevel="1" collapsed="1" x14ac:dyDescent="0.25">
      <c r="A2247" s="321" t="s">
        <v>282</v>
      </c>
      <c r="B2247" s="321" t="s">
        <v>884</v>
      </c>
      <c r="C2247" s="293">
        <v>0</v>
      </c>
      <c r="D2247" s="293">
        <v>3024</v>
      </c>
      <c r="E2247" s="293">
        <v>3024</v>
      </c>
      <c r="F2247" s="294" t="s">
        <v>298</v>
      </c>
    </row>
    <row r="2248" spans="1:6" hidden="1" outlineLevel="1" collapsed="1" x14ac:dyDescent="0.25">
      <c r="A2248" s="321" t="s">
        <v>282</v>
      </c>
      <c r="B2248" s="321" t="s">
        <v>403</v>
      </c>
      <c r="C2248" s="293">
        <v>3857</v>
      </c>
      <c r="D2248" s="293">
        <v>5340</v>
      </c>
      <c r="E2248" s="293">
        <v>1483</v>
      </c>
      <c r="F2248" s="294" t="s">
        <v>1069</v>
      </c>
    </row>
    <row r="2249" spans="1:6" hidden="1" outlineLevel="1" collapsed="1" x14ac:dyDescent="0.25">
      <c r="A2249" s="321" t="s">
        <v>282</v>
      </c>
      <c r="B2249" s="321" t="s">
        <v>422</v>
      </c>
      <c r="C2249" s="293">
        <v>12000</v>
      </c>
      <c r="D2249" s="293">
        <v>0</v>
      </c>
      <c r="E2249" s="293">
        <v>-12000</v>
      </c>
      <c r="F2249" s="294" t="s">
        <v>286</v>
      </c>
    </row>
    <row r="2250" spans="1:6" collapsed="1" x14ac:dyDescent="0.25">
      <c r="A2250" s="560" t="s">
        <v>1070</v>
      </c>
      <c r="B2250" s="561"/>
      <c r="C2250" s="292">
        <v>63830.178207999998</v>
      </c>
      <c r="D2250" s="293">
        <v>69154.846147999997</v>
      </c>
      <c r="E2250" s="293">
        <v>5324.6679400000003</v>
      </c>
      <c r="F2250" s="294" t="s">
        <v>2128</v>
      </c>
    </row>
    <row r="2251" spans="1:6" hidden="1" outlineLevel="1" collapsed="1" x14ac:dyDescent="0.25">
      <c r="A2251" s="321" t="s">
        <v>282</v>
      </c>
      <c r="B2251" s="321" t="s">
        <v>464</v>
      </c>
      <c r="C2251" s="293">
        <v>38402.512030999998</v>
      </c>
      <c r="D2251" s="293">
        <v>41490.071315000001</v>
      </c>
      <c r="E2251" s="293">
        <v>3087.5592839999999</v>
      </c>
      <c r="F2251" s="294" t="s">
        <v>795</v>
      </c>
    </row>
    <row r="2252" spans="1:6" hidden="1" outlineLevel="1" collapsed="1" x14ac:dyDescent="0.25">
      <c r="A2252" s="321" t="s">
        <v>282</v>
      </c>
      <c r="B2252" s="321" t="s">
        <v>384</v>
      </c>
      <c r="C2252" s="293">
        <v>4752.0587640000003</v>
      </c>
      <c r="D2252" s="293">
        <v>0</v>
      </c>
      <c r="E2252" s="293">
        <v>-4752.0587640000003</v>
      </c>
      <c r="F2252" s="294" t="s">
        <v>286</v>
      </c>
    </row>
    <row r="2253" spans="1:6" hidden="1" outlineLevel="1" collapsed="1" x14ac:dyDescent="0.25">
      <c r="A2253" s="321" t="s">
        <v>282</v>
      </c>
      <c r="B2253" s="321" t="s">
        <v>385</v>
      </c>
      <c r="C2253" s="293">
        <v>0</v>
      </c>
      <c r="D2253" s="293">
        <v>6346.3193549999996</v>
      </c>
      <c r="E2253" s="293">
        <v>6346.3193549999996</v>
      </c>
      <c r="F2253" s="294" t="s">
        <v>298</v>
      </c>
    </row>
    <row r="2254" spans="1:6" hidden="1" outlineLevel="1" collapsed="1" x14ac:dyDescent="0.25">
      <c r="A2254" s="321" t="s">
        <v>282</v>
      </c>
      <c r="B2254" s="321" t="s">
        <v>386</v>
      </c>
      <c r="C2254" s="293">
        <v>2380.9557420000001</v>
      </c>
      <c r="D2254" s="293">
        <v>0</v>
      </c>
      <c r="E2254" s="293">
        <v>-2380.9557420000001</v>
      </c>
      <c r="F2254" s="294" t="s">
        <v>286</v>
      </c>
    </row>
    <row r="2255" spans="1:6" hidden="1" outlineLevel="1" collapsed="1" x14ac:dyDescent="0.25">
      <c r="A2255" s="321" t="s">
        <v>282</v>
      </c>
      <c r="B2255" s="321" t="s">
        <v>387</v>
      </c>
      <c r="C2255" s="293">
        <v>0</v>
      </c>
      <c r="D2255" s="293">
        <v>2572.3844159999999</v>
      </c>
      <c r="E2255" s="293">
        <v>2572.3844159999999</v>
      </c>
      <c r="F2255" s="294" t="s">
        <v>298</v>
      </c>
    </row>
    <row r="2256" spans="1:6" hidden="1" outlineLevel="1" collapsed="1" x14ac:dyDescent="0.25">
      <c r="A2256" s="321" t="s">
        <v>282</v>
      </c>
      <c r="B2256" s="321" t="s">
        <v>388</v>
      </c>
      <c r="C2256" s="293">
        <v>556.83642299999997</v>
      </c>
      <c r="D2256" s="293">
        <v>601.60603200000003</v>
      </c>
      <c r="E2256" s="293">
        <v>44.769609000000003</v>
      </c>
      <c r="F2256" s="294" t="s">
        <v>795</v>
      </c>
    </row>
    <row r="2257" spans="1:6" hidden="1" outlineLevel="1" collapsed="1" x14ac:dyDescent="0.25">
      <c r="A2257" s="321" t="s">
        <v>282</v>
      </c>
      <c r="B2257" s="321" t="s">
        <v>389</v>
      </c>
      <c r="C2257" s="293">
        <v>426.12479999999999</v>
      </c>
      <c r="D2257" s="293">
        <v>422.04</v>
      </c>
      <c r="E2257" s="293">
        <v>-4.0848000000000004</v>
      </c>
      <c r="F2257" s="294" t="s">
        <v>364</v>
      </c>
    </row>
    <row r="2258" spans="1:6" hidden="1" outlineLevel="1" collapsed="1" x14ac:dyDescent="0.25">
      <c r="A2258" s="321" t="s">
        <v>282</v>
      </c>
      <c r="B2258" s="321" t="s">
        <v>390</v>
      </c>
      <c r="C2258" s="293">
        <v>15485.27</v>
      </c>
      <c r="D2258" s="293">
        <v>15959.28</v>
      </c>
      <c r="E2258" s="293">
        <v>474.01</v>
      </c>
      <c r="F2258" s="294" t="s">
        <v>391</v>
      </c>
    </row>
    <row r="2259" spans="1:6" hidden="1" outlineLevel="1" collapsed="1" x14ac:dyDescent="0.25">
      <c r="A2259" s="321" t="s">
        <v>282</v>
      </c>
      <c r="B2259" s="321" t="s">
        <v>392</v>
      </c>
      <c r="C2259" s="293">
        <v>233.53919999999999</v>
      </c>
      <c r="D2259" s="293">
        <v>182.88</v>
      </c>
      <c r="E2259" s="293">
        <v>-50.659199999999998</v>
      </c>
      <c r="F2259" s="294" t="s">
        <v>368</v>
      </c>
    </row>
    <row r="2260" spans="1:6" hidden="1" outlineLevel="1" collapsed="1" x14ac:dyDescent="0.25">
      <c r="A2260" s="321" t="s">
        <v>282</v>
      </c>
      <c r="B2260" s="321" t="s">
        <v>393</v>
      </c>
      <c r="C2260" s="293">
        <v>19.201248</v>
      </c>
      <c r="D2260" s="293">
        <v>20.74503</v>
      </c>
      <c r="E2260" s="293">
        <v>1.543782</v>
      </c>
      <c r="F2260" s="294" t="s">
        <v>795</v>
      </c>
    </row>
    <row r="2261" spans="1:6" hidden="1" outlineLevel="1" collapsed="1" x14ac:dyDescent="0.25">
      <c r="A2261" s="321" t="s">
        <v>282</v>
      </c>
      <c r="B2261" s="321" t="s">
        <v>394</v>
      </c>
      <c r="C2261" s="293">
        <v>1500</v>
      </c>
      <c r="D2261" s="293">
        <v>0</v>
      </c>
      <c r="E2261" s="293">
        <v>-1500</v>
      </c>
      <c r="F2261" s="294" t="s">
        <v>286</v>
      </c>
    </row>
    <row r="2262" spans="1:6" hidden="1" outlineLevel="1" collapsed="1" x14ac:dyDescent="0.25">
      <c r="A2262" s="321" t="s">
        <v>282</v>
      </c>
      <c r="B2262" s="321" t="s">
        <v>395</v>
      </c>
      <c r="C2262" s="293">
        <v>0</v>
      </c>
      <c r="D2262" s="293">
        <v>1500</v>
      </c>
      <c r="E2262" s="293">
        <v>1500</v>
      </c>
      <c r="F2262" s="294" t="s">
        <v>298</v>
      </c>
    </row>
    <row r="2263" spans="1:6" hidden="1" outlineLevel="1" collapsed="1" x14ac:dyDescent="0.25">
      <c r="A2263" s="321" t="s">
        <v>282</v>
      </c>
      <c r="B2263" s="321" t="s">
        <v>396</v>
      </c>
      <c r="C2263" s="293">
        <v>49.68</v>
      </c>
      <c r="D2263" s="293">
        <v>0</v>
      </c>
      <c r="E2263" s="293">
        <v>-49.68</v>
      </c>
      <c r="F2263" s="294" t="s">
        <v>286</v>
      </c>
    </row>
    <row r="2264" spans="1:6" hidden="1" outlineLevel="1" collapsed="1" x14ac:dyDescent="0.25">
      <c r="A2264" s="321" t="s">
        <v>282</v>
      </c>
      <c r="B2264" s="321" t="s">
        <v>397</v>
      </c>
      <c r="C2264" s="293">
        <v>0</v>
      </c>
      <c r="D2264" s="293">
        <v>48.48</v>
      </c>
      <c r="E2264" s="293">
        <v>48.48</v>
      </c>
      <c r="F2264" s="294" t="s">
        <v>298</v>
      </c>
    </row>
    <row r="2265" spans="1:6" hidden="1" outlineLevel="1" collapsed="1" x14ac:dyDescent="0.25">
      <c r="A2265" s="321" t="s">
        <v>282</v>
      </c>
      <c r="B2265" s="321" t="s">
        <v>398</v>
      </c>
      <c r="C2265" s="293">
        <v>24</v>
      </c>
      <c r="D2265" s="293">
        <v>11.04</v>
      </c>
      <c r="E2265" s="293">
        <v>-12.96</v>
      </c>
      <c r="F2265" s="294" t="s">
        <v>374</v>
      </c>
    </row>
    <row r="2266" spans="1:6" collapsed="1" x14ac:dyDescent="0.25">
      <c r="A2266" s="560" t="s">
        <v>1072</v>
      </c>
      <c r="B2266" s="561"/>
      <c r="C2266" s="292">
        <v>320859.224307</v>
      </c>
      <c r="D2266" s="293">
        <v>327463.27499800001</v>
      </c>
      <c r="E2266" s="293">
        <v>6604.0506910000004</v>
      </c>
      <c r="F2266" s="294" t="s">
        <v>1840</v>
      </c>
    </row>
    <row r="2267" spans="1:6" hidden="1" outlineLevel="1" collapsed="1" x14ac:dyDescent="0.25">
      <c r="A2267" s="321" t="s">
        <v>282</v>
      </c>
      <c r="B2267" s="321" t="s">
        <v>874</v>
      </c>
      <c r="C2267" s="293">
        <v>39146.519357999998</v>
      </c>
      <c r="D2267" s="293">
        <v>41718.960396000002</v>
      </c>
      <c r="E2267" s="293">
        <v>2572.4410379999999</v>
      </c>
      <c r="F2267" s="294" t="s">
        <v>816</v>
      </c>
    </row>
    <row r="2268" spans="1:6" hidden="1" outlineLevel="1" collapsed="1" x14ac:dyDescent="0.25">
      <c r="A2268" s="321" t="s">
        <v>282</v>
      </c>
      <c r="B2268" s="321" t="s">
        <v>464</v>
      </c>
      <c r="C2268" s="293">
        <v>145402.627962</v>
      </c>
      <c r="D2268" s="293">
        <v>127675.26955500001</v>
      </c>
      <c r="E2268" s="293">
        <v>-17727.358407</v>
      </c>
      <c r="F2268" s="294" t="s">
        <v>2129</v>
      </c>
    </row>
    <row r="2269" spans="1:6" hidden="1" outlineLevel="1" collapsed="1" x14ac:dyDescent="0.25">
      <c r="A2269" s="321" t="s">
        <v>282</v>
      </c>
      <c r="B2269" s="321" t="s">
        <v>935</v>
      </c>
      <c r="C2269" s="293">
        <v>0</v>
      </c>
      <c r="D2269" s="293">
        <v>0</v>
      </c>
      <c r="E2269" s="293">
        <v>0</v>
      </c>
      <c r="F2269" s="294" t="s">
        <v>316</v>
      </c>
    </row>
    <row r="2270" spans="1:6" hidden="1" outlineLevel="1" collapsed="1" x14ac:dyDescent="0.25">
      <c r="A2270" s="321" t="s">
        <v>282</v>
      </c>
      <c r="B2270" s="321" t="s">
        <v>475</v>
      </c>
      <c r="C2270" s="293">
        <v>1000</v>
      </c>
      <c r="D2270" s="293">
        <v>1000</v>
      </c>
      <c r="E2270" s="293">
        <v>0</v>
      </c>
      <c r="F2270" s="294" t="s">
        <v>316</v>
      </c>
    </row>
    <row r="2271" spans="1:6" hidden="1" outlineLevel="1" collapsed="1" x14ac:dyDescent="0.25">
      <c r="A2271" s="321" t="s">
        <v>282</v>
      </c>
      <c r="B2271" s="321" t="s">
        <v>476</v>
      </c>
      <c r="C2271" s="293">
        <v>0</v>
      </c>
      <c r="D2271" s="293">
        <v>10000</v>
      </c>
      <c r="E2271" s="293">
        <v>10000</v>
      </c>
      <c r="F2271" s="294" t="s">
        <v>298</v>
      </c>
    </row>
    <row r="2272" spans="1:6" hidden="1" outlineLevel="1" collapsed="1" x14ac:dyDescent="0.25">
      <c r="A2272" s="321" t="s">
        <v>282</v>
      </c>
      <c r="B2272" s="321" t="s">
        <v>384</v>
      </c>
      <c r="C2272" s="293">
        <v>22965.311720999998</v>
      </c>
      <c r="D2272" s="293">
        <v>0</v>
      </c>
      <c r="E2272" s="293">
        <v>-22965.311720999998</v>
      </c>
      <c r="F2272" s="294" t="s">
        <v>286</v>
      </c>
    </row>
    <row r="2273" spans="1:6" hidden="1" outlineLevel="1" collapsed="1" x14ac:dyDescent="0.25">
      <c r="A2273" s="321" t="s">
        <v>282</v>
      </c>
      <c r="B2273" s="321" t="s">
        <v>385</v>
      </c>
      <c r="C2273" s="293">
        <v>0</v>
      </c>
      <c r="D2273" s="293">
        <v>27551.874386</v>
      </c>
      <c r="E2273" s="293">
        <v>27551.874386</v>
      </c>
      <c r="F2273" s="294" t="s">
        <v>298</v>
      </c>
    </row>
    <row r="2274" spans="1:6" hidden="1" outlineLevel="1" collapsed="1" x14ac:dyDescent="0.25">
      <c r="A2274" s="321" t="s">
        <v>282</v>
      </c>
      <c r="B2274" s="321" t="s">
        <v>386</v>
      </c>
      <c r="C2274" s="293">
        <v>11416.007113</v>
      </c>
      <c r="D2274" s="293">
        <v>0</v>
      </c>
      <c r="E2274" s="293">
        <v>-11416.007113</v>
      </c>
      <c r="F2274" s="294" t="s">
        <v>286</v>
      </c>
    </row>
    <row r="2275" spans="1:6" hidden="1" outlineLevel="1" collapsed="1" x14ac:dyDescent="0.25">
      <c r="A2275" s="321" t="s">
        <v>282</v>
      </c>
      <c r="B2275" s="321" t="s">
        <v>387</v>
      </c>
      <c r="C2275" s="293">
        <v>0</v>
      </c>
      <c r="D2275" s="293">
        <v>11096.402239999999</v>
      </c>
      <c r="E2275" s="293">
        <v>11096.402239999999</v>
      </c>
      <c r="F2275" s="294" t="s">
        <v>298</v>
      </c>
    </row>
    <row r="2276" spans="1:6" hidden="1" outlineLevel="1" collapsed="1" x14ac:dyDescent="0.25">
      <c r="A2276" s="321" t="s">
        <v>282</v>
      </c>
      <c r="B2276" s="321" t="s">
        <v>388</v>
      </c>
      <c r="C2276" s="293">
        <v>2669.872605</v>
      </c>
      <c r="D2276" s="293">
        <v>2595.1263250000002</v>
      </c>
      <c r="E2276" s="293">
        <v>-74.746279999999999</v>
      </c>
      <c r="F2276" s="294" t="s">
        <v>2130</v>
      </c>
    </row>
    <row r="2277" spans="1:6" hidden="1" outlineLevel="1" collapsed="1" x14ac:dyDescent="0.25">
      <c r="A2277" s="321" t="s">
        <v>282</v>
      </c>
      <c r="B2277" s="321" t="s">
        <v>444</v>
      </c>
      <c r="C2277" s="293">
        <v>90</v>
      </c>
      <c r="D2277" s="293">
        <v>90</v>
      </c>
      <c r="E2277" s="293">
        <v>0</v>
      </c>
      <c r="F2277" s="294" t="s">
        <v>316</v>
      </c>
    </row>
    <row r="2278" spans="1:6" hidden="1" outlineLevel="1" collapsed="1" x14ac:dyDescent="0.25">
      <c r="A2278" s="321" t="s">
        <v>282</v>
      </c>
      <c r="B2278" s="321" t="s">
        <v>389</v>
      </c>
      <c r="C2278" s="293">
        <v>1704.4992</v>
      </c>
      <c r="D2278" s="293">
        <v>1565.0650000000001</v>
      </c>
      <c r="E2278" s="293">
        <v>-139.4342</v>
      </c>
      <c r="F2278" s="294" t="s">
        <v>2131</v>
      </c>
    </row>
    <row r="2279" spans="1:6" hidden="1" outlineLevel="1" collapsed="1" x14ac:dyDescent="0.25">
      <c r="A2279" s="321" t="s">
        <v>282</v>
      </c>
      <c r="B2279" s="321" t="s">
        <v>390</v>
      </c>
      <c r="C2279" s="293">
        <v>54198.445</v>
      </c>
      <c r="D2279" s="293">
        <v>51202.69</v>
      </c>
      <c r="E2279" s="293">
        <v>-2995.7550000000001</v>
      </c>
      <c r="F2279" s="294" t="s">
        <v>2132</v>
      </c>
    </row>
    <row r="2280" spans="1:6" hidden="1" outlineLevel="1" collapsed="1" x14ac:dyDescent="0.25">
      <c r="A2280" s="321" t="s">
        <v>282</v>
      </c>
      <c r="B2280" s="321" t="s">
        <v>392</v>
      </c>
      <c r="C2280" s="293">
        <v>934.15679999999998</v>
      </c>
      <c r="D2280" s="293">
        <v>678.18</v>
      </c>
      <c r="E2280" s="293">
        <v>-255.9768</v>
      </c>
      <c r="F2280" s="294" t="s">
        <v>2133</v>
      </c>
    </row>
    <row r="2281" spans="1:6" hidden="1" outlineLevel="1" collapsed="1" x14ac:dyDescent="0.25">
      <c r="A2281" s="321" t="s">
        <v>282</v>
      </c>
      <c r="B2281" s="321" t="s">
        <v>393</v>
      </c>
      <c r="C2281" s="293">
        <v>92.064548000000002</v>
      </c>
      <c r="D2281" s="293">
        <v>89.487095999999994</v>
      </c>
      <c r="E2281" s="293">
        <v>-2.5774520000000001</v>
      </c>
      <c r="F2281" s="294" t="s">
        <v>2130</v>
      </c>
    </row>
    <row r="2282" spans="1:6" hidden="1" outlineLevel="1" collapsed="1" x14ac:dyDescent="0.25">
      <c r="A2282" s="321" t="s">
        <v>282</v>
      </c>
      <c r="B2282" s="321" t="s">
        <v>394</v>
      </c>
      <c r="C2282" s="293">
        <v>6000</v>
      </c>
      <c r="D2282" s="293">
        <v>0</v>
      </c>
      <c r="E2282" s="293">
        <v>-6000</v>
      </c>
      <c r="F2282" s="294" t="s">
        <v>286</v>
      </c>
    </row>
    <row r="2283" spans="1:6" hidden="1" outlineLevel="1" collapsed="1" x14ac:dyDescent="0.25">
      <c r="A2283" s="321" t="s">
        <v>282</v>
      </c>
      <c r="B2283" s="321" t="s">
        <v>395</v>
      </c>
      <c r="C2283" s="293">
        <v>0</v>
      </c>
      <c r="D2283" s="293">
        <v>5562.5</v>
      </c>
      <c r="E2283" s="293">
        <v>5562.5</v>
      </c>
      <c r="F2283" s="294" t="s">
        <v>298</v>
      </c>
    </row>
    <row r="2284" spans="1:6" hidden="1" outlineLevel="1" collapsed="1" x14ac:dyDescent="0.25">
      <c r="A2284" s="321" t="s">
        <v>282</v>
      </c>
      <c r="B2284" s="321" t="s">
        <v>396</v>
      </c>
      <c r="C2284" s="293">
        <v>198.72</v>
      </c>
      <c r="D2284" s="293">
        <v>0</v>
      </c>
      <c r="E2284" s="293">
        <v>-198.72</v>
      </c>
      <c r="F2284" s="294" t="s">
        <v>286</v>
      </c>
    </row>
    <row r="2285" spans="1:6" hidden="1" outlineLevel="1" collapsed="1" x14ac:dyDescent="0.25">
      <c r="A2285" s="321" t="s">
        <v>282</v>
      </c>
      <c r="B2285" s="321" t="s">
        <v>397</v>
      </c>
      <c r="C2285" s="293">
        <v>0</v>
      </c>
      <c r="D2285" s="293">
        <v>179.78</v>
      </c>
      <c r="E2285" s="293">
        <v>179.78</v>
      </c>
      <c r="F2285" s="294" t="s">
        <v>298</v>
      </c>
    </row>
    <row r="2286" spans="1:6" hidden="1" outlineLevel="1" collapsed="1" x14ac:dyDescent="0.25">
      <c r="A2286" s="321" t="s">
        <v>282</v>
      </c>
      <c r="B2286" s="321" t="s">
        <v>398</v>
      </c>
      <c r="C2286" s="293">
        <v>96</v>
      </c>
      <c r="D2286" s="293">
        <v>40.94</v>
      </c>
      <c r="E2286" s="293">
        <v>-55.06</v>
      </c>
      <c r="F2286" s="294" t="s">
        <v>2134</v>
      </c>
    </row>
    <row r="2287" spans="1:6" hidden="1" outlineLevel="1" collapsed="1" x14ac:dyDescent="0.25">
      <c r="A2287" s="321" t="s">
        <v>282</v>
      </c>
      <c r="B2287" s="321" t="s">
        <v>522</v>
      </c>
      <c r="C2287" s="293">
        <v>1500</v>
      </c>
      <c r="D2287" s="293">
        <v>1500</v>
      </c>
      <c r="E2287" s="293">
        <v>0</v>
      </c>
      <c r="F2287" s="294" t="s">
        <v>316</v>
      </c>
    </row>
    <row r="2288" spans="1:6" hidden="1" outlineLevel="1" collapsed="1" x14ac:dyDescent="0.25">
      <c r="A2288" s="321" t="s">
        <v>282</v>
      </c>
      <c r="B2288" s="321" t="s">
        <v>1075</v>
      </c>
      <c r="C2288" s="293">
        <v>10595</v>
      </c>
      <c r="D2288" s="293">
        <v>11672</v>
      </c>
      <c r="E2288" s="293">
        <v>1077</v>
      </c>
      <c r="F2288" s="294" t="s">
        <v>2135</v>
      </c>
    </row>
    <row r="2289" spans="1:6" hidden="1" outlineLevel="1" collapsed="1" x14ac:dyDescent="0.25">
      <c r="A2289" s="321" t="s">
        <v>282</v>
      </c>
      <c r="B2289" s="321" t="s">
        <v>426</v>
      </c>
      <c r="C2289" s="293">
        <v>1400</v>
      </c>
      <c r="D2289" s="293">
        <v>1400</v>
      </c>
      <c r="E2289" s="293">
        <v>0</v>
      </c>
      <c r="F2289" s="294" t="s">
        <v>316</v>
      </c>
    </row>
    <row r="2290" spans="1:6" hidden="1" outlineLevel="1" collapsed="1" x14ac:dyDescent="0.25">
      <c r="A2290" s="321" t="s">
        <v>282</v>
      </c>
      <c r="B2290" s="321" t="s">
        <v>597</v>
      </c>
      <c r="C2290" s="293">
        <v>750</v>
      </c>
      <c r="D2290" s="293">
        <v>750</v>
      </c>
      <c r="E2290" s="293">
        <v>0</v>
      </c>
      <c r="F2290" s="294" t="s">
        <v>316</v>
      </c>
    </row>
    <row r="2291" spans="1:6" hidden="1" outlineLevel="1" collapsed="1" x14ac:dyDescent="0.25">
      <c r="A2291" s="321" t="s">
        <v>282</v>
      </c>
      <c r="B2291" s="321" t="s">
        <v>483</v>
      </c>
      <c r="C2291" s="293">
        <v>2500</v>
      </c>
      <c r="D2291" s="293">
        <v>2500</v>
      </c>
      <c r="E2291" s="293">
        <v>0</v>
      </c>
      <c r="F2291" s="294" t="s">
        <v>316</v>
      </c>
    </row>
    <row r="2292" spans="1:6" hidden="1" outlineLevel="1" collapsed="1" x14ac:dyDescent="0.25">
      <c r="A2292" s="321" t="s">
        <v>282</v>
      </c>
      <c r="B2292" s="321" t="s">
        <v>403</v>
      </c>
      <c r="C2292" s="293">
        <v>10000</v>
      </c>
      <c r="D2292" s="293">
        <v>10595</v>
      </c>
      <c r="E2292" s="293">
        <v>595</v>
      </c>
      <c r="F2292" s="294" t="s">
        <v>1077</v>
      </c>
    </row>
    <row r="2293" spans="1:6" hidden="1" outlineLevel="1" collapsed="1" x14ac:dyDescent="0.25">
      <c r="A2293" s="321" t="s">
        <v>282</v>
      </c>
      <c r="B2293" s="321" t="s">
        <v>422</v>
      </c>
      <c r="C2293" s="293">
        <v>8200</v>
      </c>
      <c r="D2293" s="293">
        <v>18000</v>
      </c>
      <c r="E2293" s="293">
        <v>9800</v>
      </c>
      <c r="F2293" s="294" t="s">
        <v>2136</v>
      </c>
    </row>
    <row r="2294" spans="1:6" collapsed="1" x14ac:dyDescent="0.25">
      <c r="A2294" s="560" t="s">
        <v>1078</v>
      </c>
      <c r="B2294" s="561"/>
      <c r="C2294" s="292">
        <v>504</v>
      </c>
      <c r="D2294" s="293">
        <v>504</v>
      </c>
      <c r="E2294" s="293">
        <v>0</v>
      </c>
      <c r="F2294" s="294" t="s">
        <v>316</v>
      </c>
    </row>
    <row r="2295" spans="1:6" hidden="1" outlineLevel="1" collapsed="1" x14ac:dyDescent="0.25">
      <c r="A2295" s="321" t="s">
        <v>282</v>
      </c>
      <c r="B2295" s="321" t="s">
        <v>843</v>
      </c>
      <c r="C2295" s="293">
        <v>504</v>
      </c>
      <c r="D2295" s="293">
        <v>504</v>
      </c>
      <c r="E2295" s="293">
        <v>0</v>
      </c>
      <c r="F2295" s="294" t="s">
        <v>316</v>
      </c>
    </row>
    <row r="2296" spans="1:6" collapsed="1" x14ac:dyDescent="0.25">
      <c r="A2296" s="560" t="s">
        <v>1079</v>
      </c>
      <c r="B2296" s="561"/>
      <c r="C2296" s="292">
        <v>474</v>
      </c>
      <c r="D2296" s="293">
        <v>456</v>
      </c>
      <c r="E2296" s="293">
        <v>-18</v>
      </c>
      <c r="F2296" s="294" t="s">
        <v>1080</v>
      </c>
    </row>
    <row r="2297" spans="1:6" hidden="1" outlineLevel="1" collapsed="1" x14ac:dyDescent="0.25">
      <c r="A2297" s="321" t="s">
        <v>282</v>
      </c>
      <c r="B2297" s="321" t="s">
        <v>843</v>
      </c>
      <c r="C2297" s="293">
        <v>474</v>
      </c>
      <c r="D2297" s="293">
        <v>456</v>
      </c>
      <c r="E2297" s="293">
        <v>-18</v>
      </c>
      <c r="F2297" s="294" t="s">
        <v>1080</v>
      </c>
    </row>
    <row r="2298" spans="1:6" collapsed="1" x14ac:dyDescent="0.25">
      <c r="A2298" s="560" t="s">
        <v>1081</v>
      </c>
      <c r="B2298" s="561"/>
      <c r="C2298" s="292">
        <v>37656</v>
      </c>
      <c r="D2298" s="293">
        <v>200000</v>
      </c>
      <c r="E2298" s="293">
        <v>162344</v>
      </c>
      <c r="F2298" s="294" t="s">
        <v>1082</v>
      </c>
    </row>
    <row r="2299" spans="1:6" hidden="1" outlineLevel="1" collapsed="1" x14ac:dyDescent="0.25">
      <c r="A2299" s="321" t="s">
        <v>282</v>
      </c>
      <c r="B2299" s="321" t="s">
        <v>1083</v>
      </c>
      <c r="C2299" s="293">
        <v>37656</v>
      </c>
      <c r="D2299" s="293">
        <v>200000</v>
      </c>
      <c r="E2299" s="293">
        <v>162344</v>
      </c>
      <c r="F2299" s="294" t="s">
        <v>1082</v>
      </c>
    </row>
    <row r="2300" spans="1:6" collapsed="1" x14ac:dyDescent="0.25">
      <c r="A2300" s="560" t="s">
        <v>1084</v>
      </c>
      <c r="B2300" s="561"/>
      <c r="C2300" s="292">
        <v>89175</v>
      </c>
      <c r="D2300" s="293">
        <v>98000</v>
      </c>
      <c r="E2300" s="293">
        <v>8825</v>
      </c>
      <c r="F2300" s="294" t="s">
        <v>1085</v>
      </c>
    </row>
    <row r="2301" spans="1:6" hidden="1" outlineLevel="1" collapsed="1" x14ac:dyDescent="0.25">
      <c r="A2301" s="321" t="s">
        <v>282</v>
      </c>
      <c r="B2301" s="321" t="s">
        <v>843</v>
      </c>
      <c r="C2301" s="293">
        <v>89175</v>
      </c>
      <c r="D2301" s="293">
        <v>98000</v>
      </c>
      <c r="E2301" s="293">
        <v>8825</v>
      </c>
      <c r="F2301" s="294" t="s">
        <v>1085</v>
      </c>
    </row>
    <row r="2302" spans="1:6" collapsed="1" x14ac:dyDescent="0.25">
      <c r="A2302" s="560" t="s">
        <v>1086</v>
      </c>
      <c r="B2302" s="561"/>
      <c r="C2302" s="292">
        <v>30000</v>
      </c>
      <c r="D2302" s="293">
        <v>30663</v>
      </c>
      <c r="E2302" s="293">
        <v>663</v>
      </c>
      <c r="F2302" s="294" t="s">
        <v>878</v>
      </c>
    </row>
    <row r="2303" spans="1:6" hidden="1" outlineLevel="1" collapsed="1" x14ac:dyDescent="0.25">
      <c r="A2303" s="321" t="s">
        <v>282</v>
      </c>
      <c r="B2303" s="321" t="s">
        <v>1087</v>
      </c>
      <c r="C2303" s="293">
        <v>30000</v>
      </c>
      <c r="D2303" s="293">
        <v>30663</v>
      </c>
      <c r="E2303" s="293">
        <v>663</v>
      </c>
      <c r="F2303" s="294" t="s">
        <v>878</v>
      </c>
    </row>
    <row r="2304" spans="1:6" collapsed="1" x14ac:dyDescent="0.25">
      <c r="A2304" s="560" t="s">
        <v>1088</v>
      </c>
      <c r="B2304" s="561"/>
      <c r="C2304" s="292">
        <v>1260499</v>
      </c>
      <c r="D2304" s="293">
        <v>0</v>
      </c>
      <c r="E2304" s="293">
        <v>-1260499</v>
      </c>
      <c r="F2304" s="294" t="s">
        <v>286</v>
      </c>
    </row>
    <row r="2305" spans="1:6" hidden="1" outlineLevel="1" collapsed="1" x14ac:dyDescent="0.25">
      <c r="A2305" s="321" t="s">
        <v>282</v>
      </c>
      <c r="B2305" s="321" t="s">
        <v>1090</v>
      </c>
      <c r="C2305" s="293">
        <v>1260499</v>
      </c>
      <c r="D2305" s="293">
        <v>0</v>
      </c>
      <c r="E2305" s="293">
        <v>-1260499</v>
      </c>
      <c r="F2305" s="294" t="s">
        <v>286</v>
      </c>
    </row>
    <row r="2306" spans="1:6" collapsed="1" x14ac:dyDescent="0.25">
      <c r="A2306" s="560" t="s">
        <v>315</v>
      </c>
      <c r="B2306" s="561"/>
      <c r="C2306" s="292">
        <v>0</v>
      </c>
      <c r="D2306" s="293">
        <v>1519337</v>
      </c>
      <c r="E2306" s="293">
        <v>1519337</v>
      </c>
      <c r="F2306" s="294" t="s">
        <v>298</v>
      </c>
    </row>
    <row r="2307" spans="1:6" hidden="1" outlineLevel="1" collapsed="1" x14ac:dyDescent="0.25">
      <c r="A2307" s="321" t="s">
        <v>282</v>
      </c>
      <c r="B2307" s="321" t="s">
        <v>1087</v>
      </c>
      <c r="C2307" s="293">
        <v>0</v>
      </c>
      <c r="D2307" s="293">
        <v>79337</v>
      </c>
      <c r="E2307" s="293">
        <v>79337</v>
      </c>
      <c r="F2307" s="294" t="s">
        <v>298</v>
      </c>
    </row>
    <row r="2308" spans="1:6" hidden="1" outlineLevel="1" collapsed="1" x14ac:dyDescent="0.25">
      <c r="A2308" s="321" t="s">
        <v>282</v>
      </c>
      <c r="B2308" s="321" t="s">
        <v>1090</v>
      </c>
      <c r="C2308" s="293">
        <v>0</v>
      </c>
      <c r="D2308" s="293">
        <v>1440000</v>
      </c>
      <c r="E2308" s="293">
        <v>1440000</v>
      </c>
      <c r="F2308" s="294" t="s">
        <v>298</v>
      </c>
    </row>
    <row r="2309" spans="1:6" collapsed="1" x14ac:dyDescent="0.25">
      <c r="A2309" s="560" t="s">
        <v>1091</v>
      </c>
      <c r="B2309" s="561"/>
      <c r="C2309" s="292">
        <v>444</v>
      </c>
      <c r="D2309" s="293">
        <v>444</v>
      </c>
      <c r="E2309" s="293">
        <v>0</v>
      </c>
      <c r="F2309" s="294" t="s">
        <v>316</v>
      </c>
    </row>
    <row r="2310" spans="1:6" hidden="1" outlineLevel="1" collapsed="1" x14ac:dyDescent="0.25">
      <c r="A2310" s="321" t="s">
        <v>282</v>
      </c>
      <c r="B2310" s="321" t="s">
        <v>843</v>
      </c>
      <c r="C2310" s="293">
        <v>444</v>
      </c>
      <c r="D2310" s="293">
        <v>444</v>
      </c>
      <c r="E2310" s="293">
        <v>0</v>
      </c>
      <c r="F2310" s="294" t="s">
        <v>316</v>
      </c>
    </row>
    <row r="2311" spans="1:6" collapsed="1" x14ac:dyDescent="0.25">
      <c r="A2311" s="560" t="s">
        <v>1092</v>
      </c>
      <c r="B2311" s="561"/>
      <c r="C2311" s="292">
        <v>138553.05186800001</v>
      </c>
      <c r="D2311" s="293">
        <v>143753.959608</v>
      </c>
      <c r="E2311" s="293">
        <v>5200.9077399999996</v>
      </c>
      <c r="F2311" s="294" t="s">
        <v>1074</v>
      </c>
    </row>
    <row r="2312" spans="1:6" hidden="1" outlineLevel="1" collapsed="1" x14ac:dyDescent="0.25">
      <c r="A2312" s="321" t="s">
        <v>282</v>
      </c>
      <c r="B2312" s="321" t="s">
        <v>942</v>
      </c>
      <c r="C2312" s="293">
        <v>99923.709587999998</v>
      </c>
      <c r="D2312" s="293">
        <v>101422.563828</v>
      </c>
      <c r="E2312" s="293">
        <v>1498.8542399999999</v>
      </c>
      <c r="F2312" s="294" t="s">
        <v>510</v>
      </c>
    </row>
    <row r="2313" spans="1:6" hidden="1" outlineLevel="1" collapsed="1" x14ac:dyDescent="0.25">
      <c r="A2313" s="321" t="s">
        <v>282</v>
      </c>
      <c r="B2313" s="321" t="s">
        <v>384</v>
      </c>
      <c r="C2313" s="293">
        <v>12570.40266</v>
      </c>
      <c r="D2313" s="293">
        <v>0</v>
      </c>
      <c r="E2313" s="293">
        <v>-12570.40266</v>
      </c>
      <c r="F2313" s="294" t="s">
        <v>286</v>
      </c>
    </row>
    <row r="2314" spans="1:6" hidden="1" outlineLevel="1" collapsed="1" x14ac:dyDescent="0.25">
      <c r="A2314" s="321" t="s">
        <v>282</v>
      </c>
      <c r="B2314" s="321" t="s">
        <v>385</v>
      </c>
      <c r="C2314" s="293">
        <v>0</v>
      </c>
      <c r="D2314" s="293">
        <v>15751.938383999999</v>
      </c>
      <c r="E2314" s="293">
        <v>15751.938383999999</v>
      </c>
      <c r="F2314" s="294" t="s">
        <v>298</v>
      </c>
    </row>
    <row r="2315" spans="1:6" hidden="1" outlineLevel="1" collapsed="1" x14ac:dyDescent="0.25">
      <c r="A2315" s="321" t="s">
        <v>282</v>
      </c>
      <c r="B2315" s="321" t="s">
        <v>386</v>
      </c>
      <c r="C2315" s="293">
        <v>6232.4699879999998</v>
      </c>
      <c r="D2315" s="293">
        <v>0</v>
      </c>
      <c r="E2315" s="293">
        <v>-6232.4699879999998</v>
      </c>
      <c r="F2315" s="294" t="s">
        <v>286</v>
      </c>
    </row>
    <row r="2316" spans="1:6" hidden="1" outlineLevel="1" collapsed="1" x14ac:dyDescent="0.25">
      <c r="A2316" s="321" t="s">
        <v>282</v>
      </c>
      <c r="B2316" s="321" t="s">
        <v>387</v>
      </c>
      <c r="C2316" s="293">
        <v>0</v>
      </c>
      <c r="D2316" s="293">
        <v>6325.398948</v>
      </c>
      <c r="E2316" s="293">
        <v>6325.398948</v>
      </c>
      <c r="F2316" s="294" t="s">
        <v>298</v>
      </c>
    </row>
    <row r="2317" spans="1:6" hidden="1" outlineLevel="1" collapsed="1" x14ac:dyDescent="0.25">
      <c r="A2317" s="321" t="s">
        <v>282</v>
      </c>
      <c r="B2317" s="321" t="s">
        <v>388</v>
      </c>
      <c r="C2317" s="293">
        <v>1457.5937879999999</v>
      </c>
      <c r="D2317" s="293">
        <v>1479.327168</v>
      </c>
      <c r="E2317" s="293">
        <v>21.73338</v>
      </c>
      <c r="F2317" s="294" t="s">
        <v>781</v>
      </c>
    </row>
    <row r="2318" spans="1:6" hidden="1" outlineLevel="1" collapsed="1" x14ac:dyDescent="0.25">
      <c r="A2318" s="321" t="s">
        <v>282</v>
      </c>
      <c r="B2318" s="321" t="s">
        <v>389</v>
      </c>
      <c r="C2318" s="293">
        <v>426.12479999999999</v>
      </c>
      <c r="D2318" s="293">
        <v>422.04</v>
      </c>
      <c r="E2318" s="293">
        <v>-4.0848000000000004</v>
      </c>
      <c r="F2318" s="294" t="s">
        <v>364</v>
      </c>
    </row>
    <row r="2319" spans="1:6" hidden="1" outlineLevel="1" collapsed="1" x14ac:dyDescent="0.25">
      <c r="A2319" s="321" t="s">
        <v>282</v>
      </c>
      <c r="B2319" s="321" t="s">
        <v>390</v>
      </c>
      <c r="C2319" s="293">
        <v>15485.27</v>
      </c>
      <c r="D2319" s="293">
        <v>15959.28</v>
      </c>
      <c r="E2319" s="293">
        <v>474.01</v>
      </c>
      <c r="F2319" s="294" t="s">
        <v>391</v>
      </c>
    </row>
    <row r="2320" spans="1:6" hidden="1" outlineLevel="1" collapsed="1" x14ac:dyDescent="0.25">
      <c r="A2320" s="321" t="s">
        <v>282</v>
      </c>
      <c r="B2320" s="321" t="s">
        <v>392</v>
      </c>
      <c r="C2320" s="293">
        <v>233.53919999999999</v>
      </c>
      <c r="D2320" s="293">
        <v>182.88</v>
      </c>
      <c r="E2320" s="293">
        <v>-50.659199999999998</v>
      </c>
      <c r="F2320" s="294" t="s">
        <v>368</v>
      </c>
    </row>
    <row r="2321" spans="1:6" hidden="1" outlineLevel="1" collapsed="1" x14ac:dyDescent="0.25">
      <c r="A2321" s="321" t="s">
        <v>282</v>
      </c>
      <c r="B2321" s="321" t="s">
        <v>393</v>
      </c>
      <c r="C2321" s="293">
        <v>50.261844000000004</v>
      </c>
      <c r="D2321" s="293">
        <v>51.011279999999999</v>
      </c>
      <c r="E2321" s="293">
        <v>0.74943599999999999</v>
      </c>
      <c r="F2321" s="294" t="s">
        <v>781</v>
      </c>
    </row>
    <row r="2322" spans="1:6" hidden="1" outlineLevel="1" collapsed="1" x14ac:dyDescent="0.25">
      <c r="A2322" s="321" t="s">
        <v>282</v>
      </c>
      <c r="B2322" s="321" t="s">
        <v>394</v>
      </c>
      <c r="C2322" s="293">
        <v>1500</v>
      </c>
      <c r="D2322" s="293">
        <v>0</v>
      </c>
      <c r="E2322" s="293">
        <v>-1500</v>
      </c>
      <c r="F2322" s="294" t="s">
        <v>286</v>
      </c>
    </row>
    <row r="2323" spans="1:6" hidden="1" outlineLevel="1" collapsed="1" x14ac:dyDescent="0.25">
      <c r="A2323" s="321" t="s">
        <v>282</v>
      </c>
      <c r="B2323" s="321" t="s">
        <v>395</v>
      </c>
      <c r="C2323" s="293">
        <v>0</v>
      </c>
      <c r="D2323" s="293">
        <v>1500</v>
      </c>
      <c r="E2323" s="293">
        <v>1500</v>
      </c>
      <c r="F2323" s="294" t="s">
        <v>298</v>
      </c>
    </row>
    <row r="2324" spans="1:6" hidden="1" outlineLevel="1" collapsed="1" x14ac:dyDescent="0.25">
      <c r="A2324" s="321" t="s">
        <v>282</v>
      </c>
      <c r="B2324" s="321" t="s">
        <v>396</v>
      </c>
      <c r="C2324" s="293">
        <v>49.68</v>
      </c>
      <c r="D2324" s="293">
        <v>0</v>
      </c>
      <c r="E2324" s="293">
        <v>-49.68</v>
      </c>
      <c r="F2324" s="294" t="s">
        <v>286</v>
      </c>
    </row>
    <row r="2325" spans="1:6" hidden="1" outlineLevel="1" collapsed="1" x14ac:dyDescent="0.25">
      <c r="A2325" s="321" t="s">
        <v>282</v>
      </c>
      <c r="B2325" s="321" t="s">
        <v>397</v>
      </c>
      <c r="C2325" s="293">
        <v>0</v>
      </c>
      <c r="D2325" s="293">
        <v>48.48</v>
      </c>
      <c r="E2325" s="293">
        <v>48.48</v>
      </c>
      <c r="F2325" s="294" t="s">
        <v>298</v>
      </c>
    </row>
    <row r="2326" spans="1:6" hidden="1" outlineLevel="1" collapsed="1" x14ac:dyDescent="0.25">
      <c r="A2326" s="321" t="s">
        <v>282</v>
      </c>
      <c r="B2326" s="321" t="s">
        <v>398</v>
      </c>
      <c r="C2326" s="293">
        <v>24</v>
      </c>
      <c r="D2326" s="293">
        <v>11.04</v>
      </c>
      <c r="E2326" s="293">
        <v>-12.96</v>
      </c>
      <c r="F2326" s="294" t="s">
        <v>374</v>
      </c>
    </row>
    <row r="2327" spans="1:6" hidden="1" outlineLevel="1" collapsed="1" x14ac:dyDescent="0.25">
      <c r="A2327" s="321" t="s">
        <v>282</v>
      </c>
      <c r="B2327" s="321" t="s">
        <v>952</v>
      </c>
      <c r="C2327" s="293">
        <v>600</v>
      </c>
      <c r="D2327" s="293">
        <v>600</v>
      </c>
      <c r="E2327" s="293">
        <v>0</v>
      </c>
      <c r="F2327" s="294" t="s">
        <v>316</v>
      </c>
    </row>
    <row r="2328" spans="1:6" collapsed="1" x14ac:dyDescent="0.25">
      <c r="A2328" s="560" t="s">
        <v>1094</v>
      </c>
      <c r="B2328" s="561"/>
      <c r="C2328" s="292">
        <v>643948.33173700003</v>
      </c>
      <c r="D2328" s="293">
        <v>680145.13707599998</v>
      </c>
      <c r="E2328" s="293">
        <v>36196.805338999999</v>
      </c>
      <c r="F2328" s="294" t="s">
        <v>1024</v>
      </c>
    </row>
    <row r="2329" spans="1:6" hidden="1" outlineLevel="1" collapsed="1" x14ac:dyDescent="0.25">
      <c r="A2329" s="321" t="s">
        <v>282</v>
      </c>
      <c r="B2329" s="321" t="s">
        <v>1096</v>
      </c>
      <c r="C2329" s="293">
        <v>188413.438716</v>
      </c>
      <c r="D2329" s="293">
        <v>191239.63870800001</v>
      </c>
      <c r="E2329" s="293">
        <v>2826.1999919999998</v>
      </c>
      <c r="F2329" s="294" t="s">
        <v>510</v>
      </c>
    </row>
    <row r="2330" spans="1:6" hidden="1" outlineLevel="1" collapsed="1" x14ac:dyDescent="0.25">
      <c r="A2330" s="321" t="s">
        <v>282</v>
      </c>
      <c r="B2330" s="321" t="s">
        <v>1097</v>
      </c>
      <c r="C2330" s="293">
        <v>78310.132635999995</v>
      </c>
      <c r="D2330" s="293">
        <v>79469.782552000004</v>
      </c>
      <c r="E2330" s="293">
        <v>1159.6499160000001</v>
      </c>
      <c r="F2330" s="294" t="s">
        <v>512</v>
      </c>
    </row>
    <row r="2331" spans="1:6" hidden="1" outlineLevel="1" collapsed="1" x14ac:dyDescent="0.25">
      <c r="A2331" s="321" t="s">
        <v>282</v>
      </c>
      <c r="B2331" s="321" t="s">
        <v>464</v>
      </c>
      <c r="C2331" s="293">
        <v>60366.896467999999</v>
      </c>
      <c r="D2331" s="293">
        <v>62167.302872</v>
      </c>
      <c r="E2331" s="293">
        <v>1800.4064040000001</v>
      </c>
      <c r="F2331" s="294" t="s">
        <v>381</v>
      </c>
    </row>
    <row r="2332" spans="1:6" hidden="1" outlineLevel="1" collapsed="1" x14ac:dyDescent="0.25">
      <c r="A2332" s="321" t="s">
        <v>282</v>
      </c>
      <c r="B2332" s="321" t="s">
        <v>475</v>
      </c>
      <c r="C2332" s="293">
        <v>1000</v>
      </c>
      <c r="D2332" s="293">
        <v>1000</v>
      </c>
      <c r="E2332" s="293">
        <v>0</v>
      </c>
      <c r="F2332" s="294" t="s">
        <v>316</v>
      </c>
    </row>
    <row r="2333" spans="1:6" hidden="1" outlineLevel="1" collapsed="1" x14ac:dyDescent="0.25">
      <c r="A2333" s="321" t="s">
        <v>282</v>
      </c>
      <c r="B2333" s="321" t="s">
        <v>476</v>
      </c>
      <c r="C2333" s="293">
        <v>2853</v>
      </c>
      <c r="D2333" s="293">
        <v>1500</v>
      </c>
      <c r="E2333" s="293">
        <v>-1353</v>
      </c>
      <c r="F2333" s="294" t="s">
        <v>1098</v>
      </c>
    </row>
    <row r="2334" spans="1:6" hidden="1" outlineLevel="1" collapsed="1" x14ac:dyDescent="0.25">
      <c r="A2334" s="321" t="s">
        <v>282</v>
      </c>
      <c r="B2334" s="321" t="s">
        <v>751</v>
      </c>
      <c r="C2334" s="293">
        <v>24587.953752000001</v>
      </c>
      <c r="D2334" s="293">
        <v>0</v>
      </c>
      <c r="E2334" s="293">
        <v>-24587.953752000001</v>
      </c>
      <c r="F2334" s="294" t="s">
        <v>286</v>
      </c>
    </row>
    <row r="2335" spans="1:6" hidden="1" outlineLevel="1" collapsed="1" x14ac:dyDescent="0.25">
      <c r="A2335" s="321" t="s">
        <v>282</v>
      </c>
      <c r="B2335" s="321" t="s">
        <v>752</v>
      </c>
      <c r="C2335" s="293">
        <v>0</v>
      </c>
      <c r="D2335" s="293">
        <v>27595.879860000001</v>
      </c>
      <c r="E2335" s="293">
        <v>27595.879860000001</v>
      </c>
      <c r="F2335" s="294" t="s">
        <v>298</v>
      </c>
    </row>
    <row r="2336" spans="1:6" hidden="1" outlineLevel="1" collapsed="1" x14ac:dyDescent="0.25">
      <c r="A2336" s="321" t="s">
        <v>282</v>
      </c>
      <c r="B2336" s="321" t="s">
        <v>384</v>
      </c>
      <c r="C2336" s="293">
        <v>17219.130251999999</v>
      </c>
      <c r="D2336" s="293">
        <v>0</v>
      </c>
      <c r="E2336" s="293">
        <v>-17219.130251999999</v>
      </c>
      <c r="F2336" s="294" t="s">
        <v>286</v>
      </c>
    </row>
    <row r="2337" spans="1:6" hidden="1" outlineLevel="1" collapsed="1" x14ac:dyDescent="0.25">
      <c r="A2337" s="321" t="s">
        <v>282</v>
      </c>
      <c r="B2337" s="321" t="s">
        <v>385</v>
      </c>
      <c r="C2337" s="293">
        <v>0</v>
      </c>
      <c r="D2337" s="293">
        <v>21718.097723999999</v>
      </c>
      <c r="E2337" s="293">
        <v>21718.097723999999</v>
      </c>
      <c r="F2337" s="294" t="s">
        <v>298</v>
      </c>
    </row>
    <row r="2338" spans="1:6" hidden="1" outlineLevel="1" collapsed="1" x14ac:dyDescent="0.25">
      <c r="A2338" s="321" t="s">
        <v>282</v>
      </c>
      <c r="B2338" s="321" t="s">
        <v>386</v>
      </c>
      <c r="C2338" s="293">
        <v>8597.9757850000005</v>
      </c>
      <c r="D2338" s="293">
        <v>0</v>
      </c>
      <c r="E2338" s="293">
        <v>-8597.9757850000005</v>
      </c>
      <c r="F2338" s="294" t="s">
        <v>286</v>
      </c>
    </row>
    <row r="2339" spans="1:6" hidden="1" outlineLevel="1" collapsed="1" x14ac:dyDescent="0.25">
      <c r="A2339" s="321" t="s">
        <v>282</v>
      </c>
      <c r="B2339" s="321" t="s">
        <v>387</v>
      </c>
      <c r="C2339" s="293">
        <v>0</v>
      </c>
      <c r="D2339" s="293">
        <v>8781.4992839999995</v>
      </c>
      <c r="E2339" s="293">
        <v>8781.4992839999995</v>
      </c>
      <c r="F2339" s="294" t="s">
        <v>298</v>
      </c>
    </row>
    <row r="2340" spans="1:6" hidden="1" outlineLevel="1" collapsed="1" x14ac:dyDescent="0.25">
      <c r="A2340" s="321" t="s">
        <v>282</v>
      </c>
      <c r="B2340" s="321" t="s">
        <v>388</v>
      </c>
      <c r="C2340" s="293">
        <v>2010.816912</v>
      </c>
      <c r="D2340" s="293">
        <v>2053.7377320000001</v>
      </c>
      <c r="E2340" s="293">
        <v>42.920819999999999</v>
      </c>
      <c r="F2340" s="294" t="s">
        <v>1099</v>
      </c>
    </row>
    <row r="2341" spans="1:6" hidden="1" outlineLevel="1" collapsed="1" x14ac:dyDescent="0.25">
      <c r="A2341" s="321" t="s">
        <v>282</v>
      </c>
      <c r="B2341" s="321" t="s">
        <v>444</v>
      </c>
      <c r="C2341" s="293">
        <v>0</v>
      </c>
      <c r="D2341" s="293">
        <v>225</v>
      </c>
      <c r="E2341" s="293">
        <v>225</v>
      </c>
      <c r="F2341" s="294" t="s">
        <v>298</v>
      </c>
    </row>
    <row r="2342" spans="1:6" hidden="1" outlineLevel="1" collapsed="1" x14ac:dyDescent="0.25">
      <c r="A2342" s="321" t="s">
        <v>282</v>
      </c>
      <c r="B2342" s="321" t="s">
        <v>389</v>
      </c>
      <c r="C2342" s="293">
        <v>852.24959999999999</v>
      </c>
      <c r="D2342" s="293">
        <v>844.08</v>
      </c>
      <c r="E2342" s="293">
        <v>-8.1696000000000009</v>
      </c>
      <c r="F2342" s="294" t="s">
        <v>364</v>
      </c>
    </row>
    <row r="2343" spans="1:6" hidden="1" outlineLevel="1" collapsed="1" x14ac:dyDescent="0.25">
      <c r="A2343" s="321" t="s">
        <v>282</v>
      </c>
      <c r="B2343" s="321" t="s">
        <v>390</v>
      </c>
      <c r="C2343" s="293">
        <v>30970.54</v>
      </c>
      <c r="D2343" s="293">
        <v>31918.560000000001</v>
      </c>
      <c r="E2343" s="293">
        <v>948.02</v>
      </c>
      <c r="F2343" s="294" t="s">
        <v>391</v>
      </c>
    </row>
    <row r="2344" spans="1:6" hidden="1" outlineLevel="1" collapsed="1" x14ac:dyDescent="0.25">
      <c r="A2344" s="321" t="s">
        <v>282</v>
      </c>
      <c r="B2344" s="321" t="s">
        <v>392</v>
      </c>
      <c r="C2344" s="293">
        <v>467.07839999999999</v>
      </c>
      <c r="D2344" s="293">
        <v>365.76</v>
      </c>
      <c r="E2344" s="293">
        <v>-101.3184</v>
      </c>
      <c r="F2344" s="294" t="s">
        <v>368</v>
      </c>
    </row>
    <row r="2345" spans="1:6" hidden="1" outlineLevel="1" collapsed="1" x14ac:dyDescent="0.25">
      <c r="A2345" s="321" t="s">
        <v>282</v>
      </c>
      <c r="B2345" s="321" t="s">
        <v>754</v>
      </c>
      <c r="C2345" s="293">
        <v>15358.56</v>
      </c>
      <c r="D2345" s="293">
        <v>15959.28</v>
      </c>
      <c r="E2345" s="293">
        <v>600.72</v>
      </c>
      <c r="F2345" s="294" t="s">
        <v>366</v>
      </c>
    </row>
    <row r="2346" spans="1:6" hidden="1" outlineLevel="1" collapsed="1" x14ac:dyDescent="0.25">
      <c r="A2346" s="321" t="s">
        <v>282</v>
      </c>
      <c r="B2346" s="321" t="s">
        <v>755</v>
      </c>
      <c r="C2346" s="293">
        <v>426.12479999999999</v>
      </c>
      <c r="D2346" s="293">
        <v>422.04</v>
      </c>
      <c r="E2346" s="293">
        <v>-4.0848000000000004</v>
      </c>
      <c r="F2346" s="294" t="s">
        <v>364</v>
      </c>
    </row>
    <row r="2347" spans="1:6" hidden="1" outlineLevel="1" collapsed="1" x14ac:dyDescent="0.25">
      <c r="A2347" s="321" t="s">
        <v>282</v>
      </c>
      <c r="B2347" s="321" t="s">
        <v>756</v>
      </c>
      <c r="C2347" s="293">
        <v>233.53919999999999</v>
      </c>
      <c r="D2347" s="293">
        <v>182.88</v>
      </c>
      <c r="E2347" s="293">
        <v>-50.659199999999998</v>
      </c>
      <c r="F2347" s="294" t="s">
        <v>368</v>
      </c>
    </row>
    <row r="2348" spans="1:6" hidden="1" outlineLevel="1" collapsed="1" x14ac:dyDescent="0.25">
      <c r="A2348" s="321" t="s">
        <v>282</v>
      </c>
      <c r="B2348" s="321" t="s">
        <v>393</v>
      </c>
      <c r="C2348" s="293">
        <v>69.338508000000004</v>
      </c>
      <c r="D2348" s="293">
        <v>70.818528000000001</v>
      </c>
      <c r="E2348" s="293">
        <v>1.4800199999999999</v>
      </c>
      <c r="F2348" s="294" t="s">
        <v>1099</v>
      </c>
    </row>
    <row r="2349" spans="1:6" hidden="1" outlineLevel="1" collapsed="1" x14ac:dyDescent="0.25">
      <c r="A2349" s="321" t="s">
        <v>282</v>
      </c>
      <c r="B2349" s="321" t="s">
        <v>757</v>
      </c>
      <c r="C2349" s="293">
        <v>100.806708</v>
      </c>
      <c r="D2349" s="293">
        <v>0</v>
      </c>
      <c r="E2349" s="293">
        <v>-100.806708</v>
      </c>
      <c r="F2349" s="294" t="s">
        <v>286</v>
      </c>
    </row>
    <row r="2350" spans="1:6" hidden="1" outlineLevel="1" collapsed="1" x14ac:dyDescent="0.25">
      <c r="A2350" s="321" t="s">
        <v>282</v>
      </c>
      <c r="B2350" s="321" t="s">
        <v>758</v>
      </c>
      <c r="C2350" s="293">
        <v>0</v>
      </c>
      <c r="D2350" s="293">
        <v>102.21981599999999</v>
      </c>
      <c r="E2350" s="293">
        <v>102.21981599999999</v>
      </c>
      <c r="F2350" s="294" t="s">
        <v>298</v>
      </c>
    </row>
    <row r="2351" spans="1:6" hidden="1" outlineLevel="1" collapsed="1" x14ac:dyDescent="0.25">
      <c r="A2351" s="321" t="s">
        <v>282</v>
      </c>
      <c r="B2351" s="321" t="s">
        <v>394</v>
      </c>
      <c r="C2351" s="293">
        <v>3000</v>
      </c>
      <c r="D2351" s="293">
        <v>0</v>
      </c>
      <c r="E2351" s="293">
        <v>-3000</v>
      </c>
      <c r="F2351" s="294" t="s">
        <v>286</v>
      </c>
    </row>
    <row r="2352" spans="1:6" hidden="1" outlineLevel="1" collapsed="1" x14ac:dyDescent="0.25">
      <c r="A2352" s="321" t="s">
        <v>282</v>
      </c>
      <c r="B2352" s="321" t="s">
        <v>395</v>
      </c>
      <c r="C2352" s="293">
        <v>0</v>
      </c>
      <c r="D2352" s="293">
        <v>3000</v>
      </c>
      <c r="E2352" s="293">
        <v>3000</v>
      </c>
      <c r="F2352" s="294" t="s">
        <v>298</v>
      </c>
    </row>
    <row r="2353" spans="1:6" hidden="1" outlineLevel="1" collapsed="1" x14ac:dyDescent="0.25">
      <c r="A2353" s="321" t="s">
        <v>282</v>
      </c>
      <c r="B2353" s="321" t="s">
        <v>759</v>
      </c>
      <c r="C2353" s="293">
        <v>1500</v>
      </c>
      <c r="D2353" s="293">
        <v>0</v>
      </c>
      <c r="E2353" s="293">
        <v>-1500</v>
      </c>
      <c r="F2353" s="294" t="s">
        <v>286</v>
      </c>
    </row>
    <row r="2354" spans="1:6" hidden="1" outlineLevel="1" collapsed="1" x14ac:dyDescent="0.25">
      <c r="A2354" s="321" t="s">
        <v>282</v>
      </c>
      <c r="B2354" s="321" t="s">
        <v>760</v>
      </c>
      <c r="C2354" s="293">
        <v>0</v>
      </c>
      <c r="D2354" s="293">
        <v>1500</v>
      </c>
      <c r="E2354" s="293">
        <v>1500</v>
      </c>
      <c r="F2354" s="294" t="s">
        <v>298</v>
      </c>
    </row>
    <row r="2355" spans="1:6" hidden="1" outlineLevel="1" collapsed="1" x14ac:dyDescent="0.25">
      <c r="A2355" s="321" t="s">
        <v>282</v>
      </c>
      <c r="B2355" s="321" t="s">
        <v>396</v>
      </c>
      <c r="C2355" s="293">
        <v>99.36</v>
      </c>
      <c r="D2355" s="293">
        <v>0</v>
      </c>
      <c r="E2355" s="293">
        <v>-99.36</v>
      </c>
      <c r="F2355" s="294" t="s">
        <v>286</v>
      </c>
    </row>
    <row r="2356" spans="1:6" hidden="1" outlineLevel="1" collapsed="1" x14ac:dyDescent="0.25">
      <c r="A2356" s="321" t="s">
        <v>282</v>
      </c>
      <c r="B2356" s="321" t="s">
        <v>397</v>
      </c>
      <c r="C2356" s="293">
        <v>0</v>
      </c>
      <c r="D2356" s="293">
        <v>96.96</v>
      </c>
      <c r="E2356" s="293">
        <v>96.96</v>
      </c>
      <c r="F2356" s="294" t="s">
        <v>298</v>
      </c>
    </row>
    <row r="2357" spans="1:6" hidden="1" outlineLevel="1" collapsed="1" x14ac:dyDescent="0.25">
      <c r="A2357" s="321" t="s">
        <v>282</v>
      </c>
      <c r="B2357" s="321" t="s">
        <v>761</v>
      </c>
      <c r="C2357" s="293">
        <v>49.68</v>
      </c>
      <c r="D2357" s="293">
        <v>0</v>
      </c>
      <c r="E2357" s="293">
        <v>-49.68</v>
      </c>
      <c r="F2357" s="294" t="s">
        <v>286</v>
      </c>
    </row>
    <row r="2358" spans="1:6" hidden="1" outlineLevel="1" collapsed="1" x14ac:dyDescent="0.25">
      <c r="A2358" s="321" t="s">
        <v>282</v>
      </c>
      <c r="B2358" s="321" t="s">
        <v>762</v>
      </c>
      <c r="C2358" s="293">
        <v>0</v>
      </c>
      <c r="D2358" s="293">
        <v>48.48</v>
      </c>
      <c r="E2358" s="293">
        <v>48.48</v>
      </c>
      <c r="F2358" s="294" t="s">
        <v>298</v>
      </c>
    </row>
    <row r="2359" spans="1:6" hidden="1" outlineLevel="1" collapsed="1" x14ac:dyDescent="0.25">
      <c r="A2359" s="321" t="s">
        <v>282</v>
      </c>
      <c r="B2359" s="321" t="s">
        <v>398</v>
      </c>
      <c r="C2359" s="293">
        <v>48</v>
      </c>
      <c r="D2359" s="293">
        <v>22.08</v>
      </c>
      <c r="E2359" s="293">
        <v>-25.92</v>
      </c>
      <c r="F2359" s="294" t="s">
        <v>374</v>
      </c>
    </row>
    <row r="2360" spans="1:6" hidden="1" outlineLevel="1" collapsed="1" x14ac:dyDescent="0.25">
      <c r="A2360" s="321" t="s">
        <v>282</v>
      </c>
      <c r="B2360" s="321" t="s">
        <v>763</v>
      </c>
      <c r="C2360" s="293">
        <v>24</v>
      </c>
      <c r="D2360" s="293">
        <v>11.04</v>
      </c>
      <c r="E2360" s="293">
        <v>-12.96</v>
      </c>
      <c r="F2360" s="294" t="s">
        <v>374</v>
      </c>
    </row>
    <row r="2361" spans="1:6" hidden="1" outlineLevel="1" collapsed="1" x14ac:dyDescent="0.25">
      <c r="A2361" s="321" t="s">
        <v>282</v>
      </c>
      <c r="B2361" s="321" t="s">
        <v>523</v>
      </c>
      <c r="C2361" s="293">
        <v>200</v>
      </c>
      <c r="D2361" s="293">
        <v>200</v>
      </c>
      <c r="E2361" s="293">
        <v>0</v>
      </c>
      <c r="F2361" s="294" t="s">
        <v>316</v>
      </c>
    </row>
    <row r="2362" spans="1:6" hidden="1" outlineLevel="1" collapsed="1" x14ac:dyDescent="0.25">
      <c r="A2362" s="321" t="s">
        <v>282</v>
      </c>
      <c r="B2362" s="321" t="s">
        <v>399</v>
      </c>
      <c r="C2362" s="293">
        <v>1000</v>
      </c>
      <c r="D2362" s="293">
        <v>500</v>
      </c>
      <c r="E2362" s="293">
        <v>-500</v>
      </c>
      <c r="F2362" s="294" t="s">
        <v>722</v>
      </c>
    </row>
    <row r="2363" spans="1:6" hidden="1" outlineLevel="1" collapsed="1" x14ac:dyDescent="0.25">
      <c r="A2363" s="321" t="s">
        <v>282</v>
      </c>
      <c r="B2363" s="321" t="s">
        <v>496</v>
      </c>
      <c r="C2363" s="293">
        <v>200</v>
      </c>
      <c r="D2363" s="293">
        <v>200</v>
      </c>
      <c r="E2363" s="293">
        <v>0</v>
      </c>
      <c r="F2363" s="294" t="s">
        <v>316</v>
      </c>
    </row>
    <row r="2364" spans="1:6" hidden="1" outlineLevel="1" collapsed="1" x14ac:dyDescent="0.25">
      <c r="A2364" s="321" t="s">
        <v>282</v>
      </c>
      <c r="B2364" s="321" t="s">
        <v>376</v>
      </c>
      <c r="C2364" s="293">
        <v>7500</v>
      </c>
      <c r="D2364" s="293">
        <v>7000</v>
      </c>
      <c r="E2364" s="293">
        <v>-500</v>
      </c>
      <c r="F2364" s="294" t="s">
        <v>1100</v>
      </c>
    </row>
    <row r="2365" spans="1:6" hidden="1" outlineLevel="1" collapsed="1" x14ac:dyDescent="0.25">
      <c r="A2365" s="321" t="s">
        <v>282</v>
      </c>
      <c r="B2365" s="321" t="s">
        <v>662</v>
      </c>
      <c r="C2365" s="293">
        <v>200</v>
      </c>
      <c r="D2365" s="293">
        <v>200</v>
      </c>
      <c r="E2365" s="293">
        <v>0</v>
      </c>
      <c r="F2365" s="294" t="s">
        <v>316</v>
      </c>
    </row>
    <row r="2366" spans="1:6" hidden="1" outlineLevel="1" collapsed="1" x14ac:dyDescent="0.25">
      <c r="A2366" s="321" t="s">
        <v>282</v>
      </c>
      <c r="B2366" s="321" t="s">
        <v>506</v>
      </c>
      <c r="C2366" s="293">
        <v>25000</v>
      </c>
      <c r="D2366" s="293">
        <v>25000</v>
      </c>
      <c r="E2366" s="293">
        <v>0</v>
      </c>
      <c r="F2366" s="294" t="s">
        <v>316</v>
      </c>
    </row>
    <row r="2367" spans="1:6" hidden="1" outlineLevel="1" collapsed="1" x14ac:dyDescent="0.25">
      <c r="A2367" s="321" t="s">
        <v>282</v>
      </c>
      <c r="B2367" s="321" t="s">
        <v>567</v>
      </c>
      <c r="C2367" s="293">
        <v>5355</v>
      </c>
      <c r="D2367" s="293">
        <v>10000</v>
      </c>
      <c r="E2367" s="293">
        <v>4645</v>
      </c>
      <c r="F2367" s="294" t="s">
        <v>2137</v>
      </c>
    </row>
    <row r="2368" spans="1:6" hidden="1" outlineLevel="1" collapsed="1" x14ac:dyDescent="0.25">
      <c r="A2368" s="321" t="s">
        <v>282</v>
      </c>
      <c r="B2368" s="321" t="s">
        <v>426</v>
      </c>
      <c r="C2368" s="293">
        <v>48000</v>
      </c>
      <c r="D2368" s="293">
        <v>42000</v>
      </c>
      <c r="E2368" s="293">
        <v>-6000</v>
      </c>
      <c r="F2368" s="294" t="s">
        <v>1102</v>
      </c>
    </row>
    <row r="2369" spans="1:6" hidden="1" outlineLevel="1" collapsed="1" x14ac:dyDescent="0.25">
      <c r="A2369" s="321" t="s">
        <v>282</v>
      </c>
      <c r="B2369" s="321" t="s">
        <v>1103</v>
      </c>
      <c r="C2369" s="293">
        <v>12000</v>
      </c>
      <c r="D2369" s="293">
        <v>12000</v>
      </c>
      <c r="E2369" s="293">
        <v>0</v>
      </c>
      <c r="F2369" s="294" t="s">
        <v>316</v>
      </c>
    </row>
    <row r="2370" spans="1:6" hidden="1" outlineLevel="1" collapsed="1" x14ac:dyDescent="0.25">
      <c r="A2370" s="321" t="s">
        <v>282</v>
      </c>
      <c r="B2370" s="321" t="s">
        <v>707</v>
      </c>
      <c r="C2370" s="293">
        <v>1200</v>
      </c>
      <c r="D2370" s="293">
        <v>1200</v>
      </c>
      <c r="E2370" s="293">
        <v>0</v>
      </c>
      <c r="F2370" s="294" t="s">
        <v>316</v>
      </c>
    </row>
    <row r="2371" spans="1:6" hidden="1" outlineLevel="1" collapsed="1" x14ac:dyDescent="0.25">
      <c r="A2371" s="321" t="s">
        <v>282</v>
      </c>
      <c r="B2371" s="321" t="s">
        <v>482</v>
      </c>
      <c r="C2371" s="293">
        <v>1100</v>
      </c>
      <c r="D2371" s="293">
        <v>1600</v>
      </c>
      <c r="E2371" s="293">
        <v>500</v>
      </c>
      <c r="F2371" s="294" t="s">
        <v>1104</v>
      </c>
    </row>
    <row r="2372" spans="1:6" hidden="1" outlineLevel="1" collapsed="1" x14ac:dyDescent="0.25">
      <c r="A2372" s="321" t="s">
        <v>282</v>
      </c>
      <c r="B2372" s="321" t="s">
        <v>597</v>
      </c>
      <c r="C2372" s="293">
        <v>68550</v>
      </c>
      <c r="D2372" s="293">
        <v>60000</v>
      </c>
      <c r="E2372" s="293">
        <v>-8550</v>
      </c>
      <c r="F2372" s="294" t="s">
        <v>1105</v>
      </c>
    </row>
    <row r="2373" spans="1:6" hidden="1" outlineLevel="1" collapsed="1" x14ac:dyDescent="0.25">
      <c r="A2373" s="321" t="s">
        <v>282</v>
      </c>
      <c r="B2373" s="321" t="s">
        <v>842</v>
      </c>
      <c r="C2373" s="293">
        <v>0</v>
      </c>
      <c r="D2373" s="293">
        <v>1000</v>
      </c>
      <c r="E2373" s="293">
        <v>1000</v>
      </c>
      <c r="F2373" s="294" t="s">
        <v>298</v>
      </c>
    </row>
    <row r="2374" spans="1:6" hidden="1" outlineLevel="1" collapsed="1" x14ac:dyDescent="0.25">
      <c r="A2374" s="321" t="s">
        <v>282</v>
      </c>
      <c r="B2374" s="321" t="s">
        <v>416</v>
      </c>
      <c r="C2374" s="293">
        <v>1145</v>
      </c>
      <c r="D2374" s="293">
        <v>550</v>
      </c>
      <c r="E2374" s="293">
        <v>-595</v>
      </c>
      <c r="F2374" s="294" t="s">
        <v>1106</v>
      </c>
    </row>
    <row r="2375" spans="1:6" hidden="1" outlineLevel="1" collapsed="1" x14ac:dyDescent="0.25">
      <c r="A2375" s="321" t="s">
        <v>282</v>
      </c>
      <c r="B2375" s="321" t="s">
        <v>401</v>
      </c>
      <c r="C2375" s="293">
        <v>500</v>
      </c>
      <c r="D2375" s="293">
        <v>500</v>
      </c>
      <c r="E2375" s="293">
        <v>0</v>
      </c>
      <c r="F2375" s="294" t="s">
        <v>316</v>
      </c>
    </row>
    <row r="2376" spans="1:6" hidden="1" outlineLevel="1" collapsed="1" x14ac:dyDescent="0.25">
      <c r="A2376" s="321" t="s">
        <v>282</v>
      </c>
      <c r="B2376" s="321" t="s">
        <v>543</v>
      </c>
      <c r="C2376" s="293">
        <v>0</v>
      </c>
      <c r="D2376" s="293">
        <v>1500</v>
      </c>
      <c r="E2376" s="293">
        <v>1500</v>
      </c>
      <c r="F2376" s="294" t="s">
        <v>298</v>
      </c>
    </row>
    <row r="2377" spans="1:6" hidden="1" outlineLevel="1" collapsed="1" x14ac:dyDescent="0.25">
      <c r="A2377" s="321" t="s">
        <v>282</v>
      </c>
      <c r="B2377" s="321" t="s">
        <v>448</v>
      </c>
      <c r="C2377" s="293">
        <v>1500</v>
      </c>
      <c r="D2377" s="293">
        <v>2500</v>
      </c>
      <c r="E2377" s="293">
        <v>1000</v>
      </c>
      <c r="F2377" s="294" t="s">
        <v>829</v>
      </c>
    </row>
    <row r="2378" spans="1:6" hidden="1" outlineLevel="1" collapsed="1" x14ac:dyDescent="0.25">
      <c r="A2378" s="321" t="s">
        <v>282</v>
      </c>
      <c r="B2378" s="321" t="s">
        <v>901</v>
      </c>
      <c r="C2378" s="293">
        <v>200</v>
      </c>
      <c r="D2378" s="293">
        <v>200</v>
      </c>
      <c r="E2378" s="293">
        <v>0</v>
      </c>
      <c r="F2378" s="294" t="s">
        <v>316</v>
      </c>
    </row>
    <row r="2379" spans="1:6" hidden="1" outlineLevel="1" collapsed="1" x14ac:dyDescent="0.25">
      <c r="A2379" s="321" t="s">
        <v>282</v>
      </c>
      <c r="B2379" s="321" t="s">
        <v>403</v>
      </c>
      <c r="C2379" s="293">
        <v>5000</v>
      </c>
      <c r="D2379" s="293">
        <v>5000</v>
      </c>
      <c r="E2379" s="293">
        <v>0</v>
      </c>
      <c r="F2379" s="294" t="s">
        <v>316</v>
      </c>
    </row>
    <row r="2380" spans="1:6" hidden="1" outlineLevel="1" collapsed="1" x14ac:dyDescent="0.25">
      <c r="A2380" s="321" t="s">
        <v>282</v>
      </c>
      <c r="B2380" s="321" t="s">
        <v>626</v>
      </c>
      <c r="C2380" s="293">
        <v>3500</v>
      </c>
      <c r="D2380" s="293">
        <v>1000</v>
      </c>
      <c r="E2380" s="293">
        <v>-2500</v>
      </c>
      <c r="F2380" s="294" t="s">
        <v>1108</v>
      </c>
    </row>
    <row r="2381" spans="1:6" hidden="1" outlineLevel="1" collapsed="1" x14ac:dyDescent="0.25">
      <c r="A2381" s="321" t="s">
        <v>282</v>
      </c>
      <c r="B2381" s="321" t="s">
        <v>1109</v>
      </c>
      <c r="C2381" s="293">
        <v>0</v>
      </c>
      <c r="D2381" s="293">
        <v>4200</v>
      </c>
      <c r="E2381" s="293">
        <v>4200</v>
      </c>
      <c r="F2381" s="294" t="s">
        <v>298</v>
      </c>
    </row>
    <row r="2382" spans="1:6" hidden="1" outlineLevel="1" collapsed="1" x14ac:dyDescent="0.25">
      <c r="A2382" s="321" t="s">
        <v>282</v>
      </c>
      <c r="B2382" s="321" t="s">
        <v>405</v>
      </c>
      <c r="C2382" s="293">
        <v>9500</v>
      </c>
      <c r="D2382" s="293">
        <v>17500</v>
      </c>
      <c r="E2382" s="293">
        <v>8000</v>
      </c>
      <c r="F2382" s="294" t="s">
        <v>1110</v>
      </c>
    </row>
    <row r="2383" spans="1:6" hidden="1" outlineLevel="1" collapsed="1" x14ac:dyDescent="0.25">
      <c r="A2383" s="321" t="s">
        <v>282</v>
      </c>
      <c r="B2383" s="321" t="s">
        <v>557</v>
      </c>
      <c r="C2383" s="293">
        <v>739.71</v>
      </c>
      <c r="D2383" s="293">
        <v>5000</v>
      </c>
      <c r="E2383" s="293">
        <v>4260.29</v>
      </c>
      <c r="F2383" s="294" t="s">
        <v>1111</v>
      </c>
    </row>
    <row r="2384" spans="1:6" hidden="1" outlineLevel="1" collapsed="1" x14ac:dyDescent="0.25">
      <c r="A2384" s="321" t="s">
        <v>282</v>
      </c>
      <c r="B2384" s="321" t="s">
        <v>422</v>
      </c>
      <c r="C2384" s="293">
        <v>14000</v>
      </c>
      <c r="D2384" s="293">
        <v>30000</v>
      </c>
      <c r="E2384" s="293">
        <v>16000</v>
      </c>
      <c r="F2384" s="294" t="s">
        <v>1112</v>
      </c>
    </row>
    <row r="2385" spans="1:6" hidden="1" outlineLevel="1" collapsed="1" x14ac:dyDescent="0.25">
      <c r="A2385" s="321" t="s">
        <v>282</v>
      </c>
      <c r="B2385" s="321" t="s">
        <v>770</v>
      </c>
      <c r="C2385" s="293">
        <v>1000</v>
      </c>
      <c r="D2385" s="293">
        <v>1000</v>
      </c>
      <c r="E2385" s="293">
        <v>0</v>
      </c>
      <c r="F2385" s="294" t="s">
        <v>316</v>
      </c>
    </row>
    <row r="2386" spans="1:6" collapsed="1" x14ac:dyDescent="0.25">
      <c r="A2386" s="560" t="s">
        <v>1113</v>
      </c>
      <c r="B2386" s="561"/>
      <c r="C2386" s="292">
        <v>274330.67408800003</v>
      </c>
      <c r="D2386" s="293">
        <v>255570.646056</v>
      </c>
      <c r="E2386" s="293">
        <v>-18760.028031999998</v>
      </c>
      <c r="F2386" s="294" t="s">
        <v>2138</v>
      </c>
    </row>
    <row r="2387" spans="1:6" hidden="1" outlineLevel="1" collapsed="1" x14ac:dyDescent="0.25">
      <c r="A2387" s="321" t="s">
        <v>282</v>
      </c>
      <c r="B2387" s="321" t="s">
        <v>942</v>
      </c>
      <c r="C2387" s="293">
        <v>104917.50879599999</v>
      </c>
      <c r="D2387" s="293">
        <v>88742.725059999997</v>
      </c>
      <c r="E2387" s="293">
        <v>-16174.783735999999</v>
      </c>
      <c r="F2387" s="294" t="s">
        <v>2139</v>
      </c>
    </row>
    <row r="2388" spans="1:6" hidden="1" outlineLevel="1" collapsed="1" x14ac:dyDescent="0.25">
      <c r="A2388" s="321" t="s">
        <v>282</v>
      </c>
      <c r="B2388" s="321" t="s">
        <v>464</v>
      </c>
      <c r="C2388" s="293">
        <v>40618.574454000001</v>
      </c>
      <c r="D2388" s="293">
        <v>41830.552181999999</v>
      </c>
      <c r="E2388" s="293">
        <v>1211.9777280000001</v>
      </c>
      <c r="F2388" s="294" t="s">
        <v>381</v>
      </c>
    </row>
    <row r="2389" spans="1:6" hidden="1" outlineLevel="1" collapsed="1" x14ac:dyDescent="0.25">
      <c r="A2389" s="321" t="s">
        <v>282</v>
      </c>
      <c r="B2389" s="321" t="s">
        <v>945</v>
      </c>
      <c r="C2389" s="293">
        <v>34578</v>
      </c>
      <c r="D2389" s="293">
        <v>34578</v>
      </c>
      <c r="E2389" s="293">
        <v>0</v>
      </c>
      <c r="F2389" s="294" t="s">
        <v>316</v>
      </c>
    </row>
    <row r="2390" spans="1:6" hidden="1" outlineLevel="1" collapsed="1" x14ac:dyDescent="0.25">
      <c r="A2390" s="321" t="s">
        <v>282</v>
      </c>
      <c r="B2390" s="321" t="s">
        <v>384</v>
      </c>
      <c r="C2390" s="293">
        <v>18243.023262999999</v>
      </c>
      <c r="D2390" s="293">
        <v>0</v>
      </c>
      <c r="E2390" s="293">
        <v>-18243.023262999999</v>
      </c>
      <c r="F2390" s="294" t="s">
        <v>286</v>
      </c>
    </row>
    <row r="2391" spans="1:6" hidden="1" outlineLevel="1" collapsed="1" x14ac:dyDescent="0.25">
      <c r="A2391" s="321" t="s">
        <v>282</v>
      </c>
      <c r="B2391" s="321" t="s">
        <v>385</v>
      </c>
      <c r="C2391" s="293">
        <v>0</v>
      </c>
      <c r="D2391" s="293">
        <v>20198.574488999999</v>
      </c>
      <c r="E2391" s="293">
        <v>20198.574488999999</v>
      </c>
      <c r="F2391" s="294" t="s">
        <v>298</v>
      </c>
    </row>
    <row r="2392" spans="1:6" hidden="1" outlineLevel="1" collapsed="1" x14ac:dyDescent="0.25">
      <c r="A2392" s="321" t="s">
        <v>282</v>
      </c>
      <c r="B2392" s="321" t="s">
        <v>386</v>
      </c>
      <c r="C2392" s="293">
        <v>9023.237153</v>
      </c>
      <c r="D2392" s="293">
        <v>0</v>
      </c>
      <c r="E2392" s="293">
        <v>-9023.237153</v>
      </c>
      <c r="F2392" s="294" t="s">
        <v>286</v>
      </c>
    </row>
    <row r="2393" spans="1:6" hidden="1" outlineLevel="1" collapsed="1" x14ac:dyDescent="0.25">
      <c r="A2393" s="321" t="s">
        <v>282</v>
      </c>
      <c r="B2393" s="321" t="s">
        <v>387</v>
      </c>
      <c r="C2393" s="293">
        <v>0</v>
      </c>
      <c r="D2393" s="293">
        <v>8095.5431799999997</v>
      </c>
      <c r="E2393" s="293">
        <v>8095.5431799999997</v>
      </c>
      <c r="F2393" s="294" t="s">
        <v>298</v>
      </c>
    </row>
    <row r="2394" spans="1:6" hidden="1" outlineLevel="1" collapsed="1" x14ac:dyDescent="0.25">
      <c r="A2394" s="321" t="s">
        <v>282</v>
      </c>
      <c r="B2394" s="321" t="s">
        <v>388</v>
      </c>
      <c r="C2394" s="293">
        <v>2110.2731979999999</v>
      </c>
      <c r="D2394" s="293">
        <v>1893.3125150000001</v>
      </c>
      <c r="E2394" s="293">
        <v>-216.96068299999999</v>
      </c>
      <c r="F2394" s="294" t="s">
        <v>2140</v>
      </c>
    </row>
    <row r="2395" spans="1:6" hidden="1" outlineLevel="1" collapsed="1" x14ac:dyDescent="0.25">
      <c r="A2395" s="321" t="s">
        <v>282</v>
      </c>
      <c r="B2395" s="321" t="s">
        <v>444</v>
      </c>
      <c r="C2395" s="293">
        <v>3112</v>
      </c>
      <c r="D2395" s="293">
        <v>3112</v>
      </c>
      <c r="E2395" s="293">
        <v>0</v>
      </c>
      <c r="F2395" s="294" t="s">
        <v>316</v>
      </c>
    </row>
    <row r="2396" spans="1:6" hidden="1" outlineLevel="1" collapsed="1" x14ac:dyDescent="0.25">
      <c r="A2396" s="321" t="s">
        <v>282</v>
      </c>
      <c r="B2396" s="321" t="s">
        <v>389</v>
      </c>
      <c r="C2396" s="293">
        <v>767.02463999999998</v>
      </c>
      <c r="D2396" s="293">
        <v>689.33199999999999</v>
      </c>
      <c r="E2396" s="293">
        <v>-77.692639999999997</v>
      </c>
      <c r="F2396" s="294" t="s">
        <v>2141</v>
      </c>
    </row>
    <row r="2397" spans="1:6" hidden="1" outlineLevel="1" collapsed="1" x14ac:dyDescent="0.25">
      <c r="A2397" s="321" t="s">
        <v>282</v>
      </c>
      <c r="B2397" s="321" t="s">
        <v>390</v>
      </c>
      <c r="C2397" s="293">
        <v>15485.27</v>
      </c>
      <c r="D2397" s="293">
        <v>13299.4</v>
      </c>
      <c r="E2397" s="293">
        <v>-2185.87</v>
      </c>
      <c r="F2397" s="294" t="s">
        <v>2142</v>
      </c>
    </row>
    <row r="2398" spans="1:6" hidden="1" outlineLevel="1" collapsed="1" x14ac:dyDescent="0.25">
      <c r="A2398" s="321" t="s">
        <v>282</v>
      </c>
      <c r="B2398" s="321" t="s">
        <v>392</v>
      </c>
      <c r="C2398" s="293">
        <v>420.37056000000001</v>
      </c>
      <c r="D2398" s="293">
        <v>298.70400000000001</v>
      </c>
      <c r="E2398" s="293">
        <v>-121.66656</v>
      </c>
      <c r="F2398" s="294" t="s">
        <v>2143</v>
      </c>
    </row>
    <row r="2399" spans="1:6" hidden="1" outlineLevel="1" collapsed="1" x14ac:dyDescent="0.25">
      <c r="A2399" s="321" t="s">
        <v>282</v>
      </c>
      <c r="B2399" s="321" t="s">
        <v>393</v>
      </c>
      <c r="C2399" s="293">
        <v>72.768023999999997</v>
      </c>
      <c r="D2399" s="293">
        <v>65.286630000000002</v>
      </c>
      <c r="E2399" s="293">
        <v>-7.4813939999999999</v>
      </c>
      <c r="F2399" s="294" t="s">
        <v>2140</v>
      </c>
    </row>
    <row r="2400" spans="1:6" hidden="1" outlineLevel="1" collapsed="1" x14ac:dyDescent="0.25">
      <c r="A2400" s="321" t="s">
        <v>282</v>
      </c>
      <c r="B2400" s="321" t="s">
        <v>394</v>
      </c>
      <c r="C2400" s="293">
        <v>2700</v>
      </c>
      <c r="D2400" s="293">
        <v>0</v>
      </c>
      <c r="E2400" s="293">
        <v>-2700</v>
      </c>
      <c r="F2400" s="294" t="s">
        <v>286</v>
      </c>
    </row>
    <row r="2401" spans="1:6" hidden="1" outlineLevel="1" collapsed="1" x14ac:dyDescent="0.25">
      <c r="A2401" s="321" t="s">
        <v>282</v>
      </c>
      <c r="B2401" s="321" t="s">
        <v>395</v>
      </c>
      <c r="C2401" s="293">
        <v>0</v>
      </c>
      <c r="D2401" s="293">
        <v>2450</v>
      </c>
      <c r="E2401" s="293">
        <v>2450</v>
      </c>
      <c r="F2401" s="294" t="s">
        <v>298</v>
      </c>
    </row>
    <row r="2402" spans="1:6" hidden="1" outlineLevel="1" collapsed="1" x14ac:dyDescent="0.25">
      <c r="A2402" s="321" t="s">
        <v>282</v>
      </c>
      <c r="B2402" s="321" t="s">
        <v>396</v>
      </c>
      <c r="C2402" s="293">
        <v>89.424000000000007</v>
      </c>
      <c r="D2402" s="293">
        <v>0</v>
      </c>
      <c r="E2402" s="293">
        <v>-89.424000000000007</v>
      </c>
      <c r="F2402" s="294" t="s">
        <v>286</v>
      </c>
    </row>
    <row r="2403" spans="1:6" hidden="1" outlineLevel="1" collapsed="1" x14ac:dyDescent="0.25">
      <c r="A2403" s="321" t="s">
        <v>282</v>
      </c>
      <c r="B2403" s="321" t="s">
        <v>397</v>
      </c>
      <c r="C2403" s="293">
        <v>0</v>
      </c>
      <c r="D2403" s="293">
        <v>79.183999999999997</v>
      </c>
      <c r="E2403" s="293">
        <v>79.183999999999997</v>
      </c>
      <c r="F2403" s="294" t="s">
        <v>298</v>
      </c>
    </row>
    <row r="2404" spans="1:6" hidden="1" outlineLevel="1" collapsed="1" x14ac:dyDescent="0.25">
      <c r="A2404" s="321" t="s">
        <v>282</v>
      </c>
      <c r="B2404" s="321" t="s">
        <v>398</v>
      </c>
      <c r="C2404" s="293">
        <v>43.2</v>
      </c>
      <c r="D2404" s="293">
        <v>18.032</v>
      </c>
      <c r="E2404" s="293">
        <v>-25.167999999999999</v>
      </c>
      <c r="F2404" s="294" t="s">
        <v>2144</v>
      </c>
    </row>
    <row r="2405" spans="1:6" hidden="1" outlineLevel="1" collapsed="1" x14ac:dyDescent="0.25">
      <c r="A2405" s="321" t="s">
        <v>282</v>
      </c>
      <c r="B2405" s="321" t="s">
        <v>522</v>
      </c>
      <c r="C2405" s="293">
        <v>2400</v>
      </c>
      <c r="D2405" s="293">
        <v>2400</v>
      </c>
      <c r="E2405" s="293">
        <v>0</v>
      </c>
      <c r="F2405" s="294" t="s">
        <v>316</v>
      </c>
    </row>
    <row r="2406" spans="1:6" hidden="1" outlineLevel="1" collapsed="1" x14ac:dyDescent="0.25">
      <c r="A2406" s="321" t="s">
        <v>282</v>
      </c>
      <c r="B2406" s="321" t="s">
        <v>523</v>
      </c>
      <c r="C2406" s="293">
        <v>100</v>
      </c>
      <c r="D2406" s="293">
        <v>100</v>
      </c>
      <c r="E2406" s="293">
        <v>0</v>
      </c>
      <c r="F2406" s="294" t="s">
        <v>316</v>
      </c>
    </row>
    <row r="2407" spans="1:6" hidden="1" outlineLevel="1" collapsed="1" x14ac:dyDescent="0.25">
      <c r="A2407" s="321" t="s">
        <v>282</v>
      </c>
      <c r="B2407" s="321" t="s">
        <v>431</v>
      </c>
      <c r="C2407" s="293">
        <v>98</v>
      </c>
      <c r="D2407" s="293">
        <v>0</v>
      </c>
      <c r="E2407" s="293">
        <v>-98</v>
      </c>
      <c r="F2407" s="294" t="s">
        <v>286</v>
      </c>
    </row>
    <row r="2408" spans="1:6" hidden="1" outlineLevel="1" collapsed="1" x14ac:dyDescent="0.25">
      <c r="A2408" s="321" t="s">
        <v>282</v>
      </c>
      <c r="B2408" s="321" t="s">
        <v>376</v>
      </c>
      <c r="C2408" s="293">
        <v>879</v>
      </c>
      <c r="D2408" s="293">
        <v>399</v>
      </c>
      <c r="E2408" s="293">
        <v>-480</v>
      </c>
      <c r="F2408" s="294" t="s">
        <v>1119</v>
      </c>
    </row>
    <row r="2409" spans="1:6" hidden="1" outlineLevel="1" collapsed="1" x14ac:dyDescent="0.25">
      <c r="A2409" s="321" t="s">
        <v>282</v>
      </c>
      <c r="B2409" s="321" t="s">
        <v>567</v>
      </c>
      <c r="C2409" s="293">
        <v>20000</v>
      </c>
      <c r="D2409" s="293">
        <v>0</v>
      </c>
      <c r="E2409" s="293">
        <v>-20000</v>
      </c>
      <c r="F2409" s="294" t="s">
        <v>286</v>
      </c>
    </row>
    <row r="2410" spans="1:6" hidden="1" outlineLevel="1" collapsed="1" x14ac:dyDescent="0.25">
      <c r="A2410" s="321" t="s">
        <v>282</v>
      </c>
      <c r="B2410" s="321" t="s">
        <v>426</v>
      </c>
      <c r="C2410" s="293">
        <v>3883</v>
      </c>
      <c r="D2410" s="293">
        <v>3883</v>
      </c>
      <c r="E2410" s="293">
        <v>0</v>
      </c>
      <c r="F2410" s="294" t="s">
        <v>316</v>
      </c>
    </row>
    <row r="2411" spans="1:6" hidden="1" outlineLevel="1" collapsed="1" x14ac:dyDescent="0.25">
      <c r="A2411" s="321" t="s">
        <v>282</v>
      </c>
      <c r="B2411" s="321" t="s">
        <v>482</v>
      </c>
      <c r="C2411" s="293">
        <v>6</v>
      </c>
      <c r="D2411" s="293">
        <v>486</v>
      </c>
      <c r="E2411" s="293">
        <v>480</v>
      </c>
      <c r="F2411" s="294" t="s">
        <v>1120</v>
      </c>
    </row>
    <row r="2412" spans="1:6" hidden="1" outlineLevel="1" collapsed="1" x14ac:dyDescent="0.25">
      <c r="A2412" s="321" t="s">
        <v>282</v>
      </c>
      <c r="B2412" s="321" t="s">
        <v>597</v>
      </c>
      <c r="C2412" s="293">
        <v>952</v>
      </c>
      <c r="D2412" s="293">
        <v>952</v>
      </c>
      <c r="E2412" s="293">
        <v>0</v>
      </c>
      <c r="F2412" s="294" t="s">
        <v>316</v>
      </c>
    </row>
    <row r="2413" spans="1:6" hidden="1" outlineLevel="1" collapsed="1" x14ac:dyDescent="0.25">
      <c r="A2413" s="321" t="s">
        <v>282</v>
      </c>
      <c r="B2413" s="321" t="s">
        <v>448</v>
      </c>
      <c r="C2413" s="293">
        <v>900</v>
      </c>
      <c r="D2413" s="293">
        <v>0</v>
      </c>
      <c r="E2413" s="293">
        <v>-900</v>
      </c>
      <c r="F2413" s="294" t="s">
        <v>286</v>
      </c>
    </row>
    <row r="2414" spans="1:6" hidden="1" outlineLevel="1" collapsed="1" x14ac:dyDescent="0.25">
      <c r="A2414" s="321" t="s">
        <v>282</v>
      </c>
      <c r="B2414" s="321" t="s">
        <v>405</v>
      </c>
      <c r="C2414" s="293">
        <v>12932</v>
      </c>
      <c r="D2414" s="293">
        <v>32000</v>
      </c>
      <c r="E2414" s="293">
        <v>19068</v>
      </c>
      <c r="F2414" s="294" t="s">
        <v>1121</v>
      </c>
    </row>
    <row r="2415" spans="1:6" hidden="1" outlineLevel="1" collapsed="1" x14ac:dyDescent="0.25">
      <c r="A2415" s="321" t="s">
        <v>282</v>
      </c>
      <c r="B2415" s="321" t="s">
        <v>770</v>
      </c>
      <c r="C2415" s="293">
        <v>0</v>
      </c>
      <c r="D2415" s="293">
        <v>0</v>
      </c>
      <c r="E2415" s="293">
        <v>0</v>
      </c>
      <c r="F2415" s="294" t="s">
        <v>316</v>
      </c>
    </row>
    <row r="2416" spans="1:6" collapsed="1" x14ac:dyDescent="0.25">
      <c r="A2416" s="560" t="s">
        <v>1122</v>
      </c>
      <c r="B2416" s="561"/>
      <c r="C2416" s="292">
        <v>535039.40927199996</v>
      </c>
      <c r="D2416" s="293">
        <v>322004.07876399998</v>
      </c>
      <c r="E2416" s="293">
        <v>-213035.33050800001</v>
      </c>
      <c r="F2416" s="294" t="s">
        <v>1117</v>
      </c>
    </row>
    <row r="2417" spans="1:6" hidden="1" outlineLevel="1" collapsed="1" x14ac:dyDescent="0.25">
      <c r="A2417" s="321" t="s">
        <v>282</v>
      </c>
      <c r="B2417" s="321" t="s">
        <v>441</v>
      </c>
      <c r="C2417" s="293">
        <v>0</v>
      </c>
      <c r="D2417" s="293">
        <v>0</v>
      </c>
      <c r="E2417" s="293">
        <v>0</v>
      </c>
      <c r="F2417" s="294" t="s">
        <v>316</v>
      </c>
    </row>
    <row r="2418" spans="1:6" hidden="1" outlineLevel="1" collapsed="1" x14ac:dyDescent="0.25">
      <c r="A2418" s="321" t="s">
        <v>282</v>
      </c>
      <c r="B2418" s="321" t="s">
        <v>942</v>
      </c>
      <c r="C2418" s="293">
        <v>90635.438387999995</v>
      </c>
      <c r="D2418" s="293">
        <v>96595.952952000007</v>
      </c>
      <c r="E2418" s="293">
        <v>5960.5145640000001</v>
      </c>
      <c r="F2418" s="294" t="s">
        <v>790</v>
      </c>
    </row>
    <row r="2419" spans="1:6" hidden="1" outlineLevel="1" collapsed="1" x14ac:dyDescent="0.25">
      <c r="A2419" s="321" t="s">
        <v>282</v>
      </c>
      <c r="B2419" s="321" t="s">
        <v>935</v>
      </c>
      <c r="C2419" s="293">
        <v>129753.34</v>
      </c>
      <c r="D2419" s="293">
        <v>70000</v>
      </c>
      <c r="E2419" s="293">
        <v>-59753.34</v>
      </c>
      <c r="F2419" s="294" t="s">
        <v>1124</v>
      </c>
    </row>
    <row r="2420" spans="1:6" hidden="1" outlineLevel="1" collapsed="1" x14ac:dyDescent="0.25">
      <c r="A2420" s="321" t="s">
        <v>282</v>
      </c>
      <c r="B2420" s="321" t="s">
        <v>384</v>
      </c>
      <c r="C2420" s="293">
        <v>11401.938144</v>
      </c>
      <c r="D2420" s="293">
        <v>0</v>
      </c>
      <c r="E2420" s="293">
        <v>-11401.938144</v>
      </c>
      <c r="F2420" s="294" t="s">
        <v>286</v>
      </c>
    </row>
    <row r="2421" spans="1:6" hidden="1" outlineLevel="1" collapsed="1" x14ac:dyDescent="0.25">
      <c r="A2421" s="321" t="s">
        <v>282</v>
      </c>
      <c r="B2421" s="321" t="s">
        <v>385</v>
      </c>
      <c r="C2421" s="293">
        <v>0</v>
      </c>
      <c r="D2421" s="293">
        <v>15002.317451999999</v>
      </c>
      <c r="E2421" s="293">
        <v>15002.317451999999</v>
      </c>
      <c r="F2421" s="294" t="s">
        <v>298</v>
      </c>
    </row>
    <row r="2422" spans="1:6" hidden="1" outlineLevel="1" collapsed="1" x14ac:dyDescent="0.25">
      <c r="A2422" s="321" t="s">
        <v>282</v>
      </c>
      <c r="B2422" s="321" t="s">
        <v>386</v>
      </c>
      <c r="C2422" s="293">
        <v>5656.5971760000002</v>
      </c>
      <c r="D2422" s="293">
        <v>0</v>
      </c>
      <c r="E2422" s="293">
        <v>-5656.5971760000002</v>
      </c>
      <c r="F2422" s="294" t="s">
        <v>286</v>
      </c>
    </row>
    <row r="2423" spans="1:6" hidden="1" outlineLevel="1" collapsed="1" x14ac:dyDescent="0.25">
      <c r="A2423" s="321" t="s">
        <v>282</v>
      </c>
      <c r="B2423" s="321" t="s">
        <v>387</v>
      </c>
      <c r="C2423" s="293">
        <v>0</v>
      </c>
      <c r="D2423" s="293">
        <v>6026.1490800000001</v>
      </c>
      <c r="E2423" s="293">
        <v>6026.1490800000001</v>
      </c>
      <c r="F2423" s="294" t="s">
        <v>298</v>
      </c>
    </row>
    <row r="2424" spans="1:6" hidden="1" outlineLevel="1" collapsed="1" x14ac:dyDescent="0.25">
      <c r="A2424" s="321" t="s">
        <v>282</v>
      </c>
      <c r="B2424" s="321" t="s">
        <v>388</v>
      </c>
      <c r="C2424" s="293">
        <v>1322.9138519999999</v>
      </c>
      <c r="D2424" s="293">
        <v>1409.341308</v>
      </c>
      <c r="E2424" s="293">
        <v>86.427456000000006</v>
      </c>
      <c r="F2424" s="294" t="s">
        <v>644</v>
      </c>
    </row>
    <row r="2425" spans="1:6" hidden="1" outlineLevel="1" collapsed="1" x14ac:dyDescent="0.25">
      <c r="A2425" s="321" t="s">
        <v>282</v>
      </c>
      <c r="B2425" s="321" t="s">
        <v>444</v>
      </c>
      <c r="C2425" s="293">
        <v>0</v>
      </c>
      <c r="D2425" s="293">
        <v>6300</v>
      </c>
      <c r="E2425" s="293">
        <v>6300</v>
      </c>
      <c r="F2425" s="294" t="s">
        <v>298</v>
      </c>
    </row>
    <row r="2426" spans="1:6" hidden="1" outlineLevel="1" collapsed="1" x14ac:dyDescent="0.25">
      <c r="A2426" s="321" t="s">
        <v>282</v>
      </c>
      <c r="B2426" s="321" t="s">
        <v>389</v>
      </c>
      <c r="C2426" s="293">
        <v>426.12479999999999</v>
      </c>
      <c r="D2426" s="293">
        <v>422.04</v>
      </c>
      <c r="E2426" s="293">
        <v>-4.0848000000000004</v>
      </c>
      <c r="F2426" s="294" t="s">
        <v>364</v>
      </c>
    </row>
    <row r="2427" spans="1:6" hidden="1" outlineLevel="1" collapsed="1" x14ac:dyDescent="0.25">
      <c r="A2427" s="321" t="s">
        <v>282</v>
      </c>
      <c r="B2427" s="321" t="s">
        <v>390</v>
      </c>
      <c r="C2427" s="293">
        <v>15485.27</v>
      </c>
      <c r="D2427" s="293">
        <v>15959.28</v>
      </c>
      <c r="E2427" s="293">
        <v>474.01</v>
      </c>
      <c r="F2427" s="294" t="s">
        <v>391</v>
      </c>
    </row>
    <row r="2428" spans="1:6" hidden="1" outlineLevel="1" collapsed="1" x14ac:dyDescent="0.25">
      <c r="A2428" s="321" t="s">
        <v>282</v>
      </c>
      <c r="B2428" s="321" t="s">
        <v>392</v>
      </c>
      <c r="C2428" s="293">
        <v>233.53919999999999</v>
      </c>
      <c r="D2428" s="293">
        <v>182.88</v>
      </c>
      <c r="E2428" s="293">
        <v>-50.659199999999998</v>
      </c>
      <c r="F2428" s="294" t="s">
        <v>368</v>
      </c>
    </row>
    <row r="2429" spans="1:6" hidden="1" outlineLevel="1" collapsed="1" x14ac:dyDescent="0.25">
      <c r="A2429" s="321" t="s">
        <v>282</v>
      </c>
      <c r="B2429" s="321" t="s">
        <v>393</v>
      </c>
      <c r="C2429" s="293">
        <v>45.617711999999997</v>
      </c>
      <c r="D2429" s="293">
        <v>48.597971999999999</v>
      </c>
      <c r="E2429" s="293">
        <v>2.9802599999999999</v>
      </c>
      <c r="F2429" s="294" t="s">
        <v>644</v>
      </c>
    </row>
    <row r="2430" spans="1:6" hidden="1" outlineLevel="1" collapsed="1" x14ac:dyDescent="0.25">
      <c r="A2430" s="321" t="s">
        <v>282</v>
      </c>
      <c r="B2430" s="321" t="s">
        <v>394</v>
      </c>
      <c r="C2430" s="293">
        <v>1500</v>
      </c>
      <c r="D2430" s="293">
        <v>0</v>
      </c>
      <c r="E2430" s="293">
        <v>-1500</v>
      </c>
      <c r="F2430" s="294" t="s">
        <v>286</v>
      </c>
    </row>
    <row r="2431" spans="1:6" hidden="1" outlineLevel="1" collapsed="1" x14ac:dyDescent="0.25">
      <c r="A2431" s="321" t="s">
        <v>282</v>
      </c>
      <c r="B2431" s="321" t="s">
        <v>395</v>
      </c>
      <c r="C2431" s="293">
        <v>0</v>
      </c>
      <c r="D2431" s="293">
        <v>1500</v>
      </c>
      <c r="E2431" s="293">
        <v>1500</v>
      </c>
      <c r="F2431" s="294" t="s">
        <v>298</v>
      </c>
    </row>
    <row r="2432" spans="1:6" hidden="1" outlineLevel="1" collapsed="1" x14ac:dyDescent="0.25">
      <c r="A2432" s="321" t="s">
        <v>282</v>
      </c>
      <c r="B2432" s="321" t="s">
        <v>396</v>
      </c>
      <c r="C2432" s="293">
        <v>49.68</v>
      </c>
      <c r="D2432" s="293">
        <v>0</v>
      </c>
      <c r="E2432" s="293">
        <v>-49.68</v>
      </c>
      <c r="F2432" s="294" t="s">
        <v>286</v>
      </c>
    </row>
    <row r="2433" spans="1:6" hidden="1" outlineLevel="1" collapsed="1" x14ac:dyDescent="0.25">
      <c r="A2433" s="321" t="s">
        <v>282</v>
      </c>
      <c r="B2433" s="321" t="s">
        <v>397</v>
      </c>
      <c r="C2433" s="293">
        <v>0</v>
      </c>
      <c r="D2433" s="293">
        <v>48.48</v>
      </c>
      <c r="E2433" s="293">
        <v>48.48</v>
      </c>
      <c r="F2433" s="294" t="s">
        <v>298</v>
      </c>
    </row>
    <row r="2434" spans="1:6" hidden="1" outlineLevel="1" collapsed="1" x14ac:dyDescent="0.25">
      <c r="A2434" s="321" t="s">
        <v>282</v>
      </c>
      <c r="B2434" s="321" t="s">
        <v>398</v>
      </c>
      <c r="C2434" s="293">
        <v>24</v>
      </c>
      <c r="D2434" s="293">
        <v>11.04</v>
      </c>
      <c r="E2434" s="293">
        <v>-12.96</v>
      </c>
      <c r="F2434" s="294" t="s">
        <v>374</v>
      </c>
    </row>
    <row r="2435" spans="1:6" hidden="1" outlineLevel="1" collapsed="1" x14ac:dyDescent="0.25">
      <c r="A2435" s="321" t="s">
        <v>282</v>
      </c>
      <c r="B2435" s="321" t="s">
        <v>523</v>
      </c>
      <c r="C2435" s="293">
        <v>0</v>
      </c>
      <c r="D2435" s="293">
        <v>0</v>
      </c>
      <c r="E2435" s="293">
        <v>0</v>
      </c>
      <c r="F2435" s="294" t="s">
        <v>316</v>
      </c>
    </row>
    <row r="2436" spans="1:6" hidden="1" outlineLevel="1" collapsed="1" x14ac:dyDescent="0.25">
      <c r="A2436" s="321" t="s">
        <v>282</v>
      </c>
      <c r="B2436" s="321" t="s">
        <v>376</v>
      </c>
      <c r="C2436" s="293">
        <v>8325</v>
      </c>
      <c r="D2436" s="293">
        <v>1500</v>
      </c>
      <c r="E2436" s="293">
        <v>-6825</v>
      </c>
      <c r="F2436" s="294" t="s">
        <v>2145</v>
      </c>
    </row>
    <row r="2437" spans="1:6" hidden="1" outlineLevel="1" collapsed="1" x14ac:dyDescent="0.25">
      <c r="A2437" s="321" t="s">
        <v>282</v>
      </c>
      <c r="B2437" s="321" t="s">
        <v>1046</v>
      </c>
      <c r="C2437" s="293">
        <v>612</v>
      </c>
      <c r="D2437" s="293">
        <v>0</v>
      </c>
      <c r="E2437" s="293">
        <v>-612</v>
      </c>
      <c r="F2437" s="294" t="s">
        <v>286</v>
      </c>
    </row>
    <row r="2438" spans="1:6" hidden="1" outlineLevel="1" collapsed="1" x14ac:dyDescent="0.25">
      <c r="A2438" s="321" t="s">
        <v>282</v>
      </c>
      <c r="B2438" s="321" t="s">
        <v>662</v>
      </c>
      <c r="C2438" s="293">
        <v>801.36</v>
      </c>
      <c r="D2438" s="293">
        <v>200</v>
      </c>
      <c r="E2438" s="293">
        <v>-601.36</v>
      </c>
      <c r="F2438" s="294" t="s">
        <v>1126</v>
      </c>
    </row>
    <row r="2439" spans="1:6" hidden="1" outlineLevel="1" collapsed="1" x14ac:dyDescent="0.25">
      <c r="A2439" s="321" t="s">
        <v>282</v>
      </c>
      <c r="B2439" s="321" t="s">
        <v>506</v>
      </c>
      <c r="C2439" s="293">
        <v>534.54999999999995</v>
      </c>
      <c r="D2439" s="293">
        <v>3000</v>
      </c>
      <c r="E2439" s="293">
        <v>2465.4499999999998</v>
      </c>
      <c r="F2439" s="294" t="s">
        <v>2146</v>
      </c>
    </row>
    <row r="2440" spans="1:6" hidden="1" outlineLevel="1" collapsed="1" x14ac:dyDescent="0.25">
      <c r="A2440" s="321" t="s">
        <v>282</v>
      </c>
      <c r="B2440" s="321" t="s">
        <v>567</v>
      </c>
      <c r="C2440" s="293">
        <v>0</v>
      </c>
      <c r="D2440" s="293">
        <v>300</v>
      </c>
      <c r="E2440" s="293">
        <v>300</v>
      </c>
      <c r="F2440" s="294" t="s">
        <v>298</v>
      </c>
    </row>
    <row r="2441" spans="1:6" hidden="1" outlineLevel="1" collapsed="1" x14ac:dyDescent="0.25">
      <c r="A2441" s="321" t="s">
        <v>282</v>
      </c>
      <c r="B2441" s="321" t="s">
        <v>426</v>
      </c>
      <c r="C2441" s="293">
        <v>1200</v>
      </c>
      <c r="D2441" s="293">
        <v>1900</v>
      </c>
      <c r="E2441" s="293">
        <v>700</v>
      </c>
      <c r="F2441" s="294" t="s">
        <v>1127</v>
      </c>
    </row>
    <row r="2442" spans="1:6" hidden="1" outlineLevel="1" collapsed="1" x14ac:dyDescent="0.25">
      <c r="A2442" s="321" t="s">
        <v>282</v>
      </c>
      <c r="B2442" s="321" t="s">
        <v>952</v>
      </c>
      <c r="C2442" s="293">
        <v>600</v>
      </c>
      <c r="D2442" s="293">
        <v>600</v>
      </c>
      <c r="E2442" s="293">
        <v>0</v>
      </c>
      <c r="F2442" s="294" t="s">
        <v>316</v>
      </c>
    </row>
    <row r="2443" spans="1:6" hidden="1" outlineLevel="1" collapsed="1" x14ac:dyDescent="0.25">
      <c r="A2443" s="321" t="s">
        <v>282</v>
      </c>
      <c r="B2443" s="321" t="s">
        <v>482</v>
      </c>
      <c r="C2443" s="293">
        <v>200</v>
      </c>
      <c r="D2443" s="293">
        <v>200</v>
      </c>
      <c r="E2443" s="293">
        <v>0</v>
      </c>
      <c r="F2443" s="294" t="s">
        <v>316</v>
      </c>
    </row>
    <row r="2444" spans="1:6" hidden="1" outlineLevel="1" collapsed="1" x14ac:dyDescent="0.25">
      <c r="A2444" s="321" t="s">
        <v>282</v>
      </c>
      <c r="B2444" s="321" t="s">
        <v>597</v>
      </c>
      <c r="C2444" s="293">
        <v>0</v>
      </c>
      <c r="D2444" s="293">
        <v>1125</v>
      </c>
      <c r="E2444" s="293">
        <v>1125</v>
      </c>
      <c r="F2444" s="294" t="s">
        <v>298</v>
      </c>
    </row>
    <row r="2445" spans="1:6" hidden="1" outlineLevel="1" collapsed="1" x14ac:dyDescent="0.25">
      <c r="A2445" s="321" t="s">
        <v>282</v>
      </c>
      <c r="B2445" s="321" t="s">
        <v>842</v>
      </c>
      <c r="C2445" s="293">
        <v>0.53</v>
      </c>
      <c r="D2445" s="293">
        <v>3700</v>
      </c>
      <c r="E2445" s="293">
        <v>3699.47</v>
      </c>
      <c r="F2445" s="294" t="s">
        <v>2147</v>
      </c>
    </row>
    <row r="2446" spans="1:6" hidden="1" outlineLevel="1" collapsed="1" x14ac:dyDescent="0.25">
      <c r="A2446" s="321" t="s">
        <v>282</v>
      </c>
      <c r="B2446" s="321" t="s">
        <v>416</v>
      </c>
      <c r="C2446" s="293">
        <v>1025</v>
      </c>
      <c r="D2446" s="293">
        <v>2000</v>
      </c>
      <c r="E2446" s="293">
        <v>975</v>
      </c>
      <c r="F2446" s="294" t="s">
        <v>2148</v>
      </c>
    </row>
    <row r="2447" spans="1:6" hidden="1" outlineLevel="1" collapsed="1" x14ac:dyDescent="0.25">
      <c r="A2447" s="321" t="s">
        <v>282</v>
      </c>
      <c r="B2447" s="321" t="s">
        <v>448</v>
      </c>
      <c r="C2447" s="293">
        <v>8190</v>
      </c>
      <c r="D2447" s="293">
        <v>0</v>
      </c>
      <c r="E2447" s="293">
        <v>-8190</v>
      </c>
      <c r="F2447" s="294" t="s">
        <v>286</v>
      </c>
    </row>
    <row r="2448" spans="1:6" hidden="1" outlineLevel="1" collapsed="1" x14ac:dyDescent="0.25">
      <c r="A2448" s="321" t="s">
        <v>282</v>
      </c>
      <c r="B2448" s="321" t="s">
        <v>626</v>
      </c>
      <c r="C2448" s="293">
        <v>196351.19</v>
      </c>
      <c r="D2448" s="293">
        <v>63973</v>
      </c>
      <c r="E2448" s="293">
        <v>-132378.19</v>
      </c>
      <c r="F2448" s="294" t="s">
        <v>2149</v>
      </c>
    </row>
    <row r="2449" spans="1:6" hidden="1" outlineLevel="1" collapsed="1" x14ac:dyDescent="0.25">
      <c r="A2449" s="321" t="s">
        <v>282</v>
      </c>
      <c r="B2449" s="321" t="s">
        <v>405</v>
      </c>
      <c r="C2449" s="293">
        <v>4147.47</v>
      </c>
      <c r="D2449" s="293">
        <v>0</v>
      </c>
      <c r="E2449" s="293">
        <v>-4147.47</v>
      </c>
      <c r="F2449" s="294" t="s">
        <v>286</v>
      </c>
    </row>
    <row r="2450" spans="1:6" hidden="1" outlineLevel="1" collapsed="1" x14ac:dyDescent="0.25">
      <c r="A2450" s="321" t="s">
        <v>282</v>
      </c>
      <c r="B2450" s="321" t="s">
        <v>557</v>
      </c>
      <c r="C2450" s="293">
        <v>55505.35</v>
      </c>
      <c r="D2450" s="293">
        <v>20000</v>
      </c>
      <c r="E2450" s="293">
        <v>-35505.35</v>
      </c>
      <c r="F2450" s="294" t="s">
        <v>1130</v>
      </c>
    </row>
    <row r="2451" spans="1:6" hidden="1" outlineLevel="1" collapsed="1" x14ac:dyDescent="0.25">
      <c r="A2451" s="321" t="s">
        <v>282</v>
      </c>
      <c r="B2451" s="321" t="s">
        <v>576</v>
      </c>
      <c r="C2451" s="293">
        <v>1012.5</v>
      </c>
      <c r="D2451" s="293">
        <v>0</v>
      </c>
      <c r="E2451" s="293">
        <v>-1012.5</v>
      </c>
      <c r="F2451" s="294" t="s">
        <v>286</v>
      </c>
    </row>
    <row r="2452" spans="1:6" hidden="1" outlineLevel="1" collapsed="1" x14ac:dyDescent="0.25">
      <c r="A2452" s="321" t="s">
        <v>282</v>
      </c>
      <c r="B2452" s="321" t="s">
        <v>422</v>
      </c>
      <c r="C2452" s="293">
        <v>0</v>
      </c>
      <c r="D2452" s="293">
        <v>5000</v>
      </c>
      <c r="E2452" s="293">
        <v>5000</v>
      </c>
      <c r="F2452" s="294" t="s">
        <v>298</v>
      </c>
    </row>
    <row r="2453" spans="1:6" hidden="1" outlineLevel="1" collapsed="1" x14ac:dyDescent="0.25">
      <c r="A2453" s="321" t="s">
        <v>282</v>
      </c>
      <c r="B2453" s="321" t="s">
        <v>770</v>
      </c>
      <c r="C2453" s="293">
        <v>0</v>
      </c>
      <c r="D2453" s="293">
        <v>5000</v>
      </c>
      <c r="E2453" s="293">
        <v>5000</v>
      </c>
      <c r="F2453" s="294" t="s">
        <v>298</v>
      </c>
    </row>
    <row r="2454" spans="1:6" collapsed="1" x14ac:dyDescent="0.25">
      <c r="A2454" s="560" t="s">
        <v>1131</v>
      </c>
      <c r="B2454" s="561"/>
      <c r="C2454" s="292">
        <v>185655.46217099999</v>
      </c>
      <c r="D2454" s="293">
        <v>194228.20304200001</v>
      </c>
      <c r="E2454" s="293">
        <v>8572.740871</v>
      </c>
      <c r="F2454" s="294" t="s">
        <v>1473</v>
      </c>
    </row>
    <row r="2455" spans="1:6" hidden="1" outlineLevel="1" collapsed="1" x14ac:dyDescent="0.25">
      <c r="A2455" s="321" t="s">
        <v>282</v>
      </c>
      <c r="B2455" s="321" t="s">
        <v>464</v>
      </c>
      <c r="C2455" s="293">
        <v>84478.043084000004</v>
      </c>
      <c r="D2455" s="293">
        <v>114061.895634</v>
      </c>
      <c r="E2455" s="293">
        <v>29583.85255</v>
      </c>
      <c r="F2455" s="294" t="s">
        <v>2150</v>
      </c>
    </row>
    <row r="2456" spans="1:6" hidden="1" outlineLevel="1" collapsed="1" x14ac:dyDescent="0.25">
      <c r="A2456" s="321" t="s">
        <v>282</v>
      </c>
      <c r="B2456" s="321" t="s">
        <v>476</v>
      </c>
      <c r="C2456" s="293">
        <v>25000</v>
      </c>
      <c r="D2456" s="293">
        <v>1806</v>
      </c>
      <c r="E2456" s="293">
        <v>-23194</v>
      </c>
      <c r="F2456" s="294" t="s">
        <v>1134</v>
      </c>
    </row>
    <row r="2457" spans="1:6" hidden="1" outlineLevel="1" collapsed="1" x14ac:dyDescent="0.25">
      <c r="A2457" s="321" t="s">
        <v>282</v>
      </c>
      <c r="B2457" s="321" t="s">
        <v>384</v>
      </c>
      <c r="C2457" s="293">
        <v>14193.767806</v>
      </c>
      <c r="D2457" s="293">
        <v>0</v>
      </c>
      <c r="E2457" s="293">
        <v>-14193.767806</v>
      </c>
      <c r="F2457" s="294" t="s">
        <v>286</v>
      </c>
    </row>
    <row r="2458" spans="1:6" hidden="1" outlineLevel="1" collapsed="1" x14ac:dyDescent="0.25">
      <c r="A2458" s="321" t="s">
        <v>282</v>
      </c>
      <c r="B2458" s="321" t="s">
        <v>385</v>
      </c>
      <c r="C2458" s="293">
        <v>0</v>
      </c>
      <c r="D2458" s="293">
        <v>17614.001498000001</v>
      </c>
      <c r="E2458" s="293">
        <v>17614.001498000001</v>
      </c>
      <c r="F2458" s="294" t="s">
        <v>298</v>
      </c>
    </row>
    <row r="2459" spans="1:6" hidden="1" outlineLevel="1" collapsed="1" x14ac:dyDescent="0.25">
      <c r="A2459" s="321" t="s">
        <v>282</v>
      </c>
      <c r="B2459" s="321" t="s">
        <v>386</v>
      </c>
      <c r="C2459" s="293">
        <v>7035.6386629999997</v>
      </c>
      <c r="D2459" s="293">
        <v>0</v>
      </c>
      <c r="E2459" s="293">
        <v>-7035.6386629999997</v>
      </c>
      <c r="F2459" s="294" t="s">
        <v>286</v>
      </c>
    </row>
    <row r="2460" spans="1:6" hidden="1" outlineLevel="1" collapsed="1" x14ac:dyDescent="0.25">
      <c r="A2460" s="321" t="s">
        <v>282</v>
      </c>
      <c r="B2460" s="321" t="s">
        <v>387</v>
      </c>
      <c r="C2460" s="293">
        <v>0</v>
      </c>
      <c r="D2460" s="293">
        <v>7071.8375120000001</v>
      </c>
      <c r="E2460" s="293">
        <v>7071.8375120000001</v>
      </c>
      <c r="F2460" s="294" t="s">
        <v>298</v>
      </c>
    </row>
    <row r="2461" spans="1:6" hidden="1" outlineLevel="1" collapsed="1" x14ac:dyDescent="0.25">
      <c r="A2461" s="321" t="s">
        <v>282</v>
      </c>
      <c r="B2461" s="321" t="s">
        <v>388</v>
      </c>
      <c r="C2461" s="293">
        <v>1645.4316060000001</v>
      </c>
      <c r="D2461" s="293">
        <v>1653.8974700000001</v>
      </c>
      <c r="E2461" s="293">
        <v>8.4658639999999998</v>
      </c>
      <c r="F2461" s="294" t="s">
        <v>804</v>
      </c>
    </row>
    <row r="2462" spans="1:6" hidden="1" outlineLevel="1" collapsed="1" x14ac:dyDescent="0.25">
      <c r="A2462" s="321" t="s">
        <v>282</v>
      </c>
      <c r="B2462" s="321" t="s">
        <v>444</v>
      </c>
      <c r="C2462" s="293">
        <v>90</v>
      </c>
      <c r="D2462" s="293">
        <v>163</v>
      </c>
      <c r="E2462" s="293">
        <v>73</v>
      </c>
      <c r="F2462" s="294" t="s">
        <v>1136</v>
      </c>
    </row>
    <row r="2463" spans="1:6" hidden="1" outlineLevel="1" collapsed="1" x14ac:dyDescent="0.25">
      <c r="A2463" s="321" t="s">
        <v>282</v>
      </c>
      <c r="B2463" s="321" t="s">
        <v>389</v>
      </c>
      <c r="C2463" s="293">
        <v>1278.3743999999999</v>
      </c>
      <c r="D2463" s="293">
        <v>1195.78</v>
      </c>
      <c r="E2463" s="293">
        <v>-82.594399999999993</v>
      </c>
      <c r="F2463" s="294" t="s">
        <v>2111</v>
      </c>
    </row>
    <row r="2464" spans="1:6" hidden="1" outlineLevel="1" collapsed="1" x14ac:dyDescent="0.25">
      <c r="A2464" s="321" t="s">
        <v>282</v>
      </c>
      <c r="B2464" s="321" t="s">
        <v>390</v>
      </c>
      <c r="C2464" s="293">
        <v>46455.81</v>
      </c>
      <c r="D2464" s="293">
        <v>45217.96</v>
      </c>
      <c r="E2464" s="293">
        <v>-1237.8499999999999</v>
      </c>
      <c r="F2464" s="294" t="s">
        <v>2101</v>
      </c>
    </row>
    <row r="2465" spans="1:6" hidden="1" outlineLevel="1" collapsed="1" x14ac:dyDescent="0.25">
      <c r="A2465" s="321" t="s">
        <v>282</v>
      </c>
      <c r="B2465" s="321" t="s">
        <v>392</v>
      </c>
      <c r="C2465" s="293">
        <v>700.61760000000004</v>
      </c>
      <c r="D2465" s="293">
        <v>518.16</v>
      </c>
      <c r="E2465" s="293">
        <v>-182.45760000000001</v>
      </c>
      <c r="F2465" s="294" t="s">
        <v>2113</v>
      </c>
    </row>
    <row r="2466" spans="1:6" hidden="1" outlineLevel="1" collapsed="1" x14ac:dyDescent="0.25">
      <c r="A2466" s="321" t="s">
        <v>282</v>
      </c>
      <c r="B2466" s="321" t="s">
        <v>393</v>
      </c>
      <c r="C2466" s="293">
        <v>56.739012000000002</v>
      </c>
      <c r="D2466" s="293">
        <v>57.030928000000003</v>
      </c>
      <c r="E2466" s="293">
        <v>0.29191600000000001</v>
      </c>
      <c r="F2466" s="294" t="s">
        <v>804</v>
      </c>
    </row>
    <row r="2467" spans="1:6" hidden="1" outlineLevel="1" collapsed="1" x14ac:dyDescent="0.25">
      <c r="A2467" s="321" t="s">
        <v>282</v>
      </c>
      <c r="B2467" s="321" t="s">
        <v>394</v>
      </c>
      <c r="C2467" s="293">
        <v>4500</v>
      </c>
      <c r="D2467" s="293">
        <v>0</v>
      </c>
      <c r="E2467" s="293">
        <v>-4500</v>
      </c>
      <c r="F2467" s="294" t="s">
        <v>286</v>
      </c>
    </row>
    <row r="2468" spans="1:6" hidden="1" outlineLevel="1" collapsed="1" x14ac:dyDescent="0.25">
      <c r="A2468" s="321" t="s">
        <v>282</v>
      </c>
      <c r="B2468" s="321" t="s">
        <v>395</v>
      </c>
      <c r="C2468" s="293">
        <v>0</v>
      </c>
      <c r="D2468" s="293">
        <v>4250</v>
      </c>
      <c r="E2468" s="293">
        <v>4250</v>
      </c>
      <c r="F2468" s="294" t="s">
        <v>298</v>
      </c>
    </row>
    <row r="2469" spans="1:6" hidden="1" outlineLevel="1" collapsed="1" x14ac:dyDescent="0.25">
      <c r="A2469" s="321" t="s">
        <v>282</v>
      </c>
      <c r="B2469" s="321" t="s">
        <v>396</v>
      </c>
      <c r="C2469" s="293">
        <v>149.04</v>
      </c>
      <c r="D2469" s="293">
        <v>0</v>
      </c>
      <c r="E2469" s="293">
        <v>-149.04</v>
      </c>
      <c r="F2469" s="294" t="s">
        <v>286</v>
      </c>
    </row>
    <row r="2470" spans="1:6" hidden="1" outlineLevel="1" collapsed="1" x14ac:dyDescent="0.25">
      <c r="A2470" s="321" t="s">
        <v>282</v>
      </c>
      <c r="B2470" s="321" t="s">
        <v>397</v>
      </c>
      <c r="C2470" s="293">
        <v>0</v>
      </c>
      <c r="D2470" s="293">
        <v>137.36000000000001</v>
      </c>
      <c r="E2470" s="293">
        <v>137.36000000000001</v>
      </c>
      <c r="F2470" s="294" t="s">
        <v>298</v>
      </c>
    </row>
    <row r="2471" spans="1:6" hidden="1" outlineLevel="1" collapsed="1" x14ac:dyDescent="0.25">
      <c r="A2471" s="321" t="s">
        <v>282</v>
      </c>
      <c r="B2471" s="321" t="s">
        <v>398</v>
      </c>
      <c r="C2471" s="293">
        <v>72</v>
      </c>
      <c r="D2471" s="293">
        <v>31.28</v>
      </c>
      <c r="E2471" s="293">
        <v>-40.72</v>
      </c>
      <c r="F2471" s="294" t="s">
        <v>2114</v>
      </c>
    </row>
    <row r="2472" spans="1:6" hidden="1" outlineLevel="1" collapsed="1" x14ac:dyDescent="0.25">
      <c r="A2472" s="321" t="s">
        <v>282</v>
      </c>
      <c r="B2472" s="321" t="s">
        <v>376</v>
      </c>
      <c r="C2472" s="293">
        <v>0</v>
      </c>
      <c r="D2472" s="293">
        <v>450</v>
      </c>
      <c r="E2472" s="293">
        <v>450</v>
      </c>
      <c r="F2472" s="294" t="s">
        <v>298</v>
      </c>
    </row>
    <row r="2473" spans="1:6" collapsed="1" x14ac:dyDescent="0.25">
      <c r="A2473" s="560" t="s">
        <v>1141</v>
      </c>
      <c r="B2473" s="561"/>
      <c r="C2473" s="292">
        <v>124800.32120000001</v>
      </c>
      <c r="D2473" s="293">
        <v>127289.11188</v>
      </c>
      <c r="E2473" s="293">
        <v>2488.7906800000001</v>
      </c>
      <c r="F2473" s="294" t="s">
        <v>609</v>
      </c>
    </row>
    <row r="2474" spans="1:6" hidden="1" outlineLevel="1" collapsed="1" x14ac:dyDescent="0.25">
      <c r="A2474" s="321" t="s">
        <v>282</v>
      </c>
      <c r="B2474" s="321" t="s">
        <v>1143</v>
      </c>
      <c r="C2474" s="293">
        <v>64371.360000000001</v>
      </c>
      <c r="D2474" s="293">
        <v>67478.418000000005</v>
      </c>
      <c r="E2474" s="293">
        <v>3107.058</v>
      </c>
      <c r="F2474" s="294" t="s">
        <v>774</v>
      </c>
    </row>
    <row r="2475" spans="1:6" hidden="1" outlineLevel="1" collapsed="1" x14ac:dyDescent="0.25">
      <c r="A2475" s="321" t="s">
        <v>282</v>
      </c>
      <c r="B2475" s="321" t="s">
        <v>441</v>
      </c>
      <c r="C2475" s="293">
        <v>1000</v>
      </c>
      <c r="D2475" s="293">
        <v>0</v>
      </c>
      <c r="E2475" s="293">
        <v>-1000</v>
      </c>
      <c r="F2475" s="294" t="s">
        <v>286</v>
      </c>
    </row>
    <row r="2476" spans="1:6" hidden="1" outlineLevel="1" collapsed="1" x14ac:dyDescent="0.25">
      <c r="A2476" s="321" t="s">
        <v>282</v>
      </c>
      <c r="B2476" s="321" t="s">
        <v>1144</v>
      </c>
      <c r="C2476" s="293">
        <v>0</v>
      </c>
      <c r="D2476" s="293">
        <v>0</v>
      </c>
      <c r="E2476" s="293">
        <v>0</v>
      </c>
      <c r="F2476" s="294" t="s">
        <v>316</v>
      </c>
    </row>
    <row r="2477" spans="1:6" hidden="1" outlineLevel="1" collapsed="1" x14ac:dyDescent="0.25">
      <c r="A2477" s="321" t="s">
        <v>282</v>
      </c>
      <c r="B2477" s="321" t="s">
        <v>751</v>
      </c>
      <c r="C2477" s="293">
        <v>8400.4624800000001</v>
      </c>
      <c r="D2477" s="293">
        <v>0</v>
      </c>
      <c r="E2477" s="293">
        <v>-8400.4624800000001</v>
      </c>
      <c r="F2477" s="294" t="s">
        <v>286</v>
      </c>
    </row>
    <row r="2478" spans="1:6" hidden="1" outlineLevel="1" collapsed="1" x14ac:dyDescent="0.25">
      <c r="A2478" s="321" t="s">
        <v>282</v>
      </c>
      <c r="B2478" s="321" t="s">
        <v>752</v>
      </c>
      <c r="C2478" s="293">
        <v>0</v>
      </c>
      <c r="D2478" s="293">
        <v>9737.1357100000005</v>
      </c>
      <c r="E2478" s="293">
        <v>9737.1357100000005</v>
      </c>
      <c r="F2478" s="294" t="s">
        <v>298</v>
      </c>
    </row>
    <row r="2479" spans="1:6" hidden="1" outlineLevel="1" collapsed="1" x14ac:dyDescent="0.25">
      <c r="A2479" s="321" t="s">
        <v>282</v>
      </c>
      <c r="B2479" s="321" t="s">
        <v>753</v>
      </c>
      <c r="C2479" s="293">
        <v>3991.02432</v>
      </c>
      <c r="D2479" s="293">
        <v>4183.6619099999998</v>
      </c>
      <c r="E2479" s="293">
        <v>192.63758999999999</v>
      </c>
      <c r="F2479" s="294" t="s">
        <v>774</v>
      </c>
    </row>
    <row r="2480" spans="1:6" hidden="1" outlineLevel="1" collapsed="1" x14ac:dyDescent="0.25">
      <c r="A2480" s="321" t="s">
        <v>282</v>
      </c>
      <c r="B2480" s="321" t="s">
        <v>388</v>
      </c>
      <c r="C2480" s="293">
        <v>933.38472000000002</v>
      </c>
      <c r="D2480" s="293">
        <v>978.43705999999997</v>
      </c>
      <c r="E2480" s="293">
        <v>45.052340000000001</v>
      </c>
      <c r="F2480" s="294" t="s">
        <v>774</v>
      </c>
    </row>
    <row r="2481" spans="1:6" hidden="1" outlineLevel="1" collapsed="1" x14ac:dyDescent="0.25">
      <c r="A2481" s="321" t="s">
        <v>282</v>
      </c>
      <c r="B2481" s="321" t="s">
        <v>754</v>
      </c>
      <c r="C2481" s="293">
        <v>15358.56</v>
      </c>
      <c r="D2481" s="293">
        <v>15959.28</v>
      </c>
      <c r="E2481" s="293">
        <v>600.72</v>
      </c>
      <c r="F2481" s="294" t="s">
        <v>366</v>
      </c>
    </row>
    <row r="2482" spans="1:6" hidden="1" outlineLevel="1" collapsed="1" x14ac:dyDescent="0.25">
      <c r="A2482" s="321" t="s">
        <v>282</v>
      </c>
      <c r="B2482" s="321" t="s">
        <v>755</v>
      </c>
      <c r="C2482" s="293">
        <v>426.12479999999999</v>
      </c>
      <c r="D2482" s="293">
        <v>422.04</v>
      </c>
      <c r="E2482" s="293">
        <v>-4.0848000000000004</v>
      </c>
      <c r="F2482" s="294" t="s">
        <v>364</v>
      </c>
    </row>
    <row r="2483" spans="1:6" hidden="1" outlineLevel="1" collapsed="1" x14ac:dyDescent="0.25">
      <c r="A2483" s="321" t="s">
        <v>282</v>
      </c>
      <c r="B2483" s="321" t="s">
        <v>756</v>
      </c>
      <c r="C2483" s="293">
        <v>233.53919999999999</v>
      </c>
      <c r="D2483" s="293">
        <v>182.88</v>
      </c>
      <c r="E2483" s="293">
        <v>-50.659199999999998</v>
      </c>
      <c r="F2483" s="294" t="s">
        <v>368</v>
      </c>
    </row>
    <row r="2484" spans="1:6" hidden="1" outlineLevel="1" collapsed="1" x14ac:dyDescent="0.25">
      <c r="A2484" s="321" t="s">
        <v>282</v>
      </c>
      <c r="B2484" s="321" t="s">
        <v>757</v>
      </c>
      <c r="C2484" s="293">
        <v>32.185679999999998</v>
      </c>
      <c r="D2484" s="293">
        <v>0</v>
      </c>
      <c r="E2484" s="293">
        <v>-32.185679999999998</v>
      </c>
      <c r="F2484" s="294" t="s">
        <v>286</v>
      </c>
    </row>
    <row r="2485" spans="1:6" hidden="1" outlineLevel="1" collapsed="1" x14ac:dyDescent="0.25">
      <c r="A2485" s="321" t="s">
        <v>282</v>
      </c>
      <c r="B2485" s="321" t="s">
        <v>758</v>
      </c>
      <c r="C2485" s="293">
        <v>0</v>
      </c>
      <c r="D2485" s="293">
        <v>33.739199999999997</v>
      </c>
      <c r="E2485" s="293">
        <v>33.739199999999997</v>
      </c>
      <c r="F2485" s="294" t="s">
        <v>298</v>
      </c>
    </row>
    <row r="2486" spans="1:6" hidden="1" outlineLevel="1" collapsed="1" x14ac:dyDescent="0.25">
      <c r="A2486" s="321" t="s">
        <v>282</v>
      </c>
      <c r="B2486" s="321" t="s">
        <v>759</v>
      </c>
      <c r="C2486" s="293">
        <v>1500</v>
      </c>
      <c r="D2486" s="293">
        <v>0</v>
      </c>
      <c r="E2486" s="293">
        <v>-1500</v>
      </c>
      <c r="F2486" s="294" t="s">
        <v>286</v>
      </c>
    </row>
    <row r="2487" spans="1:6" hidden="1" outlineLevel="1" collapsed="1" x14ac:dyDescent="0.25">
      <c r="A2487" s="321" t="s">
        <v>282</v>
      </c>
      <c r="B2487" s="321" t="s">
        <v>760</v>
      </c>
      <c r="C2487" s="293">
        <v>0</v>
      </c>
      <c r="D2487" s="293">
        <v>1500</v>
      </c>
      <c r="E2487" s="293">
        <v>1500</v>
      </c>
      <c r="F2487" s="294" t="s">
        <v>298</v>
      </c>
    </row>
    <row r="2488" spans="1:6" hidden="1" outlineLevel="1" collapsed="1" x14ac:dyDescent="0.25">
      <c r="A2488" s="321" t="s">
        <v>282</v>
      </c>
      <c r="B2488" s="321" t="s">
        <v>761</v>
      </c>
      <c r="C2488" s="293">
        <v>49.68</v>
      </c>
      <c r="D2488" s="293">
        <v>0</v>
      </c>
      <c r="E2488" s="293">
        <v>-49.68</v>
      </c>
      <c r="F2488" s="294" t="s">
        <v>286</v>
      </c>
    </row>
    <row r="2489" spans="1:6" hidden="1" outlineLevel="1" collapsed="1" x14ac:dyDescent="0.25">
      <c r="A2489" s="321" t="s">
        <v>282</v>
      </c>
      <c r="B2489" s="321" t="s">
        <v>762</v>
      </c>
      <c r="C2489" s="293">
        <v>0</v>
      </c>
      <c r="D2489" s="293">
        <v>48.48</v>
      </c>
      <c r="E2489" s="293">
        <v>48.48</v>
      </c>
      <c r="F2489" s="294" t="s">
        <v>298</v>
      </c>
    </row>
    <row r="2490" spans="1:6" hidden="1" outlineLevel="1" collapsed="1" x14ac:dyDescent="0.25">
      <c r="A2490" s="321" t="s">
        <v>282</v>
      </c>
      <c r="B2490" s="321" t="s">
        <v>763</v>
      </c>
      <c r="C2490" s="293">
        <v>24</v>
      </c>
      <c r="D2490" s="293">
        <v>11.04</v>
      </c>
      <c r="E2490" s="293">
        <v>-12.96</v>
      </c>
      <c r="F2490" s="294" t="s">
        <v>374</v>
      </c>
    </row>
    <row r="2491" spans="1:6" hidden="1" outlineLevel="1" collapsed="1" x14ac:dyDescent="0.25">
      <c r="A2491" s="321" t="s">
        <v>282</v>
      </c>
      <c r="B2491" s="321" t="s">
        <v>376</v>
      </c>
      <c r="C2491" s="293">
        <v>3018</v>
      </c>
      <c r="D2491" s="293">
        <v>2921</v>
      </c>
      <c r="E2491" s="293">
        <v>-97</v>
      </c>
      <c r="F2491" s="294" t="s">
        <v>2151</v>
      </c>
    </row>
    <row r="2492" spans="1:6" hidden="1" outlineLevel="1" collapsed="1" x14ac:dyDescent="0.25">
      <c r="A2492" s="321" t="s">
        <v>282</v>
      </c>
      <c r="B2492" s="321" t="s">
        <v>662</v>
      </c>
      <c r="C2492" s="293">
        <v>0</v>
      </c>
      <c r="D2492" s="293">
        <v>30</v>
      </c>
      <c r="E2492" s="293">
        <v>30</v>
      </c>
      <c r="F2492" s="294" t="s">
        <v>298</v>
      </c>
    </row>
    <row r="2493" spans="1:6" hidden="1" outlineLevel="1" collapsed="1" x14ac:dyDescent="0.25">
      <c r="A2493" s="321" t="s">
        <v>282</v>
      </c>
      <c r="B2493" s="321" t="s">
        <v>567</v>
      </c>
      <c r="C2493" s="293">
        <v>0</v>
      </c>
      <c r="D2493" s="293">
        <v>1000</v>
      </c>
      <c r="E2493" s="293">
        <v>1000</v>
      </c>
      <c r="F2493" s="294" t="s">
        <v>298</v>
      </c>
    </row>
    <row r="2494" spans="1:6" hidden="1" outlineLevel="1" collapsed="1" x14ac:dyDescent="0.25">
      <c r="A2494" s="321" t="s">
        <v>282</v>
      </c>
      <c r="B2494" s="321" t="s">
        <v>426</v>
      </c>
      <c r="C2494" s="293">
        <v>24905</v>
      </c>
      <c r="D2494" s="293">
        <v>17989</v>
      </c>
      <c r="E2494" s="293">
        <v>-6916</v>
      </c>
      <c r="F2494" s="294" t="s">
        <v>2152</v>
      </c>
    </row>
    <row r="2495" spans="1:6" hidden="1" outlineLevel="1" collapsed="1" x14ac:dyDescent="0.25">
      <c r="A2495" s="321" t="s">
        <v>282</v>
      </c>
      <c r="B2495" s="321" t="s">
        <v>597</v>
      </c>
      <c r="C2495" s="293">
        <v>129</v>
      </c>
      <c r="D2495" s="293">
        <v>374</v>
      </c>
      <c r="E2495" s="293">
        <v>245</v>
      </c>
      <c r="F2495" s="294" t="s">
        <v>1147</v>
      </c>
    </row>
    <row r="2496" spans="1:6" hidden="1" outlineLevel="1" collapsed="1" x14ac:dyDescent="0.25">
      <c r="A2496" s="321" t="s">
        <v>282</v>
      </c>
      <c r="B2496" s="321" t="s">
        <v>416</v>
      </c>
      <c r="C2496" s="293">
        <v>0</v>
      </c>
      <c r="D2496" s="293">
        <v>3691</v>
      </c>
      <c r="E2496" s="293">
        <v>3691</v>
      </c>
      <c r="F2496" s="294" t="s">
        <v>298</v>
      </c>
    </row>
    <row r="2497" spans="1:6" hidden="1" outlineLevel="1" collapsed="1" x14ac:dyDescent="0.25">
      <c r="A2497" s="321" t="s">
        <v>282</v>
      </c>
      <c r="B2497" s="321" t="s">
        <v>543</v>
      </c>
      <c r="C2497" s="293">
        <v>0</v>
      </c>
      <c r="D2497" s="293">
        <v>749</v>
      </c>
      <c r="E2497" s="293">
        <v>749</v>
      </c>
      <c r="F2497" s="294" t="s">
        <v>298</v>
      </c>
    </row>
    <row r="2498" spans="1:6" hidden="1" outlineLevel="1" collapsed="1" x14ac:dyDescent="0.25">
      <c r="A2498" s="321" t="s">
        <v>282</v>
      </c>
      <c r="B2498" s="321" t="s">
        <v>422</v>
      </c>
      <c r="C2498" s="293">
        <v>428</v>
      </c>
      <c r="D2498" s="293">
        <v>0</v>
      </c>
      <c r="E2498" s="293">
        <v>-428</v>
      </c>
      <c r="F2498" s="294" t="s">
        <v>286</v>
      </c>
    </row>
    <row r="2499" spans="1:6" collapsed="1" x14ac:dyDescent="0.25">
      <c r="A2499" s="560" t="s">
        <v>1148</v>
      </c>
      <c r="B2499" s="561"/>
      <c r="C2499" s="292">
        <v>27550</v>
      </c>
      <c r="D2499" s="293">
        <v>28910</v>
      </c>
      <c r="E2499" s="293">
        <v>1360</v>
      </c>
      <c r="F2499" s="294" t="s">
        <v>1406</v>
      </c>
    </row>
    <row r="2500" spans="1:6" hidden="1" outlineLevel="1" collapsed="1" x14ac:dyDescent="0.25">
      <c r="A2500" s="321" t="s">
        <v>282</v>
      </c>
      <c r="B2500" s="321" t="s">
        <v>475</v>
      </c>
      <c r="C2500" s="293">
        <v>350</v>
      </c>
      <c r="D2500" s="293">
        <v>0</v>
      </c>
      <c r="E2500" s="293">
        <v>-350</v>
      </c>
      <c r="F2500" s="294" t="s">
        <v>286</v>
      </c>
    </row>
    <row r="2501" spans="1:6" hidden="1" outlineLevel="1" collapsed="1" x14ac:dyDescent="0.25">
      <c r="A2501" s="321" t="s">
        <v>282</v>
      </c>
      <c r="B2501" s="321" t="s">
        <v>376</v>
      </c>
      <c r="C2501" s="293">
        <v>3454.5</v>
      </c>
      <c r="D2501" s="293">
        <v>3860</v>
      </c>
      <c r="E2501" s="293">
        <v>405.5</v>
      </c>
      <c r="F2501" s="294" t="s">
        <v>2153</v>
      </c>
    </row>
    <row r="2502" spans="1:6" hidden="1" outlineLevel="1" collapsed="1" x14ac:dyDescent="0.25">
      <c r="A2502" s="321" t="s">
        <v>282</v>
      </c>
      <c r="B2502" s="321" t="s">
        <v>662</v>
      </c>
      <c r="C2502" s="293">
        <v>0</v>
      </c>
      <c r="D2502" s="293">
        <v>1000</v>
      </c>
      <c r="E2502" s="293">
        <v>1000</v>
      </c>
      <c r="F2502" s="294" t="s">
        <v>298</v>
      </c>
    </row>
    <row r="2503" spans="1:6" hidden="1" outlineLevel="1" collapsed="1" x14ac:dyDescent="0.25">
      <c r="A2503" s="321" t="s">
        <v>282</v>
      </c>
      <c r="B2503" s="321" t="s">
        <v>567</v>
      </c>
      <c r="C2503" s="293">
        <v>17550</v>
      </c>
      <c r="D2503" s="293">
        <v>14050</v>
      </c>
      <c r="E2503" s="293">
        <v>-3500</v>
      </c>
      <c r="F2503" s="294" t="s">
        <v>1065</v>
      </c>
    </row>
    <row r="2504" spans="1:6" hidden="1" outlineLevel="1" collapsed="1" x14ac:dyDescent="0.25">
      <c r="A2504" s="321" t="s">
        <v>282</v>
      </c>
      <c r="B2504" s="321" t="s">
        <v>426</v>
      </c>
      <c r="C2504" s="293">
        <v>500</v>
      </c>
      <c r="D2504" s="293">
        <v>0</v>
      </c>
      <c r="E2504" s="293">
        <v>-500</v>
      </c>
      <c r="F2504" s="294" t="s">
        <v>286</v>
      </c>
    </row>
    <row r="2505" spans="1:6" hidden="1" outlineLevel="1" collapsed="1" x14ac:dyDescent="0.25">
      <c r="A2505" s="321" t="s">
        <v>282</v>
      </c>
      <c r="B2505" s="321" t="s">
        <v>405</v>
      </c>
      <c r="C2505" s="293">
        <v>4250</v>
      </c>
      <c r="D2505" s="293">
        <v>9500</v>
      </c>
      <c r="E2505" s="293">
        <v>5250</v>
      </c>
      <c r="F2505" s="294" t="s">
        <v>1150</v>
      </c>
    </row>
    <row r="2506" spans="1:6" hidden="1" outlineLevel="1" collapsed="1" x14ac:dyDescent="0.25">
      <c r="A2506" s="321" t="s">
        <v>282</v>
      </c>
      <c r="B2506" s="321" t="s">
        <v>557</v>
      </c>
      <c r="C2506" s="293">
        <v>1445.5</v>
      </c>
      <c r="D2506" s="293">
        <v>500</v>
      </c>
      <c r="E2506" s="293">
        <v>-945.5</v>
      </c>
      <c r="F2506" s="294" t="s">
        <v>1151</v>
      </c>
    </row>
    <row r="2507" spans="1:6" collapsed="1" x14ac:dyDescent="0.25">
      <c r="A2507" s="560" t="s">
        <v>1152</v>
      </c>
      <c r="B2507" s="561"/>
      <c r="C2507" s="292">
        <v>37300</v>
      </c>
      <c r="D2507" s="293">
        <v>35805</v>
      </c>
      <c r="E2507" s="293">
        <v>-1495</v>
      </c>
      <c r="F2507" s="294" t="s">
        <v>1979</v>
      </c>
    </row>
    <row r="2508" spans="1:6" hidden="1" outlineLevel="1" collapsed="1" x14ac:dyDescent="0.25">
      <c r="A2508" s="321" t="s">
        <v>282</v>
      </c>
      <c r="B2508" s="321" t="s">
        <v>376</v>
      </c>
      <c r="C2508" s="293">
        <v>4885</v>
      </c>
      <c r="D2508" s="293">
        <v>5700</v>
      </c>
      <c r="E2508" s="293">
        <v>815</v>
      </c>
      <c r="F2508" s="294" t="s">
        <v>1154</v>
      </c>
    </row>
    <row r="2509" spans="1:6" hidden="1" outlineLevel="1" collapsed="1" x14ac:dyDescent="0.25">
      <c r="A2509" s="321" t="s">
        <v>282</v>
      </c>
      <c r="B2509" s="321" t="s">
        <v>403</v>
      </c>
      <c r="C2509" s="293">
        <v>32415</v>
      </c>
      <c r="D2509" s="293">
        <v>30105</v>
      </c>
      <c r="E2509" s="293">
        <v>-2310</v>
      </c>
      <c r="F2509" s="294" t="s">
        <v>2154</v>
      </c>
    </row>
    <row r="2510" spans="1:6" collapsed="1" x14ac:dyDescent="0.25">
      <c r="A2510" s="560" t="s">
        <v>1155</v>
      </c>
      <c r="B2510" s="561"/>
      <c r="C2510" s="292">
        <v>15000</v>
      </c>
      <c r="D2510" s="293">
        <v>16000</v>
      </c>
      <c r="E2510" s="293">
        <v>1000</v>
      </c>
      <c r="F2510" s="294" t="s">
        <v>1156</v>
      </c>
    </row>
    <row r="2511" spans="1:6" hidden="1" outlineLevel="1" collapsed="1" x14ac:dyDescent="0.25">
      <c r="A2511" s="321" t="s">
        <v>282</v>
      </c>
      <c r="B2511" s="321" t="s">
        <v>405</v>
      </c>
      <c r="C2511" s="293">
        <v>15000</v>
      </c>
      <c r="D2511" s="293">
        <v>16000</v>
      </c>
      <c r="E2511" s="293">
        <v>1000</v>
      </c>
      <c r="F2511" s="294" t="s">
        <v>1156</v>
      </c>
    </row>
    <row r="2512" spans="1:6" collapsed="1" x14ac:dyDescent="0.25">
      <c r="A2512" s="560" t="s">
        <v>1157</v>
      </c>
      <c r="B2512" s="561"/>
      <c r="C2512" s="292">
        <v>43862.295447999997</v>
      </c>
      <c r="D2512" s="293">
        <v>45670.580252</v>
      </c>
      <c r="E2512" s="293">
        <v>1808.2848039999999</v>
      </c>
      <c r="F2512" s="294" t="s">
        <v>579</v>
      </c>
    </row>
    <row r="2513" spans="1:6" hidden="1" outlineLevel="1" collapsed="1" x14ac:dyDescent="0.25">
      <c r="A2513" s="321" t="s">
        <v>282</v>
      </c>
      <c r="B2513" s="321" t="s">
        <v>464</v>
      </c>
      <c r="C2513" s="293">
        <v>21819.356059999998</v>
      </c>
      <c r="D2513" s="293">
        <v>22454.665027999999</v>
      </c>
      <c r="E2513" s="293">
        <v>635.30896800000005</v>
      </c>
      <c r="F2513" s="294" t="s">
        <v>630</v>
      </c>
    </row>
    <row r="2514" spans="1:6" hidden="1" outlineLevel="1" collapsed="1" x14ac:dyDescent="0.25">
      <c r="A2514" s="321" t="s">
        <v>282</v>
      </c>
      <c r="B2514" s="321" t="s">
        <v>384</v>
      </c>
      <c r="C2514" s="293">
        <v>2644.2349920000001</v>
      </c>
      <c r="D2514" s="293">
        <v>0</v>
      </c>
      <c r="E2514" s="293">
        <v>-2644.2349920000001</v>
      </c>
      <c r="F2514" s="294" t="s">
        <v>286</v>
      </c>
    </row>
    <row r="2515" spans="1:6" hidden="1" outlineLevel="1" collapsed="1" x14ac:dyDescent="0.25">
      <c r="A2515" s="321" t="s">
        <v>282</v>
      </c>
      <c r="B2515" s="321" t="s">
        <v>385</v>
      </c>
      <c r="C2515" s="293">
        <v>0</v>
      </c>
      <c r="D2515" s="293">
        <v>3363.1860240000001</v>
      </c>
      <c r="E2515" s="293">
        <v>3363.1860240000001</v>
      </c>
      <c r="F2515" s="294" t="s">
        <v>298</v>
      </c>
    </row>
    <row r="2516" spans="1:6" hidden="1" outlineLevel="1" collapsed="1" x14ac:dyDescent="0.25">
      <c r="A2516" s="321" t="s">
        <v>282</v>
      </c>
      <c r="B2516" s="321" t="s">
        <v>386</v>
      </c>
      <c r="C2516" s="293">
        <v>1352.800068</v>
      </c>
      <c r="D2516" s="293">
        <v>0</v>
      </c>
      <c r="E2516" s="293">
        <v>-1352.800068</v>
      </c>
      <c r="F2516" s="294" t="s">
        <v>286</v>
      </c>
    </row>
    <row r="2517" spans="1:6" hidden="1" outlineLevel="1" collapsed="1" x14ac:dyDescent="0.25">
      <c r="A2517" s="321" t="s">
        <v>282</v>
      </c>
      <c r="B2517" s="321" t="s">
        <v>387</v>
      </c>
      <c r="C2517" s="293">
        <v>0</v>
      </c>
      <c r="D2517" s="293">
        <v>1392.189228</v>
      </c>
      <c r="E2517" s="293">
        <v>1392.189228</v>
      </c>
      <c r="F2517" s="294" t="s">
        <v>298</v>
      </c>
    </row>
    <row r="2518" spans="1:6" hidden="1" outlineLevel="1" collapsed="1" x14ac:dyDescent="0.25">
      <c r="A2518" s="321" t="s">
        <v>282</v>
      </c>
      <c r="B2518" s="321" t="s">
        <v>388</v>
      </c>
      <c r="C2518" s="293">
        <v>316.38065999999998</v>
      </c>
      <c r="D2518" s="293">
        <v>325.59264000000002</v>
      </c>
      <c r="E2518" s="293">
        <v>9.2119800000000005</v>
      </c>
      <c r="F2518" s="294" t="s">
        <v>630</v>
      </c>
    </row>
    <row r="2519" spans="1:6" hidden="1" outlineLevel="1" collapsed="1" x14ac:dyDescent="0.25">
      <c r="A2519" s="321" t="s">
        <v>282</v>
      </c>
      <c r="B2519" s="321" t="s">
        <v>389</v>
      </c>
      <c r="C2519" s="293">
        <v>426.12479999999999</v>
      </c>
      <c r="D2519" s="293">
        <v>422.04</v>
      </c>
      <c r="E2519" s="293">
        <v>-4.0848000000000004</v>
      </c>
      <c r="F2519" s="294" t="s">
        <v>364</v>
      </c>
    </row>
    <row r="2520" spans="1:6" hidden="1" outlineLevel="1" collapsed="1" x14ac:dyDescent="0.25">
      <c r="A2520" s="321" t="s">
        <v>282</v>
      </c>
      <c r="B2520" s="321" t="s">
        <v>390</v>
      </c>
      <c r="C2520" s="293">
        <v>15485.27</v>
      </c>
      <c r="D2520" s="293">
        <v>15959.28</v>
      </c>
      <c r="E2520" s="293">
        <v>474.01</v>
      </c>
      <c r="F2520" s="294" t="s">
        <v>391</v>
      </c>
    </row>
    <row r="2521" spans="1:6" hidden="1" outlineLevel="1" collapsed="1" x14ac:dyDescent="0.25">
      <c r="A2521" s="321" t="s">
        <v>282</v>
      </c>
      <c r="B2521" s="321" t="s">
        <v>392</v>
      </c>
      <c r="C2521" s="293">
        <v>233.53919999999999</v>
      </c>
      <c r="D2521" s="293">
        <v>182.88</v>
      </c>
      <c r="E2521" s="293">
        <v>-50.659199999999998</v>
      </c>
      <c r="F2521" s="294" t="s">
        <v>368</v>
      </c>
    </row>
    <row r="2522" spans="1:6" hidden="1" outlineLevel="1" collapsed="1" x14ac:dyDescent="0.25">
      <c r="A2522" s="321" t="s">
        <v>282</v>
      </c>
      <c r="B2522" s="321" t="s">
        <v>393</v>
      </c>
      <c r="C2522" s="293">
        <v>10.909668</v>
      </c>
      <c r="D2522" s="293">
        <v>11.227332000000001</v>
      </c>
      <c r="E2522" s="293">
        <v>0.317664</v>
      </c>
      <c r="F2522" s="294" t="s">
        <v>630</v>
      </c>
    </row>
    <row r="2523" spans="1:6" hidden="1" outlineLevel="1" collapsed="1" x14ac:dyDescent="0.25">
      <c r="A2523" s="321" t="s">
        <v>282</v>
      </c>
      <c r="B2523" s="321" t="s">
        <v>394</v>
      </c>
      <c r="C2523" s="293">
        <v>1500</v>
      </c>
      <c r="D2523" s="293">
        <v>0</v>
      </c>
      <c r="E2523" s="293">
        <v>-1500</v>
      </c>
      <c r="F2523" s="294" t="s">
        <v>286</v>
      </c>
    </row>
    <row r="2524" spans="1:6" hidden="1" outlineLevel="1" collapsed="1" x14ac:dyDescent="0.25">
      <c r="A2524" s="321" t="s">
        <v>282</v>
      </c>
      <c r="B2524" s="321" t="s">
        <v>395</v>
      </c>
      <c r="C2524" s="293">
        <v>0</v>
      </c>
      <c r="D2524" s="293">
        <v>1500</v>
      </c>
      <c r="E2524" s="293">
        <v>1500</v>
      </c>
      <c r="F2524" s="294" t="s">
        <v>298</v>
      </c>
    </row>
    <row r="2525" spans="1:6" hidden="1" outlineLevel="1" collapsed="1" x14ac:dyDescent="0.25">
      <c r="A2525" s="321" t="s">
        <v>282</v>
      </c>
      <c r="B2525" s="321" t="s">
        <v>396</v>
      </c>
      <c r="C2525" s="293">
        <v>49.68</v>
      </c>
      <c r="D2525" s="293">
        <v>0</v>
      </c>
      <c r="E2525" s="293">
        <v>-49.68</v>
      </c>
      <c r="F2525" s="294" t="s">
        <v>286</v>
      </c>
    </row>
    <row r="2526" spans="1:6" hidden="1" outlineLevel="1" collapsed="1" x14ac:dyDescent="0.25">
      <c r="A2526" s="321" t="s">
        <v>282</v>
      </c>
      <c r="B2526" s="321" t="s">
        <v>397</v>
      </c>
      <c r="C2526" s="293">
        <v>0</v>
      </c>
      <c r="D2526" s="293">
        <v>48.48</v>
      </c>
      <c r="E2526" s="293">
        <v>48.48</v>
      </c>
      <c r="F2526" s="294" t="s">
        <v>298</v>
      </c>
    </row>
    <row r="2527" spans="1:6" hidden="1" outlineLevel="1" collapsed="1" x14ac:dyDescent="0.25">
      <c r="A2527" s="321" t="s">
        <v>282</v>
      </c>
      <c r="B2527" s="321" t="s">
        <v>398</v>
      </c>
      <c r="C2527" s="293">
        <v>24</v>
      </c>
      <c r="D2527" s="293">
        <v>11.04</v>
      </c>
      <c r="E2527" s="293">
        <v>-12.96</v>
      </c>
      <c r="F2527" s="294" t="s">
        <v>374</v>
      </c>
    </row>
    <row r="2528" spans="1:6" hidden="1" outlineLevel="1" collapsed="1" x14ac:dyDescent="0.25">
      <c r="A2528" s="321" t="s">
        <v>282</v>
      </c>
      <c r="B2528" s="321" t="s">
        <v>405</v>
      </c>
      <c r="C2528" s="293">
        <v>0</v>
      </c>
      <c r="D2528" s="293">
        <v>0</v>
      </c>
      <c r="E2528" s="293">
        <v>0</v>
      </c>
      <c r="F2528" s="294" t="s">
        <v>316</v>
      </c>
    </row>
    <row r="2529" spans="1:6" collapsed="1" x14ac:dyDescent="0.25">
      <c r="A2529" s="560" t="s">
        <v>1159</v>
      </c>
      <c r="B2529" s="561"/>
      <c r="C2529" s="292">
        <v>1093777.47</v>
      </c>
      <c r="D2529" s="293">
        <v>1032720</v>
      </c>
      <c r="E2529" s="293">
        <v>-61057.47</v>
      </c>
      <c r="F2529" s="294" t="s">
        <v>2155</v>
      </c>
    </row>
    <row r="2530" spans="1:6" hidden="1" outlineLevel="1" collapsed="1" x14ac:dyDescent="0.25">
      <c r="A2530" s="321" t="s">
        <v>282</v>
      </c>
      <c r="B2530" s="321" t="s">
        <v>376</v>
      </c>
      <c r="C2530" s="293">
        <v>47600</v>
      </c>
      <c r="D2530" s="293">
        <v>53700</v>
      </c>
      <c r="E2530" s="293">
        <v>6100</v>
      </c>
      <c r="F2530" s="294" t="s">
        <v>2156</v>
      </c>
    </row>
    <row r="2531" spans="1:6" hidden="1" outlineLevel="1" collapsed="1" x14ac:dyDescent="0.25">
      <c r="A2531" s="321" t="s">
        <v>282</v>
      </c>
      <c r="B2531" s="321" t="s">
        <v>1075</v>
      </c>
      <c r="C2531" s="293">
        <v>0</v>
      </c>
      <c r="D2531" s="293">
        <v>15000</v>
      </c>
      <c r="E2531" s="293">
        <v>15000</v>
      </c>
      <c r="F2531" s="294" t="s">
        <v>298</v>
      </c>
    </row>
    <row r="2532" spans="1:6" hidden="1" outlineLevel="1" collapsed="1" x14ac:dyDescent="0.25">
      <c r="A2532" s="321" t="s">
        <v>282</v>
      </c>
      <c r="B2532" s="321" t="s">
        <v>662</v>
      </c>
      <c r="C2532" s="293">
        <v>0</v>
      </c>
      <c r="D2532" s="293">
        <v>300</v>
      </c>
      <c r="E2532" s="293">
        <v>300</v>
      </c>
      <c r="F2532" s="294" t="s">
        <v>298</v>
      </c>
    </row>
    <row r="2533" spans="1:6" hidden="1" outlineLevel="1" collapsed="1" x14ac:dyDescent="0.25">
      <c r="A2533" s="321" t="s">
        <v>282</v>
      </c>
      <c r="B2533" s="321" t="s">
        <v>567</v>
      </c>
      <c r="C2533" s="293">
        <v>128608</v>
      </c>
      <c r="D2533" s="293">
        <v>125275</v>
      </c>
      <c r="E2533" s="293">
        <v>-3333</v>
      </c>
      <c r="F2533" s="294" t="s">
        <v>1161</v>
      </c>
    </row>
    <row r="2534" spans="1:6" hidden="1" outlineLevel="1" collapsed="1" x14ac:dyDescent="0.25">
      <c r="A2534" s="321" t="s">
        <v>282</v>
      </c>
      <c r="B2534" s="321" t="s">
        <v>426</v>
      </c>
      <c r="C2534" s="293">
        <v>1900</v>
      </c>
      <c r="D2534" s="293">
        <v>0</v>
      </c>
      <c r="E2534" s="293">
        <v>-1900</v>
      </c>
      <c r="F2534" s="294" t="s">
        <v>286</v>
      </c>
    </row>
    <row r="2535" spans="1:6" hidden="1" outlineLevel="1" collapsed="1" x14ac:dyDescent="0.25">
      <c r="A2535" s="321" t="s">
        <v>282</v>
      </c>
      <c r="B2535" s="321" t="s">
        <v>842</v>
      </c>
      <c r="C2535" s="293">
        <v>945</v>
      </c>
      <c r="D2535" s="293">
        <v>945</v>
      </c>
      <c r="E2535" s="293">
        <v>0</v>
      </c>
      <c r="F2535" s="294" t="s">
        <v>316</v>
      </c>
    </row>
    <row r="2536" spans="1:6" hidden="1" outlineLevel="1" collapsed="1" x14ac:dyDescent="0.25">
      <c r="A2536" s="321" t="s">
        <v>282</v>
      </c>
      <c r="B2536" s="321" t="s">
        <v>415</v>
      </c>
      <c r="C2536" s="293">
        <v>61513</v>
      </c>
      <c r="D2536" s="293">
        <v>10000</v>
      </c>
      <c r="E2536" s="293">
        <v>-51513</v>
      </c>
      <c r="F2536" s="294" t="s">
        <v>1162</v>
      </c>
    </row>
    <row r="2537" spans="1:6" hidden="1" outlineLevel="1" collapsed="1" x14ac:dyDescent="0.25">
      <c r="A2537" s="321" t="s">
        <v>282</v>
      </c>
      <c r="B2537" s="321" t="s">
        <v>1163</v>
      </c>
      <c r="C2537" s="293">
        <v>54000</v>
      </c>
      <c r="D2537" s="293">
        <v>65000</v>
      </c>
      <c r="E2537" s="293">
        <v>11000</v>
      </c>
      <c r="F2537" s="294" t="s">
        <v>1164</v>
      </c>
    </row>
    <row r="2538" spans="1:6" hidden="1" outlineLevel="1" collapsed="1" x14ac:dyDescent="0.25">
      <c r="A2538" s="321" t="s">
        <v>282</v>
      </c>
      <c r="B2538" s="321" t="s">
        <v>604</v>
      </c>
      <c r="C2538" s="293">
        <v>40000</v>
      </c>
      <c r="D2538" s="293">
        <v>40000</v>
      </c>
      <c r="E2538" s="293">
        <v>0</v>
      </c>
      <c r="F2538" s="294" t="s">
        <v>316</v>
      </c>
    </row>
    <row r="2539" spans="1:6" hidden="1" outlineLevel="1" collapsed="1" x14ac:dyDescent="0.25">
      <c r="A2539" s="321" t="s">
        <v>282</v>
      </c>
      <c r="B2539" s="321" t="s">
        <v>1165</v>
      </c>
      <c r="C2539" s="293">
        <v>31206</v>
      </c>
      <c r="D2539" s="293">
        <v>30000</v>
      </c>
      <c r="E2539" s="293">
        <v>-1206</v>
      </c>
      <c r="F2539" s="294" t="s">
        <v>1166</v>
      </c>
    </row>
    <row r="2540" spans="1:6" hidden="1" outlineLevel="1" collapsed="1" x14ac:dyDescent="0.25">
      <c r="A2540" s="321" t="s">
        <v>282</v>
      </c>
      <c r="B2540" s="321" t="s">
        <v>1167</v>
      </c>
      <c r="C2540" s="293">
        <v>18636</v>
      </c>
      <c r="D2540" s="293">
        <v>21250</v>
      </c>
      <c r="E2540" s="293">
        <v>2614</v>
      </c>
      <c r="F2540" s="294" t="s">
        <v>581</v>
      </c>
    </row>
    <row r="2541" spans="1:6" hidden="1" outlineLevel="1" collapsed="1" x14ac:dyDescent="0.25">
      <c r="A2541" s="321" t="s">
        <v>282</v>
      </c>
      <c r="B2541" s="321" t="s">
        <v>416</v>
      </c>
      <c r="C2541" s="293">
        <v>47106</v>
      </c>
      <c r="D2541" s="293">
        <v>67250</v>
      </c>
      <c r="E2541" s="293">
        <v>20144</v>
      </c>
      <c r="F2541" s="294" t="s">
        <v>1168</v>
      </c>
    </row>
    <row r="2542" spans="1:6" hidden="1" outlineLevel="1" collapsed="1" x14ac:dyDescent="0.25">
      <c r="A2542" s="321" t="s">
        <v>282</v>
      </c>
      <c r="B2542" s="321" t="s">
        <v>543</v>
      </c>
      <c r="C2542" s="293">
        <v>14153</v>
      </c>
      <c r="D2542" s="293">
        <v>20000</v>
      </c>
      <c r="E2542" s="293">
        <v>5847</v>
      </c>
      <c r="F2542" s="294" t="s">
        <v>1169</v>
      </c>
    </row>
    <row r="2543" spans="1:6" hidden="1" outlineLevel="1" collapsed="1" x14ac:dyDescent="0.25">
      <c r="A2543" s="321" t="s">
        <v>282</v>
      </c>
      <c r="B2543" s="321" t="s">
        <v>448</v>
      </c>
      <c r="C2543" s="293">
        <v>48790</v>
      </c>
      <c r="D2543" s="293">
        <v>50000</v>
      </c>
      <c r="E2543" s="293">
        <v>1210</v>
      </c>
      <c r="F2543" s="294" t="s">
        <v>2157</v>
      </c>
    </row>
    <row r="2544" spans="1:6" hidden="1" outlineLevel="1" collapsed="1" x14ac:dyDescent="0.25">
      <c r="A2544" s="321" t="s">
        <v>282</v>
      </c>
      <c r="B2544" s="321" t="s">
        <v>884</v>
      </c>
      <c r="C2544" s="293">
        <v>134274</v>
      </c>
      <c r="D2544" s="293">
        <v>235000</v>
      </c>
      <c r="E2544" s="293">
        <v>100726</v>
      </c>
      <c r="F2544" s="294" t="s">
        <v>2158</v>
      </c>
    </row>
    <row r="2545" spans="1:6" hidden="1" outlineLevel="1" collapsed="1" x14ac:dyDescent="0.25">
      <c r="A2545" s="321" t="s">
        <v>282</v>
      </c>
      <c r="B2545" s="321" t="s">
        <v>1172</v>
      </c>
      <c r="C2545" s="293">
        <v>5200</v>
      </c>
      <c r="D2545" s="293">
        <v>40000</v>
      </c>
      <c r="E2545" s="293">
        <v>34800</v>
      </c>
      <c r="F2545" s="294" t="s">
        <v>1173</v>
      </c>
    </row>
    <row r="2546" spans="1:6" hidden="1" outlineLevel="1" collapsed="1" x14ac:dyDescent="0.25">
      <c r="A2546" s="321" t="s">
        <v>282</v>
      </c>
      <c r="B2546" s="321" t="s">
        <v>403</v>
      </c>
      <c r="C2546" s="293">
        <v>177885</v>
      </c>
      <c r="D2546" s="293">
        <v>138000</v>
      </c>
      <c r="E2546" s="293">
        <v>-39885</v>
      </c>
      <c r="F2546" s="294" t="s">
        <v>2159</v>
      </c>
    </row>
    <row r="2547" spans="1:6" hidden="1" outlineLevel="1" collapsed="1" x14ac:dyDescent="0.25">
      <c r="A2547" s="321" t="s">
        <v>282</v>
      </c>
      <c r="B2547" s="321" t="s">
        <v>1054</v>
      </c>
      <c r="C2547" s="293">
        <v>18000</v>
      </c>
      <c r="D2547" s="293">
        <v>33000</v>
      </c>
      <c r="E2547" s="293">
        <v>15000</v>
      </c>
      <c r="F2547" s="294" t="s">
        <v>1175</v>
      </c>
    </row>
    <row r="2548" spans="1:6" hidden="1" outlineLevel="1" collapsed="1" x14ac:dyDescent="0.25">
      <c r="A2548" s="321" t="s">
        <v>282</v>
      </c>
      <c r="B2548" s="321" t="s">
        <v>1176</v>
      </c>
      <c r="C2548" s="293">
        <v>0</v>
      </c>
      <c r="D2548" s="293">
        <v>0</v>
      </c>
      <c r="E2548" s="293">
        <v>0</v>
      </c>
      <c r="F2548" s="294" t="s">
        <v>316</v>
      </c>
    </row>
    <row r="2549" spans="1:6" hidden="1" outlineLevel="1" collapsed="1" x14ac:dyDescent="0.25">
      <c r="A2549" s="321" t="s">
        <v>282</v>
      </c>
      <c r="B2549" s="321" t="s">
        <v>405</v>
      </c>
      <c r="C2549" s="293">
        <v>14000</v>
      </c>
      <c r="D2549" s="293">
        <v>38000</v>
      </c>
      <c r="E2549" s="293">
        <v>24000</v>
      </c>
      <c r="F2549" s="294" t="s">
        <v>1177</v>
      </c>
    </row>
    <row r="2550" spans="1:6" hidden="1" outlineLevel="1" collapsed="1" x14ac:dyDescent="0.25">
      <c r="A2550" s="321" t="s">
        <v>282</v>
      </c>
      <c r="B2550" s="321" t="s">
        <v>557</v>
      </c>
      <c r="C2550" s="293">
        <v>500</v>
      </c>
      <c r="D2550" s="293">
        <v>0</v>
      </c>
      <c r="E2550" s="293">
        <v>-500</v>
      </c>
      <c r="F2550" s="294" t="s">
        <v>286</v>
      </c>
    </row>
    <row r="2551" spans="1:6" hidden="1" outlineLevel="1" collapsed="1" x14ac:dyDescent="0.25">
      <c r="A2551" s="321" t="s">
        <v>282</v>
      </c>
      <c r="B2551" s="321" t="s">
        <v>831</v>
      </c>
      <c r="C2551" s="293">
        <v>172000</v>
      </c>
      <c r="D2551" s="293">
        <v>20000</v>
      </c>
      <c r="E2551" s="293">
        <v>-152000</v>
      </c>
      <c r="F2551" s="294" t="s">
        <v>2160</v>
      </c>
    </row>
    <row r="2552" spans="1:6" hidden="1" outlineLevel="1" collapsed="1" x14ac:dyDescent="0.25">
      <c r="A2552" s="321" t="s">
        <v>282</v>
      </c>
      <c r="B2552" s="321" t="s">
        <v>422</v>
      </c>
      <c r="C2552" s="293">
        <v>77461.47</v>
      </c>
      <c r="D2552" s="293">
        <v>30000</v>
      </c>
      <c r="E2552" s="293">
        <v>-47461.47</v>
      </c>
      <c r="F2552" s="294" t="s">
        <v>1179</v>
      </c>
    </row>
    <row r="2553" spans="1:6" collapsed="1" x14ac:dyDescent="0.25">
      <c r="A2553" s="560" t="s">
        <v>1180</v>
      </c>
      <c r="B2553" s="561"/>
      <c r="C2553" s="292">
        <v>131206.60399199999</v>
      </c>
      <c r="D2553" s="293">
        <v>103736.081068</v>
      </c>
      <c r="E2553" s="293">
        <v>-27470.522924000001</v>
      </c>
      <c r="F2553" s="294" t="s">
        <v>1181</v>
      </c>
    </row>
    <row r="2554" spans="1:6" hidden="1" outlineLevel="1" collapsed="1" x14ac:dyDescent="0.25">
      <c r="A2554" s="321" t="s">
        <v>282</v>
      </c>
      <c r="B2554" s="321" t="s">
        <v>464</v>
      </c>
      <c r="C2554" s="293">
        <v>85762.939488000004</v>
      </c>
      <c r="D2554" s="293">
        <v>88355.120292000007</v>
      </c>
      <c r="E2554" s="293">
        <v>2592.1808040000001</v>
      </c>
      <c r="F2554" s="294" t="s">
        <v>520</v>
      </c>
    </row>
    <row r="2555" spans="1:6" hidden="1" outlineLevel="1" collapsed="1" x14ac:dyDescent="0.25">
      <c r="A2555" s="321" t="s">
        <v>282</v>
      </c>
      <c r="B2555" s="321" t="s">
        <v>386</v>
      </c>
      <c r="C2555" s="293">
        <v>5317.30224</v>
      </c>
      <c r="D2555" s="293">
        <v>0</v>
      </c>
      <c r="E2555" s="293">
        <v>-5317.30224</v>
      </c>
      <c r="F2555" s="294" t="s">
        <v>286</v>
      </c>
    </row>
    <row r="2556" spans="1:6" hidden="1" outlineLevel="1" collapsed="1" x14ac:dyDescent="0.25">
      <c r="A2556" s="321" t="s">
        <v>282</v>
      </c>
      <c r="B2556" s="321" t="s">
        <v>387</v>
      </c>
      <c r="C2556" s="293">
        <v>0</v>
      </c>
      <c r="D2556" s="293">
        <v>5478.0174479999996</v>
      </c>
      <c r="E2556" s="293">
        <v>5478.0174479999996</v>
      </c>
      <c r="F2556" s="294" t="s">
        <v>298</v>
      </c>
    </row>
    <row r="2557" spans="1:6" hidden="1" outlineLevel="1" collapsed="1" x14ac:dyDescent="0.25">
      <c r="A2557" s="321" t="s">
        <v>282</v>
      </c>
      <c r="B2557" s="321" t="s">
        <v>388</v>
      </c>
      <c r="C2557" s="293">
        <v>1243.5626159999999</v>
      </c>
      <c r="D2557" s="293">
        <v>1281.149232</v>
      </c>
      <c r="E2557" s="293">
        <v>37.586615999999999</v>
      </c>
      <c r="F2557" s="294" t="s">
        <v>520</v>
      </c>
    </row>
    <row r="2558" spans="1:6" hidden="1" outlineLevel="1" collapsed="1" x14ac:dyDescent="0.25">
      <c r="A2558" s="321" t="s">
        <v>282</v>
      </c>
      <c r="B2558" s="321" t="s">
        <v>480</v>
      </c>
      <c r="C2558" s="293">
        <v>1114.9182000000001</v>
      </c>
      <c r="D2558" s="293">
        <v>1148.616552</v>
      </c>
      <c r="E2558" s="293">
        <v>33.698352</v>
      </c>
      <c r="F2558" s="294" t="s">
        <v>520</v>
      </c>
    </row>
    <row r="2559" spans="1:6" hidden="1" outlineLevel="1" collapsed="1" x14ac:dyDescent="0.25">
      <c r="A2559" s="321" t="s">
        <v>282</v>
      </c>
      <c r="B2559" s="321" t="s">
        <v>393</v>
      </c>
      <c r="C2559" s="293">
        <v>42.881447999999999</v>
      </c>
      <c r="D2559" s="293">
        <v>44.177543999999997</v>
      </c>
      <c r="E2559" s="293">
        <v>1.2960959999999999</v>
      </c>
      <c r="F2559" s="294" t="s">
        <v>520</v>
      </c>
    </row>
    <row r="2560" spans="1:6" hidden="1" outlineLevel="1" collapsed="1" x14ac:dyDescent="0.25">
      <c r="A2560" s="321" t="s">
        <v>282</v>
      </c>
      <c r="B2560" s="321" t="s">
        <v>376</v>
      </c>
      <c r="C2560" s="293">
        <v>0</v>
      </c>
      <c r="D2560" s="293">
        <v>5929</v>
      </c>
      <c r="E2560" s="293">
        <v>5929</v>
      </c>
      <c r="F2560" s="294" t="s">
        <v>298</v>
      </c>
    </row>
    <row r="2561" spans="1:6" hidden="1" outlineLevel="1" collapsed="1" x14ac:dyDescent="0.25">
      <c r="A2561" s="321" t="s">
        <v>282</v>
      </c>
      <c r="B2561" s="321" t="s">
        <v>403</v>
      </c>
      <c r="C2561" s="293">
        <v>0</v>
      </c>
      <c r="D2561" s="293">
        <v>500</v>
      </c>
      <c r="E2561" s="293">
        <v>500</v>
      </c>
      <c r="F2561" s="294" t="s">
        <v>298</v>
      </c>
    </row>
    <row r="2562" spans="1:6" hidden="1" outlineLevel="1" collapsed="1" x14ac:dyDescent="0.25">
      <c r="A2562" s="321" t="s">
        <v>282</v>
      </c>
      <c r="B2562" s="321" t="s">
        <v>405</v>
      </c>
      <c r="C2562" s="293">
        <v>0</v>
      </c>
      <c r="D2562" s="293">
        <v>500</v>
      </c>
      <c r="E2562" s="293">
        <v>500</v>
      </c>
      <c r="F2562" s="294" t="s">
        <v>298</v>
      </c>
    </row>
    <row r="2563" spans="1:6" hidden="1" outlineLevel="1" collapsed="1" x14ac:dyDescent="0.25">
      <c r="A2563" s="321" t="s">
        <v>282</v>
      </c>
      <c r="B2563" s="321" t="s">
        <v>422</v>
      </c>
      <c r="C2563" s="293">
        <v>37725</v>
      </c>
      <c r="D2563" s="293">
        <v>500</v>
      </c>
      <c r="E2563" s="293">
        <v>-37225</v>
      </c>
      <c r="F2563" s="294" t="s">
        <v>1182</v>
      </c>
    </row>
    <row r="2564" spans="1:6" collapsed="1" x14ac:dyDescent="0.25">
      <c r="A2564" s="560" t="s">
        <v>1183</v>
      </c>
      <c r="B2564" s="561"/>
      <c r="C2564" s="292">
        <v>58082.084842999997</v>
      </c>
      <c r="D2564" s="293">
        <v>125419.42500800001</v>
      </c>
      <c r="E2564" s="293">
        <v>67337.340165000001</v>
      </c>
      <c r="F2564" s="294" t="s">
        <v>2161</v>
      </c>
    </row>
    <row r="2565" spans="1:6" hidden="1" outlineLevel="1" collapsed="1" x14ac:dyDescent="0.25">
      <c r="A2565" s="321" t="s">
        <v>282</v>
      </c>
      <c r="B2565" s="321" t="s">
        <v>464</v>
      </c>
      <c r="C2565" s="293">
        <v>38867.011028000001</v>
      </c>
      <c r="D2565" s="293">
        <v>40022.118236000002</v>
      </c>
      <c r="E2565" s="293">
        <v>1155.1072079999999</v>
      </c>
      <c r="F2565" s="294" t="s">
        <v>553</v>
      </c>
    </row>
    <row r="2566" spans="1:6" hidden="1" outlineLevel="1" collapsed="1" x14ac:dyDescent="0.25">
      <c r="A2566" s="321" t="s">
        <v>282</v>
      </c>
      <c r="B2566" s="321" t="s">
        <v>476</v>
      </c>
      <c r="C2566" s="293">
        <v>0</v>
      </c>
      <c r="D2566" s="293">
        <v>2500</v>
      </c>
      <c r="E2566" s="293">
        <v>2500</v>
      </c>
      <c r="F2566" s="294" t="s">
        <v>298</v>
      </c>
    </row>
    <row r="2567" spans="1:6" hidden="1" outlineLevel="1" collapsed="1" x14ac:dyDescent="0.25">
      <c r="A2567" s="321" t="s">
        <v>282</v>
      </c>
      <c r="B2567" s="321" t="s">
        <v>384</v>
      </c>
      <c r="C2567" s="293">
        <v>4807.6999800000003</v>
      </c>
      <c r="D2567" s="293">
        <v>0</v>
      </c>
      <c r="E2567" s="293">
        <v>-4807.6999800000003</v>
      </c>
      <c r="F2567" s="294" t="s">
        <v>286</v>
      </c>
    </row>
    <row r="2568" spans="1:6" hidden="1" outlineLevel="1" collapsed="1" x14ac:dyDescent="0.25">
      <c r="A2568" s="321" t="s">
        <v>282</v>
      </c>
      <c r="B2568" s="321" t="s">
        <v>385</v>
      </c>
      <c r="C2568" s="293">
        <v>0</v>
      </c>
      <c r="D2568" s="293">
        <v>6114.8836799999999</v>
      </c>
      <c r="E2568" s="293">
        <v>6114.8836799999999</v>
      </c>
      <c r="F2568" s="294" t="s">
        <v>298</v>
      </c>
    </row>
    <row r="2569" spans="1:6" hidden="1" outlineLevel="1" collapsed="1" x14ac:dyDescent="0.25">
      <c r="A2569" s="321" t="s">
        <v>282</v>
      </c>
      <c r="B2569" s="321" t="s">
        <v>386</v>
      </c>
      <c r="C2569" s="293">
        <v>2409.75468</v>
      </c>
      <c r="D2569" s="293">
        <v>0</v>
      </c>
      <c r="E2569" s="293">
        <v>-2409.75468</v>
      </c>
      <c r="F2569" s="294" t="s">
        <v>286</v>
      </c>
    </row>
    <row r="2570" spans="1:6" hidden="1" outlineLevel="1" collapsed="1" x14ac:dyDescent="0.25">
      <c r="A2570" s="321" t="s">
        <v>282</v>
      </c>
      <c r="B2570" s="321" t="s">
        <v>387</v>
      </c>
      <c r="C2570" s="293">
        <v>0</v>
      </c>
      <c r="D2570" s="293">
        <v>2481.3713280000002</v>
      </c>
      <c r="E2570" s="293">
        <v>2481.3713280000002</v>
      </c>
      <c r="F2570" s="294" t="s">
        <v>298</v>
      </c>
    </row>
    <row r="2571" spans="1:6" hidden="1" outlineLevel="1" collapsed="1" x14ac:dyDescent="0.25">
      <c r="A2571" s="321" t="s">
        <v>282</v>
      </c>
      <c r="B2571" s="321" t="s">
        <v>388</v>
      </c>
      <c r="C2571" s="293">
        <v>563.57165899999995</v>
      </c>
      <c r="D2571" s="293">
        <v>580.32070799999997</v>
      </c>
      <c r="E2571" s="293">
        <v>16.749048999999999</v>
      </c>
      <c r="F2571" s="294" t="s">
        <v>553</v>
      </c>
    </row>
    <row r="2572" spans="1:6" hidden="1" outlineLevel="1" collapsed="1" x14ac:dyDescent="0.25">
      <c r="A2572" s="321" t="s">
        <v>282</v>
      </c>
      <c r="B2572" s="321" t="s">
        <v>444</v>
      </c>
      <c r="C2572" s="293">
        <v>225</v>
      </c>
      <c r="D2572" s="293">
        <v>225</v>
      </c>
      <c r="E2572" s="293">
        <v>0</v>
      </c>
      <c r="F2572" s="294" t="s">
        <v>316</v>
      </c>
    </row>
    <row r="2573" spans="1:6" hidden="1" outlineLevel="1" collapsed="1" x14ac:dyDescent="0.25">
      <c r="A2573" s="321" t="s">
        <v>282</v>
      </c>
      <c r="B2573" s="321" t="s">
        <v>389</v>
      </c>
      <c r="C2573" s="293">
        <v>426.12479999999999</v>
      </c>
      <c r="D2573" s="293">
        <v>422.04</v>
      </c>
      <c r="E2573" s="293">
        <v>-4.0848000000000004</v>
      </c>
      <c r="F2573" s="294" t="s">
        <v>364</v>
      </c>
    </row>
    <row r="2574" spans="1:6" hidden="1" outlineLevel="1" collapsed="1" x14ac:dyDescent="0.25">
      <c r="A2574" s="321" t="s">
        <v>282</v>
      </c>
      <c r="B2574" s="321" t="s">
        <v>390</v>
      </c>
      <c r="C2574" s="293">
        <v>15485.27</v>
      </c>
      <c r="D2574" s="293">
        <v>15959.28</v>
      </c>
      <c r="E2574" s="293">
        <v>474.01</v>
      </c>
      <c r="F2574" s="294" t="s">
        <v>391</v>
      </c>
    </row>
    <row r="2575" spans="1:6" hidden="1" outlineLevel="1" collapsed="1" x14ac:dyDescent="0.25">
      <c r="A2575" s="321" t="s">
        <v>282</v>
      </c>
      <c r="B2575" s="321" t="s">
        <v>392</v>
      </c>
      <c r="C2575" s="293">
        <v>233.53919999999999</v>
      </c>
      <c r="D2575" s="293">
        <v>182.88</v>
      </c>
      <c r="E2575" s="293">
        <v>-50.659199999999998</v>
      </c>
      <c r="F2575" s="294" t="s">
        <v>368</v>
      </c>
    </row>
    <row r="2576" spans="1:6" hidden="1" outlineLevel="1" collapsed="1" x14ac:dyDescent="0.25">
      <c r="A2576" s="321" t="s">
        <v>282</v>
      </c>
      <c r="B2576" s="321" t="s">
        <v>393</v>
      </c>
      <c r="C2576" s="293">
        <v>19.433496000000002</v>
      </c>
      <c r="D2576" s="293">
        <v>20.011056</v>
      </c>
      <c r="E2576" s="293">
        <v>0.57755999999999996</v>
      </c>
      <c r="F2576" s="294" t="s">
        <v>553</v>
      </c>
    </row>
    <row r="2577" spans="1:6" hidden="1" outlineLevel="1" collapsed="1" x14ac:dyDescent="0.25">
      <c r="A2577" s="321" t="s">
        <v>282</v>
      </c>
      <c r="B2577" s="321" t="s">
        <v>394</v>
      </c>
      <c r="C2577" s="293">
        <v>1500</v>
      </c>
      <c r="D2577" s="293">
        <v>0</v>
      </c>
      <c r="E2577" s="293">
        <v>-1500</v>
      </c>
      <c r="F2577" s="294" t="s">
        <v>286</v>
      </c>
    </row>
    <row r="2578" spans="1:6" hidden="1" outlineLevel="1" collapsed="1" x14ac:dyDescent="0.25">
      <c r="A2578" s="321" t="s">
        <v>282</v>
      </c>
      <c r="B2578" s="321" t="s">
        <v>395</v>
      </c>
      <c r="C2578" s="293">
        <v>0</v>
      </c>
      <c r="D2578" s="293">
        <v>1500</v>
      </c>
      <c r="E2578" s="293">
        <v>1500</v>
      </c>
      <c r="F2578" s="294" t="s">
        <v>298</v>
      </c>
    </row>
    <row r="2579" spans="1:6" hidden="1" outlineLevel="1" collapsed="1" x14ac:dyDescent="0.25">
      <c r="A2579" s="321" t="s">
        <v>282</v>
      </c>
      <c r="B2579" s="321" t="s">
        <v>396</v>
      </c>
      <c r="C2579" s="293">
        <v>49.68</v>
      </c>
      <c r="D2579" s="293">
        <v>0</v>
      </c>
      <c r="E2579" s="293">
        <v>-49.68</v>
      </c>
      <c r="F2579" s="294" t="s">
        <v>286</v>
      </c>
    </row>
    <row r="2580" spans="1:6" hidden="1" outlineLevel="1" collapsed="1" x14ac:dyDescent="0.25">
      <c r="A2580" s="321" t="s">
        <v>282</v>
      </c>
      <c r="B2580" s="321" t="s">
        <v>397</v>
      </c>
      <c r="C2580" s="293">
        <v>0</v>
      </c>
      <c r="D2580" s="293">
        <v>48.48</v>
      </c>
      <c r="E2580" s="293">
        <v>48.48</v>
      </c>
      <c r="F2580" s="294" t="s">
        <v>298</v>
      </c>
    </row>
    <row r="2581" spans="1:6" hidden="1" outlineLevel="1" collapsed="1" x14ac:dyDescent="0.25">
      <c r="A2581" s="321" t="s">
        <v>282</v>
      </c>
      <c r="B2581" s="321" t="s">
        <v>398</v>
      </c>
      <c r="C2581" s="293">
        <v>24</v>
      </c>
      <c r="D2581" s="293">
        <v>11.04</v>
      </c>
      <c r="E2581" s="293">
        <v>-12.96</v>
      </c>
      <c r="F2581" s="294" t="s">
        <v>374</v>
      </c>
    </row>
    <row r="2582" spans="1:6" hidden="1" outlineLevel="1" collapsed="1" x14ac:dyDescent="0.25">
      <c r="A2582" s="321" t="s">
        <v>282</v>
      </c>
      <c r="B2582" s="321" t="s">
        <v>376</v>
      </c>
      <c r="C2582" s="293">
        <v>2375</v>
      </c>
      <c r="D2582" s="293">
        <v>2375</v>
      </c>
      <c r="E2582" s="293">
        <v>0</v>
      </c>
      <c r="F2582" s="294" t="s">
        <v>316</v>
      </c>
    </row>
    <row r="2583" spans="1:6" hidden="1" outlineLevel="1" collapsed="1" x14ac:dyDescent="0.25">
      <c r="A2583" s="321" t="s">
        <v>282</v>
      </c>
      <c r="B2583" s="321" t="s">
        <v>842</v>
      </c>
      <c r="C2583" s="293">
        <v>-16410</v>
      </c>
      <c r="D2583" s="293">
        <v>42971</v>
      </c>
      <c r="E2583" s="293">
        <v>59381</v>
      </c>
      <c r="F2583" s="294" t="s">
        <v>2162</v>
      </c>
    </row>
    <row r="2584" spans="1:6" hidden="1" outlineLevel="1" collapsed="1" x14ac:dyDescent="0.25">
      <c r="A2584" s="321" t="s">
        <v>282</v>
      </c>
      <c r="B2584" s="321" t="s">
        <v>543</v>
      </c>
      <c r="C2584" s="293">
        <v>6700</v>
      </c>
      <c r="D2584" s="293">
        <v>9000</v>
      </c>
      <c r="E2584" s="293">
        <v>2300</v>
      </c>
      <c r="F2584" s="294" t="s">
        <v>2163</v>
      </c>
    </row>
    <row r="2585" spans="1:6" hidden="1" outlineLevel="1" collapsed="1" x14ac:dyDescent="0.25">
      <c r="A2585" s="321" t="s">
        <v>282</v>
      </c>
      <c r="B2585" s="321" t="s">
        <v>405</v>
      </c>
      <c r="C2585" s="293">
        <v>806</v>
      </c>
      <c r="D2585" s="293">
        <v>1006</v>
      </c>
      <c r="E2585" s="293">
        <v>200</v>
      </c>
      <c r="F2585" s="294" t="s">
        <v>1187</v>
      </c>
    </row>
    <row r="2586" spans="1:6" collapsed="1" x14ac:dyDescent="0.25">
      <c r="A2586" s="560" t="s">
        <v>1188</v>
      </c>
      <c r="B2586" s="561"/>
      <c r="C2586" s="292">
        <v>5985</v>
      </c>
      <c r="D2586" s="293">
        <v>6284</v>
      </c>
      <c r="E2586" s="293">
        <v>299</v>
      </c>
      <c r="F2586" s="294" t="s">
        <v>732</v>
      </c>
    </row>
    <row r="2587" spans="1:6" hidden="1" outlineLevel="1" collapsed="1" x14ac:dyDescent="0.25">
      <c r="A2587" s="321" t="s">
        <v>282</v>
      </c>
      <c r="B2587" s="321" t="s">
        <v>662</v>
      </c>
      <c r="C2587" s="293">
        <v>0</v>
      </c>
      <c r="D2587" s="293">
        <v>100</v>
      </c>
      <c r="E2587" s="293">
        <v>100</v>
      </c>
      <c r="F2587" s="294" t="s">
        <v>298</v>
      </c>
    </row>
    <row r="2588" spans="1:6" hidden="1" outlineLevel="1" collapsed="1" x14ac:dyDescent="0.25">
      <c r="A2588" s="321" t="s">
        <v>282</v>
      </c>
      <c r="B2588" s="321" t="s">
        <v>506</v>
      </c>
      <c r="C2588" s="293">
        <v>130.57</v>
      </c>
      <c r="D2588" s="293">
        <v>500</v>
      </c>
      <c r="E2588" s="293">
        <v>369.43</v>
      </c>
      <c r="F2588" s="294" t="s">
        <v>1189</v>
      </c>
    </row>
    <row r="2589" spans="1:6" hidden="1" outlineLevel="1" collapsed="1" x14ac:dyDescent="0.25">
      <c r="A2589" s="321" t="s">
        <v>282</v>
      </c>
      <c r="B2589" s="321" t="s">
        <v>567</v>
      </c>
      <c r="C2589" s="293">
        <v>0</v>
      </c>
      <c r="D2589" s="293">
        <v>125</v>
      </c>
      <c r="E2589" s="293">
        <v>125</v>
      </c>
      <c r="F2589" s="294" t="s">
        <v>298</v>
      </c>
    </row>
    <row r="2590" spans="1:6" hidden="1" outlineLevel="1" collapsed="1" x14ac:dyDescent="0.25">
      <c r="A2590" s="321" t="s">
        <v>282</v>
      </c>
      <c r="B2590" s="321" t="s">
        <v>426</v>
      </c>
      <c r="C2590" s="293">
        <v>5005</v>
      </c>
      <c r="D2590" s="293">
        <v>5559</v>
      </c>
      <c r="E2590" s="293">
        <v>554</v>
      </c>
      <c r="F2590" s="294" t="s">
        <v>2164</v>
      </c>
    </row>
    <row r="2591" spans="1:6" hidden="1" outlineLevel="1" collapsed="1" x14ac:dyDescent="0.25">
      <c r="A2591" s="321" t="s">
        <v>282</v>
      </c>
      <c r="B2591" s="321" t="s">
        <v>557</v>
      </c>
      <c r="C2591" s="293">
        <v>849.43</v>
      </c>
      <c r="D2591" s="293">
        <v>0</v>
      </c>
      <c r="E2591" s="293">
        <v>-849.43</v>
      </c>
      <c r="F2591" s="294" t="s">
        <v>286</v>
      </c>
    </row>
    <row r="2592" spans="1:6" collapsed="1" x14ac:dyDescent="0.25">
      <c r="A2592" s="560" t="s">
        <v>1191</v>
      </c>
      <c r="B2592" s="561"/>
      <c r="C2592" s="292">
        <v>1000</v>
      </c>
      <c r="D2592" s="293">
        <v>1000</v>
      </c>
      <c r="E2592" s="293">
        <v>0</v>
      </c>
      <c r="F2592" s="294" t="s">
        <v>316</v>
      </c>
    </row>
    <row r="2593" spans="1:6" hidden="1" outlineLevel="1" collapsed="1" x14ac:dyDescent="0.25">
      <c r="A2593" s="321" t="s">
        <v>282</v>
      </c>
      <c r="B2593" s="321" t="s">
        <v>843</v>
      </c>
      <c r="C2593" s="293">
        <v>1000</v>
      </c>
      <c r="D2593" s="293">
        <v>1000</v>
      </c>
      <c r="E2593" s="293">
        <v>0</v>
      </c>
      <c r="F2593" s="294" t="s">
        <v>316</v>
      </c>
    </row>
    <row r="2594" spans="1:6" collapsed="1" x14ac:dyDescent="0.25">
      <c r="A2594" s="560" t="s">
        <v>1192</v>
      </c>
      <c r="B2594" s="561"/>
      <c r="C2594" s="292">
        <v>55300.689872000003</v>
      </c>
      <c r="D2594" s="293">
        <v>57911.497472000003</v>
      </c>
      <c r="E2594" s="293">
        <v>2610.8076000000001</v>
      </c>
      <c r="F2594" s="294" t="s">
        <v>519</v>
      </c>
    </row>
    <row r="2595" spans="1:6" hidden="1" outlineLevel="1" collapsed="1" x14ac:dyDescent="0.25">
      <c r="A2595" s="321" t="s">
        <v>282</v>
      </c>
      <c r="B2595" s="321" t="s">
        <v>464</v>
      </c>
      <c r="C2595" s="293">
        <v>41799.007987999998</v>
      </c>
      <c r="D2595" s="293">
        <v>43012.284476000001</v>
      </c>
      <c r="E2595" s="293">
        <v>1213.276488</v>
      </c>
      <c r="F2595" s="294" t="s">
        <v>1061</v>
      </c>
    </row>
    <row r="2596" spans="1:6" hidden="1" outlineLevel="1" collapsed="1" x14ac:dyDescent="0.25">
      <c r="A2596" s="321" t="s">
        <v>282</v>
      </c>
      <c r="B2596" s="321" t="s">
        <v>384</v>
      </c>
      <c r="C2596" s="293">
        <v>5049.814284</v>
      </c>
      <c r="D2596" s="293">
        <v>0</v>
      </c>
      <c r="E2596" s="293">
        <v>-5049.814284</v>
      </c>
      <c r="F2596" s="294" t="s">
        <v>286</v>
      </c>
    </row>
    <row r="2597" spans="1:6" hidden="1" outlineLevel="1" collapsed="1" x14ac:dyDescent="0.25">
      <c r="A2597" s="321" t="s">
        <v>282</v>
      </c>
      <c r="B2597" s="321" t="s">
        <v>385</v>
      </c>
      <c r="C2597" s="293">
        <v>0</v>
      </c>
      <c r="D2597" s="293">
        <v>6422.827104</v>
      </c>
      <c r="E2597" s="293">
        <v>6422.827104</v>
      </c>
      <c r="F2597" s="294" t="s">
        <v>298</v>
      </c>
    </row>
    <row r="2598" spans="1:6" hidden="1" outlineLevel="1" collapsed="1" x14ac:dyDescent="0.25">
      <c r="A2598" s="321" t="s">
        <v>282</v>
      </c>
      <c r="B2598" s="321" t="s">
        <v>386</v>
      </c>
      <c r="C2598" s="293">
        <v>2591.5384920000001</v>
      </c>
      <c r="D2598" s="293">
        <v>0</v>
      </c>
      <c r="E2598" s="293">
        <v>-2591.5384920000001</v>
      </c>
      <c r="F2598" s="294" t="s">
        <v>286</v>
      </c>
    </row>
    <row r="2599" spans="1:6" hidden="1" outlineLevel="1" collapsed="1" x14ac:dyDescent="0.25">
      <c r="A2599" s="321" t="s">
        <v>282</v>
      </c>
      <c r="B2599" s="321" t="s">
        <v>387</v>
      </c>
      <c r="C2599" s="293">
        <v>0</v>
      </c>
      <c r="D2599" s="293">
        <v>2666.7616320000002</v>
      </c>
      <c r="E2599" s="293">
        <v>2666.7616320000002</v>
      </c>
      <c r="F2599" s="294" t="s">
        <v>298</v>
      </c>
    </row>
    <row r="2600" spans="1:6" hidden="1" outlineLevel="1" collapsed="1" x14ac:dyDescent="0.25">
      <c r="A2600" s="321" t="s">
        <v>282</v>
      </c>
      <c r="B2600" s="321" t="s">
        <v>388</v>
      </c>
      <c r="C2600" s="293">
        <v>606.08560799999998</v>
      </c>
      <c r="D2600" s="293">
        <v>623.67812400000003</v>
      </c>
      <c r="E2600" s="293">
        <v>17.592516</v>
      </c>
      <c r="F2600" s="294" t="s">
        <v>1061</v>
      </c>
    </row>
    <row r="2601" spans="1:6" hidden="1" outlineLevel="1" collapsed="1" x14ac:dyDescent="0.25">
      <c r="A2601" s="321" t="s">
        <v>282</v>
      </c>
      <c r="B2601" s="321" t="s">
        <v>389</v>
      </c>
      <c r="C2601" s="293">
        <v>426.12479999999999</v>
      </c>
      <c r="D2601" s="293">
        <v>422.04</v>
      </c>
      <c r="E2601" s="293">
        <v>-4.0848000000000004</v>
      </c>
      <c r="F2601" s="294" t="s">
        <v>364</v>
      </c>
    </row>
    <row r="2602" spans="1:6" hidden="1" outlineLevel="1" collapsed="1" x14ac:dyDescent="0.25">
      <c r="A2602" s="321" t="s">
        <v>282</v>
      </c>
      <c r="B2602" s="321" t="s">
        <v>392</v>
      </c>
      <c r="C2602" s="293">
        <v>233.53919999999999</v>
      </c>
      <c r="D2602" s="293">
        <v>182.88</v>
      </c>
      <c r="E2602" s="293">
        <v>-50.659199999999998</v>
      </c>
      <c r="F2602" s="294" t="s">
        <v>368</v>
      </c>
    </row>
    <row r="2603" spans="1:6" hidden="1" outlineLevel="1" collapsed="1" x14ac:dyDescent="0.25">
      <c r="A2603" s="321" t="s">
        <v>282</v>
      </c>
      <c r="B2603" s="321" t="s">
        <v>393</v>
      </c>
      <c r="C2603" s="293">
        <v>20.8995</v>
      </c>
      <c r="D2603" s="293">
        <v>21.506136000000001</v>
      </c>
      <c r="E2603" s="293">
        <v>0.60663599999999995</v>
      </c>
      <c r="F2603" s="294" t="s">
        <v>1061</v>
      </c>
    </row>
    <row r="2604" spans="1:6" hidden="1" outlineLevel="1" collapsed="1" x14ac:dyDescent="0.25">
      <c r="A2604" s="321" t="s">
        <v>282</v>
      </c>
      <c r="B2604" s="321" t="s">
        <v>394</v>
      </c>
      <c r="C2604" s="293">
        <v>1500</v>
      </c>
      <c r="D2604" s="293">
        <v>0</v>
      </c>
      <c r="E2604" s="293">
        <v>-1500</v>
      </c>
      <c r="F2604" s="294" t="s">
        <v>286</v>
      </c>
    </row>
    <row r="2605" spans="1:6" hidden="1" outlineLevel="1" collapsed="1" x14ac:dyDescent="0.25">
      <c r="A2605" s="321" t="s">
        <v>282</v>
      </c>
      <c r="B2605" s="321" t="s">
        <v>395</v>
      </c>
      <c r="C2605" s="293">
        <v>0</v>
      </c>
      <c r="D2605" s="293">
        <v>1500</v>
      </c>
      <c r="E2605" s="293">
        <v>1500</v>
      </c>
      <c r="F2605" s="294" t="s">
        <v>298</v>
      </c>
    </row>
    <row r="2606" spans="1:6" hidden="1" outlineLevel="1" collapsed="1" x14ac:dyDescent="0.25">
      <c r="A2606" s="321" t="s">
        <v>282</v>
      </c>
      <c r="B2606" s="321" t="s">
        <v>396</v>
      </c>
      <c r="C2606" s="293">
        <v>49.68</v>
      </c>
      <c r="D2606" s="293">
        <v>0</v>
      </c>
      <c r="E2606" s="293">
        <v>-49.68</v>
      </c>
      <c r="F2606" s="294" t="s">
        <v>286</v>
      </c>
    </row>
    <row r="2607" spans="1:6" hidden="1" outlineLevel="1" collapsed="1" x14ac:dyDescent="0.25">
      <c r="A2607" s="321" t="s">
        <v>282</v>
      </c>
      <c r="B2607" s="321" t="s">
        <v>397</v>
      </c>
      <c r="C2607" s="293">
        <v>0</v>
      </c>
      <c r="D2607" s="293">
        <v>48.48</v>
      </c>
      <c r="E2607" s="293">
        <v>48.48</v>
      </c>
      <c r="F2607" s="294" t="s">
        <v>298</v>
      </c>
    </row>
    <row r="2608" spans="1:6" hidden="1" outlineLevel="1" collapsed="1" x14ac:dyDescent="0.25">
      <c r="A2608" s="321" t="s">
        <v>282</v>
      </c>
      <c r="B2608" s="321" t="s">
        <v>398</v>
      </c>
      <c r="C2608" s="293">
        <v>24</v>
      </c>
      <c r="D2608" s="293">
        <v>11.04</v>
      </c>
      <c r="E2608" s="293">
        <v>-12.96</v>
      </c>
      <c r="F2608" s="294" t="s">
        <v>374</v>
      </c>
    </row>
    <row r="2609" spans="1:6" hidden="1" outlineLevel="1" collapsed="1" x14ac:dyDescent="0.25">
      <c r="A2609" s="321" t="s">
        <v>282</v>
      </c>
      <c r="B2609" s="321" t="s">
        <v>522</v>
      </c>
      <c r="C2609" s="293">
        <v>3000</v>
      </c>
      <c r="D2609" s="293">
        <v>3000</v>
      </c>
      <c r="E2609" s="293">
        <v>0</v>
      </c>
      <c r="F2609" s="294" t="s">
        <v>316</v>
      </c>
    </row>
    <row r="2610" spans="1:6" collapsed="1" x14ac:dyDescent="0.25">
      <c r="A2610" s="560" t="s">
        <v>1194</v>
      </c>
      <c r="B2610" s="561"/>
      <c r="C2610" s="292">
        <v>138553.05186800001</v>
      </c>
      <c r="D2610" s="293">
        <v>143753.959608</v>
      </c>
      <c r="E2610" s="293">
        <v>5200.9077399999996</v>
      </c>
      <c r="F2610" s="294" t="s">
        <v>1074</v>
      </c>
    </row>
    <row r="2611" spans="1:6" hidden="1" outlineLevel="1" collapsed="1" x14ac:dyDescent="0.25">
      <c r="A2611" s="321" t="s">
        <v>282</v>
      </c>
      <c r="B2611" s="321" t="s">
        <v>942</v>
      </c>
      <c r="C2611" s="293">
        <v>99923.709587999998</v>
      </c>
      <c r="D2611" s="293">
        <v>101422.563828</v>
      </c>
      <c r="E2611" s="293">
        <v>1498.8542399999999</v>
      </c>
      <c r="F2611" s="294" t="s">
        <v>510</v>
      </c>
    </row>
    <row r="2612" spans="1:6" hidden="1" outlineLevel="1" collapsed="1" x14ac:dyDescent="0.25">
      <c r="A2612" s="321" t="s">
        <v>282</v>
      </c>
      <c r="B2612" s="321" t="s">
        <v>384</v>
      </c>
      <c r="C2612" s="293">
        <v>12570.40266</v>
      </c>
      <c r="D2612" s="293">
        <v>0</v>
      </c>
      <c r="E2612" s="293">
        <v>-12570.40266</v>
      </c>
      <c r="F2612" s="294" t="s">
        <v>286</v>
      </c>
    </row>
    <row r="2613" spans="1:6" hidden="1" outlineLevel="1" collapsed="1" x14ac:dyDescent="0.25">
      <c r="A2613" s="321" t="s">
        <v>282</v>
      </c>
      <c r="B2613" s="321" t="s">
        <v>385</v>
      </c>
      <c r="C2613" s="293">
        <v>0</v>
      </c>
      <c r="D2613" s="293">
        <v>15751.938383999999</v>
      </c>
      <c r="E2613" s="293">
        <v>15751.938383999999</v>
      </c>
      <c r="F2613" s="294" t="s">
        <v>298</v>
      </c>
    </row>
    <row r="2614" spans="1:6" hidden="1" outlineLevel="1" collapsed="1" x14ac:dyDescent="0.25">
      <c r="A2614" s="321" t="s">
        <v>282</v>
      </c>
      <c r="B2614" s="321" t="s">
        <v>386</v>
      </c>
      <c r="C2614" s="293">
        <v>6232.4699879999998</v>
      </c>
      <c r="D2614" s="293">
        <v>0</v>
      </c>
      <c r="E2614" s="293">
        <v>-6232.4699879999998</v>
      </c>
      <c r="F2614" s="294" t="s">
        <v>286</v>
      </c>
    </row>
    <row r="2615" spans="1:6" hidden="1" outlineLevel="1" collapsed="1" x14ac:dyDescent="0.25">
      <c r="A2615" s="321" t="s">
        <v>282</v>
      </c>
      <c r="B2615" s="321" t="s">
        <v>387</v>
      </c>
      <c r="C2615" s="293">
        <v>0</v>
      </c>
      <c r="D2615" s="293">
        <v>6325.398948</v>
      </c>
      <c r="E2615" s="293">
        <v>6325.398948</v>
      </c>
      <c r="F2615" s="294" t="s">
        <v>298</v>
      </c>
    </row>
    <row r="2616" spans="1:6" hidden="1" outlineLevel="1" collapsed="1" x14ac:dyDescent="0.25">
      <c r="A2616" s="321" t="s">
        <v>282</v>
      </c>
      <c r="B2616" s="321" t="s">
        <v>388</v>
      </c>
      <c r="C2616" s="293">
        <v>1457.5937879999999</v>
      </c>
      <c r="D2616" s="293">
        <v>1479.327168</v>
      </c>
      <c r="E2616" s="293">
        <v>21.73338</v>
      </c>
      <c r="F2616" s="294" t="s">
        <v>781</v>
      </c>
    </row>
    <row r="2617" spans="1:6" hidden="1" outlineLevel="1" collapsed="1" x14ac:dyDescent="0.25">
      <c r="A2617" s="321" t="s">
        <v>282</v>
      </c>
      <c r="B2617" s="321" t="s">
        <v>389</v>
      </c>
      <c r="C2617" s="293">
        <v>426.12479999999999</v>
      </c>
      <c r="D2617" s="293">
        <v>422.04</v>
      </c>
      <c r="E2617" s="293">
        <v>-4.0848000000000004</v>
      </c>
      <c r="F2617" s="294" t="s">
        <v>364</v>
      </c>
    </row>
    <row r="2618" spans="1:6" hidden="1" outlineLevel="1" collapsed="1" x14ac:dyDescent="0.25">
      <c r="A2618" s="321" t="s">
        <v>282</v>
      </c>
      <c r="B2618" s="321" t="s">
        <v>390</v>
      </c>
      <c r="C2618" s="293">
        <v>15485.27</v>
      </c>
      <c r="D2618" s="293">
        <v>15959.28</v>
      </c>
      <c r="E2618" s="293">
        <v>474.01</v>
      </c>
      <c r="F2618" s="294" t="s">
        <v>391</v>
      </c>
    </row>
    <row r="2619" spans="1:6" hidden="1" outlineLevel="1" collapsed="1" x14ac:dyDescent="0.25">
      <c r="A2619" s="321" t="s">
        <v>282</v>
      </c>
      <c r="B2619" s="321" t="s">
        <v>392</v>
      </c>
      <c r="C2619" s="293">
        <v>233.53919999999999</v>
      </c>
      <c r="D2619" s="293">
        <v>182.88</v>
      </c>
      <c r="E2619" s="293">
        <v>-50.659199999999998</v>
      </c>
      <c r="F2619" s="294" t="s">
        <v>368</v>
      </c>
    </row>
    <row r="2620" spans="1:6" hidden="1" outlineLevel="1" collapsed="1" x14ac:dyDescent="0.25">
      <c r="A2620" s="321" t="s">
        <v>282</v>
      </c>
      <c r="B2620" s="321" t="s">
        <v>393</v>
      </c>
      <c r="C2620" s="293">
        <v>50.261844000000004</v>
      </c>
      <c r="D2620" s="293">
        <v>51.011279999999999</v>
      </c>
      <c r="E2620" s="293">
        <v>0.74943599999999999</v>
      </c>
      <c r="F2620" s="294" t="s">
        <v>781</v>
      </c>
    </row>
    <row r="2621" spans="1:6" hidden="1" outlineLevel="1" collapsed="1" x14ac:dyDescent="0.25">
      <c r="A2621" s="321" t="s">
        <v>282</v>
      </c>
      <c r="B2621" s="321" t="s">
        <v>394</v>
      </c>
      <c r="C2621" s="293">
        <v>1500</v>
      </c>
      <c r="D2621" s="293">
        <v>0</v>
      </c>
      <c r="E2621" s="293">
        <v>-1500</v>
      </c>
      <c r="F2621" s="294" t="s">
        <v>286</v>
      </c>
    </row>
    <row r="2622" spans="1:6" hidden="1" outlineLevel="1" collapsed="1" x14ac:dyDescent="0.25">
      <c r="A2622" s="321" t="s">
        <v>282</v>
      </c>
      <c r="B2622" s="321" t="s">
        <v>395</v>
      </c>
      <c r="C2622" s="293">
        <v>0</v>
      </c>
      <c r="D2622" s="293">
        <v>1500</v>
      </c>
      <c r="E2622" s="293">
        <v>1500</v>
      </c>
      <c r="F2622" s="294" t="s">
        <v>298</v>
      </c>
    </row>
    <row r="2623" spans="1:6" hidden="1" outlineLevel="1" collapsed="1" x14ac:dyDescent="0.25">
      <c r="A2623" s="321" t="s">
        <v>282</v>
      </c>
      <c r="B2623" s="321" t="s">
        <v>396</v>
      </c>
      <c r="C2623" s="293">
        <v>49.68</v>
      </c>
      <c r="D2623" s="293">
        <v>0</v>
      </c>
      <c r="E2623" s="293">
        <v>-49.68</v>
      </c>
      <c r="F2623" s="294" t="s">
        <v>286</v>
      </c>
    </row>
    <row r="2624" spans="1:6" hidden="1" outlineLevel="1" collapsed="1" x14ac:dyDescent="0.25">
      <c r="A2624" s="321" t="s">
        <v>282</v>
      </c>
      <c r="B2624" s="321" t="s">
        <v>397</v>
      </c>
      <c r="C2624" s="293">
        <v>0</v>
      </c>
      <c r="D2624" s="293">
        <v>48.48</v>
      </c>
      <c r="E2624" s="293">
        <v>48.48</v>
      </c>
      <c r="F2624" s="294" t="s">
        <v>298</v>
      </c>
    </row>
    <row r="2625" spans="1:6" hidden="1" outlineLevel="1" collapsed="1" x14ac:dyDescent="0.25">
      <c r="A2625" s="321" t="s">
        <v>282</v>
      </c>
      <c r="B2625" s="321" t="s">
        <v>398</v>
      </c>
      <c r="C2625" s="293">
        <v>24</v>
      </c>
      <c r="D2625" s="293">
        <v>11.04</v>
      </c>
      <c r="E2625" s="293">
        <v>-12.96</v>
      </c>
      <c r="F2625" s="294" t="s">
        <v>374</v>
      </c>
    </row>
    <row r="2626" spans="1:6" hidden="1" outlineLevel="1" collapsed="1" x14ac:dyDescent="0.25">
      <c r="A2626" s="321" t="s">
        <v>282</v>
      </c>
      <c r="B2626" s="321" t="s">
        <v>952</v>
      </c>
      <c r="C2626" s="293">
        <v>600</v>
      </c>
      <c r="D2626" s="293">
        <v>600</v>
      </c>
      <c r="E2626" s="293">
        <v>0</v>
      </c>
      <c r="F2626" s="294" t="s">
        <v>316</v>
      </c>
    </row>
    <row r="2627" spans="1:6" collapsed="1" x14ac:dyDescent="0.25">
      <c r="A2627" s="560" t="s">
        <v>1195</v>
      </c>
      <c r="B2627" s="561"/>
      <c r="C2627" s="292">
        <v>174929.44539199999</v>
      </c>
      <c r="D2627" s="293">
        <v>180382.02688600001</v>
      </c>
      <c r="E2627" s="293">
        <v>5452.581494</v>
      </c>
      <c r="F2627" s="294" t="s">
        <v>580</v>
      </c>
    </row>
    <row r="2628" spans="1:6" hidden="1" outlineLevel="1" collapsed="1" x14ac:dyDescent="0.25">
      <c r="A2628" s="321" t="s">
        <v>282</v>
      </c>
      <c r="B2628" s="321" t="s">
        <v>780</v>
      </c>
      <c r="C2628" s="293">
        <v>110159.97823199999</v>
      </c>
      <c r="D2628" s="293">
        <v>111812.375988</v>
      </c>
      <c r="E2628" s="293">
        <v>1652.3977560000001</v>
      </c>
      <c r="F2628" s="294" t="s">
        <v>510</v>
      </c>
    </row>
    <row r="2629" spans="1:6" hidden="1" outlineLevel="1" collapsed="1" x14ac:dyDescent="0.25">
      <c r="A2629" s="321" t="s">
        <v>282</v>
      </c>
      <c r="B2629" s="321" t="s">
        <v>464</v>
      </c>
      <c r="C2629" s="293">
        <v>19893.734638000002</v>
      </c>
      <c r="D2629" s="293">
        <v>20485.198234</v>
      </c>
      <c r="E2629" s="293">
        <v>591.46359600000005</v>
      </c>
      <c r="F2629" s="294" t="s">
        <v>553</v>
      </c>
    </row>
    <row r="2630" spans="1:6" hidden="1" outlineLevel="1" collapsed="1" x14ac:dyDescent="0.25">
      <c r="A2630" s="321" t="s">
        <v>282</v>
      </c>
      <c r="B2630" s="321" t="s">
        <v>751</v>
      </c>
      <c r="C2630" s="293">
        <v>14375.877156</v>
      </c>
      <c r="D2630" s="293">
        <v>0</v>
      </c>
      <c r="E2630" s="293">
        <v>-14375.877156</v>
      </c>
      <c r="F2630" s="294" t="s">
        <v>286</v>
      </c>
    </row>
    <row r="2631" spans="1:6" hidden="1" outlineLevel="1" collapsed="1" x14ac:dyDescent="0.25">
      <c r="A2631" s="321" t="s">
        <v>282</v>
      </c>
      <c r="B2631" s="321" t="s">
        <v>752</v>
      </c>
      <c r="C2631" s="293">
        <v>0</v>
      </c>
      <c r="D2631" s="293">
        <v>16134.525852000001</v>
      </c>
      <c r="E2631" s="293">
        <v>16134.525852000001</v>
      </c>
      <c r="F2631" s="294" t="s">
        <v>298</v>
      </c>
    </row>
    <row r="2632" spans="1:6" hidden="1" outlineLevel="1" collapsed="1" x14ac:dyDescent="0.25">
      <c r="A2632" s="321" t="s">
        <v>282</v>
      </c>
      <c r="B2632" s="321" t="s">
        <v>384</v>
      </c>
      <c r="C2632" s="293">
        <v>2461.7468159999999</v>
      </c>
      <c r="D2632" s="293">
        <v>0</v>
      </c>
      <c r="E2632" s="293">
        <v>-2461.7468159999999</v>
      </c>
      <c r="F2632" s="294" t="s">
        <v>286</v>
      </c>
    </row>
    <row r="2633" spans="1:6" hidden="1" outlineLevel="1" collapsed="1" x14ac:dyDescent="0.25">
      <c r="A2633" s="321" t="s">
        <v>282</v>
      </c>
      <c r="B2633" s="321" t="s">
        <v>385</v>
      </c>
      <c r="C2633" s="293">
        <v>0</v>
      </c>
      <c r="D2633" s="293">
        <v>3131.0803860000001</v>
      </c>
      <c r="E2633" s="293">
        <v>3131.0803860000001</v>
      </c>
      <c r="F2633" s="294" t="s">
        <v>298</v>
      </c>
    </row>
    <row r="2634" spans="1:6" hidden="1" outlineLevel="1" collapsed="1" x14ac:dyDescent="0.25">
      <c r="A2634" s="321" t="s">
        <v>282</v>
      </c>
      <c r="B2634" s="321" t="s">
        <v>386</v>
      </c>
      <c r="C2634" s="293">
        <v>1233.411546</v>
      </c>
      <c r="D2634" s="293">
        <v>0</v>
      </c>
      <c r="E2634" s="293">
        <v>-1233.411546</v>
      </c>
      <c r="F2634" s="294" t="s">
        <v>286</v>
      </c>
    </row>
    <row r="2635" spans="1:6" hidden="1" outlineLevel="1" collapsed="1" x14ac:dyDescent="0.25">
      <c r="A2635" s="321" t="s">
        <v>282</v>
      </c>
      <c r="B2635" s="321" t="s">
        <v>387</v>
      </c>
      <c r="C2635" s="293">
        <v>0</v>
      </c>
      <c r="D2635" s="293">
        <v>1270.0822860000001</v>
      </c>
      <c r="E2635" s="293">
        <v>1270.0822860000001</v>
      </c>
      <c r="F2635" s="294" t="s">
        <v>298</v>
      </c>
    </row>
    <row r="2636" spans="1:6" hidden="1" outlineLevel="1" collapsed="1" x14ac:dyDescent="0.25">
      <c r="A2636" s="321" t="s">
        <v>282</v>
      </c>
      <c r="B2636" s="321" t="s">
        <v>388</v>
      </c>
      <c r="C2636" s="293">
        <v>288.45915000000002</v>
      </c>
      <c r="D2636" s="293">
        <v>297.03537</v>
      </c>
      <c r="E2636" s="293">
        <v>8.5762199999999993</v>
      </c>
      <c r="F2636" s="294" t="s">
        <v>553</v>
      </c>
    </row>
    <row r="2637" spans="1:6" hidden="1" outlineLevel="1" collapsed="1" x14ac:dyDescent="0.25">
      <c r="A2637" s="321" t="s">
        <v>282</v>
      </c>
      <c r="B2637" s="321" t="s">
        <v>389</v>
      </c>
      <c r="C2637" s="293">
        <v>213.0624</v>
      </c>
      <c r="D2637" s="293">
        <v>211.02</v>
      </c>
      <c r="E2637" s="293">
        <v>-2.0424000000000002</v>
      </c>
      <c r="F2637" s="294" t="s">
        <v>364</v>
      </c>
    </row>
    <row r="2638" spans="1:6" hidden="1" outlineLevel="1" collapsed="1" x14ac:dyDescent="0.25">
      <c r="A2638" s="321" t="s">
        <v>282</v>
      </c>
      <c r="B2638" s="321" t="s">
        <v>390</v>
      </c>
      <c r="C2638" s="293">
        <v>7742.6350000000002</v>
      </c>
      <c r="D2638" s="293">
        <v>7979.64</v>
      </c>
      <c r="E2638" s="293">
        <v>237.005</v>
      </c>
      <c r="F2638" s="294" t="s">
        <v>391</v>
      </c>
    </row>
    <row r="2639" spans="1:6" hidden="1" outlineLevel="1" collapsed="1" x14ac:dyDescent="0.25">
      <c r="A2639" s="321" t="s">
        <v>282</v>
      </c>
      <c r="B2639" s="321" t="s">
        <v>392</v>
      </c>
      <c r="C2639" s="293">
        <v>116.7696</v>
      </c>
      <c r="D2639" s="293">
        <v>91.44</v>
      </c>
      <c r="E2639" s="293">
        <v>-25.329599999999999</v>
      </c>
      <c r="F2639" s="294" t="s">
        <v>368</v>
      </c>
    </row>
    <row r="2640" spans="1:6" hidden="1" outlineLevel="1" collapsed="1" x14ac:dyDescent="0.25">
      <c r="A2640" s="321" t="s">
        <v>282</v>
      </c>
      <c r="B2640" s="321" t="s">
        <v>754</v>
      </c>
      <c r="C2640" s="293">
        <v>15358.56</v>
      </c>
      <c r="D2640" s="293">
        <v>15959.28</v>
      </c>
      <c r="E2640" s="293">
        <v>600.72</v>
      </c>
      <c r="F2640" s="294" t="s">
        <v>366</v>
      </c>
    </row>
    <row r="2641" spans="1:6" hidden="1" outlineLevel="1" collapsed="1" x14ac:dyDescent="0.25">
      <c r="A2641" s="321" t="s">
        <v>282</v>
      </c>
      <c r="B2641" s="321" t="s">
        <v>755</v>
      </c>
      <c r="C2641" s="293">
        <v>426.12479999999999</v>
      </c>
      <c r="D2641" s="293">
        <v>422.04</v>
      </c>
      <c r="E2641" s="293">
        <v>-4.0848000000000004</v>
      </c>
      <c r="F2641" s="294" t="s">
        <v>364</v>
      </c>
    </row>
    <row r="2642" spans="1:6" hidden="1" outlineLevel="1" collapsed="1" x14ac:dyDescent="0.25">
      <c r="A2642" s="321" t="s">
        <v>282</v>
      </c>
      <c r="B2642" s="321" t="s">
        <v>756</v>
      </c>
      <c r="C2642" s="293">
        <v>233.53919999999999</v>
      </c>
      <c r="D2642" s="293">
        <v>182.88</v>
      </c>
      <c r="E2642" s="293">
        <v>-50.659199999999998</v>
      </c>
      <c r="F2642" s="294" t="s">
        <v>368</v>
      </c>
    </row>
    <row r="2643" spans="1:6" hidden="1" outlineLevel="1" collapsed="1" x14ac:dyDescent="0.25">
      <c r="A2643" s="321" t="s">
        <v>282</v>
      </c>
      <c r="B2643" s="321" t="s">
        <v>393</v>
      </c>
      <c r="C2643" s="293">
        <v>9.946866</v>
      </c>
      <c r="D2643" s="293">
        <v>10.242594</v>
      </c>
      <c r="E2643" s="293">
        <v>0.29572799999999999</v>
      </c>
      <c r="F2643" s="294" t="s">
        <v>553</v>
      </c>
    </row>
    <row r="2644" spans="1:6" hidden="1" outlineLevel="1" collapsed="1" x14ac:dyDescent="0.25">
      <c r="A2644" s="321" t="s">
        <v>282</v>
      </c>
      <c r="B2644" s="321" t="s">
        <v>757</v>
      </c>
      <c r="C2644" s="293">
        <v>55.079988</v>
      </c>
      <c r="D2644" s="293">
        <v>0</v>
      </c>
      <c r="E2644" s="293">
        <v>-55.079988</v>
      </c>
      <c r="F2644" s="294" t="s">
        <v>286</v>
      </c>
    </row>
    <row r="2645" spans="1:6" hidden="1" outlineLevel="1" collapsed="1" x14ac:dyDescent="0.25">
      <c r="A2645" s="321" t="s">
        <v>282</v>
      </c>
      <c r="B2645" s="321" t="s">
        <v>758</v>
      </c>
      <c r="C2645" s="293">
        <v>0</v>
      </c>
      <c r="D2645" s="293">
        <v>55.906176000000002</v>
      </c>
      <c r="E2645" s="293">
        <v>55.906176000000002</v>
      </c>
      <c r="F2645" s="294" t="s">
        <v>298</v>
      </c>
    </row>
    <row r="2646" spans="1:6" hidden="1" outlineLevel="1" collapsed="1" x14ac:dyDescent="0.25">
      <c r="A2646" s="321" t="s">
        <v>282</v>
      </c>
      <c r="B2646" s="321" t="s">
        <v>394</v>
      </c>
      <c r="C2646" s="293">
        <v>750</v>
      </c>
      <c r="D2646" s="293">
        <v>0</v>
      </c>
      <c r="E2646" s="293">
        <v>-750</v>
      </c>
      <c r="F2646" s="294" t="s">
        <v>286</v>
      </c>
    </row>
    <row r="2647" spans="1:6" hidden="1" outlineLevel="1" collapsed="1" x14ac:dyDescent="0.25">
      <c r="A2647" s="321" t="s">
        <v>282</v>
      </c>
      <c r="B2647" s="321" t="s">
        <v>395</v>
      </c>
      <c r="C2647" s="293">
        <v>0</v>
      </c>
      <c r="D2647" s="293">
        <v>750</v>
      </c>
      <c r="E2647" s="293">
        <v>750</v>
      </c>
      <c r="F2647" s="294" t="s">
        <v>298</v>
      </c>
    </row>
    <row r="2648" spans="1:6" hidden="1" outlineLevel="1" collapsed="1" x14ac:dyDescent="0.25">
      <c r="A2648" s="321" t="s">
        <v>282</v>
      </c>
      <c r="B2648" s="321" t="s">
        <v>759</v>
      </c>
      <c r="C2648" s="293">
        <v>1500</v>
      </c>
      <c r="D2648" s="293">
        <v>0</v>
      </c>
      <c r="E2648" s="293">
        <v>-1500</v>
      </c>
      <c r="F2648" s="294" t="s">
        <v>286</v>
      </c>
    </row>
    <row r="2649" spans="1:6" hidden="1" outlineLevel="1" collapsed="1" x14ac:dyDescent="0.25">
      <c r="A2649" s="321" t="s">
        <v>282</v>
      </c>
      <c r="B2649" s="321" t="s">
        <v>760</v>
      </c>
      <c r="C2649" s="293">
        <v>0</v>
      </c>
      <c r="D2649" s="293">
        <v>1500</v>
      </c>
      <c r="E2649" s="293">
        <v>1500</v>
      </c>
      <c r="F2649" s="294" t="s">
        <v>298</v>
      </c>
    </row>
    <row r="2650" spans="1:6" hidden="1" outlineLevel="1" collapsed="1" x14ac:dyDescent="0.25">
      <c r="A2650" s="321" t="s">
        <v>282</v>
      </c>
      <c r="B2650" s="321" t="s">
        <v>396</v>
      </c>
      <c r="C2650" s="293">
        <v>24.84</v>
      </c>
      <c r="D2650" s="293">
        <v>0</v>
      </c>
      <c r="E2650" s="293">
        <v>-24.84</v>
      </c>
      <c r="F2650" s="294" t="s">
        <v>286</v>
      </c>
    </row>
    <row r="2651" spans="1:6" hidden="1" outlineLevel="1" collapsed="1" x14ac:dyDescent="0.25">
      <c r="A2651" s="321" t="s">
        <v>282</v>
      </c>
      <c r="B2651" s="321" t="s">
        <v>397</v>
      </c>
      <c r="C2651" s="293">
        <v>0</v>
      </c>
      <c r="D2651" s="293">
        <v>24.24</v>
      </c>
      <c r="E2651" s="293">
        <v>24.24</v>
      </c>
      <c r="F2651" s="294" t="s">
        <v>298</v>
      </c>
    </row>
    <row r="2652" spans="1:6" hidden="1" outlineLevel="1" collapsed="1" x14ac:dyDescent="0.25">
      <c r="A2652" s="321" t="s">
        <v>282</v>
      </c>
      <c r="B2652" s="321" t="s">
        <v>761</v>
      </c>
      <c r="C2652" s="293">
        <v>49.68</v>
      </c>
      <c r="D2652" s="293">
        <v>0</v>
      </c>
      <c r="E2652" s="293">
        <v>-49.68</v>
      </c>
      <c r="F2652" s="294" t="s">
        <v>286</v>
      </c>
    </row>
    <row r="2653" spans="1:6" hidden="1" outlineLevel="1" collapsed="1" x14ac:dyDescent="0.25">
      <c r="A2653" s="321" t="s">
        <v>282</v>
      </c>
      <c r="B2653" s="321" t="s">
        <v>762</v>
      </c>
      <c r="C2653" s="293">
        <v>0</v>
      </c>
      <c r="D2653" s="293">
        <v>48.48</v>
      </c>
      <c r="E2653" s="293">
        <v>48.48</v>
      </c>
      <c r="F2653" s="294" t="s">
        <v>298</v>
      </c>
    </row>
    <row r="2654" spans="1:6" hidden="1" outlineLevel="1" collapsed="1" x14ac:dyDescent="0.25">
      <c r="A2654" s="321" t="s">
        <v>282</v>
      </c>
      <c r="B2654" s="321" t="s">
        <v>398</v>
      </c>
      <c r="C2654" s="293">
        <v>12</v>
      </c>
      <c r="D2654" s="293">
        <v>5.52</v>
      </c>
      <c r="E2654" s="293">
        <v>-6.48</v>
      </c>
      <c r="F2654" s="294" t="s">
        <v>374</v>
      </c>
    </row>
    <row r="2655" spans="1:6" hidden="1" outlineLevel="1" collapsed="1" x14ac:dyDescent="0.25">
      <c r="A2655" s="321" t="s">
        <v>282</v>
      </c>
      <c r="B2655" s="321" t="s">
        <v>763</v>
      </c>
      <c r="C2655" s="293">
        <v>24</v>
      </c>
      <c r="D2655" s="293">
        <v>11.04</v>
      </c>
      <c r="E2655" s="293">
        <v>-12.96</v>
      </c>
      <c r="F2655" s="294" t="s">
        <v>374</v>
      </c>
    </row>
    <row r="2656" spans="1:6" collapsed="1" x14ac:dyDescent="0.25">
      <c r="A2656" s="560" t="s">
        <v>1196</v>
      </c>
      <c r="B2656" s="561"/>
      <c r="C2656" s="292">
        <v>222228.73682799999</v>
      </c>
      <c r="D2656" s="293">
        <v>274035.05473099998</v>
      </c>
      <c r="E2656" s="293">
        <v>51806.317903000003</v>
      </c>
      <c r="F2656" s="294" t="s">
        <v>2165</v>
      </c>
    </row>
    <row r="2657" spans="1:6" hidden="1" outlineLevel="1" collapsed="1" x14ac:dyDescent="0.25">
      <c r="A2657" s="321" t="s">
        <v>282</v>
      </c>
      <c r="B2657" s="321" t="s">
        <v>780</v>
      </c>
      <c r="C2657" s="293">
        <v>95168.428151999993</v>
      </c>
      <c r="D2657" s="293">
        <v>101422.563828</v>
      </c>
      <c r="E2657" s="293">
        <v>6254.1356759999999</v>
      </c>
      <c r="F2657" s="294" t="s">
        <v>816</v>
      </c>
    </row>
    <row r="2658" spans="1:6" hidden="1" outlineLevel="1" collapsed="1" x14ac:dyDescent="0.25">
      <c r="A2658" s="321" t="s">
        <v>282</v>
      </c>
      <c r="B2658" s="321" t="s">
        <v>464</v>
      </c>
      <c r="C2658" s="293">
        <v>46437.892099999997</v>
      </c>
      <c r="D2658" s="293">
        <v>62728.611489000003</v>
      </c>
      <c r="E2658" s="293">
        <v>16290.719389</v>
      </c>
      <c r="F2658" s="294" t="s">
        <v>2166</v>
      </c>
    </row>
    <row r="2659" spans="1:6" hidden="1" outlineLevel="1" collapsed="1" x14ac:dyDescent="0.25">
      <c r="A2659" s="321" t="s">
        <v>282</v>
      </c>
      <c r="B2659" s="321" t="s">
        <v>476</v>
      </c>
      <c r="C2659" s="293">
        <v>20000</v>
      </c>
      <c r="D2659" s="293">
        <v>20000</v>
      </c>
      <c r="E2659" s="293">
        <v>0</v>
      </c>
      <c r="F2659" s="294" t="s">
        <v>316</v>
      </c>
    </row>
    <row r="2660" spans="1:6" hidden="1" outlineLevel="1" collapsed="1" x14ac:dyDescent="0.25">
      <c r="A2660" s="321" t="s">
        <v>282</v>
      </c>
      <c r="B2660" s="321" t="s">
        <v>751</v>
      </c>
      <c r="C2660" s="293">
        <v>12419.479872</v>
      </c>
      <c r="D2660" s="293">
        <v>0</v>
      </c>
      <c r="E2660" s="293">
        <v>-12419.479872</v>
      </c>
      <c r="F2660" s="294" t="s">
        <v>286</v>
      </c>
    </row>
    <row r="2661" spans="1:6" hidden="1" outlineLevel="1" collapsed="1" x14ac:dyDescent="0.25">
      <c r="A2661" s="321" t="s">
        <v>282</v>
      </c>
      <c r="B2661" s="321" t="s">
        <v>752</v>
      </c>
      <c r="C2661" s="293">
        <v>0</v>
      </c>
      <c r="D2661" s="293">
        <v>14635.275960000001</v>
      </c>
      <c r="E2661" s="293">
        <v>14635.275960000001</v>
      </c>
      <c r="F2661" s="294" t="s">
        <v>298</v>
      </c>
    </row>
    <row r="2662" spans="1:6" hidden="1" outlineLevel="1" collapsed="1" x14ac:dyDescent="0.25">
      <c r="A2662" s="321" t="s">
        <v>282</v>
      </c>
      <c r="B2662" s="321" t="s">
        <v>384</v>
      </c>
      <c r="C2662" s="293">
        <v>5760.1168200000002</v>
      </c>
      <c r="D2662" s="293">
        <v>0</v>
      </c>
      <c r="E2662" s="293">
        <v>-5760.1168200000002</v>
      </c>
      <c r="F2662" s="294" t="s">
        <v>286</v>
      </c>
    </row>
    <row r="2663" spans="1:6" hidden="1" outlineLevel="1" collapsed="1" x14ac:dyDescent="0.25">
      <c r="A2663" s="321" t="s">
        <v>282</v>
      </c>
      <c r="B2663" s="321" t="s">
        <v>385</v>
      </c>
      <c r="C2663" s="293">
        <v>0</v>
      </c>
      <c r="D2663" s="293">
        <v>12747.629138</v>
      </c>
      <c r="E2663" s="293">
        <v>12747.629138</v>
      </c>
      <c r="F2663" s="294" t="s">
        <v>298</v>
      </c>
    </row>
    <row r="2664" spans="1:6" hidden="1" outlineLevel="1" collapsed="1" x14ac:dyDescent="0.25">
      <c r="A2664" s="321" t="s">
        <v>282</v>
      </c>
      <c r="B2664" s="321" t="s">
        <v>386</v>
      </c>
      <c r="C2664" s="293">
        <v>2879.1493</v>
      </c>
      <c r="D2664" s="293">
        <v>0</v>
      </c>
      <c r="E2664" s="293">
        <v>-2879.1493</v>
      </c>
      <c r="F2664" s="294" t="s">
        <v>286</v>
      </c>
    </row>
    <row r="2665" spans="1:6" hidden="1" outlineLevel="1" collapsed="1" x14ac:dyDescent="0.25">
      <c r="A2665" s="321" t="s">
        <v>282</v>
      </c>
      <c r="B2665" s="321" t="s">
        <v>387</v>
      </c>
      <c r="C2665" s="293">
        <v>0</v>
      </c>
      <c r="D2665" s="293">
        <v>5129.173898</v>
      </c>
      <c r="E2665" s="293">
        <v>5129.173898</v>
      </c>
      <c r="F2665" s="294" t="s">
        <v>298</v>
      </c>
    </row>
    <row r="2666" spans="1:6" hidden="1" outlineLevel="1" collapsed="1" x14ac:dyDescent="0.25">
      <c r="A2666" s="321" t="s">
        <v>282</v>
      </c>
      <c r="B2666" s="321" t="s">
        <v>388</v>
      </c>
      <c r="C2666" s="293">
        <v>673.34943199999998</v>
      </c>
      <c r="D2666" s="293">
        <v>1199.564852</v>
      </c>
      <c r="E2666" s="293">
        <v>526.21541999999999</v>
      </c>
      <c r="F2666" s="294" t="s">
        <v>2167</v>
      </c>
    </row>
    <row r="2667" spans="1:6" hidden="1" outlineLevel="1" collapsed="1" x14ac:dyDescent="0.25">
      <c r="A2667" s="321" t="s">
        <v>282</v>
      </c>
      <c r="B2667" s="321" t="s">
        <v>444</v>
      </c>
      <c r="C2667" s="293">
        <v>1800</v>
      </c>
      <c r="D2667" s="293">
        <v>0</v>
      </c>
      <c r="E2667" s="293">
        <v>-1800</v>
      </c>
      <c r="F2667" s="294" t="s">
        <v>286</v>
      </c>
    </row>
    <row r="2668" spans="1:6" hidden="1" outlineLevel="1" collapsed="1" x14ac:dyDescent="0.25">
      <c r="A2668" s="321" t="s">
        <v>282</v>
      </c>
      <c r="B2668" s="321" t="s">
        <v>389</v>
      </c>
      <c r="C2668" s="293">
        <v>426.12479999999999</v>
      </c>
      <c r="D2668" s="293">
        <v>844.08</v>
      </c>
      <c r="E2668" s="293">
        <v>417.95519999999999</v>
      </c>
      <c r="F2668" s="294" t="s">
        <v>532</v>
      </c>
    </row>
    <row r="2669" spans="1:6" hidden="1" outlineLevel="1" collapsed="1" x14ac:dyDescent="0.25">
      <c r="A2669" s="321" t="s">
        <v>282</v>
      </c>
      <c r="B2669" s="321" t="s">
        <v>390</v>
      </c>
      <c r="C2669" s="293">
        <v>15485.27</v>
      </c>
      <c r="D2669" s="293">
        <v>31918.560000000001</v>
      </c>
      <c r="E2669" s="293">
        <v>16433.29</v>
      </c>
      <c r="F2669" s="294" t="s">
        <v>1199</v>
      </c>
    </row>
    <row r="2670" spans="1:6" hidden="1" outlineLevel="1" collapsed="1" x14ac:dyDescent="0.25">
      <c r="A2670" s="321" t="s">
        <v>282</v>
      </c>
      <c r="B2670" s="321" t="s">
        <v>392</v>
      </c>
      <c r="C2670" s="293">
        <v>233.53919999999999</v>
      </c>
      <c r="D2670" s="293">
        <v>365.76</v>
      </c>
      <c r="E2670" s="293">
        <v>132.2208</v>
      </c>
      <c r="F2670" s="294" t="s">
        <v>534</v>
      </c>
    </row>
    <row r="2671" spans="1:6" hidden="1" outlineLevel="1" collapsed="1" x14ac:dyDescent="0.25">
      <c r="A2671" s="321" t="s">
        <v>282</v>
      </c>
      <c r="B2671" s="321" t="s">
        <v>754</v>
      </c>
      <c r="C2671" s="293">
        <v>15358.56</v>
      </c>
      <c r="D2671" s="293">
        <v>15959.28</v>
      </c>
      <c r="E2671" s="293">
        <v>600.72</v>
      </c>
      <c r="F2671" s="294" t="s">
        <v>366</v>
      </c>
    </row>
    <row r="2672" spans="1:6" hidden="1" outlineLevel="1" collapsed="1" x14ac:dyDescent="0.25">
      <c r="A2672" s="321" t="s">
        <v>282</v>
      </c>
      <c r="B2672" s="321" t="s">
        <v>755</v>
      </c>
      <c r="C2672" s="293">
        <v>426.12479999999999</v>
      </c>
      <c r="D2672" s="293">
        <v>422.04</v>
      </c>
      <c r="E2672" s="293">
        <v>-4.0848000000000004</v>
      </c>
      <c r="F2672" s="294" t="s">
        <v>364</v>
      </c>
    </row>
    <row r="2673" spans="1:6" hidden="1" outlineLevel="1" collapsed="1" x14ac:dyDescent="0.25">
      <c r="A2673" s="321" t="s">
        <v>282</v>
      </c>
      <c r="B2673" s="321" t="s">
        <v>756</v>
      </c>
      <c r="C2673" s="293">
        <v>233.53919999999999</v>
      </c>
      <c r="D2673" s="293">
        <v>182.88</v>
      </c>
      <c r="E2673" s="293">
        <v>-50.659199999999998</v>
      </c>
      <c r="F2673" s="294" t="s">
        <v>368</v>
      </c>
    </row>
    <row r="2674" spans="1:6" hidden="1" outlineLevel="1" collapsed="1" x14ac:dyDescent="0.25">
      <c r="A2674" s="321" t="s">
        <v>282</v>
      </c>
      <c r="B2674" s="321" t="s">
        <v>393</v>
      </c>
      <c r="C2674" s="293">
        <v>23.21894</v>
      </c>
      <c r="D2674" s="293">
        <v>41.364286</v>
      </c>
      <c r="E2674" s="293">
        <v>18.145346</v>
      </c>
      <c r="F2674" s="294" t="s">
        <v>2167</v>
      </c>
    </row>
    <row r="2675" spans="1:6" hidden="1" outlineLevel="1" collapsed="1" x14ac:dyDescent="0.25">
      <c r="A2675" s="321" t="s">
        <v>282</v>
      </c>
      <c r="B2675" s="321" t="s">
        <v>757</v>
      </c>
      <c r="C2675" s="293">
        <v>47.584212000000001</v>
      </c>
      <c r="D2675" s="293">
        <v>0</v>
      </c>
      <c r="E2675" s="293">
        <v>-47.584212000000001</v>
      </c>
      <c r="F2675" s="294" t="s">
        <v>286</v>
      </c>
    </row>
    <row r="2676" spans="1:6" hidden="1" outlineLevel="1" collapsed="1" x14ac:dyDescent="0.25">
      <c r="A2676" s="321" t="s">
        <v>282</v>
      </c>
      <c r="B2676" s="321" t="s">
        <v>758</v>
      </c>
      <c r="C2676" s="293">
        <v>0</v>
      </c>
      <c r="D2676" s="293">
        <v>50.711280000000002</v>
      </c>
      <c r="E2676" s="293">
        <v>50.711280000000002</v>
      </c>
      <c r="F2676" s="294" t="s">
        <v>298</v>
      </c>
    </row>
    <row r="2677" spans="1:6" hidden="1" outlineLevel="1" collapsed="1" x14ac:dyDescent="0.25">
      <c r="A2677" s="321" t="s">
        <v>282</v>
      </c>
      <c r="B2677" s="321" t="s">
        <v>394</v>
      </c>
      <c r="C2677" s="293">
        <v>1500</v>
      </c>
      <c r="D2677" s="293">
        <v>0</v>
      </c>
      <c r="E2677" s="293">
        <v>-1500</v>
      </c>
      <c r="F2677" s="294" t="s">
        <v>286</v>
      </c>
    </row>
    <row r="2678" spans="1:6" hidden="1" outlineLevel="1" collapsed="1" x14ac:dyDescent="0.25">
      <c r="A2678" s="321" t="s">
        <v>282</v>
      </c>
      <c r="B2678" s="321" t="s">
        <v>395</v>
      </c>
      <c r="C2678" s="293">
        <v>0</v>
      </c>
      <c r="D2678" s="293">
        <v>3000</v>
      </c>
      <c r="E2678" s="293">
        <v>3000</v>
      </c>
      <c r="F2678" s="294" t="s">
        <v>298</v>
      </c>
    </row>
    <row r="2679" spans="1:6" hidden="1" outlineLevel="1" collapsed="1" x14ac:dyDescent="0.25">
      <c r="A2679" s="321" t="s">
        <v>282</v>
      </c>
      <c r="B2679" s="321" t="s">
        <v>759</v>
      </c>
      <c r="C2679" s="293">
        <v>1500</v>
      </c>
      <c r="D2679" s="293">
        <v>0</v>
      </c>
      <c r="E2679" s="293">
        <v>-1500</v>
      </c>
      <c r="F2679" s="294" t="s">
        <v>286</v>
      </c>
    </row>
    <row r="2680" spans="1:6" hidden="1" outlineLevel="1" collapsed="1" x14ac:dyDescent="0.25">
      <c r="A2680" s="321" t="s">
        <v>282</v>
      </c>
      <c r="B2680" s="321" t="s">
        <v>760</v>
      </c>
      <c r="C2680" s="293">
        <v>0</v>
      </c>
      <c r="D2680" s="293">
        <v>1500</v>
      </c>
      <c r="E2680" s="293">
        <v>1500</v>
      </c>
      <c r="F2680" s="294" t="s">
        <v>298</v>
      </c>
    </row>
    <row r="2681" spans="1:6" hidden="1" outlineLevel="1" collapsed="1" x14ac:dyDescent="0.25">
      <c r="A2681" s="321" t="s">
        <v>282</v>
      </c>
      <c r="B2681" s="321" t="s">
        <v>396</v>
      </c>
      <c r="C2681" s="293">
        <v>49.68</v>
      </c>
      <c r="D2681" s="293">
        <v>0</v>
      </c>
      <c r="E2681" s="293">
        <v>-49.68</v>
      </c>
      <c r="F2681" s="294" t="s">
        <v>286</v>
      </c>
    </row>
    <row r="2682" spans="1:6" hidden="1" outlineLevel="1" collapsed="1" x14ac:dyDescent="0.25">
      <c r="A2682" s="321" t="s">
        <v>282</v>
      </c>
      <c r="B2682" s="321" t="s">
        <v>397</v>
      </c>
      <c r="C2682" s="293">
        <v>0</v>
      </c>
      <c r="D2682" s="293">
        <v>96.96</v>
      </c>
      <c r="E2682" s="293">
        <v>96.96</v>
      </c>
      <c r="F2682" s="294" t="s">
        <v>298</v>
      </c>
    </row>
    <row r="2683" spans="1:6" hidden="1" outlineLevel="1" collapsed="1" x14ac:dyDescent="0.25">
      <c r="A2683" s="321" t="s">
        <v>282</v>
      </c>
      <c r="B2683" s="321" t="s">
        <v>761</v>
      </c>
      <c r="C2683" s="293">
        <v>49.68</v>
      </c>
      <c r="D2683" s="293">
        <v>0</v>
      </c>
      <c r="E2683" s="293">
        <v>-49.68</v>
      </c>
      <c r="F2683" s="294" t="s">
        <v>286</v>
      </c>
    </row>
    <row r="2684" spans="1:6" hidden="1" outlineLevel="1" collapsed="1" x14ac:dyDescent="0.25">
      <c r="A2684" s="321" t="s">
        <v>282</v>
      </c>
      <c r="B2684" s="321" t="s">
        <v>762</v>
      </c>
      <c r="C2684" s="293">
        <v>0</v>
      </c>
      <c r="D2684" s="293">
        <v>48.48</v>
      </c>
      <c r="E2684" s="293">
        <v>48.48</v>
      </c>
      <c r="F2684" s="294" t="s">
        <v>298</v>
      </c>
    </row>
    <row r="2685" spans="1:6" hidden="1" outlineLevel="1" collapsed="1" x14ac:dyDescent="0.25">
      <c r="A2685" s="321" t="s">
        <v>282</v>
      </c>
      <c r="B2685" s="321" t="s">
        <v>398</v>
      </c>
      <c r="C2685" s="293">
        <v>24</v>
      </c>
      <c r="D2685" s="293">
        <v>22.08</v>
      </c>
      <c r="E2685" s="293">
        <v>-1.92</v>
      </c>
      <c r="F2685" s="294" t="s">
        <v>536</v>
      </c>
    </row>
    <row r="2686" spans="1:6" hidden="1" outlineLevel="1" collapsed="1" x14ac:dyDescent="0.25">
      <c r="A2686" s="321" t="s">
        <v>282</v>
      </c>
      <c r="B2686" s="321" t="s">
        <v>763</v>
      </c>
      <c r="C2686" s="293">
        <v>24</v>
      </c>
      <c r="D2686" s="293">
        <v>11.04</v>
      </c>
      <c r="E2686" s="293">
        <v>-12.96</v>
      </c>
      <c r="F2686" s="294" t="s">
        <v>374</v>
      </c>
    </row>
    <row r="2687" spans="1:6" hidden="1" outlineLevel="1" collapsed="1" x14ac:dyDescent="0.25">
      <c r="A2687" s="321" t="s">
        <v>282</v>
      </c>
      <c r="B2687" s="321" t="s">
        <v>505</v>
      </c>
      <c r="C2687" s="293">
        <v>0</v>
      </c>
      <c r="D2687" s="293">
        <v>110</v>
      </c>
      <c r="E2687" s="293">
        <v>110</v>
      </c>
      <c r="F2687" s="294" t="s">
        <v>298</v>
      </c>
    </row>
    <row r="2688" spans="1:6" hidden="1" outlineLevel="1" collapsed="1" x14ac:dyDescent="0.25">
      <c r="A2688" s="321" t="s">
        <v>282</v>
      </c>
      <c r="B2688" s="321" t="s">
        <v>523</v>
      </c>
      <c r="C2688" s="293">
        <v>0</v>
      </c>
      <c r="D2688" s="293">
        <v>0</v>
      </c>
      <c r="E2688" s="293">
        <v>0</v>
      </c>
      <c r="F2688" s="294" t="s">
        <v>316</v>
      </c>
    </row>
    <row r="2689" spans="1:6" hidden="1" outlineLevel="1" collapsed="1" x14ac:dyDescent="0.25">
      <c r="A2689" s="321" t="s">
        <v>282</v>
      </c>
      <c r="B2689" s="321" t="s">
        <v>376</v>
      </c>
      <c r="C2689" s="293">
        <v>1709</v>
      </c>
      <c r="D2689" s="293">
        <v>0</v>
      </c>
      <c r="E2689" s="293">
        <v>-1709</v>
      </c>
      <c r="F2689" s="294" t="s">
        <v>286</v>
      </c>
    </row>
    <row r="2690" spans="1:6" hidden="1" outlineLevel="1" collapsed="1" x14ac:dyDescent="0.25">
      <c r="A2690" s="321" t="s">
        <v>282</v>
      </c>
      <c r="B2690" s="321" t="s">
        <v>403</v>
      </c>
      <c r="C2690" s="293">
        <v>0</v>
      </c>
      <c r="D2690" s="293">
        <v>1599</v>
      </c>
      <c r="E2690" s="293">
        <v>1599</v>
      </c>
      <c r="F2690" s="294" t="s">
        <v>298</v>
      </c>
    </row>
    <row r="2691" spans="1:6" collapsed="1" x14ac:dyDescent="0.25">
      <c r="A2691" s="560" t="s">
        <v>1200</v>
      </c>
      <c r="B2691" s="561"/>
      <c r="C2691" s="292">
        <v>20018</v>
      </c>
      <c r="D2691" s="293">
        <v>19738.52</v>
      </c>
      <c r="E2691" s="293">
        <v>-279.48</v>
      </c>
      <c r="F2691" s="294" t="s">
        <v>2168</v>
      </c>
    </row>
    <row r="2692" spans="1:6" hidden="1" outlineLevel="1" collapsed="1" x14ac:dyDescent="0.25">
      <c r="A2692" s="321" t="s">
        <v>282</v>
      </c>
      <c r="B2692" s="321" t="s">
        <v>375</v>
      </c>
      <c r="C2692" s="293">
        <v>0</v>
      </c>
      <c r="D2692" s="293">
        <v>1500</v>
      </c>
      <c r="E2692" s="293">
        <v>1500</v>
      </c>
      <c r="F2692" s="294" t="s">
        <v>298</v>
      </c>
    </row>
    <row r="2693" spans="1:6" hidden="1" outlineLevel="1" collapsed="1" x14ac:dyDescent="0.25">
      <c r="A2693" s="321" t="s">
        <v>282</v>
      </c>
      <c r="B2693" s="321" t="s">
        <v>1202</v>
      </c>
      <c r="C2693" s="293">
        <v>5510</v>
      </c>
      <c r="D2693" s="293">
        <v>4870</v>
      </c>
      <c r="E2693" s="293">
        <v>-640</v>
      </c>
      <c r="F2693" s="294" t="s">
        <v>1203</v>
      </c>
    </row>
    <row r="2694" spans="1:6" hidden="1" outlineLevel="1" collapsed="1" x14ac:dyDescent="0.25">
      <c r="A2694" s="321" t="s">
        <v>282</v>
      </c>
      <c r="B2694" s="321" t="s">
        <v>416</v>
      </c>
      <c r="C2694" s="293">
        <v>18</v>
      </c>
      <c r="D2694" s="293">
        <v>0</v>
      </c>
      <c r="E2694" s="293">
        <v>-18</v>
      </c>
      <c r="F2694" s="294" t="s">
        <v>286</v>
      </c>
    </row>
    <row r="2695" spans="1:6" hidden="1" outlineLevel="1" collapsed="1" x14ac:dyDescent="0.25">
      <c r="A2695" s="321" t="s">
        <v>282</v>
      </c>
      <c r="B2695" s="321" t="s">
        <v>401</v>
      </c>
      <c r="C2695" s="293">
        <v>9233</v>
      </c>
      <c r="D2695" s="293">
        <v>7695.52</v>
      </c>
      <c r="E2695" s="293">
        <v>-1537.48</v>
      </c>
      <c r="F2695" s="294" t="s">
        <v>1566</v>
      </c>
    </row>
    <row r="2696" spans="1:6" hidden="1" outlineLevel="1" collapsed="1" x14ac:dyDescent="0.25">
      <c r="A2696" s="321" t="s">
        <v>282</v>
      </c>
      <c r="B2696" s="321" t="s">
        <v>405</v>
      </c>
      <c r="C2696" s="293">
        <v>4785</v>
      </c>
      <c r="D2696" s="293">
        <v>4500</v>
      </c>
      <c r="E2696" s="293">
        <v>-285</v>
      </c>
      <c r="F2696" s="294" t="s">
        <v>2169</v>
      </c>
    </row>
    <row r="2697" spans="1:6" hidden="1" outlineLevel="1" collapsed="1" x14ac:dyDescent="0.25">
      <c r="A2697" s="321" t="s">
        <v>282</v>
      </c>
      <c r="B2697" s="321" t="s">
        <v>1206</v>
      </c>
      <c r="C2697" s="293">
        <v>463</v>
      </c>
      <c r="D2697" s="293">
        <v>400</v>
      </c>
      <c r="E2697" s="293">
        <v>-63</v>
      </c>
      <c r="F2697" s="294" t="s">
        <v>2170</v>
      </c>
    </row>
    <row r="2698" spans="1:6" hidden="1" outlineLevel="1" collapsed="1" x14ac:dyDescent="0.25">
      <c r="A2698" s="321" t="s">
        <v>282</v>
      </c>
      <c r="B2698" s="321" t="s">
        <v>557</v>
      </c>
      <c r="C2698" s="293">
        <v>9</v>
      </c>
      <c r="D2698" s="293">
        <v>0</v>
      </c>
      <c r="E2698" s="293">
        <v>-9</v>
      </c>
      <c r="F2698" s="294" t="s">
        <v>286</v>
      </c>
    </row>
    <row r="2699" spans="1:6" hidden="1" outlineLevel="1" collapsed="1" x14ac:dyDescent="0.25">
      <c r="A2699" s="321" t="s">
        <v>282</v>
      </c>
      <c r="B2699" s="321" t="s">
        <v>422</v>
      </c>
      <c r="C2699" s="293">
        <v>0</v>
      </c>
      <c r="D2699" s="293">
        <v>773</v>
      </c>
      <c r="E2699" s="293">
        <v>773</v>
      </c>
      <c r="F2699" s="294" t="s">
        <v>298</v>
      </c>
    </row>
    <row r="2700" spans="1:6" collapsed="1" x14ac:dyDescent="0.25">
      <c r="A2700" s="560" t="s">
        <v>1208</v>
      </c>
      <c r="B2700" s="561"/>
      <c r="C2700" s="292">
        <v>8305</v>
      </c>
      <c r="D2700" s="293">
        <v>6103</v>
      </c>
      <c r="E2700" s="293">
        <v>-2202</v>
      </c>
      <c r="F2700" s="294" t="s">
        <v>2171</v>
      </c>
    </row>
    <row r="2701" spans="1:6" hidden="1" outlineLevel="1" collapsed="1" x14ac:dyDescent="0.25">
      <c r="A2701" s="321" t="s">
        <v>282</v>
      </c>
      <c r="B2701" s="321" t="s">
        <v>375</v>
      </c>
      <c r="C2701" s="293">
        <v>169</v>
      </c>
      <c r="D2701" s="293">
        <v>1200</v>
      </c>
      <c r="E2701" s="293">
        <v>1031</v>
      </c>
      <c r="F2701" s="294" t="s">
        <v>1210</v>
      </c>
    </row>
    <row r="2702" spans="1:6" hidden="1" outlineLevel="1" collapsed="1" x14ac:dyDescent="0.25">
      <c r="A2702" s="321" t="s">
        <v>282</v>
      </c>
      <c r="B2702" s="321" t="s">
        <v>1202</v>
      </c>
      <c r="C2702" s="293">
        <v>3100</v>
      </c>
      <c r="D2702" s="293">
        <v>0</v>
      </c>
      <c r="E2702" s="293">
        <v>-3100</v>
      </c>
      <c r="F2702" s="294" t="s">
        <v>286</v>
      </c>
    </row>
    <row r="2703" spans="1:6" hidden="1" outlineLevel="1" collapsed="1" x14ac:dyDescent="0.25">
      <c r="A2703" s="321" t="s">
        <v>282</v>
      </c>
      <c r="B2703" s="321" t="s">
        <v>1212</v>
      </c>
      <c r="C2703" s="293">
        <v>0</v>
      </c>
      <c r="D2703" s="293">
        <v>200</v>
      </c>
      <c r="E2703" s="293">
        <v>200</v>
      </c>
      <c r="F2703" s="294" t="s">
        <v>298</v>
      </c>
    </row>
    <row r="2704" spans="1:6" hidden="1" outlineLevel="1" collapsed="1" x14ac:dyDescent="0.25">
      <c r="A2704" s="321" t="s">
        <v>282</v>
      </c>
      <c r="B2704" s="321" t="s">
        <v>401</v>
      </c>
      <c r="C2704" s="293">
        <v>2936</v>
      </c>
      <c r="D2704" s="293">
        <v>2403</v>
      </c>
      <c r="E2704" s="293">
        <v>-533</v>
      </c>
      <c r="F2704" s="294" t="s">
        <v>1213</v>
      </c>
    </row>
    <row r="2705" spans="1:6" hidden="1" outlineLevel="1" collapsed="1" x14ac:dyDescent="0.25">
      <c r="A2705" s="321" t="s">
        <v>282</v>
      </c>
      <c r="B2705" s="321" t="s">
        <v>405</v>
      </c>
      <c r="C2705" s="293">
        <v>1650</v>
      </c>
      <c r="D2705" s="293">
        <v>1800</v>
      </c>
      <c r="E2705" s="293">
        <v>150</v>
      </c>
      <c r="F2705" s="294" t="s">
        <v>693</v>
      </c>
    </row>
    <row r="2706" spans="1:6" hidden="1" outlineLevel="1" collapsed="1" x14ac:dyDescent="0.25">
      <c r="A2706" s="321" t="s">
        <v>282</v>
      </c>
      <c r="B2706" s="321" t="s">
        <v>1206</v>
      </c>
      <c r="C2706" s="293">
        <v>450</v>
      </c>
      <c r="D2706" s="293">
        <v>500</v>
      </c>
      <c r="E2706" s="293">
        <v>50</v>
      </c>
      <c r="F2706" s="294" t="s">
        <v>610</v>
      </c>
    </row>
    <row r="2707" spans="1:6" collapsed="1" x14ac:dyDescent="0.25">
      <c r="A2707" s="560" t="s">
        <v>1214</v>
      </c>
      <c r="B2707" s="561"/>
      <c r="C2707" s="292">
        <v>12270</v>
      </c>
      <c r="D2707" s="293">
        <v>12027</v>
      </c>
      <c r="E2707" s="293">
        <v>-243</v>
      </c>
      <c r="F2707" s="294" t="s">
        <v>2172</v>
      </c>
    </row>
    <row r="2708" spans="1:6" hidden="1" outlineLevel="1" collapsed="1" x14ac:dyDescent="0.25">
      <c r="A2708" s="321" t="s">
        <v>282</v>
      </c>
      <c r="B2708" s="321" t="s">
        <v>375</v>
      </c>
      <c r="C2708" s="293">
        <v>0</v>
      </c>
      <c r="D2708" s="293">
        <v>2000</v>
      </c>
      <c r="E2708" s="293">
        <v>2000</v>
      </c>
      <c r="F2708" s="294" t="s">
        <v>298</v>
      </c>
    </row>
    <row r="2709" spans="1:6" hidden="1" outlineLevel="1" collapsed="1" x14ac:dyDescent="0.25">
      <c r="A2709" s="321" t="s">
        <v>282</v>
      </c>
      <c r="B2709" s="321" t="s">
        <v>1202</v>
      </c>
      <c r="C2709" s="293">
        <v>2362</v>
      </c>
      <c r="D2709" s="293">
        <v>1400</v>
      </c>
      <c r="E2709" s="293">
        <v>-962</v>
      </c>
      <c r="F2709" s="294" t="s">
        <v>1216</v>
      </c>
    </row>
    <row r="2710" spans="1:6" hidden="1" outlineLevel="1" collapsed="1" x14ac:dyDescent="0.25">
      <c r="A2710" s="321" t="s">
        <v>282</v>
      </c>
      <c r="B2710" s="321" t="s">
        <v>1212</v>
      </c>
      <c r="C2710" s="293">
        <v>0</v>
      </c>
      <c r="D2710" s="293">
        <v>200</v>
      </c>
      <c r="E2710" s="293">
        <v>200</v>
      </c>
      <c r="F2710" s="294" t="s">
        <v>298</v>
      </c>
    </row>
    <row r="2711" spans="1:6" hidden="1" outlineLevel="1" collapsed="1" x14ac:dyDescent="0.25">
      <c r="A2711" s="321" t="s">
        <v>282</v>
      </c>
      <c r="B2711" s="321" t="s">
        <v>416</v>
      </c>
      <c r="C2711" s="293">
        <v>30</v>
      </c>
      <c r="D2711" s="293">
        <v>0</v>
      </c>
      <c r="E2711" s="293">
        <v>-30</v>
      </c>
      <c r="F2711" s="294" t="s">
        <v>286</v>
      </c>
    </row>
    <row r="2712" spans="1:6" hidden="1" outlineLevel="1" collapsed="1" x14ac:dyDescent="0.25">
      <c r="A2712" s="321" t="s">
        <v>282</v>
      </c>
      <c r="B2712" s="321" t="s">
        <v>401</v>
      </c>
      <c r="C2712" s="293">
        <v>6683</v>
      </c>
      <c r="D2712" s="293">
        <v>5000</v>
      </c>
      <c r="E2712" s="293">
        <v>-1683</v>
      </c>
      <c r="F2712" s="294" t="s">
        <v>1217</v>
      </c>
    </row>
    <row r="2713" spans="1:6" hidden="1" outlineLevel="1" collapsed="1" x14ac:dyDescent="0.25">
      <c r="A2713" s="321" t="s">
        <v>282</v>
      </c>
      <c r="B2713" s="321" t="s">
        <v>405</v>
      </c>
      <c r="C2713" s="293">
        <v>2789</v>
      </c>
      <c r="D2713" s="293">
        <v>2827</v>
      </c>
      <c r="E2713" s="293">
        <v>38</v>
      </c>
      <c r="F2713" s="294" t="s">
        <v>1218</v>
      </c>
    </row>
    <row r="2714" spans="1:6" hidden="1" outlineLevel="1" collapsed="1" x14ac:dyDescent="0.25">
      <c r="A2714" s="321" t="s">
        <v>282</v>
      </c>
      <c r="B2714" s="321" t="s">
        <v>1206</v>
      </c>
      <c r="C2714" s="293">
        <v>406</v>
      </c>
      <c r="D2714" s="293">
        <v>600</v>
      </c>
      <c r="E2714" s="293">
        <v>194</v>
      </c>
      <c r="F2714" s="294" t="s">
        <v>1219</v>
      </c>
    </row>
    <row r="2715" spans="1:6" collapsed="1" x14ac:dyDescent="0.25">
      <c r="A2715" s="560" t="s">
        <v>1220</v>
      </c>
      <c r="B2715" s="561"/>
      <c r="C2715" s="292">
        <v>15892.82</v>
      </c>
      <c r="D2715" s="293">
        <v>8984</v>
      </c>
      <c r="E2715" s="293">
        <v>-6908.82</v>
      </c>
      <c r="F2715" s="294" t="s">
        <v>2173</v>
      </c>
    </row>
    <row r="2716" spans="1:6" hidden="1" outlineLevel="1" collapsed="1" x14ac:dyDescent="0.25">
      <c r="A2716" s="321" t="s">
        <v>282</v>
      </c>
      <c r="B2716" s="321" t="s">
        <v>375</v>
      </c>
      <c r="C2716" s="293">
        <v>1447</v>
      </c>
      <c r="D2716" s="293">
        <v>1500</v>
      </c>
      <c r="E2716" s="293">
        <v>53</v>
      </c>
      <c r="F2716" s="294" t="s">
        <v>414</v>
      </c>
    </row>
    <row r="2717" spans="1:6" hidden="1" outlineLevel="1" collapsed="1" x14ac:dyDescent="0.25">
      <c r="A2717" s="321" t="s">
        <v>282</v>
      </c>
      <c r="B2717" s="321" t="s">
        <v>1202</v>
      </c>
      <c r="C2717" s="293">
        <v>3765</v>
      </c>
      <c r="D2717" s="293">
        <v>0</v>
      </c>
      <c r="E2717" s="293">
        <v>-3765</v>
      </c>
      <c r="F2717" s="294" t="s">
        <v>286</v>
      </c>
    </row>
    <row r="2718" spans="1:6" hidden="1" outlineLevel="1" collapsed="1" x14ac:dyDescent="0.25">
      <c r="A2718" s="321" t="s">
        <v>282</v>
      </c>
      <c r="B2718" s="321" t="s">
        <v>1212</v>
      </c>
      <c r="C2718" s="293">
        <v>0</v>
      </c>
      <c r="D2718" s="293">
        <v>200</v>
      </c>
      <c r="E2718" s="293">
        <v>200</v>
      </c>
      <c r="F2718" s="294" t="s">
        <v>298</v>
      </c>
    </row>
    <row r="2719" spans="1:6" hidden="1" outlineLevel="1" collapsed="1" x14ac:dyDescent="0.25">
      <c r="A2719" s="321" t="s">
        <v>282</v>
      </c>
      <c r="B2719" s="321" t="s">
        <v>401</v>
      </c>
      <c r="C2719" s="293">
        <v>5000</v>
      </c>
      <c r="D2719" s="293">
        <v>3284</v>
      </c>
      <c r="E2719" s="293">
        <v>-1716</v>
      </c>
      <c r="F2719" s="294" t="s">
        <v>1223</v>
      </c>
    </row>
    <row r="2720" spans="1:6" hidden="1" outlineLevel="1" collapsed="1" x14ac:dyDescent="0.25">
      <c r="A2720" s="321" t="s">
        <v>282</v>
      </c>
      <c r="B2720" s="321" t="s">
        <v>405</v>
      </c>
      <c r="C2720" s="293">
        <v>4194</v>
      </c>
      <c r="D2720" s="293">
        <v>2500</v>
      </c>
      <c r="E2720" s="293">
        <v>-1694</v>
      </c>
      <c r="F2720" s="294" t="s">
        <v>1224</v>
      </c>
    </row>
    <row r="2721" spans="1:6" hidden="1" outlineLevel="1" collapsed="1" x14ac:dyDescent="0.25">
      <c r="A2721" s="321" t="s">
        <v>282</v>
      </c>
      <c r="B2721" s="321" t="s">
        <v>1206</v>
      </c>
      <c r="C2721" s="293">
        <v>1486.82</v>
      </c>
      <c r="D2721" s="293">
        <v>1500</v>
      </c>
      <c r="E2721" s="293">
        <v>13.18</v>
      </c>
      <c r="F2721" s="294" t="s">
        <v>1225</v>
      </c>
    </row>
    <row r="2722" spans="1:6" collapsed="1" x14ac:dyDescent="0.25">
      <c r="A2722" s="560" t="s">
        <v>1226</v>
      </c>
      <c r="B2722" s="561"/>
      <c r="C2722" s="292">
        <v>14968</v>
      </c>
      <c r="D2722" s="293">
        <v>10418</v>
      </c>
      <c r="E2722" s="293">
        <v>-4550</v>
      </c>
      <c r="F2722" s="294" t="s">
        <v>2174</v>
      </c>
    </row>
    <row r="2723" spans="1:6" hidden="1" outlineLevel="1" collapsed="1" x14ac:dyDescent="0.25">
      <c r="A2723" s="321" t="s">
        <v>282</v>
      </c>
      <c r="B2723" s="321" t="s">
        <v>375</v>
      </c>
      <c r="C2723" s="293">
        <v>397</v>
      </c>
      <c r="D2723" s="293">
        <v>1200</v>
      </c>
      <c r="E2723" s="293">
        <v>803</v>
      </c>
      <c r="F2723" s="294" t="s">
        <v>1228</v>
      </c>
    </row>
    <row r="2724" spans="1:6" hidden="1" outlineLevel="1" collapsed="1" x14ac:dyDescent="0.25">
      <c r="A2724" s="321" t="s">
        <v>282</v>
      </c>
      <c r="B2724" s="321" t="s">
        <v>1202</v>
      </c>
      <c r="C2724" s="293">
        <v>4315</v>
      </c>
      <c r="D2724" s="293">
        <v>0</v>
      </c>
      <c r="E2724" s="293">
        <v>-4315</v>
      </c>
      <c r="F2724" s="294" t="s">
        <v>286</v>
      </c>
    </row>
    <row r="2725" spans="1:6" hidden="1" outlineLevel="1" collapsed="1" x14ac:dyDescent="0.25">
      <c r="A2725" s="321" t="s">
        <v>282</v>
      </c>
      <c r="B2725" s="321" t="s">
        <v>1212</v>
      </c>
      <c r="C2725" s="293">
        <v>0</v>
      </c>
      <c r="D2725" s="293">
        <v>200</v>
      </c>
      <c r="E2725" s="293">
        <v>200</v>
      </c>
      <c r="F2725" s="294" t="s">
        <v>298</v>
      </c>
    </row>
    <row r="2726" spans="1:6" hidden="1" outlineLevel="1" collapsed="1" x14ac:dyDescent="0.25">
      <c r="A2726" s="321" t="s">
        <v>282</v>
      </c>
      <c r="B2726" s="321" t="s">
        <v>401</v>
      </c>
      <c r="C2726" s="293">
        <v>5273</v>
      </c>
      <c r="D2726" s="293">
        <v>4300</v>
      </c>
      <c r="E2726" s="293">
        <v>-973</v>
      </c>
      <c r="F2726" s="294" t="s">
        <v>1230</v>
      </c>
    </row>
    <row r="2727" spans="1:6" hidden="1" outlineLevel="1" collapsed="1" x14ac:dyDescent="0.25">
      <c r="A2727" s="321" t="s">
        <v>282</v>
      </c>
      <c r="B2727" s="321" t="s">
        <v>405</v>
      </c>
      <c r="C2727" s="293">
        <v>3536</v>
      </c>
      <c r="D2727" s="293">
        <v>3218</v>
      </c>
      <c r="E2727" s="293">
        <v>-318</v>
      </c>
      <c r="F2727" s="294" t="s">
        <v>1231</v>
      </c>
    </row>
    <row r="2728" spans="1:6" hidden="1" outlineLevel="1" collapsed="1" x14ac:dyDescent="0.25">
      <c r="A2728" s="321" t="s">
        <v>282</v>
      </c>
      <c r="B2728" s="321" t="s">
        <v>1206</v>
      </c>
      <c r="C2728" s="293">
        <v>1447</v>
      </c>
      <c r="D2728" s="293">
        <v>1500</v>
      </c>
      <c r="E2728" s="293">
        <v>53</v>
      </c>
      <c r="F2728" s="294" t="s">
        <v>414</v>
      </c>
    </row>
    <row r="2729" spans="1:6" collapsed="1" x14ac:dyDescent="0.25">
      <c r="A2729" s="560" t="s">
        <v>1232</v>
      </c>
      <c r="B2729" s="561"/>
      <c r="C2729" s="292">
        <v>9995</v>
      </c>
      <c r="D2729" s="293">
        <v>6196</v>
      </c>
      <c r="E2729" s="293">
        <v>-3799</v>
      </c>
      <c r="F2729" s="294" t="s">
        <v>1233</v>
      </c>
    </row>
    <row r="2730" spans="1:6" hidden="1" outlineLevel="1" collapsed="1" x14ac:dyDescent="0.25">
      <c r="A2730" s="321" t="s">
        <v>282</v>
      </c>
      <c r="B2730" s="321" t="s">
        <v>375</v>
      </c>
      <c r="C2730" s="293">
        <v>325</v>
      </c>
      <c r="D2730" s="293">
        <v>1000</v>
      </c>
      <c r="E2730" s="293">
        <v>675</v>
      </c>
      <c r="F2730" s="294" t="s">
        <v>1234</v>
      </c>
    </row>
    <row r="2731" spans="1:6" hidden="1" outlineLevel="1" collapsed="1" x14ac:dyDescent="0.25">
      <c r="A2731" s="321" t="s">
        <v>282</v>
      </c>
      <c r="B2731" s="321" t="s">
        <v>1212</v>
      </c>
      <c r="C2731" s="293">
        <v>0</v>
      </c>
      <c r="D2731" s="293">
        <v>200</v>
      </c>
      <c r="E2731" s="293">
        <v>200</v>
      </c>
      <c r="F2731" s="294" t="s">
        <v>298</v>
      </c>
    </row>
    <row r="2732" spans="1:6" hidden="1" outlineLevel="1" collapsed="1" x14ac:dyDescent="0.25">
      <c r="A2732" s="321" t="s">
        <v>282</v>
      </c>
      <c r="B2732" s="321" t="s">
        <v>401</v>
      </c>
      <c r="C2732" s="293">
        <v>3001</v>
      </c>
      <c r="D2732" s="293">
        <v>2000</v>
      </c>
      <c r="E2732" s="293">
        <v>-1001</v>
      </c>
      <c r="F2732" s="294" t="s">
        <v>1235</v>
      </c>
    </row>
    <row r="2733" spans="1:6" hidden="1" outlineLevel="1" collapsed="1" x14ac:dyDescent="0.25">
      <c r="A2733" s="321" t="s">
        <v>282</v>
      </c>
      <c r="B2733" s="321" t="s">
        <v>405</v>
      </c>
      <c r="C2733" s="293">
        <v>3539</v>
      </c>
      <c r="D2733" s="293">
        <v>1700</v>
      </c>
      <c r="E2733" s="293">
        <v>-1839</v>
      </c>
      <c r="F2733" s="294" t="s">
        <v>1236</v>
      </c>
    </row>
    <row r="2734" spans="1:6" hidden="1" outlineLevel="1" collapsed="1" x14ac:dyDescent="0.25">
      <c r="A2734" s="321" t="s">
        <v>282</v>
      </c>
      <c r="B2734" s="321" t="s">
        <v>1206</v>
      </c>
      <c r="C2734" s="293">
        <v>3130</v>
      </c>
      <c r="D2734" s="293">
        <v>1296</v>
      </c>
      <c r="E2734" s="293">
        <v>-1834</v>
      </c>
      <c r="F2734" s="294" t="s">
        <v>1237</v>
      </c>
    </row>
    <row r="2735" spans="1:6" collapsed="1" x14ac:dyDescent="0.25">
      <c r="A2735" s="560" t="s">
        <v>1238</v>
      </c>
      <c r="B2735" s="561"/>
      <c r="C2735" s="292">
        <v>6070</v>
      </c>
      <c r="D2735" s="293">
        <v>5731</v>
      </c>
      <c r="E2735" s="293">
        <v>-339</v>
      </c>
      <c r="F2735" s="294" t="s">
        <v>2155</v>
      </c>
    </row>
    <row r="2736" spans="1:6" hidden="1" outlineLevel="1" collapsed="1" x14ac:dyDescent="0.25">
      <c r="A2736" s="321" t="s">
        <v>282</v>
      </c>
      <c r="B2736" s="321" t="s">
        <v>375</v>
      </c>
      <c r="C2736" s="293">
        <v>400</v>
      </c>
      <c r="D2736" s="293">
        <v>1500</v>
      </c>
      <c r="E2736" s="293">
        <v>1100</v>
      </c>
      <c r="F2736" s="294" t="s">
        <v>1240</v>
      </c>
    </row>
    <row r="2737" spans="1:6" hidden="1" outlineLevel="1" collapsed="1" x14ac:dyDescent="0.25">
      <c r="A2737" s="321" t="s">
        <v>282</v>
      </c>
      <c r="B2737" s="321" t="s">
        <v>1212</v>
      </c>
      <c r="C2737" s="293">
        <v>0</v>
      </c>
      <c r="D2737" s="293">
        <v>200</v>
      </c>
      <c r="E2737" s="293">
        <v>200</v>
      </c>
      <c r="F2737" s="294" t="s">
        <v>298</v>
      </c>
    </row>
    <row r="2738" spans="1:6" hidden="1" outlineLevel="1" collapsed="1" x14ac:dyDescent="0.25">
      <c r="A2738" s="321" t="s">
        <v>282</v>
      </c>
      <c r="B2738" s="321" t="s">
        <v>401</v>
      </c>
      <c r="C2738" s="293">
        <v>2195</v>
      </c>
      <c r="D2738" s="293">
        <v>2113</v>
      </c>
      <c r="E2738" s="293">
        <v>-82</v>
      </c>
      <c r="F2738" s="294" t="s">
        <v>1010</v>
      </c>
    </row>
    <row r="2739" spans="1:6" hidden="1" outlineLevel="1" collapsed="1" x14ac:dyDescent="0.25">
      <c r="A2739" s="321" t="s">
        <v>282</v>
      </c>
      <c r="B2739" s="321" t="s">
        <v>405</v>
      </c>
      <c r="C2739" s="293">
        <v>1456</v>
      </c>
      <c r="D2739" s="293">
        <v>1000</v>
      </c>
      <c r="E2739" s="293">
        <v>-456</v>
      </c>
      <c r="F2739" s="294" t="s">
        <v>1241</v>
      </c>
    </row>
    <row r="2740" spans="1:6" hidden="1" outlineLevel="1" collapsed="1" x14ac:dyDescent="0.25">
      <c r="A2740" s="321" t="s">
        <v>282</v>
      </c>
      <c r="B2740" s="321" t="s">
        <v>1206</v>
      </c>
      <c r="C2740" s="293">
        <v>2019</v>
      </c>
      <c r="D2740" s="293">
        <v>700</v>
      </c>
      <c r="E2740" s="293">
        <v>-1319</v>
      </c>
      <c r="F2740" s="294" t="s">
        <v>1242</v>
      </c>
    </row>
    <row r="2741" spans="1:6" hidden="1" outlineLevel="1" collapsed="1" x14ac:dyDescent="0.25">
      <c r="A2741" s="321" t="s">
        <v>282</v>
      </c>
      <c r="B2741" s="321" t="s">
        <v>422</v>
      </c>
      <c r="C2741" s="293">
        <v>0</v>
      </c>
      <c r="D2741" s="293">
        <v>218</v>
      </c>
      <c r="E2741" s="293">
        <v>218</v>
      </c>
      <c r="F2741" s="294" t="s">
        <v>298</v>
      </c>
    </row>
    <row r="2742" spans="1:6" collapsed="1" x14ac:dyDescent="0.25">
      <c r="A2742" s="560" t="s">
        <v>1243</v>
      </c>
      <c r="B2742" s="561"/>
      <c r="C2742" s="292">
        <v>4819</v>
      </c>
      <c r="D2742" s="293">
        <v>5288</v>
      </c>
      <c r="E2742" s="293">
        <v>469</v>
      </c>
      <c r="F2742" s="294" t="s">
        <v>1244</v>
      </c>
    </row>
    <row r="2743" spans="1:6" hidden="1" outlineLevel="1" collapsed="1" x14ac:dyDescent="0.25">
      <c r="A2743" s="321" t="s">
        <v>282</v>
      </c>
      <c r="B2743" s="321" t="s">
        <v>375</v>
      </c>
      <c r="C2743" s="293">
        <v>141</v>
      </c>
      <c r="D2743" s="293">
        <v>1000</v>
      </c>
      <c r="E2743" s="293">
        <v>859</v>
      </c>
      <c r="F2743" s="294" t="s">
        <v>1245</v>
      </c>
    </row>
    <row r="2744" spans="1:6" hidden="1" outlineLevel="1" collapsed="1" x14ac:dyDescent="0.25">
      <c r="A2744" s="321" t="s">
        <v>282</v>
      </c>
      <c r="B2744" s="321" t="s">
        <v>401</v>
      </c>
      <c r="C2744" s="293">
        <v>2823</v>
      </c>
      <c r="D2744" s="293">
        <v>2350</v>
      </c>
      <c r="E2744" s="293">
        <v>-473</v>
      </c>
      <c r="F2744" s="294" t="s">
        <v>1246</v>
      </c>
    </row>
    <row r="2745" spans="1:6" hidden="1" outlineLevel="1" collapsed="1" x14ac:dyDescent="0.25">
      <c r="A2745" s="321" t="s">
        <v>282</v>
      </c>
      <c r="B2745" s="321" t="s">
        <v>405</v>
      </c>
      <c r="C2745" s="293">
        <v>1320</v>
      </c>
      <c r="D2745" s="293">
        <v>1100</v>
      </c>
      <c r="E2745" s="293">
        <v>-220</v>
      </c>
      <c r="F2745" s="294" t="s">
        <v>852</v>
      </c>
    </row>
    <row r="2746" spans="1:6" hidden="1" outlineLevel="1" collapsed="1" x14ac:dyDescent="0.25">
      <c r="A2746" s="321" t="s">
        <v>282</v>
      </c>
      <c r="B2746" s="321" t="s">
        <v>1206</v>
      </c>
      <c r="C2746" s="293">
        <v>535</v>
      </c>
      <c r="D2746" s="293">
        <v>838</v>
      </c>
      <c r="E2746" s="293">
        <v>303</v>
      </c>
      <c r="F2746" s="294" t="s">
        <v>1247</v>
      </c>
    </row>
    <row r="2747" spans="1:6" collapsed="1" x14ac:dyDescent="0.25">
      <c r="A2747" s="560" t="s">
        <v>1248</v>
      </c>
      <c r="B2747" s="561"/>
      <c r="C2747" s="292">
        <v>3718</v>
      </c>
      <c r="D2747" s="293">
        <v>4443</v>
      </c>
      <c r="E2747" s="293">
        <v>725</v>
      </c>
      <c r="F2747" s="294" t="s">
        <v>1249</v>
      </c>
    </row>
    <row r="2748" spans="1:6" hidden="1" outlineLevel="1" collapsed="1" x14ac:dyDescent="0.25">
      <c r="A2748" s="321" t="s">
        <v>282</v>
      </c>
      <c r="B2748" s="321" t="s">
        <v>375</v>
      </c>
      <c r="C2748" s="293">
        <v>0</v>
      </c>
      <c r="D2748" s="293">
        <v>1000</v>
      </c>
      <c r="E2748" s="293">
        <v>1000</v>
      </c>
      <c r="F2748" s="294" t="s">
        <v>298</v>
      </c>
    </row>
    <row r="2749" spans="1:6" hidden="1" outlineLevel="1" collapsed="1" x14ac:dyDescent="0.25">
      <c r="A2749" s="321" t="s">
        <v>282</v>
      </c>
      <c r="B2749" s="321" t="s">
        <v>401</v>
      </c>
      <c r="C2749" s="293">
        <v>2458</v>
      </c>
      <c r="D2749" s="293">
        <v>1943</v>
      </c>
      <c r="E2749" s="293">
        <v>-515</v>
      </c>
      <c r="F2749" s="294" t="s">
        <v>1250</v>
      </c>
    </row>
    <row r="2750" spans="1:6" hidden="1" outlineLevel="1" collapsed="1" x14ac:dyDescent="0.25">
      <c r="A2750" s="321" t="s">
        <v>282</v>
      </c>
      <c r="B2750" s="321" t="s">
        <v>405</v>
      </c>
      <c r="C2750" s="293">
        <v>880</v>
      </c>
      <c r="D2750" s="293">
        <v>1000</v>
      </c>
      <c r="E2750" s="293">
        <v>120</v>
      </c>
      <c r="F2750" s="294" t="s">
        <v>1251</v>
      </c>
    </row>
    <row r="2751" spans="1:6" hidden="1" outlineLevel="1" collapsed="1" x14ac:dyDescent="0.25">
      <c r="A2751" s="321" t="s">
        <v>282</v>
      </c>
      <c r="B2751" s="321" t="s">
        <v>1206</v>
      </c>
      <c r="C2751" s="293">
        <v>380</v>
      </c>
      <c r="D2751" s="293">
        <v>500</v>
      </c>
      <c r="E2751" s="293">
        <v>120</v>
      </c>
      <c r="F2751" s="294" t="s">
        <v>1252</v>
      </c>
    </row>
    <row r="2752" spans="1:6" collapsed="1" x14ac:dyDescent="0.25">
      <c r="A2752" s="560" t="s">
        <v>1253</v>
      </c>
      <c r="B2752" s="561"/>
      <c r="C2752" s="292">
        <v>36569</v>
      </c>
      <c r="D2752" s="293">
        <v>30906.48</v>
      </c>
      <c r="E2752" s="293">
        <v>-5662.52</v>
      </c>
      <c r="F2752" s="294" t="s">
        <v>1049</v>
      </c>
    </row>
    <row r="2753" spans="1:6" hidden="1" outlineLevel="1" collapsed="1" x14ac:dyDescent="0.25">
      <c r="A2753" s="321" t="s">
        <v>282</v>
      </c>
      <c r="B2753" s="321" t="s">
        <v>375</v>
      </c>
      <c r="C2753" s="293">
        <v>0</v>
      </c>
      <c r="D2753" s="293">
        <v>3000</v>
      </c>
      <c r="E2753" s="293">
        <v>3000</v>
      </c>
      <c r="F2753" s="294" t="s">
        <v>298</v>
      </c>
    </row>
    <row r="2754" spans="1:6" hidden="1" outlineLevel="1" collapsed="1" x14ac:dyDescent="0.25">
      <c r="A2754" s="321" t="s">
        <v>282</v>
      </c>
      <c r="B2754" s="321" t="s">
        <v>567</v>
      </c>
      <c r="C2754" s="293">
        <v>2130</v>
      </c>
      <c r="D2754" s="293">
        <v>2000</v>
      </c>
      <c r="E2754" s="293">
        <v>-130</v>
      </c>
      <c r="F2754" s="294" t="s">
        <v>1255</v>
      </c>
    </row>
    <row r="2755" spans="1:6" hidden="1" outlineLevel="1" collapsed="1" x14ac:dyDescent="0.25">
      <c r="A2755" s="321" t="s">
        <v>282</v>
      </c>
      <c r="B2755" s="321" t="s">
        <v>1202</v>
      </c>
      <c r="C2755" s="293">
        <v>6284</v>
      </c>
      <c r="D2755" s="293">
        <v>0</v>
      </c>
      <c r="E2755" s="293">
        <v>-6284</v>
      </c>
      <c r="F2755" s="294" t="s">
        <v>286</v>
      </c>
    </row>
    <row r="2756" spans="1:6" hidden="1" outlineLevel="1" collapsed="1" x14ac:dyDescent="0.25">
      <c r="A2756" s="321" t="s">
        <v>282</v>
      </c>
      <c r="B2756" s="321" t="s">
        <v>1212</v>
      </c>
      <c r="C2756" s="293">
        <v>0</v>
      </c>
      <c r="D2756" s="293">
        <v>3000</v>
      </c>
      <c r="E2756" s="293">
        <v>3000</v>
      </c>
      <c r="F2756" s="294" t="s">
        <v>298</v>
      </c>
    </row>
    <row r="2757" spans="1:6" hidden="1" outlineLevel="1" collapsed="1" x14ac:dyDescent="0.25">
      <c r="A2757" s="321" t="s">
        <v>282</v>
      </c>
      <c r="B2757" s="321" t="s">
        <v>416</v>
      </c>
      <c r="C2757" s="293">
        <v>0</v>
      </c>
      <c r="D2757" s="293">
        <v>0</v>
      </c>
      <c r="E2757" s="293">
        <v>0</v>
      </c>
      <c r="F2757" s="294" t="s">
        <v>316</v>
      </c>
    </row>
    <row r="2758" spans="1:6" hidden="1" outlineLevel="1" collapsed="1" x14ac:dyDescent="0.25">
      <c r="A2758" s="321" t="s">
        <v>282</v>
      </c>
      <c r="B2758" s="321" t="s">
        <v>401</v>
      </c>
      <c r="C2758" s="293">
        <v>16793</v>
      </c>
      <c r="D2758" s="293">
        <v>13476.48</v>
      </c>
      <c r="E2758" s="293">
        <v>-3316.52</v>
      </c>
      <c r="F2758" s="294" t="s">
        <v>2175</v>
      </c>
    </row>
    <row r="2759" spans="1:6" hidden="1" outlineLevel="1" collapsed="1" x14ac:dyDescent="0.25">
      <c r="A2759" s="321" t="s">
        <v>282</v>
      </c>
      <c r="B2759" s="321" t="s">
        <v>403</v>
      </c>
      <c r="C2759" s="293">
        <v>5200</v>
      </c>
      <c r="D2759" s="293">
        <v>3700</v>
      </c>
      <c r="E2759" s="293">
        <v>-1500</v>
      </c>
      <c r="F2759" s="294" t="s">
        <v>1258</v>
      </c>
    </row>
    <row r="2760" spans="1:6" hidden="1" outlineLevel="1" collapsed="1" x14ac:dyDescent="0.25">
      <c r="A2760" s="321" t="s">
        <v>282</v>
      </c>
      <c r="B2760" s="321" t="s">
        <v>405</v>
      </c>
      <c r="C2760" s="293">
        <v>3462</v>
      </c>
      <c r="D2760" s="293">
        <v>2462</v>
      </c>
      <c r="E2760" s="293">
        <v>-1000</v>
      </c>
      <c r="F2760" s="294" t="s">
        <v>1259</v>
      </c>
    </row>
    <row r="2761" spans="1:6" hidden="1" outlineLevel="1" collapsed="1" x14ac:dyDescent="0.25">
      <c r="A2761" s="321" t="s">
        <v>282</v>
      </c>
      <c r="B2761" s="321" t="s">
        <v>422</v>
      </c>
      <c r="C2761" s="293">
        <v>2700</v>
      </c>
      <c r="D2761" s="293">
        <v>3268</v>
      </c>
      <c r="E2761" s="293">
        <v>568</v>
      </c>
      <c r="F2761" s="294" t="s">
        <v>2176</v>
      </c>
    </row>
    <row r="2762" spans="1:6" collapsed="1" x14ac:dyDescent="0.25">
      <c r="A2762" s="560" t="s">
        <v>1261</v>
      </c>
      <c r="B2762" s="561"/>
      <c r="C2762" s="292">
        <v>11330.44</v>
      </c>
      <c r="D2762" s="293">
        <v>6093</v>
      </c>
      <c r="E2762" s="293">
        <v>-5237.4399999999996</v>
      </c>
      <c r="F2762" s="294" t="s">
        <v>2177</v>
      </c>
    </row>
    <row r="2763" spans="1:6" hidden="1" outlineLevel="1" collapsed="1" x14ac:dyDescent="0.25">
      <c r="A2763" s="321" t="s">
        <v>282</v>
      </c>
      <c r="B2763" s="321" t="s">
        <v>375</v>
      </c>
      <c r="C2763" s="293">
        <v>119</v>
      </c>
      <c r="D2763" s="293">
        <v>1000</v>
      </c>
      <c r="E2763" s="293">
        <v>881</v>
      </c>
      <c r="F2763" s="294" t="s">
        <v>1263</v>
      </c>
    </row>
    <row r="2764" spans="1:6" hidden="1" outlineLevel="1" collapsed="1" x14ac:dyDescent="0.25">
      <c r="A2764" s="321" t="s">
        <v>282</v>
      </c>
      <c r="B2764" s="321" t="s">
        <v>1202</v>
      </c>
      <c r="C2764" s="293">
        <v>2815</v>
      </c>
      <c r="D2764" s="293">
        <v>0</v>
      </c>
      <c r="E2764" s="293">
        <v>-2815</v>
      </c>
      <c r="F2764" s="294" t="s">
        <v>286</v>
      </c>
    </row>
    <row r="2765" spans="1:6" hidden="1" outlineLevel="1" collapsed="1" x14ac:dyDescent="0.25">
      <c r="A2765" s="321" t="s">
        <v>282</v>
      </c>
      <c r="B2765" s="321" t="s">
        <v>1212</v>
      </c>
      <c r="C2765" s="293">
        <v>0</v>
      </c>
      <c r="D2765" s="293">
        <v>300</v>
      </c>
      <c r="E2765" s="293">
        <v>300</v>
      </c>
      <c r="F2765" s="294" t="s">
        <v>298</v>
      </c>
    </row>
    <row r="2766" spans="1:6" hidden="1" outlineLevel="1" collapsed="1" x14ac:dyDescent="0.25">
      <c r="A2766" s="321" t="s">
        <v>282</v>
      </c>
      <c r="B2766" s="321" t="s">
        <v>401</v>
      </c>
      <c r="C2766" s="293">
        <v>6553.44</v>
      </c>
      <c r="D2766" s="293">
        <v>2951</v>
      </c>
      <c r="E2766" s="293">
        <v>-3602.44</v>
      </c>
      <c r="F2766" s="294" t="s">
        <v>1265</v>
      </c>
    </row>
    <row r="2767" spans="1:6" hidden="1" outlineLevel="1" collapsed="1" x14ac:dyDescent="0.25">
      <c r="A2767" s="321" t="s">
        <v>282</v>
      </c>
      <c r="B2767" s="321" t="s">
        <v>405</v>
      </c>
      <c r="C2767" s="293">
        <v>1843</v>
      </c>
      <c r="D2767" s="293">
        <v>1842</v>
      </c>
      <c r="E2767" s="293">
        <v>-1</v>
      </c>
      <c r="F2767" s="294" t="s">
        <v>1266</v>
      </c>
    </row>
    <row r="2768" spans="1:6" collapsed="1" x14ac:dyDescent="0.25">
      <c r="A2768" s="560" t="s">
        <v>1267</v>
      </c>
      <c r="B2768" s="561"/>
      <c r="C2768" s="292">
        <v>12215.74</v>
      </c>
      <c r="D2768" s="293">
        <v>12298</v>
      </c>
      <c r="E2768" s="293">
        <v>82.26</v>
      </c>
      <c r="F2768" s="294" t="s">
        <v>1413</v>
      </c>
    </row>
    <row r="2769" spans="1:6" hidden="1" outlineLevel="1" collapsed="1" x14ac:dyDescent="0.25">
      <c r="A2769" s="321" t="s">
        <v>282</v>
      </c>
      <c r="B2769" s="321" t="s">
        <v>375</v>
      </c>
      <c r="C2769" s="293">
        <v>1.74</v>
      </c>
      <c r="D2769" s="293">
        <v>1800</v>
      </c>
      <c r="E2769" s="293">
        <v>1798.26</v>
      </c>
      <c r="F2769" s="294" t="s">
        <v>1269</v>
      </c>
    </row>
    <row r="2770" spans="1:6" hidden="1" outlineLevel="1" collapsed="1" x14ac:dyDescent="0.25">
      <c r="A2770" s="321" t="s">
        <v>282</v>
      </c>
      <c r="B2770" s="321" t="s">
        <v>1202</v>
      </c>
      <c r="C2770" s="293">
        <v>2421</v>
      </c>
      <c r="D2770" s="293">
        <v>0</v>
      </c>
      <c r="E2770" s="293">
        <v>-2421</v>
      </c>
      <c r="F2770" s="294" t="s">
        <v>286</v>
      </c>
    </row>
    <row r="2771" spans="1:6" hidden="1" outlineLevel="1" collapsed="1" x14ac:dyDescent="0.25">
      <c r="A2771" s="321" t="s">
        <v>282</v>
      </c>
      <c r="B2771" s="321" t="s">
        <v>1212</v>
      </c>
      <c r="C2771" s="293">
        <v>0</v>
      </c>
      <c r="D2771" s="293">
        <v>200</v>
      </c>
      <c r="E2771" s="293">
        <v>200</v>
      </c>
      <c r="F2771" s="294" t="s">
        <v>298</v>
      </c>
    </row>
    <row r="2772" spans="1:6" hidden="1" outlineLevel="1" collapsed="1" x14ac:dyDescent="0.25">
      <c r="A2772" s="321" t="s">
        <v>282</v>
      </c>
      <c r="B2772" s="321" t="s">
        <v>401</v>
      </c>
      <c r="C2772" s="293">
        <v>7105</v>
      </c>
      <c r="D2772" s="293">
        <v>6000</v>
      </c>
      <c r="E2772" s="293">
        <v>-1105</v>
      </c>
      <c r="F2772" s="294" t="s">
        <v>1271</v>
      </c>
    </row>
    <row r="2773" spans="1:6" hidden="1" outlineLevel="1" collapsed="1" x14ac:dyDescent="0.25">
      <c r="A2773" s="321" t="s">
        <v>282</v>
      </c>
      <c r="B2773" s="321" t="s">
        <v>405</v>
      </c>
      <c r="C2773" s="293">
        <v>2688</v>
      </c>
      <c r="D2773" s="293">
        <v>2761</v>
      </c>
      <c r="E2773" s="293">
        <v>73</v>
      </c>
      <c r="F2773" s="294" t="s">
        <v>666</v>
      </c>
    </row>
    <row r="2774" spans="1:6" hidden="1" outlineLevel="1" collapsed="1" x14ac:dyDescent="0.25">
      <c r="A2774" s="321" t="s">
        <v>282</v>
      </c>
      <c r="B2774" s="321" t="s">
        <v>422</v>
      </c>
      <c r="C2774" s="293">
        <v>0</v>
      </c>
      <c r="D2774" s="293">
        <v>1537</v>
      </c>
      <c r="E2774" s="293">
        <v>1537</v>
      </c>
      <c r="F2774" s="294" t="s">
        <v>298</v>
      </c>
    </row>
    <row r="2775" spans="1:6" collapsed="1" x14ac:dyDescent="0.25">
      <c r="A2775" s="560" t="s">
        <v>1272</v>
      </c>
      <c r="B2775" s="561"/>
      <c r="C2775" s="292">
        <v>13589</v>
      </c>
      <c r="D2775" s="293">
        <v>15029</v>
      </c>
      <c r="E2775" s="293">
        <v>1440</v>
      </c>
      <c r="F2775" s="294" t="s">
        <v>1273</v>
      </c>
    </row>
    <row r="2776" spans="1:6" hidden="1" outlineLevel="1" collapsed="1" x14ac:dyDescent="0.25">
      <c r="A2776" s="321" t="s">
        <v>282</v>
      </c>
      <c r="B2776" s="321" t="s">
        <v>375</v>
      </c>
      <c r="C2776" s="293">
        <v>1192</v>
      </c>
      <c r="D2776" s="293">
        <v>1500</v>
      </c>
      <c r="E2776" s="293">
        <v>308</v>
      </c>
      <c r="F2776" s="294" t="s">
        <v>1274</v>
      </c>
    </row>
    <row r="2777" spans="1:6" hidden="1" outlineLevel="1" collapsed="1" x14ac:dyDescent="0.25">
      <c r="A2777" s="321" t="s">
        <v>282</v>
      </c>
      <c r="B2777" s="321" t="s">
        <v>376</v>
      </c>
      <c r="C2777" s="293">
        <v>0</v>
      </c>
      <c r="D2777" s="293">
        <v>0</v>
      </c>
      <c r="E2777" s="293">
        <v>0</v>
      </c>
      <c r="F2777" s="294" t="s">
        <v>316</v>
      </c>
    </row>
    <row r="2778" spans="1:6" hidden="1" outlineLevel="1" collapsed="1" x14ac:dyDescent="0.25">
      <c r="A2778" s="321" t="s">
        <v>282</v>
      </c>
      <c r="B2778" s="321" t="s">
        <v>1202</v>
      </c>
      <c r="C2778" s="293">
        <v>5047</v>
      </c>
      <c r="D2778" s="293">
        <v>5050</v>
      </c>
      <c r="E2778" s="293">
        <v>3</v>
      </c>
      <c r="F2778" s="294" t="s">
        <v>848</v>
      </c>
    </row>
    <row r="2779" spans="1:6" hidden="1" outlineLevel="1" collapsed="1" x14ac:dyDescent="0.25">
      <c r="A2779" s="321" t="s">
        <v>282</v>
      </c>
      <c r="B2779" s="321" t="s">
        <v>597</v>
      </c>
      <c r="C2779" s="293">
        <v>7350</v>
      </c>
      <c r="D2779" s="293">
        <v>8479</v>
      </c>
      <c r="E2779" s="293">
        <v>1129</v>
      </c>
      <c r="F2779" s="294" t="s">
        <v>1275</v>
      </c>
    </row>
    <row r="2780" spans="1:6" hidden="1" outlineLevel="1" collapsed="1" x14ac:dyDescent="0.25">
      <c r="A2780" s="321" t="s">
        <v>282</v>
      </c>
      <c r="B2780" s="321" t="s">
        <v>543</v>
      </c>
      <c r="C2780" s="293">
        <v>0</v>
      </c>
      <c r="D2780" s="293">
        <v>0</v>
      </c>
      <c r="E2780" s="293">
        <v>0</v>
      </c>
      <c r="F2780" s="294" t="s">
        <v>316</v>
      </c>
    </row>
    <row r="2781" spans="1:6" hidden="1" outlineLevel="1" collapsed="1" x14ac:dyDescent="0.25">
      <c r="A2781" s="321" t="s">
        <v>282</v>
      </c>
      <c r="B2781" s="321" t="s">
        <v>403</v>
      </c>
      <c r="C2781" s="293">
        <v>0</v>
      </c>
      <c r="D2781" s="293">
        <v>0</v>
      </c>
      <c r="E2781" s="293">
        <v>0</v>
      </c>
      <c r="F2781" s="294" t="s">
        <v>316</v>
      </c>
    </row>
    <row r="2782" spans="1:6" collapsed="1" x14ac:dyDescent="0.25">
      <c r="A2782" s="560" t="s">
        <v>1276</v>
      </c>
      <c r="B2782" s="561"/>
      <c r="C2782" s="292">
        <v>2525</v>
      </c>
      <c r="D2782" s="293">
        <v>2925</v>
      </c>
      <c r="E2782" s="293">
        <v>400</v>
      </c>
      <c r="F2782" s="294" t="s">
        <v>1277</v>
      </c>
    </row>
    <row r="2783" spans="1:6" hidden="1" outlineLevel="1" collapsed="1" x14ac:dyDescent="0.25">
      <c r="A2783" s="321" t="s">
        <v>282</v>
      </c>
      <c r="B2783" s="321" t="s">
        <v>597</v>
      </c>
      <c r="C2783" s="293">
        <v>2474</v>
      </c>
      <c r="D2783" s="293">
        <v>2500</v>
      </c>
      <c r="E2783" s="293">
        <v>26</v>
      </c>
      <c r="F2783" s="294" t="s">
        <v>1278</v>
      </c>
    </row>
    <row r="2784" spans="1:6" hidden="1" outlineLevel="1" collapsed="1" x14ac:dyDescent="0.25">
      <c r="A2784" s="321" t="s">
        <v>282</v>
      </c>
      <c r="B2784" s="321" t="s">
        <v>403</v>
      </c>
      <c r="C2784" s="293">
        <v>51</v>
      </c>
      <c r="D2784" s="293">
        <v>425</v>
      </c>
      <c r="E2784" s="293">
        <v>374</v>
      </c>
      <c r="F2784" s="294" t="s">
        <v>1279</v>
      </c>
    </row>
    <row r="2785" spans="1:6" collapsed="1" x14ac:dyDescent="0.25">
      <c r="A2785" s="560" t="s">
        <v>1280</v>
      </c>
      <c r="B2785" s="561"/>
      <c r="C2785" s="292">
        <v>68474.008111999996</v>
      </c>
      <c r="D2785" s="293">
        <v>53772.063318</v>
      </c>
      <c r="E2785" s="293">
        <v>-14701.944793999999</v>
      </c>
      <c r="F2785" s="294" t="s">
        <v>2178</v>
      </c>
    </row>
    <row r="2786" spans="1:6" hidden="1" outlineLevel="1" collapsed="1" x14ac:dyDescent="0.25">
      <c r="A2786" s="321" t="s">
        <v>282</v>
      </c>
      <c r="B2786" s="321" t="s">
        <v>464</v>
      </c>
      <c r="C2786" s="293">
        <v>14997.700467999999</v>
      </c>
      <c r="D2786" s="293">
        <v>29604.842393999999</v>
      </c>
      <c r="E2786" s="293">
        <v>14607.141926</v>
      </c>
      <c r="F2786" s="294" t="s">
        <v>2179</v>
      </c>
    </row>
    <row r="2787" spans="1:6" hidden="1" outlineLevel="1" collapsed="1" x14ac:dyDescent="0.25">
      <c r="A2787" s="321" t="s">
        <v>282</v>
      </c>
      <c r="B2787" s="321" t="s">
        <v>799</v>
      </c>
      <c r="C2787" s="293">
        <v>27200</v>
      </c>
      <c r="D2787" s="293">
        <v>3000</v>
      </c>
      <c r="E2787" s="293">
        <v>-24200</v>
      </c>
      <c r="F2787" s="294" t="s">
        <v>2180</v>
      </c>
    </row>
    <row r="2788" spans="1:6" hidden="1" outlineLevel="1" collapsed="1" x14ac:dyDescent="0.25">
      <c r="A2788" s="321" t="s">
        <v>282</v>
      </c>
      <c r="B2788" s="321" t="s">
        <v>384</v>
      </c>
      <c r="C2788" s="293">
        <v>5308.4707200000003</v>
      </c>
      <c r="D2788" s="293">
        <v>0</v>
      </c>
      <c r="E2788" s="293">
        <v>-5308.4707200000003</v>
      </c>
      <c r="F2788" s="294" t="s">
        <v>286</v>
      </c>
    </row>
    <row r="2789" spans="1:6" hidden="1" outlineLevel="1" collapsed="1" x14ac:dyDescent="0.25">
      <c r="A2789" s="321" t="s">
        <v>282</v>
      </c>
      <c r="B2789" s="321" t="s">
        <v>385</v>
      </c>
      <c r="C2789" s="293">
        <v>0</v>
      </c>
      <c r="D2789" s="293">
        <v>5063.8580730000003</v>
      </c>
      <c r="E2789" s="293">
        <v>5063.8580730000003</v>
      </c>
      <c r="F2789" s="294" t="s">
        <v>298</v>
      </c>
    </row>
    <row r="2790" spans="1:6" hidden="1" outlineLevel="1" collapsed="1" x14ac:dyDescent="0.25">
      <c r="A2790" s="321" t="s">
        <v>282</v>
      </c>
      <c r="B2790" s="321" t="s">
        <v>386</v>
      </c>
      <c r="C2790" s="293">
        <v>2616.2574239999999</v>
      </c>
      <c r="D2790" s="293">
        <v>0</v>
      </c>
      <c r="E2790" s="293">
        <v>-2616.2574239999999</v>
      </c>
      <c r="F2790" s="294" t="s">
        <v>286</v>
      </c>
    </row>
    <row r="2791" spans="1:6" hidden="1" outlineLevel="1" collapsed="1" x14ac:dyDescent="0.25">
      <c r="A2791" s="321" t="s">
        <v>282</v>
      </c>
      <c r="B2791" s="321" t="s">
        <v>387</v>
      </c>
      <c r="C2791" s="293">
        <v>0</v>
      </c>
      <c r="D2791" s="293">
        <v>2021.5002239999999</v>
      </c>
      <c r="E2791" s="293">
        <v>2021.5002239999999</v>
      </c>
      <c r="F2791" s="294" t="s">
        <v>298</v>
      </c>
    </row>
    <row r="2792" spans="1:6" hidden="1" outlineLevel="1" collapsed="1" x14ac:dyDescent="0.25">
      <c r="A2792" s="321" t="s">
        <v>282</v>
      </c>
      <c r="B2792" s="321" t="s">
        <v>388</v>
      </c>
      <c r="C2792" s="293">
        <v>611.86665600000003</v>
      </c>
      <c r="D2792" s="293">
        <v>472.77020700000003</v>
      </c>
      <c r="E2792" s="293">
        <v>-139.09644900000001</v>
      </c>
      <c r="F2792" s="294" t="s">
        <v>2181</v>
      </c>
    </row>
    <row r="2793" spans="1:6" hidden="1" outlineLevel="1" collapsed="1" x14ac:dyDescent="0.25">
      <c r="A2793" s="321" t="s">
        <v>282</v>
      </c>
      <c r="B2793" s="321" t="s">
        <v>389</v>
      </c>
      <c r="C2793" s="293">
        <v>426.12479999999999</v>
      </c>
      <c r="D2793" s="293">
        <v>316.52999999999997</v>
      </c>
      <c r="E2793" s="293">
        <v>-109.59480000000001</v>
      </c>
      <c r="F2793" s="294" t="s">
        <v>2036</v>
      </c>
    </row>
    <row r="2794" spans="1:6" hidden="1" outlineLevel="1" collapsed="1" x14ac:dyDescent="0.25">
      <c r="A2794" s="321" t="s">
        <v>282</v>
      </c>
      <c r="B2794" s="321" t="s">
        <v>390</v>
      </c>
      <c r="C2794" s="293">
        <v>15485.27</v>
      </c>
      <c r="D2794" s="293">
        <v>11969.46</v>
      </c>
      <c r="E2794" s="293">
        <v>-3515.81</v>
      </c>
      <c r="F2794" s="294" t="s">
        <v>2042</v>
      </c>
    </row>
    <row r="2795" spans="1:6" hidden="1" outlineLevel="1" collapsed="1" x14ac:dyDescent="0.25">
      <c r="A2795" s="321" t="s">
        <v>282</v>
      </c>
      <c r="B2795" s="321" t="s">
        <v>392</v>
      </c>
      <c r="C2795" s="293">
        <v>233.53919999999999</v>
      </c>
      <c r="D2795" s="293">
        <v>137.16</v>
      </c>
      <c r="E2795" s="293">
        <v>-96.379199999999997</v>
      </c>
      <c r="F2795" s="294" t="s">
        <v>2037</v>
      </c>
    </row>
    <row r="2796" spans="1:6" hidden="1" outlineLevel="1" collapsed="1" x14ac:dyDescent="0.25">
      <c r="A2796" s="321" t="s">
        <v>282</v>
      </c>
      <c r="B2796" s="321" t="s">
        <v>393</v>
      </c>
      <c r="C2796" s="293">
        <v>21.098844</v>
      </c>
      <c r="D2796" s="293">
        <v>16.302420000000001</v>
      </c>
      <c r="E2796" s="293">
        <v>-4.796424</v>
      </c>
      <c r="F2796" s="294" t="s">
        <v>2181</v>
      </c>
    </row>
    <row r="2797" spans="1:6" hidden="1" outlineLevel="1" collapsed="1" x14ac:dyDescent="0.25">
      <c r="A2797" s="321" t="s">
        <v>282</v>
      </c>
      <c r="B2797" s="321" t="s">
        <v>394</v>
      </c>
      <c r="C2797" s="293">
        <v>1500</v>
      </c>
      <c r="D2797" s="293">
        <v>0</v>
      </c>
      <c r="E2797" s="293">
        <v>-1500</v>
      </c>
      <c r="F2797" s="294" t="s">
        <v>286</v>
      </c>
    </row>
    <row r="2798" spans="1:6" hidden="1" outlineLevel="1" collapsed="1" x14ac:dyDescent="0.25">
      <c r="A2798" s="321" t="s">
        <v>282</v>
      </c>
      <c r="B2798" s="321" t="s">
        <v>395</v>
      </c>
      <c r="C2798" s="293">
        <v>0</v>
      </c>
      <c r="D2798" s="293">
        <v>1125</v>
      </c>
      <c r="E2798" s="293">
        <v>1125</v>
      </c>
      <c r="F2798" s="294" t="s">
        <v>298</v>
      </c>
    </row>
    <row r="2799" spans="1:6" hidden="1" outlineLevel="1" collapsed="1" x14ac:dyDescent="0.25">
      <c r="A2799" s="321" t="s">
        <v>282</v>
      </c>
      <c r="B2799" s="321" t="s">
        <v>396</v>
      </c>
      <c r="C2799" s="293">
        <v>49.68</v>
      </c>
      <c r="D2799" s="293">
        <v>0</v>
      </c>
      <c r="E2799" s="293">
        <v>-49.68</v>
      </c>
      <c r="F2799" s="294" t="s">
        <v>286</v>
      </c>
    </row>
    <row r="2800" spans="1:6" hidden="1" outlineLevel="1" collapsed="1" x14ac:dyDescent="0.25">
      <c r="A2800" s="321" t="s">
        <v>282</v>
      </c>
      <c r="B2800" s="321" t="s">
        <v>397</v>
      </c>
      <c r="C2800" s="293">
        <v>0</v>
      </c>
      <c r="D2800" s="293">
        <v>36.36</v>
      </c>
      <c r="E2800" s="293">
        <v>36.36</v>
      </c>
      <c r="F2800" s="294" t="s">
        <v>298</v>
      </c>
    </row>
    <row r="2801" spans="1:6" hidden="1" outlineLevel="1" collapsed="1" x14ac:dyDescent="0.25">
      <c r="A2801" s="321" t="s">
        <v>282</v>
      </c>
      <c r="B2801" s="321" t="s">
        <v>398</v>
      </c>
      <c r="C2801" s="293">
        <v>24</v>
      </c>
      <c r="D2801" s="293">
        <v>8.2799999999999994</v>
      </c>
      <c r="E2801" s="293">
        <v>-15.72</v>
      </c>
      <c r="F2801" s="294" t="s">
        <v>2038</v>
      </c>
    </row>
    <row r="2802" spans="1:6" collapsed="1" x14ac:dyDescent="0.25">
      <c r="A2802" s="560" t="s">
        <v>1284</v>
      </c>
      <c r="B2802" s="561"/>
      <c r="C2802" s="292">
        <v>46</v>
      </c>
      <c r="D2802" s="293">
        <v>0</v>
      </c>
      <c r="E2802" s="293">
        <v>-46</v>
      </c>
      <c r="F2802" s="294" t="s">
        <v>286</v>
      </c>
    </row>
    <row r="2803" spans="1:6" hidden="1" outlineLevel="1" collapsed="1" x14ac:dyDescent="0.25">
      <c r="A2803" s="321" t="s">
        <v>282</v>
      </c>
      <c r="B2803" s="321" t="s">
        <v>375</v>
      </c>
      <c r="C2803" s="293">
        <v>46</v>
      </c>
      <c r="D2803" s="293">
        <v>0</v>
      </c>
      <c r="E2803" s="293">
        <v>-46</v>
      </c>
      <c r="F2803" s="294" t="s">
        <v>286</v>
      </c>
    </row>
    <row r="2804" spans="1:6" collapsed="1" x14ac:dyDescent="0.25">
      <c r="A2804" s="560" t="s">
        <v>1285</v>
      </c>
      <c r="B2804" s="561"/>
      <c r="C2804" s="292">
        <v>816933.10600399994</v>
      </c>
      <c r="D2804" s="293">
        <v>937062.96042000002</v>
      </c>
      <c r="E2804" s="293">
        <v>120129.854416</v>
      </c>
      <c r="F2804" s="294" t="s">
        <v>2182</v>
      </c>
    </row>
    <row r="2805" spans="1:6" hidden="1" outlineLevel="1" collapsed="1" x14ac:dyDescent="0.25">
      <c r="A2805" s="321" t="s">
        <v>282</v>
      </c>
      <c r="B2805" s="321" t="s">
        <v>942</v>
      </c>
      <c r="C2805" s="293">
        <v>262673.88782399998</v>
      </c>
      <c r="D2805" s="293">
        <v>271682.70062399999</v>
      </c>
      <c r="E2805" s="293">
        <v>9008.8127999999997</v>
      </c>
      <c r="F2805" s="294" t="s">
        <v>1287</v>
      </c>
    </row>
    <row r="2806" spans="1:6" hidden="1" outlineLevel="1" collapsed="1" x14ac:dyDescent="0.25">
      <c r="A2806" s="321" t="s">
        <v>282</v>
      </c>
      <c r="B2806" s="321" t="s">
        <v>464</v>
      </c>
      <c r="C2806" s="293">
        <v>113227.583828</v>
      </c>
      <c r="D2806" s="293">
        <v>116625.702704</v>
      </c>
      <c r="E2806" s="293">
        <v>3398.118876</v>
      </c>
      <c r="F2806" s="294" t="s">
        <v>548</v>
      </c>
    </row>
    <row r="2807" spans="1:6" hidden="1" outlineLevel="1" collapsed="1" x14ac:dyDescent="0.25">
      <c r="A2807" s="321" t="s">
        <v>282</v>
      </c>
      <c r="B2807" s="321" t="s">
        <v>384</v>
      </c>
      <c r="C2807" s="293">
        <v>47187.765108</v>
      </c>
      <c r="D2807" s="293">
        <v>0</v>
      </c>
      <c r="E2807" s="293">
        <v>-47187.765108</v>
      </c>
      <c r="F2807" s="294" t="s">
        <v>286</v>
      </c>
    </row>
    <row r="2808" spans="1:6" hidden="1" outlineLevel="1" collapsed="1" x14ac:dyDescent="0.25">
      <c r="A2808" s="321" t="s">
        <v>282</v>
      </c>
      <c r="B2808" s="321" t="s">
        <v>385</v>
      </c>
      <c r="C2808" s="293">
        <v>0</v>
      </c>
      <c r="D2808" s="293">
        <v>60183.930119999997</v>
      </c>
      <c r="E2808" s="293">
        <v>60183.930119999997</v>
      </c>
      <c r="F2808" s="294" t="s">
        <v>298</v>
      </c>
    </row>
    <row r="2809" spans="1:6" hidden="1" outlineLevel="1" collapsed="1" x14ac:dyDescent="0.25">
      <c r="A2809" s="321" t="s">
        <v>282</v>
      </c>
      <c r="B2809" s="321" t="s">
        <v>386</v>
      </c>
      <c r="C2809" s="293">
        <v>23305.891211999999</v>
      </c>
      <c r="D2809" s="293">
        <v>0</v>
      </c>
      <c r="E2809" s="293">
        <v>-23305.891211999999</v>
      </c>
      <c r="F2809" s="294" t="s">
        <v>286</v>
      </c>
    </row>
    <row r="2810" spans="1:6" hidden="1" outlineLevel="1" collapsed="1" x14ac:dyDescent="0.25">
      <c r="A2810" s="321" t="s">
        <v>282</v>
      </c>
      <c r="B2810" s="321" t="s">
        <v>387</v>
      </c>
      <c r="C2810" s="293">
        <v>0</v>
      </c>
      <c r="D2810" s="293">
        <v>24075.120972000001</v>
      </c>
      <c r="E2810" s="293">
        <v>24075.120972000001</v>
      </c>
      <c r="F2810" s="294" t="s">
        <v>298</v>
      </c>
    </row>
    <row r="2811" spans="1:6" hidden="1" outlineLevel="1" collapsed="1" x14ac:dyDescent="0.25">
      <c r="A2811" s="321" t="s">
        <v>282</v>
      </c>
      <c r="B2811" s="321" t="s">
        <v>388</v>
      </c>
      <c r="C2811" s="293">
        <v>5450.5713239999995</v>
      </c>
      <c r="D2811" s="293">
        <v>5630.4718199999998</v>
      </c>
      <c r="E2811" s="293">
        <v>179.900496</v>
      </c>
      <c r="F2811" s="294" t="s">
        <v>1288</v>
      </c>
    </row>
    <row r="2812" spans="1:6" hidden="1" outlineLevel="1" collapsed="1" x14ac:dyDescent="0.25">
      <c r="A2812" s="321" t="s">
        <v>282</v>
      </c>
      <c r="B2812" s="321" t="s">
        <v>389</v>
      </c>
      <c r="C2812" s="293">
        <v>1704.4992</v>
      </c>
      <c r="D2812" s="293">
        <v>1688.16</v>
      </c>
      <c r="E2812" s="293">
        <v>-16.339200000000002</v>
      </c>
      <c r="F2812" s="294" t="s">
        <v>364</v>
      </c>
    </row>
    <row r="2813" spans="1:6" hidden="1" outlineLevel="1" collapsed="1" x14ac:dyDescent="0.25">
      <c r="A2813" s="321" t="s">
        <v>282</v>
      </c>
      <c r="B2813" s="321" t="s">
        <v>390</v>
      </c>
      <c r="C2813" s="293">
        <v>61941.08</v>
      </c>
      <c r="D2813" s="293">
        <v>63837.120000000003</v>
      </c>
      <c r="E2813" s="293">
        <v>1896.04</v>
      </c>
      <c r="F2813" s="294" t="s">
        <v>391</v>
      </c>
    </row>
    <row r="2814" spans="1:6" hidden="1" outlineLevel="1" collapsed="1" x14ac:dyDescent="0.25">
      <c r="A2814" s="321" t="s">
        <v>282</v>
      </c>
      <c r="B2814" s="321" t="s">
        <v>392</v>
      </c>
      <c r="C2814" s="293">
        <v>934.15679999999998</v>
      </c>
      <c r="D2814" s="293">
        <v>731.52</v>
      </c>
      <c r="E2814" s="293">
        <v>-202.63679999999999</v>
      </c>
      <c r="F2814" s="294" t="s">
        <v>368</v>
      </c>
    </row>
    <row r="2815" spans="1:6" hidden="1" outlineLevel="1" collapsed="1" x14ac:dyDescent="0.25">
      <c r="A2815" s="321" t="s">
        <v>282</v>
      </c>
      <c r="B2815" s="321" t="s">
        <v>393</v>
      </c>
      <c r="C2815" s="293">
        <v>187.95070799999999</v>
      </c>
      <c r="D2815" s="293">
        <v>194.15418</v>
      </c>
      <c r="E2815" s="293">
        <v>6.2034719999999997</v>
      </c>
      <c r="F2815" s="294" t="s">
        <v>1288</v>
      </c>
    </row>
    <row r="2816" spans="1:6" hidden="1" outlineLevel="1" collapsed="1" x14ac:dyDescent="0.25">
      <c r="A2816" s="321" t="s">
        <v>282</v>
      </c>
      <c r="B2816" s="321" t="s">
        <v>394</v>
      </c>
      <c r="C2816" s="293">
        <v>6000</v>
      </c>
      <c r="D2816" s="293">
        <v>0</v>
      </c>
      <c r="E2816" s="293">
        <v>-6000</v>
      </c>
      <c r="F2816" s="294" t="s">
        <v>286</v>
      </c>
    </row>
    <row r="2817" spans="1:6" hidden="1" outlineLevel="1" collapsed="1" x14ac:dyDescent="0.25">
      <c r="A2817" s="321" t="s">
        <v>282</v>
      </c>
      <c r="B2817" s="321" t="s">
        <v>395</v>
      </c>
      <c r="C2817" s="293">
        <v>0</v>
      </c>
      <c r="D2817" s="293">
        <v>6000</v>
      </c>
      <c r="E2817" s="293">
        <v>6000</v>
      </c>
      <c r="F2817" s="294" t="s">
        <v>298</v>
      </c>
    </row>
    <row r="2818" spans="1:6" hidden="1" outlineLevel="1" collapsed="1" x14ac:dyDescent="0.25">
      <c r="A2818" s="321" t="s">
        <v>282</v>
      </c>
      <c r="B2818" s="321" t="s">
        <v>396</v>
      </c>
      <c r="C2818" s="293">
        <v>198.72</v>
      </c>
      <c r="D2818" s="293">
        <v>0</v>
      </c>
      <c r="E2818" s="293">
        <v>-198.72</v>
      </c>
      <c r="F2818" s="294" t="s">
        <v>286</v>
      </c>
    </row>
    <row r="2819" spans="1:6" hidden="1" outlineLevel="1" collapsed="1" x14ac:dyDescent="0.25">
      <c r="A2819" s="321" t="s">
        <v>282</v>
      </c>
      <c r="B2819" s="321" t="s">
        <v>397</v>
      </c>
      <c r="C2819" s="293">
        <v>0</v>
      </c>
      <c r="D2819" s="293">
        <v>193.92</v>
      </c>
      <c r="E2819" s="293">
        <v>193.92</v>
      </c>
      <c r="F2819" s="294" t="s">
        <v>298</v>
      </c>
    </row>
    <row r="2820" spans="1:6" hidden="1" outlineLevel="1" collapsed="1" x14ac:dyDescent="0.25">
      <c r="A2820" s="321" t="s">
        <v>282</v>
      </c>
      <c r="B2820" s="321" t="s">
        <v>398</v>
      </c>
      <c r="C2820" s="293">
        <v>96</v>
      </c>
      <c r="D2820" s="293">
        <v>44.16</v>
      </c>
      <c r="E2820" s="293">
        <v>-51.84</v>
      </c>
      <c r="F2820" s="294" t="s">
        <v>374</v>
      </c>
    </row>
    <row r="2821" spans="1:6" hidden="1" outlineLevel="1" collapsed="1" x14ac:dyDescent="0.25">
      <c r="A2821" s="321" t="s">
        <v>282</v>
      </c>
      <c r="B2821" s="321" t="s">
        <v>399</v>
      </c>
      <c r="C2821" s="293">
        <v>175</v>
      </c>
      <c r="D2821" s="293">
        <v>0</v>
      </c>
      <c r="E2821" s="293">
        <v>-175</v>
      </c>
      <c r="F2821" s="294" t="s">
        <v>286</v>
      </c>
    </row>
    <row r="2822" spans="1:6" hidden="1" outlineLevel="1" collapsed="1" x14ac:dyDescent="0.25">
      <c r="A2822" s="321" t="s">
        <v>282</v>
      </c>
      <c r="B2822" s="321" t="s">
        <v>376</v>
      </c>
      <c r="C2822" s="293">
        <v>2423</v>
      </c>
      <c r="D2822" s="293">
        <v>2423</v>
      </c>
      <c r="E2822" s="293">
        <v>0</v>
      </c>
      <c r="F2822" s="294" t="s">
        <v>316</v>
      </c>
    </row>
    <row r="2823" spans="1:6" hidden="1" outlineLevel="1" collapsed="1" x14ac:dyDescent="0.25">
      <c r="A2823" s="321" t="s">
        <v>282</v>
      </c>
      <c r="B2823" s="321" t="s">
        <v>426</v>
      </c>
      <c r="C2823" s="293">
        <v>410</v>
      </c>
      <c r="D2823" s="293">
        <v>7500</v>
      </c>
      <c r="E2823" s="293">
        <v>7090</v>
      </c>
      <c r="F2823" s="294" t="s">
        <v>1289</v>
      </c>
    </row>
    <row r="2824" spans="1:6" hidden="1" outlineLevel="1" collapsed="1" x14ac:dyDescent="0.25">
      <c r="A2824" s="321" t="s">
        <v>282</v>
      </c>
      <c r="B2824" s="321" t="s">
        <v>952</v>
      </c>
      <c r="C2824" s="293">
        <v>600</v>
      </c>
      <c r="D2824" s="293">
        <v>600</v>
      </c>
      <c r="E2824" s="293">
        <v>0</v>
      </c>
      <c r="F2824" s="294" t="s">
        <v>316</v>
      </c>
    </row>
    <row r="2825" spans="1:6" hidden="1" outlineLevel="1" collapsed="1" x14ac:dyDescent="0.25">
      <c r="A2825" s="321" t="s">
        <v>282</v>
      </c>
      <c r="B2825" s="321" t="s">
        <v>403</v>
      </c>
      <c r="C2825" s="293">
        <v>0</v>
      </c>
      <c r="D2825" s="293">
        <v>1067</v>
      </c>
      <c r="E2825" s="293">
        <v>1067</v>
      </c>
      <c r="F2825" s="294" t="s">
        <v>298</v>
      </c>
    </row>
    <row r="2826" spans="1:6" hidden="1" outlineLevel="1" collapsed="1" x14ac:dyDescent="0.25">
      <c r="A2826" s="321" t="s">
        <v>282</v>
      </c>
      <c r="B2826" s="321" t="s">
        <v>405</v>
      </c>
      <c r="C2826" s="293">
        <v>98311</v>
      </c>
      <c r="D2826" s="293">
        <v>222000</v>
      </c>
      <c r="E2826" s="293">
        <v>123689</v>
      </c>
      <c r="F2826" s="294" t="s">
        <v>2183</v>
      </c>
    </row>
    <row r="2827" spans="1:6" hidden="1" outlineLevel="1" collapsed="1" x14ac:dyDescent="0.25">
      <c r="A2827" s="321" t="s">
        <v>282</v>
      </c>
      <c r="B2827" s="321" t="s">
        <v>831</v>
      </c>
      <c r="C2827" s="293">
        <v>90548</v>
      </c>
      <c r="D2827" s="293">
        <v>140805</v>
      </c>
      <c r="E2827" s="293">
        <v>50257</v>
      </c>
      <c r="F2827" s="294" t="s">
        <v>2184</v>
      </c>
    </row>
    <row r="2828" spans="1:6" hidden="1" outlineLevel="1" collapsed="1" x14ac:dyDescent="0.25">
      <c r="A2828" s="321" t="s">
        <v>282</v>
      </c>
      <c r="B2828" s="321" t="s">
        <v>422</v>
      </c>
      <c r="C2828" s="293">
        <v>101558</v>
      </c>
      <c r="D2828" s="293">
        <v>11781</v>
      </c>
      <c r="E2828" s="293">
        <v>-89777</v>
      </c>
      <c r="F2828" s="294" t="s">
        <v>2185</v>
      </c>
    </row>
    <row r="2829" spans="1:6" collapsed="1" x14ac:dyDescent="0.25">
      <c r="A2829" s="560" t="s">
        <v>1291</v>
      </c>
      <c r="B2829" s="561"/>
      <c r="C2829" s="292">
        <v>214396.32064300001</v>
      </c>
      <c r="D2829" s="293">
        <v>225460.93049599999</v>
      </c>
      <c r="E2829" s="293">
        <v>11064.609853</v>
      </c>
      <c r="F2829" s="294" t="s">
        <v>2186</v>
      </c>
    </row>
    <row r="2830" spans="1:6" hidden="1" outlineLevel="1" collapsed="1" x14ac:dyDescent="0.25">
      <c r="A2830" s="321" t="s">
        <v>282</v>
      </c>
      <c r="B2830" s="321" t="s">
        <v>358</v>
      </c>
      <c r="C2830" s="293">
        <v>100153.68</v>
      </c>
      <c r="D2830" s="293">
        <v>101655.9852</v>
      </c>
      <c r="E2830" s="293">
        <v>1502.3052</v>
      </c>
      <c r="F2830" s="294" t="s">
        <v>510</v>
      </c>
    </row>
    <row r="2831" spans="1:6" hidden="1" outlineLevel="1" collapsed="1" x14ac:dyDescent="0.25">
      <c r="A2831" s="321" t="s">
        <v>282</v>
      </c>
      <c r="B2831" s="321" t="s">
        <v>380</v>
      </c>
      <c r="C2831" s="293">
        <v>49155.937996000001</v>
      </c>
      <c r="D2831" s="293">
        <v>53171.447846000003</v>
      </c>
      <c r="E2831" s="293">
        <v>4015.5098499999999</v>
      </c>
      <c r="F2831" s="294" t="s">
        <v>613</v>
      </c>
    </row>
    <row r="2832" spans="1:6" hidden="1" outlineLevel="1" collapsed="1" x14ac:dyDescent="0.25">
      <c r="A2832" s="321" t="s">
        <v>282</v>
      </c>
      <c r="B2832" s="321" t="s">
        <v>475</v>
      </c>
      <c r="C2832" s="293">
        <v>400</v>
      </c>
      <c r="D2832" s="293">
        <v>1000</v>
      </c>
      <c r="E2832" s="293">
        <v>600</v>
      </c>
      <c r="F2832" s="294" t="s">
        <v>1293</v>
      </c>
    </row>
    <row r="2833" spans="1:6" hidden="1" outlineLevel="1" collapsed="1" x14ac:dyDescent="0.25">
      <c r="A2833" s="321" t="s">
        <v>282</v>
      </c>
      <c r="B2833" s="321" t="s">
        <v>360</v>
      </c>
      <c r="C2833" s="293">
        <v>13070.05524</v>
      </c>
      <c r="D2833" s="293">
        <v>14668.95866</v>
      </c>
      <c r="E2833" s="293">
        <v>1598.9034200000001</v>
      </c>
      <c r="F2833" s="294" t="s">
        <v>511</v>
      </c>
    </row>
    <row r="2834" spans="1:6" hidden="1" outlineLevel="1" collapsed="1" x14ac:dyDescent="0.25">
      <c r="A2834" s="321" t="s">
        <v>282</v>
      </c>
      <c r="B2834" s="321" t="s">
        <v>384</v>
      </c>
      <c r="C2834" s="293">
        <v>6183.8169959999996</v>
      </c>
      <c r="D2834" s="293">
        <v>0</v>
      </c>
      <c r="E2834" s="293">
        <v>-6183.8169959999996</v>
      </c>
      <c r="F2834" s="294" t="s">
        <v>286</v>
      </c>
    </row>
    <row r="2835" spans="1:6" hidden="1" outlineLevel="1" collapsed="1" x14ac:dyDescent="0.25">
      <c r="A2835" s="321" t="s">
        <v>282</v>
      </c>
      <c r="B2835" s="321" t="s">
        <v>385</v>
      </c>
      <c r="C2835" s="293">
        <v>0</v>
      </c>
      <c r="D2835" s="293">
        <v>8258.0575559999997</v>
      </c>
      <c r="E2835" s="293">
        <v>8258.0575559999997</v>
      </c>
      <c r="F2835" s="294" t="s">
        <v>298</v>
      </c>
    </row>
    <row r="2836" spans="1:6" hidden="1" outlineLevel="1" collapsed="1" x14ac:dyDescent="0.25">
      <c r="A2836" s="321" t="s">
        <v>282</v>
      </c>
      <c r="B2836" s="321" t="s">
        <v>386</v>
      </c>
      <c r="C2836" s="293">
        <v>3047.668154</v>
      </c>
      <c r="D2836" s="293">
        <v>0</v>
      </c>
      <c r="E2836" s="293">
        <v>-3047.668154</v>
      </c>
      <c r="F2836" s="294" t="s">
        <v>286</v>
      </c>
    </row>
    <row r="2837" spans="1:6" hidden="1" outlineLevel="1" collapsed="1" x14ac:dyDescent="0.25">
      <c r="A2837" s="321" t="s">
        <v>282</v>
      </c>
      <c r="B2837" s="321" t="s">
        <v>387</v>
      </c>
      <c r="C2837" s="293">
        <v>0</v>
      </c>
      <c r="D2837" s="293">
        <v>3296.6297629999999</v>
      </c>
      <c r="E2837" s="293">
        <v>3296.6297629999999</v>
      </c>
      <c r="F2837" s="294" t="s">
        <v>298</v>
      </c>
    </row>
    <row r="2838" spans="1:6" hidden="1" outlineLevel="1" collapsed="1" x14ac:dyDescent="0.25">
      <c r="A2838" s="321" t="s">
        <v>282</v>
      </c>
      <c r="B2838" s="321" t="s">
        <v>362</v>
      </c>
      <c r="C2838" s="293">
        <v>1452.2283600000001</v>
      </c>
      <c r="D2838" s="293">
        <v>1474.01178</v>
      </c>
      <c r="E2838" s="293">
        <v>21.78342</v>
      </c>
      <c r="F2838" s="294" t="s">
        <v>510</v>
      </c>
    </row>
    <row r="2839" spans="1:6" hidden="1" outlineLevel="1" collapsed="1" x14ac:dyDescent="0.25">
      <c r="A2839" s="321" t="s">
        <v>282</v>
      </c>
      <c r="B2839" s="321" t="s">
        <v>388</v>
      </c>
      <c r="C2839" s="293">
        <v>712.76109599999995</v>
      </c>
      <c r="D2839" s="293">
        <v>770.98598400000003</v>
      </c>
      <c r="E2839" s="293">
        <v>58.224888</v>
      </c>
      <c r="F2839" s="294" t="s">
        <v>613</v>
      </c>
    </row>
    <row r="2840" spans="1:6" hidden="1" outlineLevel="1" collapsed="1" x14ac:dyDescent="0.25">
      <c r="A2840" s="321" t="s">
        <v>282</v>
      </c>
      <c r="B2840" s="321" t="s">
        <v>363</v>
      </c>
      <c r="C2840" s="293">
        <v>426.12479999999999</v>
      </c>
      <c r="D2840" s="293">
        <v>422.04</v>
      </c>
      <c r="E2840" s="293">
        <v>-4.0848000000000004</v>
      </c>
      <c r="F2840" s="294" t="s">
        <v>364</v>
      </c>
    </row>
    <row r="2841" spans="1:6" hidden="1" outlineLevel="1" collapsed="1" x14ac:dyDescent="0.25">
      <c r="A2841" s="321" t="s">
        <v>282</v>
      </c>
      <c r="B2841" s="321" t="s">
        <v>365</v>
      </c>
      <c r="C2841" s="293">
        <v>15358.56</v>
      </c>
      <c r="D2841" s="293">
        <v>15959.28</v>
      </c>
      <c r="E2841" s="293">
        <v>600.72</v>
      </c>
      <c r="F2841" s="294" t="s">
        <v>366</v>
      </c>
    </row>
    <row r="2842" spans="1:6" hidden="1" outlineLevel="1" collapsed="1" x14ac:dyDescent="0.25">
      <c r="A2842" s="321" t="s">
        <v>282</v>
      </c>
      <c r="B2842" s="321" t="s">
        <v>367</v>
      </c>
      <c r="C2842" s="293">
        <v>233.53919999999999</v>
      </c>
      <c r="D2842" s="293">
        <v>182.88</v>
      </c>
      <c r="E2842" s="293">
        <v>-50.659199999999998</v>
      </c>
      <c r="F2842" s="294" t="s">
        <v>368</v>
      </c>
    </row>
    <row r="2843" spans="1:6" hidden="1" outlineLevel="1" collapsed="1" x14ac:dyDescent="0.25">
      <c r="A2843" s="321" t="s">
        <v>282</v>
      </c>
      <c r="B2843" s="321" t="s">
        <v>444</v>
      </c>
      <c r="C2843" s="293">
        <v>85</v>
      </c>
      <c r="D2843" s="293">
        <v>90</v>
      </c>
      <c r="E2843" s="293">
        <v>5</v>
      </c>
      <c r="F2843" s="294" t="s">
        <v>1294</v>
      </c>
    </row>
    <row r="2844" spans="1:6" hidden="1" outlineLevel="1" collapsed="1" x14ac:dyDescent="0.25">
      <c r="A2844" s="321" t="s">
        <v>282</v>
      </c>
      <c r="B2844" s="321" t="s">
        <v>389</v>
      </c>
      <c r="C2844" s="293">
        <v>426.12479999999999</v>
      </c>
      <c r="D2844" s="293">
        <v>422.04</v>
      </c>
      <c r="E2844" s="293">
        <v>-4.0848000000000004</v>
      </c>
      <c r="F2844" s="294" t="s">
        <v>364</v>
      </c>
    </row>
    <row r="2845" spans="1:6" hidden="1" outlineLevel="1" collapsed="1" x14ac:dyDescent="0.25">
      <c r="A2845" s="321" t="s">
        <v>282</v>
      </c>
      <c r="B2845" s="321" t="s">
        <v>390</v>
      </c>
      <c r="C2845" s="293">
        <v>15485.27</v>
      </c>
      <c r="D2845" s="293">
        <v>15959.28</v>
      </c>
      <c r="E2845" s="293">
        <v>474.01</v>
      </c>
      <c r="F2845" s="294" t="s">
        <v>391</v>
      </c>
    </row>
    <row r="2846" spans="1:6" hidden="1" outlineLevel="1" collapsed="1" x14ac:dyDescent="0.25">
      <c r="A2846" s="321" t="s">
        <v>282</v>
      </c>
      <c r="B2846" s="321" t="s">
        <v>392</v>
      </c>
      <c r="C2846" s="293">
        <v>233.53919999999999</v>
      </c>
      <c r="D2846" s="293">
        <v>182.88</v>
      </c>
      <c r="E2846" s="293">
        <v>-50.659199999999998</v>
      </c>
      <c r="F2846" s="294" t="s">
        <v>368</v>
      </c>
    </row>
    <row r="2847" spans="1:6" hidden="1" outlineLevel="1" collapsed="1" x14ac:dyDescent="0.25">
      <c r="A2847" s="321" t="s">
        <v>282</v>
      </c>
      <c r="B2847" s="321" t="s">
        <v>369</v>
      </c>
      <c r="C2847" s="293">
        <v>50.076839999999997</v>
      </c>
      <c r="D2847" s="293">
        <v>50.82799</v>
      </c>
      <c r="E2847" s="293">
        <v>0.75114999999999998</v>
      </c>
      <c r="F2847" s="294" t="s">
        <v>510</v>
      </c>
    </row>
    <row r="2848" spans="1:6" hidden="1" outlineLevel="1" collapsed="1" x14ac:dyDescent="0.25">
      <c r="A2848" s="321" t="s">
        <v>282</v>
      </c>
      <c r="B2848" s="321" t="s">
        <v>393</v>
      </c>
      <c r="C2848" s="293">
        <v>24.577960999999998</v>
      </c>
      <c r="D2848" s="293">
        <v>26.585716999999999</v>
      </c>
      <c r="E2848" s="293">
        <v>2.0077560000000001</v>
      </c>
      <c r="F2848" s="294" t="s">
        <v>613</v>
      </c>
    </row>
    <row r="2849" spans="1:6" hidden="1" outlineLevel="1" collapsed="1" x14ac:dyDescent="0.25">
      <c r="A2849" s="321" t="s">
        <v>282</v>
      </c>
      <c r="B2849" s="321" t="s">
        <v>370</v>
      </c>
      <c r="C2849" s="293">
        <v>1500</v>
      </c>
      <c r="D2849" s="293">
        <v>1500</v>
      </c>
      <c r="E2849" s="293">
        <v>0</v>
      </c>
      <c r="F2849" s="294" t="s">
        <v>316</v>
      </c>
    </row>
    <row r="2850" spans="1:6" hidden="1" outlineLevel="1" collapsed="1" x14ac:dyDescent="0.25">
      <c r="A2850" s="321" t="s">
        <v>282</v>
      </c>
      <c r="B2850" s="321" t="s">
        <v>394</v>
      </c>
      <c r="C2850" s="293">
        <v>1500</v>
      </c>
      <c r="D2850" s="293">
        <v>0</v>
      </c>
      <c r="E2850" s="293">
        <v>-1500</v>
      </c>
      <c r="F2850" s="294" t="s">
        <v>286</v>
      </c>
    </row>
    <row r="2851" spans="1:6" hidden="1" outlineLevel="1" collapsed="1" x14ac:dyDescent="0.25">
      <c r="A2851" s="321" t="s">
        <v>282</v>
      </c>
      <c r="B2851" s="321" t="s">
        <v>395</v>
      </c>
      <c r="C2851" s="293">
        <v>0</v>
      </c>
      <c r="D2851" s="293">
        <v>1500</v>
      </c>
      <c r="E2851" s="293">
        <v>1500</v>
      </c>
      <c r="F2851" s="294" t="s">
        <v>298</v>
      </c>
    </row>
    <row r="2852" spans="1:6" hidden="1" outlineLevel="1" collapsed="1" x14ac:dyDescent="0.25">
      <c r="A2852" s="321" t="s">
        <v>282</v>
      </c>
      <c r="B2852" s="321" t="s">
        <v>371</v>
      </c>
      <c r="C2852" s="293">
        <v>49.68</v>
      </c>
      <c r="D2852" s="293">
        <v>48.48</v>
      </c>
      <c r="E2852" s="293">
        <v>-1.2</v>
      </c>
      <c r="F2852" s="294" t="s">
        <v>372</v>
      </c>
    </row>
    <row r="2853" spans="1:6" hidden="1" outlineLevel="1" collapsed="1" x14ac:dyDescent="0.25">
      <c r="A2853" s="321" t="s">
        <v>282</v>
      </c>
      <c r="B2853" s="321" t="s">
        <v>396</v>
      </c>
      <c r="C2853" s="293">
        <v>49.68</v>
      </c>
      <c r="D2853" s="293">
        <v>0</v>
      </c>
      <c r="E2853" s="293">
        <v>-49.68</v>
      </c>
      <c r="F2853" s="294" t="s">
        <v>286</v>
      </c>
    </row>
    <row r="2854" spans="1:6" hidden="1" outlineLevel="1" collapsed="1" x14ac:dyDescent="0.25">
      <c r="A2854" s="321" t="s">
        <v>282</v>
      </c>
      <c r="B2854" s="321" t="s">
        <v>397</v>
      </c>
      <c r="C2854" s="293">
        <v>0</v>
      </c>
      <c r="D2854" s="293">
        <v>48.48</v>
      </c>
      <c r="E2854" s="293">
        <v>48.48</v>
      </c>
      <c r="F2854" s="294" t="s">
        <v>298</v>
      </c>
    </row>
    <row r="2855" spans="1:6" hidden="1" outlineLevel="1" collapsed="1" x14ac:dyDescent="0.25">
      <c r="A2855" s="321" t="s">
        <v>282</v>
      </c>
      <c r="B2855" s="321" t="s">
        <v>373</v>
      </c>
      <c r="C2855" s="293">
        <v>24</v>
      </c>
      <c r="D2855" s="293">
        <v>11.04</v>
      </c>
      <c r="E2855" s="293">
        <v>-12.96</v>
      </c>
      <c r="F2855" s="294" t="s">
        <v>374</v>
      </c>
    </row>
    <row r="2856" spans="1:6" hidden="1" outlineLevel="1" collapsed="1" x14ac:dyDescent="0.25">
      <c r="A2856" s="321" t="s">
        <v>282</v>
      </c>
      <c r="B2856" s="321" t="s">
        <v>398</v>
      </c>
      <c r="C2856" s="293">
        <v>24</v>
      </c>
      <c r="D2856" s="293">
        <v>11.04</v>
      </c>
      <c r="E2856" s="293">
        <v>-12.96</v>
      </c>
      <c r="F2856" s="294" t="s">
        <v>374</v>
      </c>
    </row>
    <row r="2857" spans="1:6" hidden="1" outlineLevel="1" collapsed="1" x14ac:dyDescent="0.25">
      <c r="A2857" s="321" t="s">
        <v>282</v>
      </c>
      <c r="B2857" s="321" t="s">
        <v>375</v>
      </c>
      <c r="C2857" s="293">
        <v>4750</v>
      </c>
      <c r="D2857" s="293">
        <v>4750</v>
      </c>
      <c r="E2857" s="293">
        <v>0</v>
      </c>
      <c r="F2857" s="294" t="s">
        <v>316</v>
      </c>
    </row>
    <row r="2858" spans="1:6" collapsed="1" x14ac:dyDescent="0.25">
      <c r="A2858" s="560" t="s">
        <v>1295</v>
      </c>
      <c r="B2858" s="561"/>
      <c r="C2858" s="292">
        <v>218816.85497099999</v>
      </c>
      <c r="D2858" s="293">
        <v>170062.53142000001</v>
      </c>
      <c r="E2858" s="293">
        <v>-48754.323551000001</v>
      </c>
      <c r="F2858" s="294" t="s">
        <v>2187</v>
      </c>
    </row>
    <row r="2859" spans="1:6" hidden="1" outlineLevel="1" collapsed="1" x14ac:dyDescent="0.25">
      <c r="A2859" s="321" t="s">
        <v>282</v>
      </c>
      <c r="B2859" s="321" t="s">
        <v>358</v>
      </c>
      <c r="C2859" s="293">
        <v>93201.12</v>
      </c>
      <c r="D2859" s="293">
        <v>56759.482080000002</v>
      </c>
      <c r="E2859" s="293">
        <v>-36441.637920000001</v>
      </c>
      <c r="F2859" s="294" t="s">
        <v>2188</v>
      </c>
    </row>
    <row r="2860" spans="1:6" hidden="1" outlineLevel="1" collapsed="1" x14ac:dyDescent="0.25">
      <c r="A2860" s="321" t="s">
        <v>282</v>
      </c>
      <c r="B2860" s="321" t="s">
        <v>380</v>
      </c>
      <c r="C2860" s="293">
        <v>53307.469268000001</v>
      </c>
      <c r="D2860" s="293">
        <v>54899.039515999997</v>
      </c>
      <c r="E2860" s="293">
        <v>1591.570248</v>
      </c>
      <c r="F2860" s="294" t="s">
        <v>975</v>
      </c>
    </row>
    <row r="2861" spans="1:6" hidden="1" outlineLevel="1" collapsed="1" x14ac:dyDescent="0.25">
      <c r="A2861" s="321" t="s">
        <v>282</v>
      </c>
      <c r="B2861" s="321" t="s">
        <v>475</v>
      </c>
      <c r="C2861" s="293">
        <v>1000</v>
      </c>
      <c r="D2861" s="293">
        <v>0</v>
      </c>
      <c r="E2861" s="293">
        <v>-1000</v>
      </c>
      <c r="F2861" s="294" t="s">
        <v>286</v>
      </c>
    </row>
    <row r="2862" spans="1:6" hidden="1" outlineLevel="1" collapsed="1" x14ac:dyDescent="0.25">
      <c r="A2862" s="321" t="s">
        <v>282</v>
      </c>
      <c r="B2862" s="321" t="s">
        <v>452</v>
      </c>
      <c r="C2862" s="293">
        <v>1800</v>
      </c>
      <c r="D2862" s="293">
        <v>0</v>
      </c>
      <c r="E2862" s="293">
        <v>-1800</v>
      </c>
      <c r="F2862" s="294" t="s">
        <v>286</v>
      </c>
    </row>
    <row r="2863" spans="1:6" hidden="1" outlineLevel="1" collapsed="1" x14ac:dyDescent="0.25">
      <c r="A2863" s="321" t="s">
        <v>282</v>
      </c>
      <c r="B2863" s="321" t="s">
        <v>360</v>
      </c>
      <c r="C2863" s="293">
        <v>12162.746160000001</v>
      </c>
      <c r="D2863" s="293">
        <v>8190.3932640000003</v>
      </c>
      <c r="E2863" s="293">
        <v>-3972.3528959999999</v>
      </c>
      <c r="F2863" s="294" t="s">
        <v>2189</v>
      </c>
    </row>
    <row r="2864" spans="1:6" hidden="1" outlineLevel="1" collapsed="1" x14ac:dyDescent="0.25">
      <c r="A2864" s="321" t="s">
        <v>282</v>
      </c>
      <c r="B2864" s="321" t="s">
        <v>384</v>
      </c>
      <c r="C2864" s="293">
        <v>6624.3096240000004</v>
      </c>
      <c r="D2864" s="293">
        <v>0</v>
      </c>
      <c r="E2864" s="293">
        <v>-6624.3096240000004</v>
      </c>
      <c r="F2864" s="294" t="s">
        <v>286</v>
      </c>
    </row>
    <row r="2865" spans="1:6" hidden="1" outlineLevel="1" collapsed="1" x14ac:dyDescent="0.25">
      <c r="A2865" s="321" t="s">
        <v>282</v>
      </c>
      <c r="B2865" s="321" t="s">
        <v>385</v>
      </c>
      <c r="C2865" s="293">
        <v>0</v>
      </c>
      <c r="D2865" s="293">
        <v>8425.4183159999993</v>
      </c>
      <c r="E2865" s="293">
        <v>8425.4183159999993</v>
      </c>
      <c r="F2865" s="294" t="s">
        <v>298</v>
      </c>
    </row>
    <row r="2866" spans="1:6" hidden="1" outlineLevel="1" collapsed="1" x14ac:dyDescent="0.25">
      <c r="A2866" s="321" t="s">
        <v>282</v>
      </c>
      <c r="B2866" s="321" t="s">
        <v>386</v>
      </c>
      <c r="C2866" s="293">
        <v>3305.0630879999999</v>
      </c>
      <c r="D2866" s="293">
        <v>0</v>
      </c>
      <c r="E2866" s="293">
        <v>-3305.0630879999999</v>
      </c>
      <c r="F2866" s="294" t="s">
        <v>286</v>
      </c>
    </row>
    <row r="2867" spans="1:6" hidden="1" outlineLevel="1" collapsed="1" x14ac:dyDescent="0.25">
      <c r="A2867" s="321" t="s">
        <v>282</v>
      </c>
      <c r="B2867" s="321" t="s">
        <v>387</v>
      </c>
      <c r="C2867" s="293">
        <v>0</v>
      </c>
      <c r="D2867" s="293">
        <v>3403.740444</v>
      </c>
      <c r="E2867" s="293">
        <v>3403.740444</v>
      </c>
      <c r="F2867" s="294" t="s">
        <v>298</v>
      </c>
    </row>
    <row r="2868" spans="1:6" hidden="1" outlineLevel="1" collapsed="1" x14ac:dyDescent="0.25">
      <c r="A2868" s="321" t="s">
        <v>282</v>
      </c>
      <c r="B2868" s="321" t="s">
        <v>362</v>
      </c>
      <c r="C2868" s="293">
        <v>1351.41624</v>
      </c>
      <c r="D2868" s="293">
        <v>823.01248799999996</v>
      </c>
      <c r="E2868" s="293">
        <v>-528.40375200000005</v>
      </c>
      <c r="F2868" s="294" t="s">
        <v>2188</v>
      </c>
    </row>
    <row r="2869" spans="1:6" hidden="1" outlineLevel="1" collapsed="1" x14ac:dyDescent="0.25">
      <c r="A2869" s="321" t="s">
        <v>282</v>
      </c>
      <c r="B2869" s="321" t="s">
        <v>388</v>
      </c>
      <c r="C2869" s="293">
        <v>772.958303</v>
      </c>
      <c r="D2869" s="293">
        <v>796.036068</v>
      </c>
      <c r="E2869" s="293">
        <v>23.077764999999999</v>
      </c>
      <c r="F2869" s="294" t="s">
        <v>975</v>
      </c>
    </row>
    <row r="2870" spans="1:6" hidden="1" outlineLevel="1" collapsed="1" x14ac:dyDescent="0.25">
      <c r="A2870" s="321" t="s">
        <v>282</v>
      </c>
      <c r="B2870" s="321" t="s">
        <v>363</v>
      </c>
      <c r="C2870" s="293">
        <v>426.12479999999999</v>
      </c>
      <c r="D2870" s="293">
        <v>211.02</v>
      </c>
      <c r="E2870" s="293">
        <v>-215.10480000000001</v>
      </c>
      <c r="F2870" s="294" t="s">
        <v>2020</v>
      </c>
    </row>
    <row r="2871" spans="1:6" hidden="1" outlineLevel="1" collapsed="1" x14ac:dyDescent="0.25">
      <c r="A2871" s="321" t="s">
        <v>282</v>
      </c>
      <c r="B2871" s="321" t="s">
        <v>365</v>
      </c>
      <c r="C2871" s="293">
        <v>15358.56</v>
      </c>
      <c r="D2871" s="293">
        <v>7979.64</v>
      </c>
      <c r="E2871" s="293">
        <v>-7378.92</v>
      </c>
      <c r="F2871" s="294" t="s">
        <v>2011</v>
      </c>
    </row>
    <row r="2872" spans="1:6" hidden="1" outlineLevel="1" collapsed="1" x14ac:dyDescent="0.25">
      <c r="A2872" s="321" t="s">
        <v>282</v>
      </c>
      <c r="B2872" s="321" t="s">
        <v>367</v>
      </c>
      <c r="C2872" s="293">
        <v>233.53919999999999</v>
      </c>
      <c r="D2872" s="293">
        <v>91.44</v>
      </c>
      <c r="E2872" s="293">
        <v>-142.0992</v>
      </c>
      <c r="F2872" s="294" t="s">
        <v>2022</v>
      </c>
    </row>
    <row r="2873" spans="1:6" hidden="1" outlineLevel="1" collapsed="1" x14ac:dyDescent="0.25">
      <c r="A2873" s="321" t="s">
        <v>282</v>
      </c>
      <c r="B2873" s="321" t="s">
        <v>444</v>
      </c>
      <c r="C2873" s="293">
        <v>297</v>
      </c>
      <c r="D2873" s="293">
        <v>0</v>
      </c>
      <c r="E2873" s="293">
        <v>-297</v>
      </c>
      <c r="F2873" s="294" t="s">
        <v>286</v>
      </c>
    </row>
    <row r="2874" spans="1:6" hidden="1" outlineLevel="1" collapsed="1" x14ac:dyDescent="0.25">
      <c r="A2874" s="321" t="s">
        <v>282</v>
      </c>
      <c r="B2874" s="321" t="s">
        <v>389</v>
      </c>
      <c r="C2874" s="293">
        <v>426.12479999999999</v>
      </c>
      <c r="D2874" s="293">
        <v>422.04</v>
      </c>
      <c r="E2874" s="293">
        <v>-4.0848000000000004</v>
      </c>
      <c r="F2874" s="294" t="s">
        <v>364</v>
      </c>
    </row>
    <row r="2875" spans="1:6" hidden="1" outlineLevel="1" collapsed="1" x14ac:dyDescent="0.25">
      <c r="A2875" s="321" t="s">
        <v>282</v>
      </c>
      <c r="B2875" s="321" t="s">
        <v>390</v>
      </c>
      <c r="C2875" s="293">
        <v>15485.27</v>
      </c>
      <c r="D2875" s="293">
        <v>15959.28</v>
      </c>
      <c r="E2875" s="293">
        <v>474.01</v>
      </c>
      <c r="F2875" s="294" t="s">
        <v>391</v>
      </c>
    </row>
    <row r="2876" spans="1:6" hidden="1" outlineLevel="1" collapsed="1" x14ac:dyDescent="0.25">
      <c r="A2876" s="321" t="s">
        <v>282</v>
      </c>
      <c r="B2876" s="321" t="s">
        <v>392</v>
      </c>
      <c r="C2876" s="293">
        <v>233.53919999999999</v>
      </c>
      <c r="D2876" s="293">
        <v>182.88</v>
      </c>
      <c r="E2876" s="293">
        <v>-50.659199999999998</v>
      </c>
      <c r="F2876" s="294" t="s">
        <v>368</v>
      </c>
    </row>
    <row r="2877" spans="1:6" hidden="1" outlineLevel="1" collapsed="1" x14ac:dyDescent="0.25">
      <c r="A2877" s="321" t="s">
        <v>282</v>
      </c>
      <c r="B2877" s="321" t="s">
        <v>369</v>
      </c>
      <c r="C2877" s="293">
        <v>46.600560000000002</v>
      </c>
      <c r="D2877" s="293">
        <v>28.379736000000001</v>
      </c>
      <c r="E2877" s="293">
        <v>-18.220824</v>
      </c>
      <c r="F2877" s="294" t="s">
        <v>2188</v>
      </c>
    </row>
    <row r="2878" spans="1:6" hidden="1" outlineLevel="1" collapsed="1" x14ac:dyDescent="0.25">
      <c r="A2878" s="321" t="s">
        <v>282</v>
      </c>
      <c r="B2878" s="321" t="s">
        <v>393</v>
      </c>
      <c r="C2878" s="293">
        <v>26.653728000000001</v>
      </c>
      <c r="D2878" s="293">
        <v>27.449508000000002</v>
      </c>
      <c r="E2878" s="293">
        <v>0.79578000000000004</v>
      </c>
      <c r="F2878" s="294" t="s">
        <v>975</v>
      </c>
    </row>
    <row r="2879" spans="1:6" hidden="1" outlineLevel="1" collapsed="1" x14ac:dyDescent="0.25">
      <c r="A2879" s="321" t="s">
        <v>282</v>
      </c>
      <c r="B2879" s="321" t="s">
        <v>370</v>
      </c>
      <c r="C2879" s="293">
        <v>1500</v>
      </c>
      <c r="D2879" s="293">
        <v>750</v>
      </c>
      <c r="E2879" s="293">
        <v>-750</v>
      </c>
      <c r="F2879" s="294" t="s">
        <v>722</v>
      </c>
    </row>
    <row r="2880" spans="1:6" hidden="1" outlineLevel="1" collapsed="1" x14ac:dyDescent="0.25">
      <c r="A2880" s="321" t="s">
        <v>282</v>
      </c>
      <c r="B2880" s="321" t="s">
        <v>394</v>
      </c>
      <c r="C2880" s="293">
        <v>1500</v>
      </c>
      <c r="D2880" s="293">
        <v>0</v>
      </c>
      <c r="E2880" s="293">
        <v>-1500</v>
      </c>
      <c r="F2880" s="294" t="s">
        <v>286</v>
      </c>
    </row>
    <row r="2881" spans="1:6" hidden="1" outlineLevel="1" collapsed="1" x14ac:dyDescent="0.25">
      <c r="A2881" s="321" t="s">
        <v>282</v>
      </c>
      <c r="B2881" s="321" t="s">
        <v>395</v>
      </c>
      <c r="C2881" s="293">
        <v>0</v>
      </c>
      <c r="D2881" s="293">
        <v>1500</v>
      </c>
      <c r="E2881" s="293">
        <v>1500</v>
      </c>
      <c r="F2881" s="294" t="s">
        <v>298</v>
      </c>
    </row>
    <row r="2882" spans="1:6" hidden="1" outlineLevel="1" collapsed="1" x14ac:dyDescent="0.25">
      <c r="A2882" s="321" t="s">
        <v>282</v>
      </c>
      <c r="B2882" s="321" t="s">
        <v>371</v>
      </c>
      <c r="C2882" s="293">
        <v>49.68</v>
      </c>
      <c r="D2882" s="293">
        <v>24.24</v>
      </c>
      <c r="E2882" s="293">
        <v>-25.44</v>
      </c>
      <c r="F2882" s="294" t="s">
        <v>931</v>
      </c>
    </row>
    <row r="2883" spans="1:6" hidden="1" outlineLevel="1" collapsed="1" x14ac:dyDescent="0.25">
      <c r="A2883" s="321" t="s">
        <v>282</v>
      </c>
      <c r="B2883" s="321" t="s">
        <v>396</v>
      </c>
      <c r="C2883" s="293">
        <v>49.68</v>
      </c>
      <c r="D2883" s="293">
        <v>0</v>
      </c>
      <c r="E2883" s="293">
        <v>-49.68</v>
      </c>
      <c r="F2883" s="294" t="s">
        <v>286</v>
      </c>
    </row>
    <row r="2884" spans="1:6" hidden="1" outlineLevel="1" collapsed="1" x14ac:dyDescent="0.25">
      <c r="A2884" s="321" t="s">
        <v>282</v>
      </c>
      <c r="B2884" s="321" t="s">
        <v>397</v>
      </c>
      <c r="C2884" s="293">
        <v>0</v>
      </c>
      <c r="D2884" s="293">
        <v>48.48</v>
      </c>
      <c r="E2884" s="293">
        <v>48.48</v>
      </c>
      <c r="F2884" s="294" t="s">
        <v>298</v>
      </c>
    </row>
    <row r="2885" spans="1:6" hidden="1" outlineLevel="1" collapsed="1" x14ac:dyDescent="0.25">
      <c r="A2885" s="321" t="s">
        <v>282</v>
      </c>
      <c r="B2885" s="321" t="s">
        <v>373</v>
      </c>
      <c r="C2885" s="293">
        <v>24</v>
      </c>
      <c r="D2885" s="293">
        <v>5.52</v>
      </c>
      <c r="E2885" s="293">
        <v>-18.48</v>
      </c>
      <c r="F2885" s="294" t="s">
        <v>2023</v>
      </c>
    </row>
    <row r="2886" spans="1:6" hidden="1" outlineLevel="1" collapsed="1" x14ac:dyDescent="0.25">
      <c r="A2886" s="321" t="s">
        <v>282</v>
      </c>
      <c r="B2886" s="321" t="s">
        <v>398</v>
      </c>
      <c r="C2886" s="293">
        <v>24</v>
      </c>
      <c r="D2886" s="293">
        <v>11.04</v>
      </c>
      <c r="E2886" s="293">
        <v>-12.96</v>
      </c>
      <c r="F2886" s="294" t="s">
        <v>374</v>
      </c>
    </row>
    <row r="2887" spans="1:6" hidden="1" outlineLevel="1" collapsed="1" x14ac:dyDescent="0.25">
      <c r="A2887" s="321" t="s">
        <v>282</v>
      </c>
      <c r="B2887" s="321" t="s">
        <v>376</v>
      </c>
      <c r="C2887" s="293">
        <v>112</v>
      </c>
      <c r="D2887" s="293">
        <v>113</v>
      </c>
      <c r="E2887" s="293">
        <v>1</v>
      </c>
      <c r="F2887" s="294" t="s">
        <v>1225</v>
      </c>
    </row>
    <row r="2888" spans="1:6" hidden="1" outlineLevel="1" collapsed="1" x14ac:dyDescent="0.25">
      <c r="A2888" s="321" t="s">
        <v>282</v>
      </c>
      <c r="B2888" s="321" t="s">
        <v>415</v>
      </c>
      <c r="C2888" s="293">
        <v>558</v>
      </c>
      <c r="D2888" s="293">
        <v>470</v>
      </c>
      <c r="E2888" s="293">
        <v>-88</v>
      </c>
      <c r="F2888" s="294" t="s">
        <v>1297</v>
      </c>
    </row>
    <row r="2889" spans="1:6" hidden="1" outlineLevel="1" collapsed="1" x14ac:dyDescent="0.25">
      <c r="A2889" s="321" t="s">
        <v>282</v>
      </c>
      <c r="B2889" s="321" t="s">
        <v>884</v>
      </c>
      <c r="C2889" s="293">
        <v>3893</v>
      </c>
      <c r="D2889" s="293">
        <v>3893</v>
      </c>
      <c r="E2889" s="293">
        <v>0</v>
      </c>
      <c r="F2889" s="294" t="s">
        <v>316</v>
      </c>
    </row>
    <row r="2890" spans="1:6" hidden="1" outlineLevel="1" collapsed="1" x14ac:dyDescent="0.25">
      <c r="A2890" s="321" t="s">
        <v>282</v>
      </c>
      <c r="B2890" s="321" t="s">
        <v>403</v>
      </c>
      <c r="C2890" s="293">
        <v>5048</v>
      </c>
      <c r="D2890" s="293">
        <v>5048</v>
      </c>
      <c r="E2890" s="293">
        <v>0</v>
      </c>
      <c r="F2890" s="294" t="s">
        <v>316</v>
      </c>
    </row>
    <row r="2891" spans="1:6" collapsed="1" x14ac:dyDescent="0.25">
      <c r="A2891" s="560" t="s">
        <v>1298</v>
      </c>
      <c r="B2891" s="561"/>
      <c r="C2891" s="292">
        <v>147455.29743999999</v>
      </c>
      <c r="D2891" s="293">
        <v>232993.93893199999</v>
      </c>
      <c r="E2891" s="293">
        <v>85538.641491999995</v>
      </c>
      <c r="F2891" s="294" t="s">
        <v>2190</v>
      </c>
    </row>
    <row r="2892" spans="1:6" hidden="1" outlineLevel="1" collapsed="1" x14ac:dyDescent="0.25">
      <c r="A2892" s="321" t="s">
        <v>282</v>
      </c>
      <c r="B2892" s="321" t="s">
        <v>358</v>
      </c>
      <c r="C2892" s="293">
        <v>92719.679999999993</v>
      </c>
      <c r="D2892" s="293">
        <v>96510.665999999997</v>
      </c>
      <c r="E2892" s="293">
        <v>3790.9859999999999</v>
      </c>
      <c r="F2892" s="294" t="s">
        <v>490</v>
      </c>
    </row>
    <row r="2893" spans="1:6" hidden="1" outlineLevel="1" collapsed="1" x14ac:dyDescent="0.25">
      <c r="A2893" s="321" t="s">
        <v>282</v>
      </c>
      <c r="B2893" s="321" t="s">
        <v>412</v>
      </c>
      <c r="C2893" s="293">
        <v>14000</v>
      </c>
      <c r="D2893" s="293">
        <v>14000</v>
      </c>
      <c r="E2893" s="293">
        <v>0</v>
      </c>
      <c r="F2893" s="294" t="s">
        <v>316</v>
      </c>
    </row>
    <row r="2894" spans="1:6" hidden="1" outlineLevel="1" collapsed="1" x14ac:dyDescent="0.25">
      <c r="A2894" s="321" t="s">
        <v>282</v>
      </c>
      <c r="B2894" s="321" t="s">
        <v>380</v>
      </c>
      <c r="C2894" s="293">
        <v>0</v>
      </c>
      <c r="D2894" s="293">
        <v>54899.039515999997</v>
      </c>
      <c r="E2894" s="293">
        <v>54899.039515999997</v>
      </c>
      <c r="F2894" s="294" t="s">
        <v>298</v>
      </c>
    </row>
    <row r="2895" spans="1:6" hidden="1" outlineLevel="1" collapsed="1" x14ac:dyDescent="0.25">
      <c r="A2895" s="321" t="s">
        <v>282</v>
      </c>
      <c r="B2895" s="321" t="s">
        <v>360</v>
      </c>
      <c r="C2895" s="293">
        <v>12099.918240000001</v>
      </c>
      <c r="D2895" s="293">
        <v>13926.489100000001</v>
      </c>
      <c r="E2895" s="293">
        <v>1826.57086</v>
      </c>
      <c r="F2895" s="294" t="s">
        <v>571</v>
      </c>
    </row>
    <row r="2896" spans="1:6" hidden="1" outlineLevel="1" collapsed="1" x14ac:dyDescent="0.25">
      <c r="A2896" s="321" t="s">
        <v>282</v>
      </c>
      <c r="B2896" s="321" t="s">
        <v>385</v>
      </c>
      <c r="C2896" s="293">
        <v>0</v>
      </c>
      <c r="D2896" s="293">
        <v>8425.4183159999993</v>
      </c>
      <c r="E2896" s="293">
        <v>8425.4183159999993</v>
      </c>
      <c r="F2896" s="294" t="s">
        <v>298</v>
      </c>
    </row>
    <row r="2897" spans="1:6" hidden="1" outlineLevel="1" collapsed="1" x14ac:dyDescent="0.25">
      <c r="A2897" s="321" t="s">
        <v>282</v>
      </c>
      <c r="B2897" s="321" t="s">
        <v>387</v>
      </c>
      <c r="C2897" s="293">
        <v>0</v>
      </c>
      <c r="D2897" s="293">
        <v>3403.740444</v>
      </c>
      <c r="E2897" s="293">
        <v>3403.740444</v>
      </c>
      <c r="F2897" s="294" t="s">
        <v>298</v>
      </c>
    </row>
    <row r="2898" spans="1:6" hidden="1" outlineLevel="1" collapsed="1" x14ac:dyDescent="0.25">
      <c r="A2898" s="321" t="s">
        <v>282</v>
      </c>
      <c r="B2898" s="321" t="s">
        <v>362</v>
      </c>
      <c r="C2898" s="293">
        <v>1547.4353599999999</v>
      </c>
      <c r="D2898" s="293">
        <v>1602.4046499999999</v>
      </c>
      <c r="E2898" s="293">
        <v>54.969290000000001</v>
      </c>
      <c r="F2898" s="294" t="s">
        <v>1300</v>
      </c>
    </row>
    <row r="2899" spans="1:6" hidden="1" outlineLevel="1" collapsed="1" x14ac:dyDescent="0.25">
      <c r="A2899" s="321" t="s">
        <v>282</v>
      </c>
      <c r="B2899" s="321" t="s">
        <v>388</v>
      </c>
      <c r="C2899" s="293">
        <v>0</v>
      </c>
      <c r="D2899" s="293">
        <v>796.036068</v>
      </c>
      <c r="E2899" s="293">
        <v>796.036068</v>
      </c>
      <c r="F2899" s="294" t="s">
        <v>298</v>
      </c>
    </row>
    <row r="2900" spans="1:6" hidden="1" outlineLevel="1" collapsed="1" x14ac:dyDescent="0.25">
      <c r="A2900" s="321" t="s">
        <v>282</v>
      </c>
      <c r="B2900" s="321" t="s">
        <v>363</v>
      </c>
      <c r="C2900" s="293">
        <v>426.12479999999999</v>
      </c>
      <c r="D2900" s="293">
        <v>422.04</v>
      </c>
      <c r="E2900" s="293">
        <v>-4.0848000000000004</v>
      </c>
      <c r="F2900" s="294" t="s">
        <v>364</v>
      </c>
    </row>
    <row r="2901" spans="1:6" hidden="1" outlineLevel="1" collapsed="1" x14ac:dyDescent="0.25">
      <c r="A2901" s="321" t="s">
        <v>282</v>
      </c>
      <c r="B2901" s="321" t="s">
        <v>365</v>
      </c>
      <c r="C2901" s="293">
        <v>15358.56</v>
      </c>
      <c r="D2901" s="293">
        <v>15959.28</v>
      </c>
      <c r="E2901" s="293">
        <v>600.72</v>
      </c>
      <c r="F2901" s="294" t="s">
        <v>366</v>
      </c>
    </row>
    <row r="2902" spans="1:6" hidden="1" outlineLevel="1" collapsed="1" x14ac:dyDescent="0.25">
      <c r="A2902" s="321" t="s">
        <v>282</v>
      </c>
      <c r="B2902" s="321" t="s">
        <v>367</v>
      </c>
      <c r="C2902" s="293">
        <v>233.53919999999999</v>
      </c>
      <c r="D2902" s="293">
        <v>182.88</v>
      </c>
      <c r="E2902" s="293">
        <v>-50.659199999999998</v>
      </c>
      <c r="F2902" s="294" t="s">
        <v>368</v>
      </c>
    </row>
    <row r="2903" spans="1:6" hidden="1" outlineLevel="1" collapsed="1" x14ac:dyDescent="0.25">
      <c r="A2903" s="321" t="s">
        <v>282</v>
      </c>
      <c r="B2903" s="321" t="s">
        <v>389</v>
      </c>
      <c r="C2903" s="293">
        <v>0</v>
      </c>
      <c r="D2903" s="293">
        <v>422.04</v>
      </c>
      <c r="E2903" s="293">
        <v>422.04</v>
      </c>
      <c r="F2903" s="294" t="s">
        <v>298</v>
      </c>
    </row>
    <row r="2904" spans="1:6" hidden="1" outlineLevel="1" collapsed="1" x14ac:dyDescent="0.25">
      <c r="A2904" s="321" t="s">
        <v>282</v>
      </c>
      <c r="B2904" s="321" t="s">
        <v>390</v>
      </c>
      <c r="C2904" s="293">
        <v>0</v>
      </c>
      <c r="D2904" s="293">
        <v>15959.28</v>
      </c>
      <c r="E2904" s="293">
        <v>15959.28</v>
      </c>
      <c r="F2904" s="294" t="s">
        <v>298</v>
      </c>
    </row>
    <row r="2905" spans="1:6" hidden="1" outlineLevel="1" collapsed="1" x14ac:dyDescent="0.25">
      <c r="A2905" s="321" t="s">
        <v>282</v>
      </c>
      <c r="B2905" s="321" t="s">
        <v>392</v>
      </c>
      <c r="C2905" s="293">
        <v>0</v>
      </c>
      <c r="D2905" s="293">
        <v>182.88</v>
      </c>
      <c r="E2905" s="293">
        <v>182.88</v>
      </c>
      <c r="F2905" s="294" t="s">
        <v>298</v>
      </c>
    </row>
    <row r="2906" spans="1:6" hidden="1" outlineLevel="1" collapsed="1" x14ac:dyDescent="0.25">
      <c r="A2906" s="321" t="s">
        <v>282</v>
      </c>
      <c r="B2906" s="321" t="s">
        <v>369</v>
      </c>
      <c r="C2906" s="293">
        <v>53.359839999999998</v>
      </c>
      <c r="D2906" s="293">
        <v>55.255330000000001</v>
      </c>
      <c r="E2906" s="293">
        <v>1.8954899999999999</v>
      </c>
      <c r="F2906" s="294" t="s">
        <v>1300</v>
      </c>
    </row>
    <row r="2907" spans="1:6" hidden="1" outlineLevel="1" collapsed="1" x14ac:dyDescent="0.25">
      <c r="A2907" s="321" t="s">
        <v>282</v>
      </c>
      <c r="B2907" s="321" t="s">
        <v>393</v>
      </c>
      <c r="C2907" s="293">
        <v>0</v>
      </c>
      <c r="D2907" s="293">
        <v>27.449508000000002</v>
      </c>
      <c r="E2907" s="293">
        <v>27.449508000000002</v>
      </c>
      <c r="F2907" s="294" t="s">
        <v>298</v>
      </c>
    </row>
    <row r="2908" spans="1:6" hidden="1" outlineLevel="1" collapsed="1" x14ac:dyDescent="0.25">
      <c r="A2908" s="321" t="s">
        <v>282</v>
      </c>
      <c r="B2908" s="321" t="s">
        <v>370</v>
      </c>
      <c r="C2908" s="293">
        <v>1500</v>
      </c>
      <c r="D2908" s="293">
        <v>1500</v>
      </c>
      <c r="E2908" s="293">
        <v>0</v>
      </c>
      <c r="F2908" s="294" t="s">
        <v>316</v>
      </c>
    </row>
    <row r="2909" spans="1:6" hidden="1" outlineLevel="1" collapsed="1" x14ac:dyDescent="0.25">
      <c r="A2909" s="321" t="s">
        <v>282</v>
      </c>
      <c r="B2909" s="321" t="s">
        <v>395</v>
      </c>
      <c r="C2909" s="293">
        <v>0</v>
      </c>
      <c r="D2909" s="293">
        <v>1500</v>
      </c>
      <c r="E2909" s="293">
        <v>1500</v>
      </c>
      <c r="F2909" s="294" t="s">
        <v>298</v>
      </c>
    </row>
    <row r="2910" spans="1:6" hidden="1" outlineLevel="1" collapsed="1" x14ac:dyDescent="0.25">
      <c r="A2910" s="321" t="s">
        <v>282</v>
      </c>
      <c r="B2910" s="321" t="s">
        <v>371</v>
      </c>
      <c r="C2910" s="293">
        <v>49.68</v>
      </c>
      <c r="D2910" s="293">
        <v>48.48</v>
      </c>
      <c r="E2910" s="293">
        <v>-1.2</v>
      </c>
      <c r="F2910" s="294" t="s">
        <v>372</v>
      </c>
    </row>
    <row r="2911" spans="1:6" hidden="1" outlineLevel="1" collapsed="1" x14ac:dyDescent="0.25">
      <c r="A2911" s="321" t="s">
        <v>282</v>
      </c>
      <c r="B2911" s="321" t="s">
        <v>397</v>
      </c>
      <c r="C2911" s="293">
        <v>0</v>
      </c>
      <c r="D2911" s="293">
        <v>48.48</v>
      </c>
      <c r="E2911" s="293">
        <v>48.48</v>
      </c>
      <c r="F2911" s="294" t="s">
        <v>298</v>
      </c>
    </row>
    <row r="2912" spans="1:6" hidden="1" outlineLevel="1" collapsed="1" x14ac:dyDescent="0.25">
      <c r="A2912" s="321" t="s">
        <v>282</v>
      </c>
      <c r="B2912" s="321" t="s">
        <v>373</v>
      </c>
      <c r="C2912" s="293">
        <v>24</v>
      </c>
      <c r="D2912" s="293">
        <v>11.04</v>
      </c>
      <c r="E2912" s="293">
        <v>-12.96</v>
      </c>
      <c r="F2912" s="294" t="s">
        <v>374</v>
      </c>
    </row>
    <row r="2913" spans="1:6" hidden="1" outlineLevel="1" collapsed="1" x14ac:dyDescent="0.25">
      <c r="A2913" s="321" t="s">
        <v>282</v>
      </c>
      <c r="B2913" s="321" t="s">
        <v>398</v>
      </c>
      <c r="C2913" s="293">
        <v>0</v>
      </c>
      <c r="D2913" s="293">
        <v>11.04</v>
      </c>
      <c r="E2913" s="293">
        <v>11.04</v>
      </c>
      <c r="F2913" s="294" t="s">
        <v>298</v>
      </c>
    </row>
    <row r="2914" spans="1:6" hidden="1" outlineLevel="1" collapsed="1" x14ac:dyDescent="0.25">
      <c r="A2914" s="321" t="s">
        <v>282</v>
      </c>
      <c r="B2914" s="321" t="s">
        <v>375</v>
      </c>
      <c r="C2914" s="293">
        <v>3063</v>
      </c>
      <c r="D2914" s="293">
        <v>3100</v>
      </c>
      <c r="E2914" s="293">
        <v>37</v>
      </c>
      <c r="F2914" s="294" t="s">
        <v>1301</v>
      </c>
    </row>
    <row r="2915" spans="1:6" hidden="1" outlineLevel="1" collapsed="1" x14ac:dyDescent="0.25">
      <c r="A2915" s="321" t="s">
        <v>282</v>
      </c>
      <c r="B2915" s="321" t="s">
        <v>403</v>
      </c>
      <c r="C2915" s="293">
        <v>6380</v>
      </c>
      <c r="D2915" s="293">
        <v>0</v>
      </c>
      <c r="E2915" s="293">
        <v>-6380</v>
      </c>
      <c r="F2915" s="294" t="s">
        <v>286</v>
      </c>
    </row>
    <row r="2916" spans="1:6" collapsed="1" x14ac:dyDescent="0.25">
      <c r="A2916" s="560" t="s">
        <v>1302</v>
      </c>
      <c r="B2916" s="561"/>
      <c r="C2916" s="292">
        <v>48964.613319999997</v>
      </c>
      <c r="D2916" s="293">
        <v>50827.302785</v>
      </c>
      <c r="E2916" s="293">
        <v>1862.6894649999999</v>
      </c>
      <c r="F2916" s="294" t="s">
        <v>1303</v>
      </c>
    </row>
    <row r="2917" spans="1:6" hidden="1" outlineLevel="1" collapsed="1" x14ac:dyDescent="0.25">
      <c r="A2917" s="321" t="s">
        <v>282</v>
      </c>
      <c r="B2917" s="321" t="s">
        <v>358</v>
      </c>
      <c r="C2917" s="293">
        <v>38501.040000000001</v>
      </c>
      <c r="D2917" s="293">
        <v>40149.299400000004</v>
      </c>
      <c r="E2917" s="293">
        <v>1648.2593999999999</v>
      </c>
      <c r="F2917" s="294" t="s">
        <v>1304</v>
      </c>
    </row>
    <row r="2918" spans="1:6" hidden="1" outlineLevel="1" collapsed="1" x14ac:dyDescent="0.25">
      <c r="A2918" s="321" t="s">
        <v>282</v>
      </c>
      <c r="B2918" s="321" t="s">
        <v>441</v>
      </c>
      <c r="C2918" s="293">
        <v>2000</v>
      </c>
      <c r="D2918" s="293">
        <v>1700</v>
      </c>
      <c r="E2918" s="293">
        <v>-300</v>
      </c>
      <c r="F2918" s="294" t="s">
        <v>1305</v>
      </c>
    </row>
    <row r="2919" spans="1:6" hidden="1" outlineLevel="1" collapsed="1" x14ac:dyDescent="0.25">
      <c r="A2919" s="321" t="s">
        <v>282</v>
      </c>
      <c r="B2919" s="321" t="s">
        <v>360</v>
      </c>
      <c r="C2919" s="293">
        <v>5024.3857200000002</v>
      </c>
      <c r="D2919" s="293">
        <v>5793.5438999999997</v>
      </c>
      <c r="E2919" s="293">
        <v>769.15818000000002</v>
      </c>
      <c r="F2919" s="294" t="s">
        <v>1306</v>
      </c>
    </row>
    <row r="2920" spans="1:6" hidden="1" outlineLevel="1" collapsed="1" x14ac:dyDescent="0.25">
      <c r="A2920" s="321" t="s">
        <v>282</v>
      </c>
      <c r="B2920" s="321" t="s">
        <v>362</v>
      </c>
      <c r="C2920" s="293">
        <v>558.26508000000001</v>
      </c>
      <c r="D2920" s="293">
        <v>582.16484000000003</v>
      </c>
      <c r="E2920" s="293">
        <v>23.899760000000001</v>
      </c>
      <c r="F2920" s="294" t="s">
        <v>1304</v>
      </c>
    </row>
    <row r="2921" spans="1:6" hidden="1" outlineLevel="1" collapsed="1" x14ac:dyDescent="0.25">
      <c r="A2921" s="321" t="s">
        <v>282</v>
      </c>
      <c r="B2921" s="321" t="s">
        <v>363</v>
      </c>
      <c r="C2921" s="293">
        <v>213.0624</v>
      </c>
      <c r="D2921" s="293">
        <v>211.02</v>
      </c>
      <c r="E2921" s="293">
        <v>-2.0424000000000002</v>
      </c>
      <c r="F2921" s="294" t="s">
        <v>364</v>
      </c>
    </row>
    <row r="2922" spans="1:6" hidden="1" outlineLevel="1" collapsed="1" x14ac:dyDescent="0.25">
      <c r="A2922" s="321" t="s">
        <v>282</v>
      </c>
      <c r="B2922" s="321" t="s">
        <v>367</v>
      </c>
      <c r="C2922" s="293">
        <v>116.7696</v>
      </c>
      <c r="D2922" s="293">
        <v>91.44</v>
      </c>
      <c r="E2922" s="293">
        <v>-25.329599999999999</v>
      </c>
      <c r="F2922" s="294" t="s">
        <v>368</v>
      </c>
    </row>
    <row r="2923" spans="1:6" hidden="1" outlineLevel="1" collapsed="1" x14ac:dyDescent="0.25">
      <c r="A2923" s="321" t="s">
        <v>282</v>
      </c>
      <c r="B2923" s="321" t="s">
        <v>444</v>
      </c>
      <c r="C2923" s="293">
        <v>245</v>
      </c>
      <c r="D2923" s="293">
        <v>0</v>
      </c>
      <c r="E2923" s="293">
        <v>-245</v>
      </c>
      <c r="F2923" s="294" t="s">
        <v>286</v>
      </c>
    </row>
    <row r="2924" spans="1:6" hidden="1" outlineLevel="1" collapsed="1" x14ac:dyDescent="0.25">
      <c r="A2924" s="321" t="s">
        <v>282</v>
      </c>
      <c r="B2924" s="321" t="s">
        <v>369</v>
      </c>
      <c r="C2924" s="293">
        <v>19.250520000000002</v>
      </c>
      <c r="D2924" s="293">
        <v>20.074645</v>
      </c>
      <c r="E2924" s="293">
        <v>0.824125</v>
      </c>
      <c r="F2924" s="294" t="s">
        <v>1304</v>
      </c>
    </row>
    <row r="2925" spans="1:6" hidden="1" outlineLevel="1" collapsed="1" x14ac:dyDescent="0.25">
      <c r="A2925" s="321" t="s">
        <v>282</v>
      </c>
      <c r="B2925" s="321" t="s">
        <v>370</v>
      </c>
      <c r="C2925" s="293">
        <v>750</v>
      </c>
      <c r="D2925" s="293">
        <v>750</v>
      </c>
      <c r="E2925" s="293">
        <v>0</v>
      </c>
      <c r="F2925" s="294" t="s">
        <v>316</v>
      </c>
    </row>
    <row r="2926" spans="1:6" hidden="1" outlineLevel="1" collapsed="1" x14ac:dyDescent="0.25">
      <c r="A2926" s="321" t="s">
        <v>282</v>
      </c>
      <c r="B2926" s="321" t="s">
        <v>371</v>
      </c>
      <c r="C2926" s="293">
        <v>24.84</v>
      </c>
      <c r="D2926" s="293">
        <v>24.24</v>
      </c>
      <c r="E2926" s="293">
        <v>-0.6</v>
      </c>
      <c r="F2926" s="294" t="s">
        <v>372</v>
      </c>
    </row>
    <row r="2927" spans="1:6" hidden="1" outlineLevel="1" collapsed="1" x14ac:dyDescent="0.25">
      <c r="A2927" s="321" t="s">
        <v>282</v>
      </c>
      <c r="B2927" s="321" t="s">
        <v>373</v>
      </c>
      <c r="C2927" s="293">
        <v>12</v>
      </c>
      <c r="D2927" s="293">
        <v>5.52</v>
      </c>
      <c r="E2927" s="293">
        <v>-6.48</v>
      </c>
      <c r="F2927" s="294" t="s">
        <v>374</v>
      </c>
    </row>
    <row r="2928" spans="1:6" hidden="1" outlineLevel="1" collapsed="1" x14ac:dyDescent="0.25">
      <c r="A2928" s="321" t="s">
        <v>282</v>
      </c>
      <c r="B2928" s="321" t="s">
        <v>445</v>
      </c>
      <c r="C2928" s="293">
        <v>1500</v>
      </c>
      <c r="D2928" s="293">
        <v>1500</v>
      </c>
      <c r="E2928" s="293">
        <v>0</v>
      </c>
      <c r="F2928" s="294" t="s">
        <v>316</v>
      </c>
    </row>
    <row r="2929" spans="1:6" collapsed="1" x14ac:dyDescent="0.25">
      <c r="A2929" s="560" t="s">
        <v>1307</v>
      </c>
      <c r="B2929" s="561"/>
      <c r="C2929" s="292">
        <v>46719.613319999997</v>
      </c>
      <c r="D2929" s="293">
        <v>49127.302785</v>
      </c>
      <c r="E2929" s="293">
        <v>2407.6894649999999</v>
      </c>
      <c r="F2929" s="294" t="s">
        <v>618</v>
      </c>
    </row>
    <row r="2930" spans="1:6" hidden="1" outlineLevel="1" collapsed="1" x14ac:dyDescent="0.25">
      <c r="A2930" s="321" t="s">
        <v>282</v>
      </c>
      <c r="B2930" s="321" t="s">
        <v>358</v>
      </c>
      <c r="C2930" s="293">
        <v>38501.040000000001</v>
      </c>
      <c r="D2930" s="293">
        <v>40149.299400000004</v>
      </c>
      <c r="E2930" s="293">
        <v>1648.2593999999999</v>
      </c>
      <c r="F2930" s="294" t="s">
        <v>1304</v>
      </c>
    </row>
    <row r="2931" spans="1:6" hidden="1" outlineLevel="1" collapsed="1" x14ac:dyDescent="0.25">
      <c r="A2931" s="321" t="s">
        <v>282</v>
      </c>
      <c r="B2931" s="321" t="s">
        <v>360</v>
      </c>
      <c r="C2931" s="293">
        <v>5024.3857200000002</v>
      </c>
      <c r="D2931" s="293">
        <v>5793.5438999999997</v>
      </c>
      <c r="E2931" s="293">
        <v>769.15818000000002</v>
      </c>
      <c r="F2931" s="294" t="s">
        <v>1306</v>
      </c>
    </row>
    <row r="2932" spans="1:6" hidden="1" outlineLevel="1" collapsed="1" x14ac:dyDescent="0.25">
      <c r="A2932" s="321" t="s">
        <v>282</v>
      </c>
      <c r="B2932" s="321" t="s">
        <v>362</v>
      </c>
      <c r="C2932" s="293">
        <v>558.26508000000001</v>
      </c>
      <c r="D2932" s="293">
        <v>582.16484000000003</v>
      </c>
      <c r="E2932" s="293">
        <v>23.899760000000001</v>
      </c>
      <c r="F2932" s="294" t="s">
        <v>1304</v>
      </c>
    </row>
    <row r="2933" spans="1:6" hidden="1" outlineLevel="1" collapsed="1" x14ac:dyDescent="0.25">
      <c r="A2933" s="321" t="s">
        <v>282</v>
      </c>
      <c r="B2933" s="321" t="s">
        <v>363</v>
      </c>
      <c r="C2933" s="293">
        <v>213.0624</v>
      </c>
      <c r="D2933" s="293">
        <v>211.02</v>
      </c>
      <c r="E2933" s="293">
        <v>-2.0424000000000002</v>
      </c>
      <c r="F2933" s="294" t="s">
        <v>364</v>
      </c>
    </row>
    <row r="2934" spans="1:6" hidden="1" outlineLevel="1" collapsed="1" x14ac:dyDescent="0.25">
      <c r="A2934" s="321" t="s">
        <v>282</v>
      </c>
      <c r="B2934" s="321" t="s">
        <v>367</v>
      </c>
      <c r="C2934" s="293">
        <v>116.7696</v>
      </c>
      <c r="D2934" s="293">
        <v>91.44</v>
      </c>
      <c r="E2934" s="293">
        <v>-25.329599999999999</v>
      </c>
      <c r="F2934" s="294" t="s">
        <v>368</v>
      </c>
    </row>
    <row r="2935" spans="1:6" hidden="1" outlineLevel="1" collapsed="1" x14ac:dyDescent="0.25">
      <c r="A2935" s="321" t="s">
        <v>282</v>
      </c>
      <c r="B2935" s="321" t="s">
        <v>369</v>
      </c>
      <c r="C2935" s="293">
        <v>19.250520000000002</v>
      </c>
      <c r="D2935" s="293">
        <v>20.074645</v>
      </c>
      <c r="E2935" s="293">
        <v>0.824125</v>
      </c>
      <c r="F2935" s="294" t="s">
        <v>1304</v>
      </c>
    </row>
    <row r="2936" spans="1:6" hidden="1" outlineLevel="1" collapsed="1" x14ac:dyDescent="0.25">
      <c r="A2936" s="321" t="s">
        <v>282</v>
      </c>
      <c r="B2936" s="321" t="s">
        <v>370</v>
      </c>
      <c r="C2936" s="293">
        <v>750</v>
      </c>
      <c r="D2936" s="293">
        <v>750</v>
      </c>
      <c r="E2936" s="293">
        <v>0</v>
      </c>
      <c r="F2936" s="294" t="s">
        <v>316</v>
      </c>
    </row>
    <row r="2937" spans="1:6" hidden="1" outlineLevel="1" collapsed="1" x14ac:dyDescent="0.25">
      <c r="A2937" s="321" t="s">
        <v>282</v>
      </c>
      <c r="B2937" s="321" t="s">
        <v>371</v>
      </c>
      <c r="C2937" s="293">
        <v>24.84</v>
      </c>
      <c r="D2937" s="293">
        <v>24.24</v>
      </c>
      <c r="E2937" s="293">
        <v>-0.6</v>
      </c>
      <c r="F2937" s="294" t="s">
        <v>372</v>
      </c>
    </row>
    <row r="2938" spans="1:6" hidden="1" outlineLevel="1" collapsed="1" x14ac:dyDescent="0.25">
      <c r="A2938" s="321" t="s">
        <v>282</v>
      </c>
      <c r="B2938" s="321" t="s">
        <v>373</v>
      </c>
      <c r="C2938" s="293">
        <v>12</v>
      </c>
      <c r="D2938" s="293">
        <v>5.52</v>
      </c>
      <c r="E2938" s="293">
        <v>-6.48</v>
      </c>
      <c r="F2938" s="294" t="s">
        <v>374</v>
      </c>
    </row>
    <row r="2939" spans="1:6" hidden="1" outlineLevel="1" collapsed="1" x14ac:dyDescent="0.25">
      <c r="A2939" s="321" t="s">
        <v>282</v>
      </c>
      <c r="B2939" s="321" t="s">
        <v>445</v>
      </c>
      <c r="C2939" s="293">
        <v>1500</v>
      </c>
      <c r="D2939" s="293">
        <v>1500</v>
      </c>
      <c r="E2939" s="293">
        <v>0</v>
      </c>
      <c r="F2939" s="294" t="s">
        <v>316</v>
      </c>
    </row>
    <row r="2940" spans="1:6" collapsed="1" x14ac:dyDescent="0.25">
      <c r="A2940" s="560" t="s">
        <v>1308</v>
      </c>
      <c r="B2940" s="561"/>
      <c r="C2940" s="292">
        <v>195559.04373199999</v>
      </c>
      <c r="D2940" s="293">
        <v>204177.360973</v>
      </c>
      <c r="E2940" s="293">
        <v>8618.3172410000006</v>
      </c>
      <c r="F2940" s="294" t="s">
        <v>916</v>
      </c>
    </row>
    <row r="2941" spans="1:6" hidden="1" outlineLevel="1" collapsed="1" x14ac:dyDescent="0.25">
      <c r="A2941" s="321" t="s">
        <v>282</v>
      </c>
      <c r="B2941" s="321" t="s">
        <v>358</v>
      </c>
      <c r="C2941" s="293">
        <v>79111.92</v>
      </c>
      <c r="D2941" s="293">
        <v>82440.0864</v>
      </c>
      <c r="E2941" s="293">
        <v>3328.1664000000001</v>
      </c>
      <c r="F2941" s="294" t="s">
        <v>1309</v>
      </c>
    </row>
    <row r="2942" spans="1:6" hidden="1" outlineLevel="1" collapsed="1" x14ac:dyDescent="0.25">
      <c r="A2942" s="321" t="s">
        <v>282</v>
      </c>
      <c r="B2942" s="321" t="s">
        <v>412</v>
      </c>
      <c r="C2942" s="293">
        <v>7000</v>
      </c>
      <c r="D2942" s="293">
        <v>7000</v>
      </c>
      <c r="E2942" s="293">
        <v>0</v>
      </c>
      <c r="F2942" s="294" t="s">
        <v>316</v>
      </c>
    </row>
    <row r="2943" spans="1:6" hidden="1" outlineLevel="1" collapsed="1" x14ac:dyDescent="0.25">
      <c r="A2943" s="321" t="s">
        <v>282</v>
      </c>
      <c r="B2943" s="321" t="s">
        <v>380</v>
      </c>
      <c r="C2943" s="293">
        <v>49054.365980000002</v>
      </c>
      <c r="D2943" s="293">
        <v>50517.386323999999</v>
      </c>
      <c r="E2943" s="293">
        <v>1463.020344</v>
      </c>
      <c r="F2943" s="294" t="s">
        <v>381</v>
      </c>
    </row>
    <row r="2944" spans="1:6" hidden="1" outlineLevel="1" collapsed="1" x14ac:dyDescent="0.25">
      <c r="A2944" s="321" t="s">
        <v>282</v>
      </c>
      <c r="B2944" s="321" t="s">
        <v>452</v>
      </c>
      <c r="C2944" s="293">
        <v>2400</v>
      </c>
      <c r="D2944" s="293">
        <v>2400</v>
      </c>
      <c r="E2944" s="293">
        <v>0</v>
      </c>
      <c r="F2944" s="294" t="s">
        <v>316</v>
      </c>
    </row>
    <row r="2945" spans="1:6" hidden="1" outlineLevel="1" collapsed="1" x14ac:dyDescent="0.25">
      <c r="A2945" s="321" t="s">
        <v>282</v>
      </c>
      <c r="B2945" s="321" t="s">
        <v>360</v>
      </c>
      <c r="C2945" s="293">
        <v>10324.10556</v>
      </c>
      <c r="D2945" s="293">
        <v>11896.10446</v>
      </c>
      <c r="E2945" s="293">
        <v>1571.9989</v>
      </c>
      <c r="F2945" s="294" t="s">
        <v>1310</v>
      </c>
    </row>
    <row r="2946" spans="1:6" hidden="1" outlineLevel="1" collapsed="1" x14ac:dyDescent="0.25">
      <c r="A2946" s="321" t="s">
        <v>282</v>
      </c>
      <c r="B2946" s="321" t="s">
        <v>384</v>
      </c>
      <c r="C2946" s="293">
        <v>6089.2692360000001</v>
      </c>
      <c r="D2946" s="293">
        <v>0</v>
      </c>
      <c r="E2946" s="293">
        <v>-6089.2692360000001</v>
      </c>
      <c r="F2946" s="294" t="s">
        <v>286</v>
      </c>
    </row>
    <row r="2947" spans="1:6" hidden="1" outlineLevel="1" collapsed="1" x14ac:dyDescent="0.25">
      <c r="A2947" s="321" t="s">
        <v>282</v>
      </c>
      <c r="B2947" s="321" t="s">
        <v>385</v>
      </c>
      <c r="C2947" s="293">
        <v>0</v>
      </c>
      <c r="D2947" s="293">
        <v>7744.9037639999997</v>
      </c>
      <c r="E2947" s="293">
        <v>7744.9037639999997</v>
      </c>
      <c r="F2947" s="294" t="s">
        <v>298</v>
      </c>
    </row>
    <row r="2948" spans="1:6" hidden="1" outlineLevel="1" collapsed="1" x14ac:dyDescent="0.25">
      <c r="A2948" s="321" t="s">
        <v>282</v>
      </c>
      <c r="B2948" s="321" t="s">
        <v>386</v>
      </c>
      <c r="C2948" s="293">
        <v>3041.370684</v>
      </c>
      <c r="D2948" s="293">
        <v>0</v>
      </c>
      <c r="E2948" s="293">
        <v>-3041.370684</v>
      </c>
      <c r="F2948" s="294" t="s">
        <v>286</v>
      </c>
    </row>
    <row r="2949" spans="1:6" hidden="1" outlineLevel="1" collapsed="1" x14ac:dyDescent="0.25">
      <c r="A2949" s="321" t="s">
        <v>282</v>
      </c>
      <c r="B2949" s="321" t="s">
        <v>387</v>
      </c>
      <c r="C2949" s="293">
        <v>0</v>
      </c>
      <c r="D2949" s="293">
        <v>3132.0779510000002</v>
      </c>
      <c r="E2949" s="293">
        <v>3132.0779510000002</v>
      </c>
      <c r="F2949" s="294" t="s">
        <v>298</v>
      </c>
    </row>
    <row r="2950" spans="1:6" hidden="1" outlineLevel="1" collapsed="1" x14ac:dyDescent="0.25">
      <c r="A2950" s="321" t="s">
        <v>282</v>
      </c>
      <c r="B2950" s="321" t="s">
        <v>362</v>
      </c>
      <c r="C2950" s="293">
        <v>1248.62284</v>
      </c>
      <c r="D2950" s="293">
        <v>1296.8812499999999</v>
      </c>
      <c r="E2950" s="293">
        <v>48.258409999999998</v>
      </c>
      <c r="F2950" s="294" t="s">
        <v>779</v>
      </c>
    </row>
    <row r="2951" spans="1:6" hidden="1" outlineLevel="1" collapsed="1" x14ac:dyDescent="0.25">
      <c r="A2951" s="321" t="s">
        <v>282</v>
      </c>
      <c r="B2951" s="321" t="s">
        <v>388</v>
      </c>
      <c r="C2951" s="293">
        <v>711.28830000000005</v>
      </c>
      <c r="D2951" s="293">
        <v>732.50209199999995</v>
      </c>
      <c r="E2951" s="293">
        <v>21.213792000000002</v>
      </c>
      <c r="F2951" s="294" t="s">
        <v>381</v>
      </c>
    </row>
    <row r="2952" spans="1:6" hidden="1" outlineLevel="1" collapsed="1" x14ac:dyDescent="0.25">
      <c r="A2952" s="321" t="s">
        <v>282</v>
      </c>
      <c r="B2952" s="321" t="s">
        <v>363</v>
      </c>
      <c r="C2952" s="293">
        <v>426.12479999999999</v>
      </c>
      <c r="D2952" s="293">
        <v>422.04</v>
      </c>
      <c r="E2952" s="293">
        <v>-4.0848000000000004</v>
      </c>
      <c r="F2952" s="294" t="s">
        <v>364</v>
      </c>
    </row>
    <row r="2953" spans="1:6" hidden="1" outlineLevel="1" collapsed="1" x14ac:dyDescent="0.25">
      <c r="A2953" s="321" t="s">
        <v>282</v>
      </c>
      <c r="B2953" s="321" t="s">
        <v>365</v>
      </c>
      <c r="C2953" s="293">
        <v>15358.56</v>
      </c>
      <c r="D2953" s="293">
        <v>15959.28</v>
      </c>
      <c r="E2953" s="293">
        <v>600.72</v>
      </c>
      <c r="F2953" s="294" t="s">
        <v>366</v>
      </c>
    </row>
    <row r="2954" spans="1:6" hidden="1" outlineLevel="1" collapsed="1" x14ac:dyDescent="0.25">
      <c r="A2954" s="321" t="s">
        <v>282</v>
      </c>
      <c r="B2954" s="321" t="s">
        <v>367</v>
      </c>
      <c r="C2954" s="293">
        <v>233.53919999999999</v>
      </c>
      <c r="D2954" s="293">
        <v>182.88</v>
      </c>
      <c r="E2954" s="293">
        <v>-50.659199999999998</v>
      </c>
      <c r="F2954" s="294" t="s">
        <v>368</v>
      </c>
    </row>
    <row r="2955" spans="1:6" hidden="1" outlineLevel="1" collapsed="1" x14ac:dyDescent="0.25">
      <c r="A2955" s="321" t="s">
        <v>282</v>
      </c>
      <c r="B2955" s="321" t="s">
        <v>389</v>
      </c>
      <c r="C2955" s="293">
        <v>426.12479999999999</v>
      </c>
      <c r="D2955" s="293">
        <v>422.04</v>
      </c>
      <c r="E2955" s="293">
        <v>-4.0848000000000004</v>
      </c>
      <c r="F2955" s="294" t="s">
        <v>364</v>
      </c>
    </row>
    <row r="2956" spans="1:6" hidden="1" outlineLevel="1" collapsed="1" x14ac:dyDescent="0.25">
      <c r="A2956" s="321" t="s">
        <v>282</v>
      </c>
      <c r="B2956" s="321" t="s">
        <v>390</v>
      </c>
      <c r="C2956" s="293">
        <v>15485.27</v>
      </c>
      <c r="D2956" s="293">
        <v>15959.28</v>
      </c>
      <c r="E2956" s="293">
        <v>474.01</v>
      </c>
      <c r="F2956" s="294" t="s">
        <v>391</v>
      </c>
    </row>
    <row r="2957" spans="1:6" hidden="1" outlineLevel="1" collapsed="1" x14ac:dyDescent="0.25">
      <c r="A2957" s="321" t="s">
        <v>282</v>
      </c>
      <c r="B2957" s="321" t="s">
        <v>392</v>
      </c>
      <c r="C2957" s="293">
        <v>233.53919999999999</v>
      </c>
      <c r="D2957" s="293">
        <v>182.88</v>
      </c>
      <c r="E2957" s="293">
        <v>-50.659199999999998</v>
      </c>
      <c r="F2957" s="294" t="s">
        <v>368</v>
      </c>
    </row>
    <row r="2958" spans="1:6" hidden="1" outlineLevel="1" collapsed="1" x14ac:dyDescent="0.25">
      <c r="A2958" s="321" t="s">
        <v>282</v>
      </c>
      <c r="B2958" s="321" t="s">
        <v>369</v>
      </c>
      <c r="C2958" s="293">
        <v>43.055959999999999</v>
      </c>
      <c r="D2958" s="293">
        <v>44.720039999999997</v>
      </c>
      <c r="E2958" s="293">
        <v>1.66408</v>
      </c>
      <c r="F2958" s="294" t="s">
        <v>779</v>
      </c>
    </row>
    <row r="2959" spans="1:6" hidden="1" outlineLevel="1" collapsed="1" x14ac:dyDescent="0.25">
      <c r="A2959" s="321" t="s">
        <v>282</v>
      </c>
      <c r="B2959" s="321" t="s">
        <v>393</v>
      </c>
      <c r="C2959" s="293">
        <v>24.527172</v>
      </c>
      <c r="D2959" s="293">
        <v>25.258692</v>
      </c>
      <c r="E2959" s="293">
        <v>0.73151999999999995</v>
      </c>
      <c r="F2959" s="294" t="s">
        <v>381</v>
      </c>
    </row>
    <row r="2960" spans="1:6" hidden="1" outlineLevel="1" collapsed="1" x14ac:dyDescent="0.25">
      <c r="A2960" s="321" t="s">
        <v>282</v>
      </c>
      <c r="B2960" s="321" t="s">
        <v>370</v>
      </c>
      <c r="C2960" s="293">
        <v>1500</v>
      </c>
      <c r="D2960" s="293">
        <v>1500</v>
      </c>
      <c r="E2960" s="293">
        <v>0</v>
      </c>
      <c r="F2960" s="294" t="s">
        <v>316</v>
      </c>
    </row>
    <row r="2961" spans="1:6" hidden="1" outlineLevel="1" collapsed="1" x14ac:dyDescent="0.25">
      <c r="A2961" s="321" t="s">
        <v>282</v>
      </c>
      <c r="B2961" s="321" t="s">
        <v>394</v>
      </c>
      <c r="C2961" s="293">
        <v>1500</v>
      </c>
      <c r="D2961" s="293">
        <v>0</v>
      </c>
      <c r="E2961" s="293">
        <v>-1500</v>
      </c>
      <c r="F2961" s="294" t="s">
        <v>286</v>
      </c>
    </row>
    <row r="2962" spans="1:6" hidden="1" outlineLevel="1" collapsed="1" x14ac:dyDescent="0.25">
      <c r="A2962" s="321" t="s">
        <v>282</v>
      </c>
      <c r="B2962" s="321" t="s">
        <v>395</v>
      </c>
      <c r="C2962" s="293">
        <v>0</v>
      </c>
      <c r="D2962" s="293">
        <v>1500</v>
      </c>
      <c r="E2962" s="293">
        <v>1500</v>
      </c>
      <c r="F2962" s="294" t="s">
        <v>298</v>
      </c>
    </row>
    <row r="2963" spans="1:6" hidden="1" outlineLevel="1" collapsed="1" x14ac:dyDescent="0.25">
      <c r="A2963" s="321" t="s">
        <v>282</v>
      </c>
      <c r="B2963" s="321" t="s">
        <v>371</v>
      </c>
      <c r="C2963" s="293">
        <v>49.68</v>
      </c>
      <c r="D2963" s="293">
        <v>48.48</v>
      </c>
      <c r="E2963" s="293">
        <v>-1.2</v>
      </c>
      <c r="F2963" s="294" t="s">
        <v>372</v>
      </c>
    </row>
    <row r="2964" spans="1:6" hidden="1" outlineLevel="1" collapsed="1" x14ac:dyDescent="0.25">
      <c r="A2964" s="321" t="s">
        <v>282</v>
      </c>
      <c r="B2964" s="321" t="s">
        <v>396</v>
      </c>
      <c r="C2964" s="293">
        <v>49.68</v>
      </c>
      <c r="D2964" s="293">
        <v>0</v>
      </c>
      <c r="E2964" s="293">
        <v>-49.68</v>
      </c>
      <c r="F2964" s="294" t="s">
        <v>286</v>
      </c>
    </row>
    <row r="2965" spans="1:6" hidden="1" outlineLevel="1" collapsed="1" x14ac:dyDescent="0.25">
      <c r="A2965" s="321" t="s">
        <v>282</v>
      </c>
      <c r="B2965" s="321" t="s">
        <v>397</v>
      </c>
      <c r="C2965" s="293">
        <v>0</v>
      </c>
      <c r="D2965" s="293">
        <v>48.48</v>
      </c>
      <c r="E2965" s="293">
        <v>48.48</v>
      </c>
      <c r="F2965" s="294" t="s">
        <v>298</v>
      </c>
    </row>
    <row r="2966" spans="1:6" hidden="1" outlineLevel="1" collapsed="1" x14ac:dyDescent="0.25">
      <c r="A2966" s="321" t="s">
        <v>282</v>
      </c>
      <c r="B2966" s="321" t="s">
        <v>373</v>
      </c>
      <c r="C2966" s="293">
        <v>24</v>
      </c>
      <c r="D2966" s="293">
        <v>11.04</v>
      </c>
      <c r="E2966" s="293">
        <v>-12.96</v>
      </c>
      <c r="F2966" s="294" t="s">
        <v>374</v>
      </c>
    </row>
    <row r="2967" spans="1:6" hidden="1" outlineLevel="1" collapsed="1" x14ac:dyDescent="0.25">
      <c r="A2967" s="321" t="s">
        <v>282</v>
      </c>
      <c r="B2967" s="321" t="s">
        <v>398</v>
      </c>
      <c r="C2967" s="293">
        <v>24</v>
      </c>
      <c r="D2967" s="293">
        <v>11.04</v>
      </c>
      <c r="E2967" s="293">
        <v>-12.96</v>
      </c>
      <c r="F2967" s="294" t="s">
        <v>374</v>
      </c>
    </row>
    <row r="2968" spans="1:6" hidden="1" outlineLevel="1" collapsed="1" x14ac:dyDescent="0.25">
      <c r="A2968" s="321" t="s">
        <v>282</v>
      </c>
      <c r="B2968" s="321" t="s">
        <v>375</v>
      </c>
      <c r="C2968" s="293">
        <v>400</v>
      </c>
      <c r="D2968" s="293">
        <v>400</v>
      </c>
      <c r="E2968" s="293">
        <v>0</v>
      </c>
      <c r="F2968" s="294" t="s">
        <v>316</v>
      </c>
    </row>
    <row r="2969" spans="1:6" hidden="1" outlineLevel="1" collapsed="1" x14ac:dyDescent="0.25">
      <c r="A2969" s="321" t="s">
        <v>282</v>
      </c>
      <c r="B2969" s="321" t="s">
        <v>376</v>
      </c>
      <c r="C2969" s="293">
        <v>800</v>
      </c>
      <c r="D2969" s="293">
        <v>300</v>
      </c>
      <c r="E2969" s="293">
        <v>-500</v>
      </c>
      <c r="F2969" s="294" t="s">
        <v>1311</v>
      </c>
    </row>
    <row r="2970" spans="1:6" collapsed="1" x14ac:dyDescent="0.25">
      <c r="A2970" s="560" t="s">
        <v>1312</v>
      </c>
      <c r="B2970" s="561"/>
      <c r="C2970" s="292">
        <v>415869.74164000002</v>
      </c>
      <c r="D2970" s="293">
        <v>400124.19391600002</v>
      </c>
      <c r="E2970" s="293">
        <v>-15745.547724</v>
      </c>
      <c r="F2970" s="294" t="s">
        <v>1313</v>
      </c>
    </row>
    <row r="2971" spans="1:6" hidden="1" outlineLevel="1" collapsed="1" x14ac:dyDescent="0.25">
      <c r="A2971" s="321" t="s">
        <v>282</v>
      </c>
      <c r="B2971" s="321" t="s">
        <v>358</v>
      </c>
      <c r="C2971" s="293">
        <v>289756.08</v>
      </c>
      <c r="D2971" s="293">
        <v>273941.53710000002</v>
      </c>
      <c r="E2971" s="293">
        <v>-15814.5429</v>
      </c>
      <c r="F2971" s="294" t="s">
        <v>1314</v>
      </c>
    </row>
    <row r="2972" spans="1:6" hidden="1" outlineLevel="1" collapsed="1" x14ac:dyDescent="0.25">
      <c r="A2972" s="321" t="s">
        <v>282</v>
      </c>
      <c r="B2972" s="321" t="s">
        <v>412</v>
      </c>
      <c r="C2972" s="293">
        <v>7000</v>
      </c>
      <c r="D2972" s="293">
        <v>7000</v>
      </c>
      <c r="E2972" s="293">
        <v>0</v>
      </c>
      <c r="F2972" s="294" t="s">
        <v>316</v>
      </c>
    </row>
    <row r="2973" spans="1:6" hidden="1" outlineLevel="1" collapsed="1" x14ac:dyDescent="0.25">
      <c r="A2973" s="321" t="s">
        <v>282</v>
      </c>
      <c r="B2973" s="321" t="s">
        <v>452</v>
      </c>
      <c r="C2973" s="293">
        <v>5400</v>
      </c>
      <c r="D2973" s="293">
        <v>5400</v>
      </c>
      <c r="E2973" s="293">
        <v>0</v>
      </c>
      <c r="F2973" s="294" t="s">
        <v>316</v>
      </c>
    </row>
    <row r="2974" spans="1:6" hidden="1" outlineLevel="1" collapsed="1" x14ac:dyDescent="0.25">
      <c r="A2974" s="321" t="s">
        <v>282</v>
      </c>
      <c r="B2974" s="321" t="s">
        <v>453</v>
      </c>
      <c r="C2974" s="293">
        <v>4800</v>
      </c>
      <c r="D2974" s="293">
        <v>5200</v>
      </c>
      <c r="E2974" s="293">
        <v>400</v>
      </c>
      <c r="F2974" s="294" t="s">
        <v>328</v>
      </c>
    </row>
    <row r="2975" spans="1:6" hidden="1" outlineLevel="1" collapsed="1" x14ac:dyDescent="0.25">
      <c r="A2975" s="321" t="s">
        <v>282</v>
      </c>
      <c r="B2975" s="321" t="s">
        <v>360</v>
      </c>
      <c r="C2975" s="293">
        <v>37813.168440000001</v>
      </c>
      <c r="D2975" s="293">
        <v>39529.763798</v>
      </c>
      <c r="E2975" s="293">
        <v>1716.595358</v>
      </c>
      <c r="F2975" s="294" t="s">
        <v>719</v>
      </c>
    </row>
    <row r="2976" spans="1:6" hidden="1" outlineLevel="1" collapsed="1" x14ac:dyDescent="0.25">
      <c r="A2976" s="321" t="s">
        <v>282</v>
      </c>
      <c r="B2976" s="321" t="s">
        <v>362</v>
      </c>
      <c r="C2976" s="293">
        <v>4302.9631600000002</v>
      </c>
      <c r="D2976" s="293">
        <v>4073.6522730000002</v>
      </c>
      <c r="E2976" s="293">
        <v>-229.31088700000001</v>
      </c>
      <c r="F2976" s="294" t="s">
        <v>1315</v>
      </c>
    </row>
    <row r="2977" spans="1:6" hidden="1" outlineLevel="1" collapsed="1" x14ac:dyDescent="0.25">
      <c r="A2977" s="321" t="s">
        <v>282</v>
      </c>
      <c r="B2977" s="321" t="s">
        <v>363</v>
      </c>
      <c r="C2977" s="293">
        <v>1278.3743999999999</v>
      </c>
      <c r="D2977" s="293">
        <v>1160.6099999999999</v>
      </c>
      <c r="E2977" s="293">
        <v>-117.76439999999999</v>
      </c>
      <c r="F2977" s="294" t="s">
        <v>1316</v>
      </c>
    </row>
    <row r="2978" spans="1:6" hidden="1" outlineLevel="1" collapsed="1" x14ac:dyDescent="0.25">
      <c r="A2978" s="321" t="s">
        <v>282</v>
      </c>
      <c r="B2978" s="321" t="s">
        <v>365</v>
      </c>
      <c r="C2978" s="293">
        <v>30717.119999999999</v>
      </c>
      <c r="D2978" s="293">
        <v>31918.560000000001</v>
      </c>
      <c r="E2978" s="293">
        <v>1201.44</v>
      </c>
      <c r="F2978" s="294" t="s">
        <v>366</v>
      </c>
    </row>
    <row r="2979" spans="1:6" hidden="1" outlineLevel="1" collapsed="1" x14ac:dyDescent="0.25">
      <c r="A2979" s="321" t="s">
        <v>282</v>
      </c>
      <c r="B2979" s="321" t="s">
        <v>367</v>
      </c>
      <c r="C2979" s="293">
        <v>700.61760000000004</v>
      </c>
      <c r="D2979" s="293">
        <v>502.92</v>
      </c>
      <c r="E2979" s="293">
        <v>-197.69759999999999</v>
      </c>
      <c r="F2979" s="294" t="s">
        <v>1317</v>
      </c>
    </row>
    <row r="2980" spans="1:6" hidden="1" outlineLevel="1" collapsed="1" x14ac:dyDescent="0.25">
      <c r="A2980" s="321" t="s">
        <v>282</v>
      </c>
      <c r="B2980" s="321" t="s">
        <v>444</v>
      </c>
      <c r="C2980" s="293">
        <v>432</v>
      </c>
      <c r="D2980" s="293">
        <v>468</v>
      </c>
      <c r="E2980" s="293">
        <v>36</v>
      </c>
      <c r="F2980" s="294" t="s">
        <v>328</v>
      </c>
    </row>
    <row r="2981" spans="1:6" hidden="1" outlineLevel="1" collapsed="1" x14ac:dyDescent="0.25">
      <c r="A2981" s="321" t="s">
        <v>282</v>
      </c>
      <c r="B2981" s="321" t="s">
        <v>369</v>
      </c>
      <c r="C2981" s="293">
        <v>148.37804</v>
      </c>
      <c r="D2981" s="293">
        <v>140.47074499999999</v>
      </c>
      <c r="E2981" s="293">
        <v>-7.9072950000000004</v>
      </c>
      <c r="F2981" s="294" t="s">
        <v>1315</v>
      </c>
    </row>
    <row r="2982" spans="1:6" hidden="1" outlineLevel="1" collapsed="1" x14ac:dyDescent="0.25">
      <c r="A2982" s="321" t="s">
        <v>282</v>
      </c>
      <c r="B2982" s="321" t="s">
        <v>370</v>
      </c>
      <c r="C2982" s="293">
        <v>4500</v>
      </c>
      <c r="D2982" s="293">
        <v>4125</v>
      </c>
      <c r="E2982" s="293">
        <v>-375</v>
      </c>
      <c r="F2982" s="294" t="s">
        <v>1318</v>
      </c>
    </row>
    <row r="2983" spans="1:6" hidden="1" outlineLevel="1" collapsed="1" x14ac:dyDescent="0.25">
      <c r="A2983" s="321" t="s">
        <v>282</v>
      </c>
      <c r="B2983" s="321" t="s">
        <v>371</v>
      </c>
      <c r="C2983" s="293">
        <v>149.04</v>
      </c>
      <c r="D2983" s="293">
        <v>133.32</v>
      </c>
      <c r="E2983" s="293">
        <v>-15.72</v>
      </c>
      <c r="F2983" s="294" t="s">
        <v>1319</v>
      </c>
    </row>
    <row r="2984" spans="1:6" hidden="1" outlineLevel="1" collapsed="1" x14ac:dyDescent="0.25">
      <c r="A2984" s="321" t="s">
        <v>282</v>
      </c>
      <c r="B2984" s="321" t="s">
        <v>373</v>
      </c>
      <c r="C2984" s="293">
        <v>72</v>
      </c>
      <c r="D2984" s="293">
        <v>30.36</v>
      </c>
      <c r="E2984" s="293">
        <v>-41.64</v>
      </c>
      <c r="F2984" s="294" t="s">
        <v>1320</v>
      </c>
    </row>
    <row r="2985" spans="1:6" hidden="1" outlineLevel="1" collapsed="1" x14ac:dyDescent="0.25">
      <c r="A2985" s="321" t="s">
        <v>282</v>
      </c>
      <c r="B2985" s="321" t="s">
        <v>445</v>
      </c>
      <c r="C2985" s="293">
        <v>3000</v>
      </c>
      <c r="D2985" s="293">
        <v>2250</v>
      </c>
      <c r="E2985" s="293">
        <v>-750</v>
      </c>
      <c r="F2985" s="294" t="s">
        <v>1321</v>
      </c>
    </row>
    <row r="2986" spans="1:6" hidden="1" outlineLevel="1" collapsed="1" x14ac:dyDescent="0.25">
      <c r="A2986" s="321" t="s">
        <v>282</v>
      </c>
      <c r="B2986" s="321" t="s">
        <v>375</v>
      </c>
      <c r="C2986" s="293">
        <v>2985</v>
      </c>
      <c r="D2986" s="293">
        <v>2800</v>
      </c>
      <c r="E2986" s="293">
        <v>-185</v>
      </c>
      <c r="F2986" s="294" t="s">
        <v>1322</v>
      </c>
    </row>
    <row r="2987" spans="1:6" hidden="1" outlineLevel="1" collapsed="1" x14ac:dyDescent="0.25">
      <c r="A2987" s="321" t="s">
        <v>282</v>
      </c>
      <c r="B2987" s="321" t="s">
        <v>597</v>
      </c>
      <c r="C2987" s="293">
        <v>30</v>
      </c>
      <c r="D2987" s="293">
        <v>450</v>
      </c>
      <c r="E2987" s="293">
        <v>420</v>
      </c>
      <c r="F2987" s="294" t="s">
        <v>1323</v>
      </c>
    </row>
    <row r="2988" spans="1:6" hidden="1" outlineLevel="1" collapsed="1" x14ac:dyDescent="0.25">
      <c r="A2988" s="321" t="s">
        <v>282</v>
      </c>
      <c r="B2988" s="321" t="s">
        <v>416</v>
      </c>
      <c r="C2988" s="293">
        <v>12665</v>
      </c>
      <c r="D2988" s="293">
        <v>20000</v>
      </c>
      <c r="E2988" s="293">
        <v>7335</v>
      </c>
      <c r="F2988" s="294" t="s">
        <v>1324</v>
      </c>
    </row>
    <row r="2989" spans="1:6" hidden="1" outlineLevel="1" collapsed="1" x14ac:dyDescent="0.25">
      <c r="A2989" s="321" t="s">
        <v>282</v>
      </c>
      <c r="B2989" s="321" t="s">
        <v>1325</v>
      </c>
      <c r="C2989" s="293">
        <v>1500</v>
      </c>
      <c r="D2989" s="293">
        <v>0</v>
      </c>
      <c r="E2989" s="293">
        <v>-1500</v>
      </c>
      <c r="F2989" s="294" t="s">
        <v>286</v>
      </c>
    </row>
    <row r="2990" spans="1:6" hidden="1" outlineLevel="1" collapsed="1" x14ac:dyDescent="0.25">
      <c r="A2990" s="321" t="s">
        <v>282</v>
      </c>
      <c r="B2990" s="321" t="s">
        <v>403</v>
      </c>
      <c r="C2990" s="293">
        <v>1000</v>
      </c>
      <c r="D2990" s="293">
        <v>1000</v>
      </c>
      <c r="E2990" s="293">
        <v>0</v>
      </c>
      <c r="F2990" s="294" t="s">
        <v>316</v>
      </c>
    </row>
    <row r="2991" spans="1:6" hidden="1" outlineLevel="1" collapsed="1" x14ac:dyDescent="0.25">
      <c r="A2991" s="321" t="s">
        <v>282</v>
      </c>
      <c r="B2991" s="321" t="s">
        <v>405</v>
      </c>
      <c r="C2991" s="293">
        <v>420</v>
      </c>
      <c r="D2991" s="293">
        <v>0</v>
      </c>
      <c r="E2991" s="293">
        <v>-420</v>
      </c>
      <c r="F2991" s="294" t="s">
        <v>286</v>
      </c>
    </row>
    <row r="2992" spans="1:6" hidden="1" outlineLevel="1" collapsed="1" x14ac:dyDescent="0.25">
      <c r="A2992" s="321" t="s">
        <v>282</v>
      </c>
      <c r="B2992" s="321" t="s">
        <v>422</v>
      </c>
      <c r="C2992" s="293">
        <v>7200</v>
      </c>
      <c r="D2992" s="293">
        <v>0</v>
      </c>
      <c r="E2992" s="293">
        <v>-7200</v>
      </c>
      <c r="F2992" s="294" t="s">
        <v>286</v>
      </c>
    </row>
    <row r="2993" spans="1:6" collapsed="1" x14ac:dyDescent="0.25">
      <c r="A2993" s="560" t="s">
        <v>1326</v>
      </c>
      <c r="B2993" s="561"/>
      <c r="C2993" s="292">
        <v>108454.59096</v>
      </c>
      <c r="D2993" s="293">
        <v>136250.44145000001</v>
      </c>
      <c r="E2993" s="293">
        <v>27795.850490000001</v>
      </c>
      <c r="F2993" s="294" t="s">
        <v>1327</v>
      </c>
    </row>
    <row r="2994" spans="1:6" hidden="1" outlineLevel="1" collapsed="1" x14ac:dyDescent="0.25">
      <c r="A2994" s="321" t="s">
        <v>282</v>
      </c>
      <c r="B2994" s="321" t="s">
        <v>358</v>
      </c>
      <c r="C2994" s="293">
        <v>60799.12</v>
      </c>
      <c r="D2994" s="293">
        <v>86694.316800000001</v>
      </c>
      <c r="E2994" s="293">
        <v>25895.196800000002</v>
      </c>
      <c r="F2994" s="294" t="s">
        <v>1328</v>
      </c>
    </row>
    <row r="2995" spans="1:6" hidden="1" outlineLevel="1" collapsed="1" x14ac:dyDescent="0.25">
      <c r="A2995" s="321" t="s">
        <v>282</v>
      </c>
      <c r="B2995" s="321" t="s">
        <v>412</v>
      </c>
      <c r="C2995" s="293">
        <v>7000</v>
      </c>
      <c r="D2995" s="293">
        <v>7000</v>
      </c>
      <c r="E2995" s="293">
        <v>0</v>
      </c>
      <c r="F2995" s="294" t="s">
        <v>316</v>
      </c>
    </row>
    <row r="2996" spans="1:6" hidden="1" outlineLevel="1" collapsed="1" x14ac:dyDescent="0.25">
      <c r="A2996" s="321" t="s">
        <v>282</v>
      </c>
      <c r="B2996" s="321" t="s">
        <v>360</v>
      </c>
      <c r="C2996" s="293">
        <v>10869.230159999999</v>
      </c>
      <c r="D2996" s="293">
        <v>12509.98991</v>
      </c>
      <c r="E2996" s="293">
        <v>1640.7597499999999</v>
      </c>
      <c r="F2996" s="294" t="s">
        <v>571</v>
      </c>
    </row>
    <row r="2997" spans="1:6" hidden="1" outlineLevel="1" collapsed="1" x14ac:dyDescent="0.25">
      <c r="A2997" s="321" t="s">
        <v>282</v>
      </c>
      <c r="B2997" s="321" t="s">
        <v>362</v>
      </c>
      <c r="C2997" s="293">
        <v>1309.1922400000001</v>
      </c>
      <c r="D2997" s="293">
        <v>1358.5675900000001</v>
      </c>
      <c r="E2997" s="293">
        <v>49.375349999999997</v>
      </c>
      <c r="F2997" s="294" t="s">
        <v>1329</v>
      </c>
    </row>
    <row r="2998" spans="1:6" hidden="1" outlineLevel="1" collapsed="1" x14ac:dyDescent="0.25">
      <c r="A2998" s="321" t="s">
        <v>282</v>
      </c>
      <c r="B2998" s="321" t="s">
        <v>363</v>
      </c>
      <c r="C2998" s="293">
        <v>426.12479999999999</v>
      </c>
      <c r="D2998" s="293">
        <v>422.04</v>
      </c>
      <c r="E2998" s="293">
        <v>-4.0848000000000004</v>
      </c>
      <c r="F2998" s="294" t="s">
        <v>364</v>
      </c>
    </row>
    <row r="2999" spans="1:6" hidden="1" outlineLevel="1" collapsed="1" x14ac:dyDescent="0.25">
      <c r="A2999" s="321" t="s">
        <v>282</v>
      </c>
      <c r="B2999" s="321" t="s">
        <v>365</v>
      </c>
      <c r="C2999" s="293">
        <v>15358.56</v>
      </c>
      <c r="D2999" s="293">
        <v>15959.28</v>
      </c>
      <c r="E2999" s="293">
        <v>600.72</v>
      </c>
      <c r="F2999" s="294" t="s">
        <v>366</v>
      </c>
    </row>
    <row r="3000" spans="1:6" hidden="1" outlineLevel="1" collapsed="1" x14ac:dyDescent="0.25">
      <c r="A3000" s="321" t="s">
        <v>282</v>
      </c>
      <c r="B3000" s="321" t="s">
        <v>367</v>
      </c>
      <c r="C3000" s="293">
        <v>233.53919999999999</v>
      </c>
      <c r="D3000" s="293">
        <v>182.88</v>
      </c>
      <c r="E3000" s="293">
        <v>-50.659199999999998</v>
      </c>
      <c r="F3000" s="294" t="s">
        <v>368</v>
      </c>
    </row>
    <row r="3001" spans="1:6" hidden="1" outlineLevel="1" collapsed="1" x14ac:dyDescent="0.25">
      <c r="A3001" s="321" t="s">
        <v>282</v>
      </c>
      <c r="B3001" s="321" t="s">
        <v>369</v>
      </c>
      <c r="C3001" s="293">
        <v>45.144559999999998</v>
      </c>
      <c r="D3001" s="293">
        <v>46.847149999999999</v>
      </c>
      <c r="E3001" s="293">
        <v>1.70259</v>
      </c>
      <c r="F3001" s="294" t="s">
        <v>1329</v>
      </c>
    </row>
    <row r="3002" spans="1:6" hidden="1" outlineLevel="1" collapsed="1" x14ac:dyDescent="0.25">
      <c r="A3002" s="321" t="s">
        <v>282</v>
      </c>
      <c r="B3002" s="321" t="s">
        <v>370</v>
      </c>
      <c r="C3002" s="293">
        <v>1500</v>
      </c>
      <c r="D3002" s="293">
        <v>1500</v>
      </c>
      <c r="E3002" s="293">
        <v>0</v>
      </c>
      <c r="F3002" s="294" t="s">
        <v>316</v>
      </c>
    </row>
    <row r="3003" spans="1:6" hidden="1" outlineLevel="1" collapsed="1" x14ac:dyDescent="0.25">
      <c r="A3003" s="321" t="s">
        <v>282</v>
      </c>
      <c r="B3003" s="321" t="s">
        <v>371</v>
      </c>
      <c r="C3003" s="293">
        <v>49.68</v>
      </c>
      <c r="D3003" s="293">
        <v>48.48</v>
      </c>
      <c r="E3003" s="293">
        <v>-1.2</v>
      </c>
      <c r="F3003" s="294" t="s">
        <v>372</v>
      </c>
    </row>
    <row r="3004" spans="1:6" hidden="1" outlineLevel="1" collapsed="1" x14ac:dyDescent="0.25">
      <c r="A3004" s="321" t="s">
        <v>282</v>
      </c>
      <c r="B3004" s="321" t="s">
        <v>373</v>
      </c>
      <c r="C3004" s="293">
        <v>24</v>
      </c>
      <c r="D3004" s="293">
        <v>11.04</v>
      </c>
      <c r="E3004" s="293">
        <v>-12.96</v>
      </c>
      <c r="F3004" s="294" t="s">
        <v>374</v>
      </c>
    </row>
    <row r="3005" spans="1:6" hidden="1" outlineLevel="1" collapsed="1" x14ac:dyDescent="0.25">
      <c r="A3005" s="321" t="s">
        <v>282</v>
      </c>
      <c r="B3005" s="321" t="s">
        <v>399</v>
      </c>
      <c r="C3005" s="293">
        <v>500</v>
      </c>
      <c r="D3005" s="293">
        <v>517</v>
      </c>
      <c r="E3005" s="293">
        <v>17</v>
      </c>
      <c r="F3005" s="294" t="s">
        <v>1330</v>
      </c>
    </row>
    <row r="3006" spans="1:6" hidden="1" outlineLevel="1" collapsed="1" x14ac:dyDescent="0.25">
      <c r="A3006" s="321" t="s">
        <v>282</v>
      </c>
      <c r="B3006" s="321" t="s">
        <v>567</v>
      </c>
      <c r="C3006" s="293">
        <v>10340</v>
      </c>
      <c r="D3006" s="293">
        <v>10000</v>
      </c>
      <c r="E3006" s="293">
        <v>-340</v>
      </c>
      <c r="F3006" s="294" t="s">
        <v>1331</v>
      </c>
    </row>
    <row r="3007" spans="1:6" collapsed="1" x14ac:dyDescent="0.25">
      <c r="A3007" s="560" t="s">
        <v>1332</v>
      </c>
      <c r="B3007" s="561"/>
      <c r="C3007" s="292">
        <v>274072.56205900002</v>
      </c>
      <c r="D3007" s="293">
        <v>330594.53057200002</v>
      </c>
      <c r="E3007" s="293">
        <v>56521.968513</v>
      </c>
      <c r="F3007" s="294" t="s">
        <v>2191</v>
      </c>
    </row>
    <row r="3008" spans="1:6" hidden="1" outlineLevel="1" collapsed="1" x14ac:dyDescent="0.25">
      <c r="A3008" s="321" t="s">
        <v>282</v>
      </c>
      <c r="B3008" s="321" t="s">
        <v>358</v>
      </c>
      <c r="C3008" s="293">
        <v>138365.856</v>
      </c>
      <c r="D3008" s="293">
        <v>172296.33119999999</v>
      </c>
      <c r="E3008" s="293">
        <v>33930.475200000001</v>
      </c>
      <c r="F3008" s="294" t="s">
        <v>1334</v>
      </c>
    </row>
    <row r="3009" spans="1:6" hidden="1" outlineLevel="1" collapsed="1" x14ac:dyDescent="0.25">
      <c r="A3009" s="321" t="s">
        <v>282</v>
      </c>
      <c r="B3009" s="321" t="s">
        <v>380</v>
      </c>
      <c r="C3009" s="293">
        <v>53457.469268000001</v>
      </c>
      <c r="D3009" s="293">
        <v>55049.039515999997</v>
      </c>
      <c r="E3009" s="293">
        <v>1591.570248</v>
      </c>
      <c r="F3009" s="294" t="s">
        <v>381</v>
      </c>
    </row>
    <row r="3010" spans="1:6" hidden="1" outlineLevel="1" collapsed="1" x14ac:dyDescent="0.25">
      <c r="A3010" s="321" t="s">
        <v>282</v>
      </c>
      <c r="B3010" s="321" t="s">
        <v>452</v>
      </c>
      <c r="C3010" s="293">
        <v>600</v>
      </c>
      <c r="D3010" s="293">
        <v>600</v>
      </c>
      <c r="E3010" s="293">
        <v>0</v>
      </c>
      <c r="F3010" s="294" t="s">
        <v>316</v>
      </c>
    </row>
    <row r="3011" spans="1:6" hidden="1" outlineLevel="1" collapsed="1" x14ac:dyDescent="0.25">
      <c r="A3011" s="321" t="s">
        <v>282</v>
      </c>
      <c r="B3011" s="321" t="s">
        <v>453</v>
      </c>
      <c r="C3011" s="293">
        <v>2400</v>
      </c>
      <c r="D3011" s="293">
        <v>3740</v>
      </c>
      <c r="E3011" s="293">
        <v>1340</v>
      </c>
      <c r="F3011" s="294" t="s">
        <v>1335</v>
      </c>
    </row>
    <row r="3012" spans="1:6" hidden="1" outlineLevel="1" collapsed="1" x14ac:dyDescent="0.25">
      <c r="A3012" s="321" t="s">
        <v>282</v>
      </c>
      <c r="B3012" s="321" t="s">
        <v>360</v>
      </c>
      <c r="C3012" s="293">
        <v>18056.744208</v>
      </c>
      <c r="D3012" s="293">
        <v>24862.36058</v>
      </c>
      <c r="E3012" s="293">
        <v>6805.6163720000004</v>
      </c>
      <c r="F3012" s="294" t="s">
        <v>1336</v>
      </c>
    </row>
    <row r="3013" spans="1:6" hidden="1" outlineLevel="1" collapsed="1" x14ac:dyDescent="0.25">
      <c r="A3013" s="321" t="s">
        <v>282</v>
      </c>
      <c r="B3013" s="321" t="s">
        <v>384</v>
      </c>
      <c r="C3013" s="293">
        <v>6624.3096240000004</v>
      </c>
      <c r="D3013" s="293">
        <v>0</v>
      </c>
      <c r="E3013" s="293">
        <v>-6624.3096240000004</v>
      </c>
      <c r="F3013" s="294" t="s">
        <v>286</v>
      </c>
    </row>
    <row r="3014" spans="1:6" hidden="1" outlineLevel="1" collapsed="1" x14ac:dyDescent="0.25">
      <c r="A3014" s="321" t="s">
        <v>282</v>
      </c>
      <c r="B3014" s="321" t="s">
        <v>385</v>
      </c>
      <c r="C3014" s="293">
        <v>0</v>
      </c>
      <c r="D3014" s="293">
        <v>8425.4183159999993</v>
      </c>
      <c r="E3014" s="293">
        <v>8425.4183159999993</v>
      </c>
      <c r="F3014" s="294" t="s">
        <v>298</v>
      </c>
    </row>
    <row r="3015" spans="1:6" hidden="1" outlineLevel="1" collapsed="1" x14ac:dyDescent="0.25">
      <c r="A3015" s="321" t="s">
        <v>282</v>
      </c>
      <c r="B3015" s="321" t="s">
        <v>386</v>
      </c>
      <c r="C3015" s="293">
        <v>3314.3630880000001</v>
      </c>
      <c r="D3015" s="293">
        <v>0</v>
      </c>
      <c r="E3015" s="293">
        <v>-3314.3630880000001</v>
      </c>
      <c r="F3015" s="294" t="s">
        <v>286</v>
      </c>
    </row>
    <row r="3016" spans="1:6" hidden="1" outlineLevel="1" collapsed="1" x14ac:dyDescent="0.25">
      <c r="A3016" s="321" t="s">
        <v>282</v>
      </c>
      <c r="B3016" s="321" t="s">
        <v>387</v>
      </c>
      <c r="C3016" s="293">
        <v>0</v>
      </c>
      <c r="D3016" s="293">
        <v>3413.0404440000002</v>
      </c>
      <c r="E3016" s="293">
        <v>3413.0404440000002</v>
      </c>
      <c r="F3016" s="294" t="s">
        <v>298</v>
      </c>
    </row>
    <row r="3017" spans="1:6" hidden="1" outlineLevel="1" collapsed="1" x14ac:dyDescent="0.25">
      <c r="A3017" s="321" t="s">
        <v>282</v>
      </c>
      <c r="B3017" s="321" t="s">
        <v>362</v>
      </c>
      <c r="C3017" s="293">
        <v>2006.3049120000001</v>
      </c>
      <c r="D3017" s="293">
        <v>2498.2967899999999</v>
      </c>
      <c r="E3017" s="293">
        <v>491.99187799999999</v>
      </c>
      <c r="F3017" s="294" t="s">
        <v>1334</v>
      </c>
    </row>
    <row r="3018" spans="1:6" hidden="1" outlineLevel="1" collapsed="1" x14ac:dyDescent="0.25">
      <c r="A3018" s="321" t="s">
        <v>282</v>
      </c>
      <c r="B3018" s="321" t="s">
        <v>388</v>
      </c>
      <c r="C3018" s="293">
        <v>775.13330299999996</v>
      </c>
      <c r="D3018" s="293">
        <v>798.21106799999995</v>
      </c>
      <c r="E3018" s="293">
        <v>23.077764999999999</v>
      </c>
      <c r="F3018" s="294" t="s">
        <v>381</v>
      </c>
    </row>
    <row r="3019" spans="1:6" hidden="1" outlineLevel="1" collapsed="1" x14ac:dyDescent="0.25">
      <c r="A3019" s="321" t="s">
        <v>282</v>
      </c>
      <c r="B3019" s="321" t="s">
        <v>363</v>
      </c>
      <c r="C3019" s="293">
        <v>639.18719999999996</v>
      </c>
      <c r="D3019" s="293">
        <v>844.08</v>
      </c>
      <c r="E3019" s="293">
        <v>204.89279999999999</v>
      </c>
      <c r="F3019" s="294" t="s">
        <v>914</v>
      </c>
    </row>
    <row r="3020" spans="1:6" hidden="1" outlineLevel="1" collapsed="1" x14ac:dyDescent="0.25">
      <c r="A3020" s="321" t="s">
        <v>282</v>
      </c>
      <c r="B3020" s="321" t="s">
        <v>365</v>
      </c>
      <c r="C3020" s="293">
        <v>23037.84</v>
      </c>
      <c r="D3020" s="293">
        <v>31918.560000000001</v>
      </c>
      <c r="E3020" s="293">
        <v>8880.7199999999993</v>
      </c>
      <c r="F3020" s="294" t="s">
        <v>915</v>
      </c>
    </row>
    <row r="3021" spans="1:6" hidden="1" outlineLevel="1" collapsed="1" x14ac:dyDescent="0.25">
      <c r="A3021" s="321" t="s">
        <v>282</v>
      </c>
      <c r="B3021" s="321" t="s">
        <v>367</v>
      </c>
      <c r="C3021" s="293">
        <v>350.30880000000002</v>
      </c>
      <c r="D3021" s="293">
        <v>365.76</v>
      </c>
      <c r="E3021" s="293">
        <v>15.4512</v>
      </c>
      <c r="F3021" s="294" t="s">
        <v>916</v>
      </c>
    </row>
    <row r="3022" spans="1:6" hidden="1" outlineLevel="1" collapsed="1" x14ac:dyDescent="0.25">
      <c r="A3022" s="321" t="s">
        <v>282</v>
      </c>
      <c r="B3022" s="321" t="s">
        <v>444</v>
      </c>
      <c r="C3022" s="293">
        <v>270</v>
      </c>
      <c r="D3022" s="293">
        <v>427</v>
      </c>
      <c r="E3022" s="293">
        <v>157</v>
      </c>
      <c r="F3022" s="294" t="s">
        <v>1337</v>
      </c>
    </row>
    <row r="3023" spans="1:6" hidden="1" outlineLevel="1" collapsed="1" x14ac:dyDescent="0.25">
      <c r="A3023" s="321" t="s">
        <v>282</v>
      </c>
      <c r="B3023" s="321" t="s">
        <v>389</v>
      </c>
      <c r="C3023" s="293">
        <v>426.12479999999999</v>
      </c>
      <c r="D3023" s="293">
        <v>422.04</v>
      </c>
      <c r="E3023" s="293">
        <v>-4.0848000000000004</v>
      </c>
      <c r="F3023" s="294" t="s">
        <v>364</v>
      </c>
    </row>
    <row r="3024" spans="1:6" hidden="1" outlineLevel="1" collapsed="1" x14ac:dyDescent="0.25">
      <c r="A3024" s="321" t="s">
        <v>282</v>
      </c>
      <c r="B3024" s="321" t="s">
        <v>390</v>
      </c>
      <c r="C3024" s="293">
        <v>15485.27</v>
      </c>
      <c r="D3024" s="293">
        <v>15959.28</v>
      </c>
      <c r="E3024" s="293">
        <v>474.01</v>
      </c>
      <c r="F3024" s="294" t="s">
        <v>391</v>
      </c>
    </row>
    <row r="3025" spans="1:6" hidden="1" outlineLevel="1" collapsed="1" x14ac:dyDescent="0.25">
      <c r="A3025" s="321" t="s">
        <v>282</v>
      </c>
      <c r="B3025" s="321" t="s">
        <v>392</v>
      </c>
      <c r="C3025" s="293">
        <v>233.53919999999999</v>
      </c>
      <c r="D3025" s="293">
        <v>182.88</v>
      </c>
      <c r="E3025" s="293">
        <v>-50.659199999999998</v>
      </c>
      <c r="F3025" s="294" t="s">
        <v>368</v>
      </c>
    </row>
    <row r="3026" spans="1:6" hidden="1" outlineLevel="1" collapsed="1" x14ac:dyDescent="0.25">
      <c r="A3026" s="321" t="s">
        <v>282</v>
      </c>
      <c r="B3026" s="321" t="s">
        <v>369</v>
      </c>
      <c r="C3026" s="293">
        <v>69.182928000000004</v>
      </c>
      <c r="D3026" s="293">
        <v>86.148150000000001</v>
      </c>
      <c r="E3026" s="293">
        <v>16.965222000000001</v>
      </c>
      <c r="F3026" s="294" t="s">
        <v>1334</v>
      </c>
    </row>
    <row r="3027" spans="1:6" hidden="1" outlineLevel="1" collapsed="1" x14ac:dyDescent="0.25">
      <c r="A3027" s="321" t="s">
        <v>282</v>
      </c>
      <c r="B3027" s="321" t="s">
        <v>393</v>
      </c>
      <c r="C3027" s="293">
        <v>26.728728</v>
      </c>
      <c r="D3027" s="293">
        <v>27.524508000000001</v>
      </c>
      <c r="E3027" s="293">
        <v>0.79578000000000004</v>
      </c>
      <c r="F3027" s="294" t="s">
        <v>381</v>
      </c>
    </row>
    <row r="3028" spans="1:6" hidden="1" outlineLevel="1" collapsed="1" x14ac:dyDescent="0.25">
      <c r="A3028" s="321" t="s">
        <v>282</v>
      </c>
      <c r="B3028" s="321" t="s">
        <v>370</v>
      </c>
      <c r="C3028" s="293">
        <v>2250</v>
      </c>
      <c r="D3028" s="293">
        <v>3000</v>
      </c>
      <c r="E3028" s="293">
        <v>750</v>
      </c>
      <c r="F3028" s="294" t="s">
        <v>886</v>
      </c>
    </row>
    <row r="3029" spans="1:6" hidden="1" outlineLevel="1" collapsed="1" x14ac:dyDescent="0.25">
      <c r="A3029" s="321" t="s">
        <v>282</v>
      </c>
      <c r="B3029" s="321" t="s">
        <v>394</v>
      </c>
      <c r="C3029" s="293">
        <v>1500</v>
      </c>
      <c r="D3029" s="293">
        <v>0</v>
      </c>
      <c r="E3029" s="293">
        <v>-1500</v>
      </c>
      <c r="F3029" s="294" t="s">
        <v>286</v>
      </c>
    </row>
    <row r="3030" spans="1:6" hidden="1" outlineLevel="1" collapsed="1" x14ac:dyDescent="0.25">
      <c r="A3030" s="321" t="s">
        <v>282</v>
      </c>
      <c r="B3030" s="321" t="s">
        <v>395</v>
      </c>
      <c r="C3030" s="293">
        <v>0</v>
      </c>
      <c r="D3030" s="293">
        <v>1500</v>
      </c>
      <c r="E3030" s="293">
        <v>1500</v>
      </c>
      <c r="F3030" s="294" t="s">
        <v>298</v>
      </c>
    </row>
    <row r="3031" spans="1:6" hidden="1" outlineLevel="1" collapsed="1" x14ac:dyDescent="0.25">
      <c r="A3031" s="321" t="s">
        <v>282</v>
      </c>
      <c r="B3031" s="321" t="s">
        <v>371</v>
      </c>
      <c r="C3031" s="293">
        <v>74.52</v>
      </c>
      <c r="D3031" s="293">
        <v>96.96</v>
      </c>
      <c r="E3031" s="293">
        <v>22.44</v>
      </c>
      <c r="F3031" s="294" t="s">
        <v>920</v>
      </c>
    </row>
    <row r="3032" spans="1:6" hidden="1" outlineLevel="1" collapsed="1" x14ac:dyDescent="0.25">
      <c r="A3032" s="321" t="s">
        <v>282</v>
      </c>
      <c r="B3032" s="321" t="s">
        <v>396</v>
      </c>
      <c r="C3032" s="293">
        <v>49.68</v>
      </c>
      <c r="D3032" s="293">
        <v>0</v>
      </c>
      <c r="E3032" s="293">
        <v>-49.68</v>
      </c>
      <c r="F3032" s="294" t="s">
        <v>286</v>
      </c>
    </row>
    <row r="3033" spans="1:6" hidden="1" outlineLevel="1" collapsed="1" x14ac:dyDescent="0.25">
      <c r="A3033" s="321" t="s">
        <v>282</v>
      </c>
      <c r="B3033" s="321" t="s">
        <v>397</v>
      </c>
      <c r="C3033" s="293">
        <v>0</v>
      </c>
      <c r="D3033" s="293">
        <v>48.48</v>
      </c>
      <c r="E3033" s="293">
        <v>48.48</v>
      </c>
      <c r="F3033" s="294" t="s">
        <v>298</v>
      </c>
    </row>
    <row r="3034" spans="1:6" hidden="1" outlineLevel="1" collapsed="1" x14ac:dyDescent="0.25">
      <c r="A3034" s="321" t="s">
        <v>282</v>
      </c>
      <c r="B3034" s="321" t="s">
        <v>373</v>
      </c>
      <c r="C3034" s="293">
        <v>36</v>
      </c>
      <c r="D3034" s="293">
        <v>22.08</v>
      </c>
      <c r="E3034" s="293">
        <v>-13.92</v>
      </c>
      <c r="F3034" s="294" t="s">
        <v>921</v>
      </c>
    </row>
    <row r="3035" spans="1:6" hidden="1" outlineLevel="1" collapsed="1" x14ac:dyDescent="0.25">
      <c r="A3035" s="321" t="s">
        <v>282</v>
      </c>
      <c r="B3035" s="321" t="s">
        <v>398</v>
      </c>
      <c r="C3035" s="293">
        <v>24</v>
      </c>
      <c r="D3035" s="293">
        <v>11.04</v>
      </c>
      <c r="E3035" s="293">
        <v>-12.96</v>
      </c>
      <c r="F3035" s="294" t="s">
        <v>374</v>
      </c>
    </row>
    <row r="3036" spans="1:6" hidden="1" outlineLevel="1" collapsed="1" x14ac:dyDescent="0.25">
      <c r="A3036" s="321" t="s">
        <v>282</v>
      </c>
      <c r="B3036" s="321" t="s">
        <v>375</v>
      </c>
      <c r="C3036" s="293">
        <v>4000</v>
      </c>
      <c r="D3036" s="293">
        <v>4000</v>
      </c>
      <c r="E3036" s="293">
        <v>0</v>
      </c>
      <c r="F3036" s="294" t="s">
        <v>316</v>
      </c>
    </row>
    <row r="3037" spans="1:6" collapsed="1" x14ac:dyDescent="0.25">
      <c r="A3037" s="560" t="s">
        <v>1338</v>
      </c>
      <c r="B3037" s="561"/>
      <c r="C3037" s="292">
        <v>127879.44416</v>
      </c>
      <c r="D3037" s="293">
        <v>133514.09649</v>
      </c>
      <c r="E3037" s="293">
        <v>5634.6523299999999</v>
      </c>
      <c r="F3037" s="294" t="s">
        <v>916</v>
      </c>
    </row>
    <row r="3038" spans="1:6" hidden="1" outlineLevel="1" collapsed="1" x14ac:dyDescent="0.25">
      <c r="A3038" s="321" t="s">
        <v>282</v>
      </c>
      <c r="B3038" s="321" t="s">
        <v>358</v>
      </c>
      <c r="C3038" s="293">
        <v>85979.520000000004</v>
      </c>
      <c r="D3038" s="293">
        <v>88749.57</v>
      </c>
      <c r="E3038" s="293">
        <v>2770.05</v>
      </c>
      <c r="F3038" s="294" t="s">
        <v>647</v>
      </c>
    </row>
    <row r="3039" spans="1:6" hidden="1" outlineLevel="1" collapsed="1" x14ac:dyDescent="0.25">
      <c r="A3039" s="321" t="s">
        <v>282</v>
      </c>
      <c r="B3039" s="321" t="s">
        <v>412</v>
      </c>
      <c r="C3039" s="293">
        <v>7000</v>
      </c>
      <c r="D3039" s="293">
        <v>7000</v>
      </c>
      <c r="E3039" s="293">
        <v>0</v>
      </c>
      <c r="F3039" s="294" t="s">
        <v>316</v>
      </c>
    </row>
    <row r="3040" spans="1:6" hidden="1" outlineLevel="1" collapsed="1" x14ac:dyDescent="0.25">
      <c r="A3040" s="321" t="s">
        <v>282</v>
      </c>
      <c r="B3040" s="321" t="s">
        <v>453</v>
      </c>
      <c r="C3040" s="293">
        <v>816</v>
      </c>
      <c r="D3040" s="293">
        <v>2200</v>
      </c>
      <c r="E3040" s="293">
        <v>1384</v>
      </c>
      <c r="F3040" s="294" t="s">
        <v>1339</v>
      </c>
    </row>
    <row r="3041" spans="1:6" hidden="1" outlineLevel="1" collapsed="1" x14ac:dyDescent="0.25">
      <c r="A3041" s="321" t="s">
        <v>282</v>
      </c>
      <c r="B3041" s="321" t="s">
        <v>360</v>
      </c>
      <c r="C3041" s="293">
        <v>11220.327359999999</v>
      </c>
      <c r="D3041" s="293">
        <v>12806.56295</v>
      </c>
      <c r="E3041" s="293">
        <v>1586.23559</v>
      </c>
      <c r="F3041" s="294" t="s">
        <v>1340</v>
      </c>
    </row>
    <row r="3042" spans="1:6" hidden="1" outlineLevel="1" collapsed="1" x14ac:dyDescent="0.25">
      <c r="A3042" s="321" t="s">
        <v>282</v>
      </c>
      <c r="B3042" s="321" t="s">
        <v>362</v>
      </c>
      <c r="C3042" s="293">
        <v>1348.2030400000001</v>
      </c>
      <c r="D3042" s="293">
        <v>1388.3687600000001</v>
      </c>
      <c r="E3042" s="293">
        <v>40.16572</v>
      </c>
      <c r="F3042" s="294" t="s">
        <v>381</v>
      </c>
    </row>
    <row r="3043" spans="1:6" hidden="1" outlineLevel="1" collapsed="1" x14ac:dyDescent="0.25">
      <c r="A3043" s="321" t="s">
        <v>282</v>
      </c>
      <c r="B3043" s="321" t="s">
        <v>1341</v>
      </c>
      <c r="C3043" s="293">
        <v>158</v>
      </c>
      <c r="D3043" s="293">
        <v>0</v>
      </c>
      <c r="E3043" s="293">
        <v>-158</v>
      </c>
      <c r="F3043" s="294" t="s">
        <v>286</v>
      </c>
    </row>
    <row r="3044" spans="1:6" hidden="1" outlineLevel="1" collapsed="1" x14ac:dyDescent="0.25">
      <c r="A3044" s="321" t="s">
        <v>282</v>
      </c>
      <c r="B3044" s="321" t="s">
        <v>363</v>
      </c>
      <c r="C3044" s="293">
        <v>426.12479999999999</v>
      </c>
      <c r="D3044" s="293">
        <v>422.04</v>
      </c>
      <c r="E3044" s="293">
        <v>-4.0848000000000004</v>
      </c>
      <c r="F3044" s="294" t="s">
        <v>364</v>
      </c>
    </row>
    <row r="3045" spans="1:6" hidden="1" outlineLevel="1" collapsed="1" x14ac:dyDescent="0.25">
      <c r="A3045" s="321" t="s">
        <v>282</v>
      </c>
      <c r="B3045" s="321" t="s">
        <v>365</v>
      </c>
      <c r="C3045" s="293">
        <v>15358.56</v>
      </c>
      <c r="D3045" s="293">
        <v>15959.28</v>
      </c>
      <c r="E3045" s="293">
        <v>600.72</v>
      </c>
      <c r="F3045" s="294" t="s">
        <v>366</v>
      </c>
    </row>
    <row r="3046" spans="1:6" hidden="1" outlineLevel="1" collapsed="1" x14ac:dyDescent="0.25">
      <c r="A3046" s="321" t="s">
        <v>282</v>
      </c>
      <c r="B3046" s="321" t="s">
        <v>367</v>
      </c>
      <c r="C3046" s="293">
        <v>233.53919999999999</v>
      </c>
      <c r="D3046" s="293">
        <v>182.88</v>
      </c>
      <c r="E3046" s="293">
        <v>-50.659199999999998</v>
      </c>
      <c r="F3046" s="294" t="s">
        <v>368</v>
      </c>
    </row>
    <row r="3047" spans="1:6" hidden="1" outlineLevel="1" collapsed="1" x14ac:dyDescent="0.25">
      <c r="A3047" s="321" t="s">
        <v>282</v>
      </c>
      <c r="B3047" s="321" t="s">
        <v>444</v>
      </c>
      <c r="C3047" s="293">
        <v>0</v>
      </c>
      <c r="D3047" s="293">
        <v>198</v>
      </c>
      <c r="E3047" s="293">
        <v>198</v>
      </c>
      <c r="F3047" s="294" t="s">
        <v>298</v>
      </c>
    </row>
    <row r="3048" spans="1:6" hidden="1" outlineLevel="1" collapsed="1" x14ac:dyDescent="0.25">
      <c r="A3048" s="321" t="s">
        <v>282</v>
      </c>
      <c r="B3048" s="321" t="s">
        <v>369</v>
      </c>
      <c r="C3048" s="293">
        <v>46.489759999999997</v>
      </c>
      <c r="D3048" s="293">
        <v>47.874780000000001</v>
      </c>
      <c r="E3048" s="293">
        <v>1.3850199999999999</v>
      </c>
      <c r="F3048" s="294" t="s">
        <v>381</v>
      </c>
    </row>
    <row r="3049" spans="1:6" hidden="1" outlineLevel="1" collapsed="1" x14ac:dyDescent="0.25">
      <c r="A3049" s="321" t="s">
        <v>282</v>
      </c>
      <c r="B3049" s="321" t="s">
        <v>370</v>
      </c>
      <c r="C3049" s="293">
        <v>1500</v>
      </c>
      <c r="D3049" s="293">
        <v>1500</v>
      </c>
      <c r="E3049" s="293">
        <v>0</v>
      </c>
      <c r="F3049" s="294" t="s">
        <v>316</v>
      </c>
    </row>
    <row r="3050" spans="1:6" hidden="1" outlineLevel="1" collapsed="1" x14ac:dyDescent="0.25">
      <c r="A3050" s="321" t="s">
        <v>282</v>
      </c>
      <c r="B3050" s="321" t="s">
        <v>371</v>
      </c>
      <c r="C3050" s="293">
        <v>49.68</v>
      </c>
      <c r="D3050" s="293">
        <v>48.48</v>
      </c>
      <c r="E3050" s="293">
        <v>-1.2</v>
      </c>
      <c r="F3050" s="294" t="s">
        <v>372</v>
      </c>
    </row>
    <row r="3051" spans="1:6" hidden="1" outlineLevel="1" collapsed="1" x14ac:dyDescent="0.25">
      <c r="A3051" s="321" t="s">
        <v>282</v>
      </c>
      <c r="B3051" s="321" t="s">
        <v>373</v>
      </c>
      <c r="C3051" s="293">
        <v>24</v>
      </c>
      <c r="D3051" s="293">
        <v>11.04</v>
      </c>
      <c r="E3051" s="293">
        <v>-12.96</v>
      </c>
      <c r="F3051" s="294" t="s">
        <v>374</v>
      </c>
    </row>
    <row r="3052" spans="1:6" hidden="1" outlineLevel="1" collapsed="1" x14ac:dyDescent="0.25">
      <c r="A3052" s="321" t="s">
        <v>282</v>
      </c>
      <c r="B3052" s="321" t="s">
        <v>375</v>
      </c>
      <c r="C3052" s="293">
        <v>3719</v>
      </c>
      <c r="D3052" s="293">
        <v>3000</v>
      </c>
      <c r="E3052" s="293">
        <v>-719</v>
      </c>
      <c r="F3052" s="294" t="s">
        <v>1342</v>
      </c>
    </row>
    <row r="3053" spans="1:6" hidden="1" outlineLevel="1" collapsed="1" x14ac:dyDescent="0.25">
      <c r="A3053" s="321" t="s">
        <v>282</v>
      </c>
      <c r="B3053" s="321" t="s">
        <v>422</v>
      </c>
      <c r="C3053" s="293">
        <v>0</v>
      </c>
      <c r="D3053" s="293">
        <v>0</v>
      </c>
      <c r="E3053" s="293">
        <v>0</v>
      </c>
      <c r="F3053" s="294" t="s">
        <v>316</v>
      </c>
    </row>
    <row r="3054" spans="1:6" collapsed="1" x14ac:dyDescent="0.25">
      <c r="A3054" s="560" t="s">
        <v>1343</v>
      </c>
      <c r="B3054" s="561"/>
      <c r="C3054" s="292">
        <v>231407.74226</v>
      </c>
      <c r="D3054" s="293">
        <v>241180.85932300001</v>
      </c>
      <c r="E3054" s="293">
        <v>9773.1170629999997</v>
      </c>
      <c r="F3054" s="294" t="s">
        <v>2192</v>
      </c>
    </row>
    <row r="3055" spans="1:6" hidden="1" outlineLevel="1" collapsed="1" x14ac:dyDescent="0.25">
      <c r="A3055" s="321" t="s">
        <v>282</v>
      </c>
      <c r="B3055" s="321" t="s">
        <v>358</v>
      </c>
      <c r="C3055" s="293">
        <v>90581.52</v>
      </c>
      <c r="D3055" s="293">
        <v>93492.462</v>
      </c>
      <c r="E3055" s="293">
        <v>2910.942</v>
      </c>
      <c r="F3055" s="294" t="s">
        <v>359</v>
      </c>
    </row>
    <row r="3056" spans="1:6" hidden="1" outlineLevel="1" collapsed="1" x14ac:dyDescent="0.25">
      <c r="A3056" s="321" t="s">
        <v>282</v>
      </c>
      <c r="B3056" s="321" t="s">
        <v>441</v>
      </c>
      <c r="C3056" s="293">
        <v>1200</v>
      </c>
      <c r="D3056" s="293">
        <v>0</v>
      </c>
      <c r="E3056" s="293">
        <v>-1200</v>
      </c>
      <c r="F3056" s="294" t="s">
        <v>286</v>
      </c>
    </row>
    <row r="3057" spans="1:6" hidden="1" outlineLevel="1" collapsed="1" x14ac:dyDescent="0.25">
      <c r="A3057" s="321" t="s">
        <v>282</v>
      </c>
      <c r="B3057" s="321" t="s">
        <v>380</v>
      </c>
      <c r="C3057" s="293">
        <v>58794.365755999999</v>
      </c>
      <c r="D3057" s="293">
        <v>60551.776471999998</v>
      </c>
      <c r="E3057" s="293">
        <v>1757.4107160000001</v>
      </c>
      <c r="F3057" s="294" t="s">
        <v>975</v>
      </c>
    </row>
    <row r="3058" spans="1:6" hidden="1" outlineLevel="1" collapsed="1" x14ac:dyDescent="0.25">
      <c r="A3058" s="321" t="s">
        <v>282</v>
      </c>
      <c r="B3058" s="321" t="s">
        <v>424</v>
      </c>
      <c r="C3058" s="293">
        <v>1000</v>
      </c>
      <c r="D3058" s="293">
        <v>0</v>
      </c>
      <c r="E3058" s="293">
        <v>-1000</v>
      </c>
      <c r="F3058" s="294" t="s">
        <v>286</v>
      </c>
    </row>
    <row r="3059" spans="1:6" hidden="1" outlineLevel="1" collapsed="1" x14ac:dyDescent="0.25">
      <c r="A3059" s="321" t="s">
        <v>282</v>
      </c>
      <c r="B3059" s="321" t="s">
        <v>935</v>
      </c>
      <c r="C3059" s="293">
        <v>400</v>
      </c>
      <c r="D3059" s="293">
        <v>1400</v>
      </c>
      <c r="E3059" s="293">
        <v>1000</v>
      </c>
      <c r="F3059" s="294" t="s">
        <v>1344</v>
      </c>
    </row>
    <row r="3060" spans="1:6" hidden="1" outlineLevel="1" collapsed="1" x14ac:dyDescent="0.25">
      <c r="A3060" s="321" t="s">
        <v>282</v>
      </c>
      <c r="B3060" s="321" t="s">
        <v>475</v>
      </c>
      <c r="C3060" s="293">
        <v>8000</v>
      </c>
      <c r="D3060" s="293">
        <v>8000</v>
      </c>
      <c r="E3060" s="293">
        <v>0</v>
      </c>
      <c r="F3060" s="294" t="s">
        <v>316</v>
      </c>
    </row>
    <row r="3061" spans="1:6" hidden="1" outlineLevel="1" collapsed="1" x14ac:dyDescent="0.25">
      <c r="A3061" s="321" t="s">
        <v>282</v>
      </c>
      <c r="B3061" s="321" t="s">
        <v>452</v>
      </c>
      <c r="C3061" s="293">
        <v>7600</v>
      </c>
      <c r="D3061" s="293">
        <v>7600</v>
      </c>
      <c r="E3061" s="293">
        <v>0</v>
      </c>
      <c r="F3061" s="294" t="s">
        <v>316</v>
      </c>
    </row>
    <row r="3062" spans="1:6" hidden="1" outlineLevel="1" collapsed="1" x14ac:dyDescent="0.25">
      <c r="A3062" s="321" t="s">
        <v>282</v>
      </c>
      <c r="B3062" s="321" t="s">
        <v>360</v>
      </c>
      <c r="C3062" s="293">
        <v>11820.888360000001</v>
      </c>
      <c r="D3062" s="293">
        <v>13490.96226</v>
      </c>
      <c r="E3062" s="293">
        <v>1670.0739000000001</v>
      </c>
      <c r="F3062" s="294" t="s">
        <v>361</v>
      </c>
    </row>
    <row r="3063" spans="1:6" hidden="1" outlineLevel="1" collapsed="1" x14ac:dyDescent="0.25">
      <c r="A3063" s="321" t="s">
        <v>282</v>
      </c>
      <c r="B3063" s="321" t="s">
        <v>384</v>
      </c>
      <c r="C3063" s="293">
        <v>7314.5612039999996</v>
      </c>
      <c r="D3063" s="293">
        <v>0</v>
      </c>
      <c r="E3063" s="293">
        <v>-7314.5612039999996</v>
      </c>
      <c r="F3063" s="294" t="s">
        <v>286</v>
      </c>
    </row>
    <row r="3064" spans="1:6" hidden="1" outlineLevel="1" collapsed="1" x14ac:dyDescent="0.25">
      <c r="A3064" s="321" t="s">
        <v>282</v>
      </c>
      <c r="B3064" s="321" t="s">
        <v>385</v>
      </c>
      <c r="C3064" s="293">
        <v>0</v>
      </c>
      <c r="D3064" s="293">
        <v>9303.3449039999996</v>
      </c>
      <c r="E3064" s="293">
        <v>9303.3449039999996</v>
      </c>
      <c r="F3064" s="294" t="s">
        <v>298</v>
      </c>
    </row>
    <row r="3065" spans="1:6" hidden="1" outlineLevel="1" collapsed="1" x14ac:dyDescent="0.25">
      <c r="A3065" s="321" t="s">
        <v>282</v>
      </c>
      <c r="B3065" s="321" t="s">
        <v>386</v>
      </c>
      <c r="C3065" s="293">
        <v>3645.2506680000001</v>
      </c>
      <c r="D3065" s="293">
        <v>0</v>
      </c>
      <c r="E3065" s="293">
        <v>-3645.2506680000001</v>
      </c>
      <c r="F3065" s="294" t="s">
        <v>286</v>
      </c>
    </row>
    <row r="3066" spans="1:6" hidden="1" outlineLevel="1" collapsed="1" x14ac:dyDescent="0.25">
      <c r="A3066" s="321" t="s">
        <v>282</v>
      </c>
      <c r="B3066" s="321" t="s">
        <v>387</v>
      </c>
      <c r="C3066" s="293">
        <v>0</v>
      </c>
      <c r="D3066" s="293">
        <v>3754.2101389999998</v>
      </c>
      <c r="E3066" s="293">
        <v>3754.2101389999998</v>
      </c>
      <c r="F3066" s="294" t="s">
        <v>298</v>
      </c>
    </row>
    <row r="3067" spans="1:6" hidden="1" outlineLevel="1" collapsed="1" x14ac:dyDescent="0.25">
      <c r="A3067" s="321" t="s">
        <v>282</v>
      </c>
      <c r="B3067" s="321" t="s">
        <v>362</v>
      </c>
      <c r="C3067" s="293">
        <v>1313.4320399999999</v>
      </c>
      <c r="D3067" s="293">
        <v>1355.6406899999999</v>
      </c>
      <c r="E3067" s="293">
        <v>42.208649999999999</v>
      </c>
      <c r="F3067" s="294" t="s">
        <v>359</v>
      </c>
    </row>
    <row r="3068" spans="1:6" hidden="1" outlineLevel="1" collapsed="1" x14ac:dyDescent="0.25">
      <c r="A3068" s="321" t="s">
        <v>282</v>
      </c>
      <c r="B3068" s="321" t="s">
        <v>388</v>
      </c>
      <c r="C3068" s="293">
        <v>852.51829199999997</v>
      </c>
      <c r="D3068" s="293">
        <v>878.00074800000004</v>
      </c>
      <c r="E3068" s="293">
        <v>25.482455999999999</v>
      </c>
      <c r="F3068" s="294" t="s">
        <v>975</v>
      </c>
    </row>
    <row r="3069" spans="1:6" hidden="1" outlineLevel="1" collapsed="1" x14ac:dyDescent="0.25">
      <c r="A3069" s="321" t="s">
        <v>282</v>
      </c>
      <c r="B3069" s="321" t="s">
        <v>363</v>
      </c>
      <c r="C3069" s="293">
        <v>426.12479999999999</v>
      </c>
      <c r="D3069" s="293">
        <v>422.04</v>
      </c>
      <c r="E3069" s="293">
        <v>-4.0848000000000004</v>
      </c>
      <c r="F3069" s="294" t="s">
        <v>364</v>
      </c>
    </row>
    <row r="3070" spans="1:6" hidden="1" outlineLevel="1" collapsed="1" x14ac:dyDescent="0.25">
      <c r="A3070" s="321" t="s">
        <v>282</v>
      </c>
      <c r="B3070" s="321" t="s">
        <v>365</v>
      </c>
      <c r="C3070" s="293">
        <v>15358.56</v>
      </c>
      <c r="D3070" s="293">
        <v>15959.28</v>
      </c>
      <c r="E3070" s="293">
        <v>600.72</v>
      </c>
      <c r="F3070" s="294" t="s">
        <v>366</v>
      </c>
    </row>
    <row r="3071" spans="1:6" hidden="1" outlineLevel="1" collapsed="1" x14ac:dyDescent="0.25">
      <c r="A3071" s="321" t="s">
        <v>282</v>
      </c>
      <c r="B3071" s="321" t="s">
        <v>367</v>
      </c>
      <c r="C3071" s="293">
        <v>233.53919999999999</v>
      </c>
      <c r="D3071" s="293">
        <v>182.88</v>
      </c>
      <c r="E3071" s="293">
        <v>-50.659199999999998</v>
      </c>
      <c r="F3071" s="294" t="s">
        <v>368</v>
      </c>
    </row>
    <row r="3072" spans="1:6" hidden="1" outlineLevel="1" collapsed="1" x14ac:dyDescent="0.25">
      <c r="A3072" s="321" t="s">
        <v>282</v>
      </c>
      <c r="B3072" s="321" t="s">
        <v>444</v>
      </c>
      <c r="C3072" s="293">
        <v>0</v>
      </c>
      <c r="D3072" s="293">
        <v>1530</v>
      </c>
      <c r="E3072" s="293">
        <v>1530</v>
      </c>
      <c r="F3072" s="294" t="s">
        <v>298</v>
      </c>
    </row>
    <row r="3073" spans="1:6" hidden="1" outlineLevel="1" collapsed="1" x14ac:dyDescent="0.25">
      <c r="A3073" s="321" t="s">
        <v>282</v>
      </c>
      <c r="B3073" s="321" t="s">
        <v>389</v>
      </c>
      <c r="C3073" s="293">
        <v>426.12479999999999</v>
      </c>
      <c r="D3073" s="293">
        <v>422.04</v>
      </c>
      <c r="E3073" s="293">
        <v>-4.0848000000000004</v>
      </c>
      <c r="F3073" s="294" t="s">
        <v>364</v>
      </c>
    </row>
    <row r="3074" spans="1:6" hidden="1" outlineLevel="1" collapsed="1" x14ac:dyDescent="0.25">
      <c r="A3074" s="321" t="s">
        <v>282</v>
      </c>
      <c r="B3074" s="321" t="s">
        <v>390</v>
      </c>
      <c r="C3074" s="293">
        <v>15485.27</v>
      </c>
      <c r="D3074" s="293">
        <v>15959.28</v>
      </c>
      <c r="E3074" s="293">
        <v>474.01</v>
      </c>
      <c r="F3074" s="294" t="s">
        <v>391</v>
      </c>
    </row>
    <row r="3075" spans="1:6" hidden="1" outlineLevel="1" collapsed="1" x14ac:dyDescent="0.25">
      <c r="A3075" s="321" t="s">
        <v>282</v>
      </c>
      <c r="B3075" s="321" t="s">
        <v>392</v>
      </c>
      <c r="C3075" s="293">
        <v>233.53919999999999</v>
      </c>
      <c r="D3075" s="293">
        <v>182.88</v>
      </c>
      <c r="E3075" s="293">
        <v>-50.659199999999998</v>
      </c>
      <c r="F3075" s="294" t="s">
        <v>368</v>
      </c>
    </row>
    <row r="3076" spans="1:6" hidden="1" outlineLevel="1" collapsed="1" x14ac:dyDescent="0.25">
      <c r="A3076" s="321" t="s">
        <v>282</v>
      </c>
      <c r="B3076" s="321" t="s">
        <v>369</v>
      </c>
      <c r="C3076" s="293">
        <v>45.290759999999999</v>
      </c>
      <c r="D3076" s="293">
        <v>46.746229999999997</v>
      </c>
      <c r="E3076" s="293">
        <v>1.45547</v>
      </c>
      <c r="F3076" s="294" t="s">
        <v>359</v>
      </c>
    </row>
    <row r="3077" spans="1:6" hidden="1" outlineLevel="1" collapsed="1" x14ac:dyDescent="0.25">
      <c r="A3077" s="321" t="s">
        <v>282</v>
      </c>
      <c r="B3077" s="321" t="s">
        <v>393</v>
      </c>
      <c r="C3077" s="293">
        <v>29.397179999999999</v>
      </c>
      <c r="D3077" s="293">
        <v>30.275880000000001</v>
      </c>
      <c r="E3077" s="293">
        <v>0.87870000000000004</v>
      </c>
      <c r="F3077" s="294" t="s">
        <v>975</v>
      </c>
    </row>
    <row r="3078" spans="1:6" hidden="1" outlineLevel="1" collapsed="1" x14ac:dyDescent="0.25">
      <c r="A3078" s="321" t="s">
        <v>282</v>
      </c>
      <c r="B3078" s="321" t="s">
        <v>370</v>
      </c>
      <c r="C3078" s="293">
        <v>1500</v>
      </c>
      <c r="D3078" s="293">
        <v>1500</v>
      </c>
      <c r="E3078" s="293">
        <v>0</v>
      </c>
      <c r="F3078" s="294" t="s">
        <v>316</v>
      </c>
    </row>
    <row r="3079" spans="1:6" hidden="1" outlineLevel="1" collapsed="1" x14ac:dyDescent="0.25">
      <c r="A3079" s="321" t="s">
        <v>282</v>
      </c>
      <c r="B3079" s="321" t="s">
        <v>394</v>
      </c>
      <c r="C3079" s="293">
        <v>1500</v>
      </c>
      <c r="D3079" s="293">
        <v>0</v>
      </c>
      <c r="E3079" s="293">
        <v>-1500</v>
      </c>
      <c r="F3079" s="294" t="s">
        <v>286</v>
      </c>
    </row>
    <row r="3080" spans="1:6" hidden="1" outlineLevel="1" collapsed="1" x14ac:dyDescent="0.25">
      <c r="A3080" s="321" t="s">
        <v>282</v>
      </c>
      <c r="B3080" s="321" t="s">
        <v>395</v>
      </c>
      <c r="C3080" s="293">
        <v>0</v>
      </c>
      <c r="D3080" s="293">
        <v>1500</v>
      </c>
      <c r="E3080" s="293">
        <v>1500</v>
      </c>
      <c r="F3080" s="294" t="s">
        <v>298</v>
      </c>
    </row>
    <row r="3081" spans="1:6" hidden="1" outlineLevel="1" collapsed="1" x14ac:dyDescent="0.25">
      <c r="A3081" s="321" t="s">
        <v>282</v>
      </c>
      <c r="B3081" s="321" t="s">
        <v>371</v>
      </c>
      <c r="C3081" s="293">
        <v>49.68</v>
      </c>
      <c r="D3081" s="293">
        <v>48.48</v>
      </c>
      <c r="E3081" s="293">
        <v>-1.2</v>
      </c>
      <c r="F3081" s="294" t="s">
        <v>372</v>
      </c>
    </row>
    <row r="3082" spans="1:6" hidden="1" outlineLevel="1" collapsed="1" x14ac:dyDescent="0.25">
      <c r="A3082" s="321" t="s">
        <v>282</v>
      </c>
      <c r="B3082" s="321" t="s">
        <v>396</v>
      </c>
      <c r="C3082" s="293">
        <v>49.68</v>
      </c>
      <c r="D3082" s="293">
        <v>0</v>
      </c>
      <c r="E3082" s="293">
        <v>-49.68</v>
      </c>
      <c r="F3082" s="294" t="s">
        <v>286</v>
      </c>
    </row>
    <row r="3083" spans="1:6" hidden="1" outlineLevel="1" collapsed="1" x14ac:dyDescent="0.25">
      <c r="A3083" s="321" t="s">
        <v>282</v>
      </c>
      <c r="B3083" s="321" t="s">
        <v>397</v>
      </c>
      <c r="C3083" s="293">
        <v>0</v>
      </c>
      <c r="D3083" s="293">
        <v>48.48</v>
      </c>
      <c r="E3083" s="293">
        <v>48.48</v>
      </c>
      <c r="F3083" s="294" t="s">
        <v>298</v>
      </c>
    </row>
    <row r="3084" spans="1:6" hidden="1" outlineLevel="1" collapsed="1" x14ac:dyDescent="0.25">
      <c r="A3084" s="321" t="s">
        <v>282</v>
      </c>
      <c r="B3084" s="321" t="s">
        <v>373</v>
      </c>
      <c r="C3084" s="293">
        <v>24</v>
      </c>
      <c r="D3084" s="293">
        <v>11.04</v>
      </c>
      <c r="E3084" s="293">
        <v>-12.96</v>
      </c>
      <c r="F3084" s="294" t="s">
        <v>374</v>
      </c>
    </row>
    <row r="3085" spans="1:6" hidden="1" outlineLevel="1" collapsed="1" x14ac:dyDescent="0.25">
      <c r="A3085" s="321" t="s">
        <v>282</v>
      </c>
      <c r="B3085" s="321" t="s">
        <v>398</v>
      </c>
      <c r="C3085" s="293">
        <v>24</v>
      </c>
      <c r="D3085" s="293">
        <v>11.04</v>
      </c>
      <c r="E3085" s="293">
        <v>-12.96</v>
      </c>
      <c r="F3085" s="294" t="s">
        <v>374</v>
      </c>
    </row>
    <row r="3086" spans="1:6" hidden="1" outlineLevel="1" collapsed="1" x14ac:dyDescent="0.25">
      <c r="A3086" s="321" t="s">
        <v>282</v>
      </c>
      <c r="B3086" s="321" t="s">
        <v>375</v>
      </c>
      <c r="C3086" s="293">
        <v>3500</v>
      </c>
      <c r="D3086" s="293">
        <v>3500</v>
      </c>
      <c r="E3086" s="293">
        <v>0</v>
      </c>
      <c r="F3086" s="294" t="s">
        <v>316</v>
      </c>
    </row>
    <row r="3087" spans="1:6" collapsed="1" x14ac:dyDescent="0.25">
      <c r="A3087" s="560" t="s">
        <v>1345</v>
      </c>
      <c r="B3087" s="561"/>
      <c r="C3087" s="292">
        <v>247507.2732</v>
      </c>
      <c r="D3087" s="293">
        <v>256168.16587</v>
      </c>
      <c r="E3087" s="293">
        <v>8660.8926699999993</v>
      </c>
      <c r="F3087" s="294" t="s">
        <v>538</v>
      </c>
    </row>
    <row r="3088" spans="1:6" hidden="1" outlineLevel="1" collapsed="1" x14ac:dyDescent="0.25">
      <c r="A3088" s="321" t="s">
        <v>282</v>
      </c>
      <c r="B3088" s="321" t="s">
        <v>358</v>
      </c>
      <c r="C3088" s="293">
        <v>185354.4</v>
      </c>
      <c r="D3088" s="293">
        <v>189701.3076</v>
      </c>
      <c r="E3088" s="293">
        <v>4346.9075999999995</v>
      </c>
      <c r="F3088" s="294" t="s">
        <v>650</v>
      </c>
    </row>
    <row r="3089" spans="1:6" hidden="1" outlineLevel="1" collapsed="1" x14ac:dyDescent="0.25">
      <c r="A3089" s="321" t="s">
        <v>282</v>
      </c>
      <c r="B3089" s="321" t="s">
        <v>360</v>
      </c>
      <c r="C3089" s="293">
        <v>24188.749199999998</v>
      </c>
      <c r="D3089" s="293">
        <v>27373.898679999998</v>
      </c>
      <c r="E3089" s="293">
        <v>3185.14948</v>
      </c>
      <c r="F3089" s="294" t="s">
        <v>1346</v>
      </c>
    </row>
    <row r="3090" spans="1:6" hidden="1" outlineLevel="1" collapsed="1" x14ac:dyDescent="0.25">
      <c r="A3090" s="321" t="s">
        <v>282</v>
      </c>
      <c r="B3090" s="321" t="s">
        <v>362</v>
      </c>
      <c r="C3090" s="293">
        <v>2687.6388000000002</v>
      </c>
      <c r="D3090" s="293">
        <v>2750.6689500000002</v>
      </c>
      <c r="E3090" s="293">
        <v>63.030149999999999</v>
      </c>
      <c r="F3090" s="294" t="s">
        <v>650</v>
      </c>
    </row>
    <row r="3091" spans="1:6" hidden="1" outlineLevel="1" collapsed="1" x14ac:dyDescent="0.25">
      <c r="A3091" s="321" t="s">
        <v>282</v>
      </c>
      <c r="B3091" s="321" t="s">
        <v>363</v>
      </c>
      <c r="C3091" s="293">
        <v>852.24959999999999</v>
      </c>
      <c r="D3091" s="293">
        <v>844.08</v>
      </c>
      <c r="E3091" s="293">
        <v>-8.1696000000000009</v>
      </c>
      <c r="F3091" s="294" t="s">
        <v>364</v>
      </c>
    </row>
    <row r="3092" spans="1:6" hidden="1" outlineLevel="1" collapsed="1" x14ac:dyDescent="0.25">
      <c r="A3092" s="321" t="s">
        <v>282</v>
      </c>
      <c r="B3092" s="321" t="s">
        <v>365</v>
      </c>
      <c r="C3092" s="293">
        <v>30717.119999999999</v>
      </c>
      <c r="D3092" s="293">
        <v>31918.560000000001</v>
      </c>
      <c r="E3092" s="293">
        <v>1201.44</v>
      </c>
      <c r="F3092" s="294" t="s">
        <v>366</v>
      </c>
    </row>
    <row r="3093" spans="1:6" hidden="1" outlineLevel="1" collapsed="1" x14ac:dyDescent="0.25">
      <c r="A3093" s="321" t="s">
        <v>282</v>
      </c>
      <c r="B3093" s="321" t="s">
        <v>367</v>
      </c>
      <c r="C3093" s="293">
        <v>467.07839999999999</v>
      </c>
      <c r="D3093" s="293">
        <v>365.76</v>
      </c>
      <c r="E3093" s="293">
        <v>-101.3184</v>
      </c>
      <c r="F3093" s="294" t="s">
        <v>368</v>
      </c>
    </row>
    <row r="3094" spans="1:6" hidden="1" outlineLevel="1" collapsed="1" x14ac:dyDescent="0.25">
      <c r="A3094" s="321" t="s">
        <v>282</v>
      </c>
      <c r="B3094" s="321" t="s">
        <v>369</v>
      </c>
      <c r="C3094" s="293">
        <v>92.677199999999999</v>
      </c>
      <c r="D3094" s="293">
        <v>94.850639999999999</v>
      </c>
      <c r="E3094" s="293">
        <v>2.1734399999999998</v>
      </c>
      <c r="F3094" s="294" t="s">
        <v>650</v>
      </c>
    </row>
    <row r="3095" spans="1:6" hidden="1" outlineLevel="1" collapsed="1" x14ac:dyDescent="0.25">
      <c r="A3095" s="321" t="s">
        <v>282</v>
      </c>
      <c r="B3095" s="321" t="s">
        <v>370</v>
      </c>
      <c r="C3095" s="293">
        <v>3000</v>
      </c>
      <c r="D3095" s="293">
        <v>3000</v>
      </c>
      <c r="E3095" s="293">
        <v>0</v>
      </c>
      <c r="F3095" s="294" t="s">
        <v>316</v>
      </c>
    </row>
    <row r="3096" spans="1:6" hidden="1" outlineLevel="1" collapsed="1" x14ac:dyDescent="0.25">
      <c r="A3096" s="321" t="s">
        <v>282</v>
      </c>
      <c r="B3096" s="321" t="s">
        <v>371</v>
      </c>
      <c r="C3096" s="293">
        <v>99.36</v>
      </c>
      <c r="D3096" s="293">
        <v>96.96</v>
      </c>
      <c r="E3096" s="293">
        <v>-2.4</v>
      </c>
      <c r="F3096" s="294" t="s">
        <v>372</v>
      </c>
    </row>
    <row r="3097" spans="1:6" hidden="1" outlineLevel="1" collapsed="1" x14ac:dyDescent="0.25">
      <c r="A3097" s="321" t="s">
        <v>282</v>
      </c>
      <c r="B3097" s="321" t="s">
        <v>373</v>
      </c>
      <c r="C3097" s="293">
        <v>48</v>
      </c>
      <c r="D3097" s="293">
        <v>22.08</v>
      </c>
      <c r="E3097" s="293">
        <v>-25.92</v>
      </c>
      <c r="F3097" s="294" t="s">
        <v>374</v>
      </c>
    </row>
    <row r="3098" spans="1:6" collapsed="1" x14ac:dyDescent="0.25">
      <c r="A3098" s="560" t="s">
        <v>1347</v>
      </c>
      <c r="B3098" s="561"/>
      <c r="C3098" s="292">
        <v>660305.71846</v>
      </c>
      <c r="D3098" s="293">
        <v>688589.29472400004</v>
      </c>
      <c r="E3098" s="293">
        <v>28283.576263999999</v>
      </c>
      <c r="F3098" s="294" t="s">
        <v>1304</v>
      </c>
    </row>
    <row r="3099" spans="1:6" hidden="1" outlineLevel="1" collapsed="1" x14ac:dyDescent="0.25">
      <c r="A3099" s="321" t="s">
        <v>282</v>
      </c>
      <c r="B3099" s="321" t="s">
        <v>358</v>
      </c>
      <c r="C3099" s="293">
        <v>422817.199968</v>
      </c>
      <c r="D3099" s="293">
        <v>438688.359168</v>
      </c>
      <c r="E3099" s="293">
        <v>15871.1592</v>
      </c>
      <c r="F3099" s="294" t="s">
        <v>1074</v>
      </c>
    </row>
    <row r="3100" spans="1:6" hidden="1" outlineLevel="1" collapsed="1" x14ac:dyDescent="0.25">
      <c r="A3100" s="321" t="s">
        <v>282</v>
      </c>
      <c r="B3100" s="321" t="s">
        <v>818</v>
      </c>
      <c r="C3100" s="293">
        <v>91339</v>
      </c>
      <c r="D3100" s="293">
        <v>92000</v>
      </c>
      <c r="E3100" s="293">
        <v>661</v>
      </c>
      <c r="F3100" s="294" t="s">
        <v>1348</v>
      </c>
    </row>
    <row r="3101" spans="1:6" hidden="1" outlineLevel="1" collapsed="1" x14ac:dyDescent="0.25">
      <c r="A3101" s="321" t="s">
        <v>282</v>
      </c>
      <c r="B3101" s="321" t="s">
        <v>360</v>
      </c>
      <c r="C3101" s="293">
        <v>55177.644551999998</v>
      </c>
      <c r="D3101" s="293">
        <v>63302.730216000004</v>
      </c>
      <c r="E3101" s="293">
        <v>8125.0856640000002</v>
      </c>
      <c r="F3101" s="294" t="s">
        <v>1349</v>
      </c>
    </row>
    <row r="3102" spans="1:6" hidden="1" outlineLevel="1" collapsed="1" x14ac:dyDescent="0.25">
      <c r="A3102" s="321" t="s">
        <v>282</v>
      </c>
      <c r="B3102" s="321" t="s">
        <v>362</v>
      </c>
      <c r="C3102" s="293">
        <v>6130.8493680000001</v>
      </c>
      <c r="D3102" s="293">
        <v>6360.9811799999998</v>
      </c>
      <c r="E3102" s="293">
        <v>230.131812</v>
      </c>
      <c r="F3102" s="294" t="s">
        <v>1074</v>
      </c>
    </row>
    <row r="3103" spans="1:6" hidden="1" outlineLevel="1" collapsed="1" x14ac:dyDescent="0.25">
      <c r="A3103" s="321" t="s">
        <v>282</v>
      </c>
      <c r="B3103" s="321" t="s">
        <v>363</v>
      </c>
      <c r="C3103" s="293">
        <v>1704.4992</v>
      </c>
      <c r="D3103" s="293">
        <v>1688.16</v>
      </c>
      <c r="E3103" s="293">
        <v>-16.339200000000002</v>
      </c>
      <c r="F3103" s="294" t="s">
        <v>364</v>
      </c>
    </row>
    <row r="3104" spans="1:6" hidden="1" outlineLevel="1" collapsed="1" x14ac:dyDescent="0.25">
      <c r="A3104" s="321" t="s">
        <v>282</v>
      </c>
      <c r="B3104" s="321" t="s">
        <v>365</v>
      </c>
      <c r="C3104" s="293">
        <v>61434.239999999998</v>
      </c>
      <c r="D3104" s="293">
        <v>63837.120000000003</v>
      </c>
      <c r="E3104" s="293">
        <v>2402.88</v>
      </c>
      <c r="F3104" s="294" t="s">
        <v>366</v>
      </c>
    </row>
    <row r="3105" spans="1:6" hidden="1" outlineLevel="1" collapsed="1" x14ac:dyDescent="0.25">
      <c r="A3105" s="321" t="s">
        <v>282</v>
      </c>
      <c r="B3105" s="321" t="s">
        <v>367</v>
      </c>
      <c r="C3105" s="293">
        <v>934.15679999999998</v>
      </c>
      <c r="D3105" s="293">
        <v>731.52</v>
      </c>
      <c r="E3105" s="293">
        <v>-202.63679999999999</v>
      </c>
      <c r="F3105" s="294" t="s">
        <v>368</v>
      </c>
    </row>
    <row r="3106" spans="1:6" hidden="1" outlineLevel="1" collapsed="1" x14ac:dyDescent="0.25">
      <c r="A3106" s="321" t="s">
        <v>282</v>
      </c>
      <c r="B3106" s="321" t="s">
        <v>444</v>
      </c>
      <c r="C3106" s="293">
        <v>8100</v>
      </c>
      <c r="D3106" s="293">
        <v>9000</v>
      </c>
      <c r="E3106" s="293">
        <v>900</v>
      </c>
      <c r="F3106" s="294" t="s">
        <v>610</v>
      </c>
    </row>
    <row r="3107" spans="1:6" hidden="1" outlineLevel="1" collapsed="1" x14ac:dyDescent="0.25">
      <c r="A3107" s="321" t="s">
        <v>282</v>
      </c>
      <c r="B3107" s="321" t="s">
        <v>369</v>
      </c>
      <c r="C3107" s="293">
        <v>211.40857199999999</v>
      </c>
      <c r="D3107" s="293">
        <v>219.34415999999999</v>
      </c>
      <c r="E3107" s="293">
        <v>7.9355880000000001</v>
      </c>
      <c r="F3107" s="294" t="s">
        <v>1074</v>
      </c>
    </row>
    <row r="3108" spans="1:6" hidden="1" outlineLevel="1" collapsed="1" x14ac:dyDescent="0.25">
      <c r="A3108" s="321" t="s">
        <v>282</v>
      </c>
      <c r="B3108" s="321" t="s">
        <v>370</v>
      </c>
      <c r="C3108" s="293">
        <v>6000</v>
      </c>
      <c r="D3108" s="293">
        <v>6000</v>
      </c>
      <c r="E3108" s="293">
        <v>0</v>
      </c>
      <c r="F3108" s="294" t="s">
        <v>316</v>
      </c>
    </row>
    <row r="3109" spans="1:6" hidden="1" outlineLevel="1" collapsed="1" x14ac:dyDescent="0.25">
      <c r="A3109" s="321" t="s">
        <v>282</v>
      </c>
      <c r="B3109" s="321" t="s">
        <v>371</v>
      </c>
      <c r="C3109" s="293">
        <v>198.72</v>
      </c>
      <c r="D3109" s="293">
        <v>193.92</v>
      </c>
      <c r="E3109" s="293">
        <v>-4.8</v>
      </c>
      <c r="F3109" s="294" t="s">
        <v>372</v>
      </c>
    </row>
    <row r="3110" spans="1:6" hidden="1" outlineLevel="1" collapsed="1" x14ac:dyDescent="0.25">
      <c r="A3110" s="321" t="s">
        <v>282</v>
      </c>
      <c r="B3110" s="321" t="s">
        <v>373</v>
      </c>
      <c r="C3110" s="293">
        <v>96</v>
      </c>
      <c r="D3110" s="293">
        <v>44.16</v>
      </c>
      <c r="E3110" s="293">
        <v>-51.84</v>
      </c>
      <c r="F3110" s="294" t="s">
        <v>374</v>
      </c>
    </row>
    <row r="3111" spans="1:6" hidden="1" outlineLevel="1" collapsed="1" x14ac:dyDescent="0.25">
      <c r="A3111" s="321" t="s">
        <v>282</v>
      </c>
      <c r="B3111" s="321" t="s">
        <v>375</v>
      </c>
      <c r="C3111" s="293">
        <v>674</v>
      </c>
      <c r="D3111" s="293">
        <v>674</v>
      </c>
      <c r="E3111" s="293">
        <v>0</v>
      </c>
      <c r="F3111" s="294" t="s">
        <v>316</v>
      </c>
    </row>
    <row r="3112" spans="1:6" hidden="1" outlineLevel="1" collapsed="1" x14ac:dyDescent="0.25">
      <c r="A3112" s="321" t="s">
        <v>282</v>
      </c>
      <c r="B3112" s="321" t="s">
        <v>376</v>
      </c>
      <c r="C3112" s="293">
        <v>644</v>
      </c>
      <c r="D3112" s="293">
        <v>644</v>
      </c>
      <c r="E3112" s="293">
        <v>0</v>
      </c>
      <c r="F3112" s="294" t="s">
        <v>316</v>
      </c>
    </row>
    <row r="3113" spans="1:6" hidden="1" outlineLevel="1" collapsed="1" x14ac:dyDescent="0.25">
      <c r="A3113" s="321" t="s">
        <v>282</v>
      </c>
      <c r="B3113" s="321" t="s">
        <v>567</v>
      </c>
      <c r="C3113" s="293">
        <v>0</v>
      </c>
      <c r="D3113" s="293">
        <v>685</v>
      </c>
      <c r="E3113" s="293">
        <v>685</v>
      </c>
      <c r="F3113" s="294" t="s">
        <v>298</v>
      </c>
    </row>
    <row r="3114" spans="1:6" hidden="1" outlineLevel="1" collapsed="1" x14ac:dyDescent="0.25">
      <c r="A3114" s="321" t="s">
        <v>282</v>
      </c>
      <c r="B3114" s="321" t="s">
        <v>482</v>
      </c>
      <c r="C3114" s="293">
        <v>0</v>
      </c>
      <c r="D3114" s="293">
        <v>0</v>
      </c>
      <c r="E3114" s="293">
        <v>0</v>
      </c>
      <c r="F3114" s="294" t="s">
        <v>316</v>
      </c>
    </row>
    <row r="3115" spans="1:6" hidden="1" outlineLevel="1" collapsed="1" x14ac:dyDescent="0.25">
      <c r="A3115" s="321" t="s">
        <v>282</v>
      </c>
      <c r="B3115" s="321" t="s">
        <v>416</v>
      </c>
      <c r="C3115" s="293">
        <v>1784</v>
      </c>
      <c r="D3115" s="293">
        <v>1784</v>
      </c>
      <c r="E3115" s="293">
        <v>0</v>
      </c>
      <c r="F3115" s="294" t="s">
        <v>316</v>
      </c>
    </row>
    <row r="3116" spans="1:6" hidden="1" outlineLevel="1" collapsed="1" x14ac:dyDescent="0.25">
      <c r="A3116" s="321" t="s">
        <v>282</v>
      </c>
      <c r="B3116" s="321" t="s">
        <v>884</v>
      </c>
      <c r="C3116" s="293">
        <v>836</v>
      </c>
      <c r="D3116" s="293">
        <v>836</v>
      </c>
      <c r="E3116" s="293">
        <v>0</v>
      </c>
      <c r="F3116" s="294" t="s">
        <v>316</v>
      </c>
    </row>
    <row r="3117" spans="1:6" hidden="1" outlineLevel="1" collapsed="1" x14ac:dyDescent="0.25">
      <c r="A3117" s="321" t="s">
        <v>282</v>
      </c>
      <c r="B3117" s="321" t="s">
        <v>405</v>
      </c>
      <c r="C3117" s="293">
        <v>2224</v>
      </c>
      <c r="D3117" s="293">
        <v>1900</v>
      </c>
      <c r="E3117" s="293">
        <v>-324</v>
      </c>
      <c r="F3117" s="294" t="s">
        <v>692</v>
      </c>
    </row>
    <row r="3118" spans="1:6" collapsed="1" x14ac:dyDescent="0.25">
      <c r="A3118" s="560" t="s">
        <v>1350</v>
      </c>
      <c r="B3118" s="561"/>
      <c r="C3118" s="292">
        <v>850978.37250399997</v>
      </c>
      <c r="D3118" s="293">
        <v>917355.13054299995</v>
      </c>
      <c r="E3118" s="293">
        <v>66376.758038999993</v>
      </c>
      <c r="F3118" s="294" t="s">
        <v>2193</v>
      </c>
    </row>
    <row r="3119" spans="1:6" hidden="1" outlineLevel="1" collapsed="1" x14ac:dyDescent="0.25">
      <c r="A3119" s="321" t="s">
        <v>282</v>
      </c>
      <c r="B3119" s="321" t="s">
        <v>358</v>
      </c>
      <c r="C3119" s="293">
        <v>506643.51997199998</v>
      </c>
      <c r="D3119" s="293">
        <v>541893.09226499998</v>
      </c>
      <c r="E3119" s="293">
        <v>35249.572292999997</v>
      </c>
      <c r="F3119" s="294" t="s">
        <v>2194</v>
      </c>
    </row>
    <row r="3120" spans="1:6" hidden="1" outlineLevel="1" collapsed="1" x14ac:dyDescent="0.25">
      <c r="A3120" s="321" t="s">
        <v>282</v>
      </c>
      <c r="B3120" s="321" t="s">
        <v>412</v>
      </c>
      <c r="C3120" s="293">
        <v>7000</v>
      </c>
      <c r="D3120" s="293">
        <v>6416.6666670000004</v>
      </c>
      <c r="E3120" s="293">
        <v>-583.33333300000004</v>
      </c>
      <c r="F3120" s="294" t="s">
        <v>1318</v>
      </c>
    </row>
    <row r="3121" spans="1:6" hidden="1" outlineLevel="1" collapsed="1" x14ac:dyDescent="0.25">
      <c r="A3121" s="321" t="s">
        <v>282</v>
      </c>
      <c r="B3121" s="321" t="s">
        <v>380</v>
      </c>
      <c r="C3121" s="293">
        <v>45049.381187999999</v>
      </c>
      <c r="D3121" s="293">
        <v>48688.094711999998</v>
      </c>
      <c r="E3121" s="293">
        <v>3638.7135239999998</v>
      </c>
      <c r="F3121" s="294" t="s">
        <v>1352</v>
      </c>
    </row>
    <row r="3122" spans="1:6" hidden="1" outlineLevel="1" collapsed="1" x14ac:dyDescent="0.25">
      <c r="A3122" s="321" t="s">
        <v>282</v>
      </c>
      <c r="B3122" s="321" t="s">
        <v>935</v>
      </c>
      <c r="C3122" s="293">
        <v>678</v>
      </c>
      <c r="D3122" s="293">
        <v>0</v>
      </c>
      <c r="E3122" s="293">
        <v>-678</v>
      </c>
      <c r="F3122" s="294" t="s">
        <v>286</v>
      </c>
    </row>
    <row r="3123" spans="1:6" hidden="1" outlineLevel="1" collapsed="1" x14ac:dyDescent="0.25">
      <c r="A3123" s="321" t="s">
        <v>282</v>
      </c>
      <c r="B3123" s="321" t="s">
        <v>818</v>
      </c>
      <c r="C3123" s="293">
        <v>95940</v>
      </c>
      <c r="D3123" s="293">
        <v>95940</v>
      </c>
      <c r="E3123" s="293">
        <v>0</v>
      </c>
      <c r="F3123" s="294" t="s">
        <v>316</v>
      </c>
    </row>
    <row r="3124" spans="1:6" hidden="1" outlineLevel="1" collapsed="1" x14ac:dyDescent="0.25">
      <c r="A3124" s="321" t="s">
        <v>282</v>
      </c>
      <c r="B3124" s="321" t="s">
        <v>360</v>
      </c>
      <c r="C3124" s="293">
        <v>66116.979324</v>
      </c>
      <c r="D3124" s="293">
        <v>78195.173175000004</v>
      </c>
      <c r="E3124" s="293">
        <v>12078.193851</v>
      </c>
      <c r="F3124" s="294" t="s">
        <v>2195</v>
      </c>
    </row>
    <row r="3125" spans="1:6" hidden="1" outlineLevel="1" collapsed="1" x14ac:dyDescent="0.25">
      <c r="A3125" s="321" t="s">
        <v>282</v>
      </c>
      <c r="B3125" s="321" t="s">
        <v>384</v>
      </c>
      <c r="C3125" s="293">
        <v>5585.1729420000001</v>
      </c>
      <c r="D3125" s="293">
        <v>0</v>
      </c>
      <c r="E3125" s="293">
        <v>-5585.1729420000001</v>
      </c>
      <c r="F3125" s="294" t="s">
        <v>286</v>
      </c>
    </row>
    <row r="3126" spans="1:6" hidden="1" outlineLevel="1" collapsed="1" x14ac:dyDescent="0.25">
      <c r="A3126" s="321" t="s">
        <v>282</v>
      </c>
      <c r="B3126" s="321" t="s">
        <v>385</v>
      </c>
      <c r="C3126" s="293">
        <v>0</v>
      </c>
      <c r="D3126" s="293">
        <v>7460.4641220000003</v>
      </c>
      <c r="E3126" s="293">
        <v>7460.4641220000003</v>
      </c>
      <c r="F3126" s="294" t="s">
        <v>298</v>
      </c>
    </row>
    <row r="3127" spans="1:6" hidden="1" outlineLevel="1" collapsed="1" x14ac:dyDescent="0.25">
      <c r="A3127" s="321" t="s">
        <v>282</v>
      </c>
      <c r="B3127" s="321" t="s">
        <v>386</v>
      </c>
      <c r="C3127" s="293">
        <v>2793.0616319999999</v>
      </c>
      <c r="D3127" s="293">
        <v>0</v>
      </c>
      <c r="E3127" s="293">
        <v>-2793.0616319999999</v>
      </c>
      <c r="F3127" s="294" t="s">
        <v>286</v>
      </c>
    </row>
    <row r="3128" spans="1:6" hidden="1" outlineLevel="1" collapsed="1" x14ac:dyDescent="0.25">
      <c r="A3128" s="321" t="s">
        <v>282</v>
      </c>
      <c r="B3128" s="321" t="s">
        <v>387</v>
      </c>
      <c r="C3128" s="293">
        <v>0</v>
      </c>
      <c r="D3128" s="293">
        <v>3018.6618659999999</v>
      </c>
      <c r="E3128" s="293">
        <v>3018.6618659999999</v>
      </c>
      <c r="F3128" s="294" t="s">
        <v>298</v>
      </c>
    </row>
    <row r="3129" spans="1:6" hidden="1" outlineLevel="1" collapsed="1" x14ac:dyDescent="0.25">
      <c r="A3129" s="321" t="s">
        <v>282</v>
      </c>
      <c r="B3129" s="321" t="s">
        <v>362</v>
      </c>
      <c r="C3129" s="293">
        <v>7447.8310080000001</v>
      </c>
      <c r="D3129" s="293">
        <v>7950.4914769999996</v>
      </c>
      <c r="E3129" s="293">
        <v>502.66046899999998</v>
      </c>
      <c r="F3129" s="294" t="s">
        <v>2196</v>
      </c>
    </row>
    <row r="3130" spans="1:6" hidden="1" outlineLevel="1" collapsed="1" x14ac:dyDescent="0.25">
      <c r="A3130" s="321" t="s">
        <v>282</v>
      </c>
      <c r="B3130" s="321" t="s">
        <v>388</v>
      </c>
      <c r="C3130" s="293">
        <v>653.21602199999995</v>
      </c>
      <c r="D3130" s="293">
        <v>705.97736999999995</v>
      </c>
      <c r="E3130" s="293">
        <v>52.761347999999998</v>
      </c>
      <c r="F3130" s="294" t="s">
        <v>1352</v>
      </c>
    </row>
    <row r="3131" spans="1:6" hidden="1" outlineLevel="1" collapsed="1" x14ac:dyDescent="0.25">
      <c r="A3131" s="321" t="s">
        <v>282</v>
      </c>
      <c r="B3131" s="321" t="s">
        <v>363</v>
      </c>
      <c r="C3131" s="293">
        <v>2130.6239999999998</v>
      </c>
      <c r="D3131" s="293">
        <v>2075.0300000000002</v>
      </c>
      <c r="E3131" s="293">
        <v>-55.594000000000001</v>
      </c>
      <c r="F3131" s="294" t="s">
        <v>2197</v>
      </c>
    </row>
    <row r="3132" spans="1:6" hidden="1" outlineLevel="1" collapsed="1" x14ac:dyDescent="0.25">
      <c r="A3132" s="321" t="s">
        <v>282</v>
      </c>
      <c r="B3132" s="321" t="s">
        <v>365</v>
      </c>
      <c r="C3132" s="293">
        <v>76792.800000000003</v>
      </c>
      <c r="D3132" s="293">
        <v>78466.460000000006</v>
      </c>
      <c r="E3132" s="293">
        <v>1673.66</v>
      </c>
      <c r="F3132" s="294" t="s">
        <v>2198</v>
      </c>
    </row>
    <row r="3133" spans="1:6" hidden="1" outlineLevel="1" collapsed="1" x14ac:dyDescent="0.25">
      <c r="A3133" s="321" t="s">
        <v>282</v>
      </c>
      <c r="B3133" s="321" t="s">
        <v>367</v>
      </c>
      <c r="C3133" s="293">
        <v>1167.6959999999999</v>
      </c>
      <c r="D3133" s="293">
        <v>899.16</v>
      </c>
      <c r="E3133" s="293">
        <v>-268.536</v>
      </c>
      <c r="F3133" s="294" t="s">
        <v>2199</v>
      </c>
    </row>
    <row r="3134" spans="1:6" hidden="1" outlineLevel="1" collapsed="1" x14ac:dyDescent="0.25">
      <c r="A3134" s="321" t="s">
        <v>282</v>
      </c>
      <c r="B3134" s="321" t="s">
        <v>444</v>
      </c>
      <c r="C3134" s="293">
        <v>8635</v>
      </c>
      <c r="D3134" s="293">
        <v>8545</v>
      </c>
      <c r="E3134" s="293">
        <v>-90</v>
      </c>
      <c r="F3134" s="294" t="s">
        <v>1355</v>
      </c>
    </row>
    <row r="3135" spans="1:6" hidden="1" outlineLevel="1" collapsed="1" x14ac:dyDescent="0.25">
      <c r="A3135" s="321" t="s">
        <v>282</v>
      </c>
      <c r="B3135" s="321" t="s">
        <v>389</v>
      </c>
      <c r="C3135" s="293">
        <v>426.12479999999999</v>
      </c>
      <c r="D3135" s="293">
        <v>422.04</v>
      </c>
      <c r="E3135" s="293">
        <v>-4.0848000000000004</v>
      </c>
      <c r="F3135" s="294" t="s">
        <v>364</v>
      </c>
    </row>
    <row r="3136" spans="1:6" hidden="1" outlineLevel="1" collapsed="1" x14ac:dyDescent="0.25">
      <c r="A3136" s="321" t="s">
        <v>282</v>
      </c>
      <c r="B3136" s="321" t="s">
        <v>390</v>
      </c>
      <c r="C3136" s="293">
        <v>0</v>
      </c>
      <c r="D3136" s="293">
        <v>15959.28</v>
      </c>
      <c r="E3136" s="293">
        <v>15959.28</v>
      </c>
      <c r="F3136" s="294" t="s">
        <v>298</v>
      </c>
    </row>
    <row r="3137" spans="1:6" hidden="1" outlineLevel="1" collapsed="1" x14ac:dyDescent="0.25">
      <c r="A3137" s="321" t="s">
        <v>282</v>
      </c>
      <c r="B3137" s="321" t="s">
        <v>392</v>
      </c>
      <c r="C3137" s="293">
        <v>233.53919999999999</v>
      </c>
      <c r="D3137" s="293">
        <v>182.88</v>
      </c>
      <c r="E3137" s="293">
        <v>-50.659199999999998</v>
      </c>
      <c r="F3137" s="294" t="s">
        <v>368</v>
      </c>
    </row>
    <row r="3138" spans="1:6" hidden="1" outlineLevel="1" collapsed="1" x14ac:dyDescent="0.25">
      <c r="A3138" s="321" t="s">
        <v>282</v>
      </c>
      <c r="B3138" s="321" t="s">
        <v>369</v>
      </c>
      <c r="C3138" s="293">
        <v>256.821732</v>
      </c>
      <c r="D3138" s="293">
        <v>274.15484900000001</v>
      </c>
      <c r="E3138" s="293">
        <v>17.333117000000001</v>
      </c>
      <c r="F3138" s="294" t="s">
        <v>2196</v>
      </c>
    </row>
    <row r="3139" spans="1:6" hidden="1" outlineLevel="1" collapsed="1" x14ac:dyDescent="0.25">
      <c r="A3139" s="321" t="s">
        <v>282</v>
      </c>
      <c r="B3139" s="321" t="s">
        <v>393</v>
      </c>
      <c r="C3139" s="293">
        <v>22.524684000000001</v>
      </c>
      <c r="D3139" s="293">
        <v>24.34404</v>
      </c>
      <c r="E3139" s="293">
        <v>1.819356</v>
      </c>
      <c r="F3139" s="294" t="s">
        <v>1352</v>
      </c>
    </row>
    <row r="3140" spans="1:6" hidden="1" outlineLevel="1" collapsed="1" x14ac:dyDescent="0.25">
      <c r="A3140" s="321" t="s">
        <v>282</v>
      </c>
      <c r="B3140" s="321" t="s">
        <v>370</v>
      </c>
      <c r="C3140" s="293">
        <v>7500</v>
      </c>
      <c r="D3140" s="293">
        <v>7375</v>
      </c>
      <c r="E3140" s="293">
        <v>-125</v>
      </c>
      <c r="F3140" s="294" t="s">
        <v>2200</v>
      </c>
    </row>
    <row r="3141" spans="1:6" hidden="1" outlineLevel="1" collapsed="1" x14ac:dyDescent="0.25">
      <c r="A3141" s="321" t="s">
        <v>282</v>
      </c>
      <c r="B3141" s="321" t="s">
        <v>394</v>
      </c>
      <c r="C3141" s="293">
        <v>1500</v>
      </c>
      <c r="D3141" s="293">
        <v>0</v>
      </c>
      <c r="E3141" s="293">
        <v>-1500</v>
      </c>
      <c r="F3141" s="294" t="s">
        <v>286</v>
      </c>
    </row>
    <row r="3142" spans="1:6" hidden="1" outlineLevel="1" collapsed="1" x14ac:dyDescent="0.25">
      <c r="A3142" s="321" t="s">
        <v>282</v>
      </c>
      <c r="B3142" s="321" t="s">
        <v>395</v>
      </c>
      <c r="C3142" s="293">
        <v>0</v>
      </c>
      <c r="D3142" s="293">
        <v>1500</v>
      </c>
      <c r="E3142" s="293">
        <v>1500</v>
      </c>
      <c r="F3142" s="294" t="s">
        <v>298</v>
      </c>
    </row>
    <row r="3143" spans="1:6" hidden="1" outlineLevel="1" collapsed="1" x14ac:dyDescent="0.25">
      <c r="A3143" s="321" t="s">
        <v>282</v>
      </c>
      <c r="B3143" s="321" t="s">
        <v>371</v>
      </c>
      <c r="C3143" s="293">
        <v>248.4</v>
      </c>
      <c r="D3143" s="293">
        <v>238.36</v>
      </c>
      <c r="E3143" s="293">
        <v>-10.039999999999999</v>
      </c>
      <c r="F3143" s="294" t="s">
        <v>1132</v>
      </c>
    </row>
    <row r="3144" spans="1:6" hidden="1" outlineLevel="1" collapsed="1" x14ac:dyDescent="0.25">
      <c r="A3144" s="321" t="s">
        <v>282</v>
      </c>
      <c r="B3144" s="321" t="s">
        <v>396</v>
      </c>
      <c r="C3144" s="293">
        <v>49.68</v>
      </c>
      <c r="D3144" s="293">
        <v>0</v>
      </c>
      <c r="E3144" s="293">
        <v>-49.68</v>
      </c>
      <c r="F3144" s="294" t="s">
        <v>286</v>
      </c>
    </row>
    <row r="3145" spans="1:6" hidden="1" outlineLevel="1" collapsed="1" x14ac:dyDescent="0.25">
      <c r="A3145" s="321" t="s">
        <v>282</v>
      </c>
      <c r="B3145" s="321" t="s">
        <v>397</v>
      </c>
      <c r="C3145" s="293">
        <v>0</v>
      </c>
      <c r="D3145" s="293">
        <v>48.48</v>
      </c>
      <c r="E3145" s="293">
        <v>48.48</v>
      </c>
      <c r="F3145" s="294" t="s">
        <v>298</v>
      </c>
    </row>
    <row r="3146" spans="1:6" hidden="1" outlineLevel="1" collapsed="1" x14ac:dyDescent="0.25">
      <c r="A3146" s="321" t="s">
        <v>282</v>
      </c>
      <c r="B3146" s="321" t="s">
        <v>373</v>
      </c>
      <c r="C3146" s="293">
        <v>120</v>
      </c>
      <c r="D3146" s="293">
        <v>54.28</v>
      </c>
      <c r="E3146" s="293">
        <v>-65.72</v>
      </c>
      <c r="F3146" s="294" t="s">
        <v>2201</v>
      </c>
    </row>
    <row r="3147" spans="1:6" hidden="1" outlineLevel="1" collapsed="1" x14ac:dyDescent="0.25">
      <c r="A3147" s="321" t="s">
        <v>282</v>
      </c>
      <c r="B3147" s="321" t="s">
        <v>398</v>
      </c>
      <c r="C3147" s="293">
        <v>24</v>
      </c>
      <c r="D3147" s="293">
        <v>11.04</v>
      </c>
      <c r="E3147" s="293">
        <v>-12.96</v>
      </c>
      <c r="F3147" s="294" t="s">
        <v>374</v>
      </c>
    </row>
    <row r="3148" spans="1:6" hidden="1" outlineLevel="1" collapsed="1" x14ac:dyDescent="0.25">
      <c r="A3148" s="321" t="s">
        <v>282</v>
      </c>
      <c r="B3148" s="321" t="s">
        <v>522</v>
      </c>
      <c r="C3148" s="293">
        <v>3000</v>
      </c>
      <c r="D3148" s="293">
        <v>0</v>
      </c>
      <c r="E3148" s="293">
        <v>-3000</v>
      </c>
      <c r="F3148" s="294" t="s">
        <v>286</v>
      </c>
    </row>
    <row r="3149" spans="1:6" hidden="1" outlineLevel="1" collapsed="1" x14ac:dyDescent="0.25">
      <c r="A3149" s="321" t="s">
        <v>282</v>
      </c>
      <c r="B3149" s="321" t="s">
        <v>375</v>
      </c>
      <c r="C3149" s="293">
        <v>5983</v>
      </c>
      <c r="D3149" s="293">
        <v>5751</v>
      </c>
      <c r="E3149" s="293">
        <v>-232</v>
      </c>
      <c r="F3149" s="294" t="s">
        <v>1356</v>
      </c>
    </row>
    <row r="3150" spans="1:6" hidden="1" outlineLevel="1" collapsed="1" x14ac:dyDescent="0.25">
      <c r="A3150" s="321" t="s">
        <v>282</v>
      </c>
      <c r="B3150" s="321" t="s">
        <v>376</v>
      </c>
      <c r="C3150" s="293">
        <v>1013</v>
      </c>
      <c r="D3150" s="293">
        <v>800</v>
      </c>
      <c r="E3150" s="293">
        <v>-213</v>
      </c>
      <c r="F3150" s="294" t="s">
        <v>1357</v>
      </c>
    </row>
    <row r="3151" spans="1:6" hidden="1" outlineLevel="1" collapsed="1" x14ac:dyDescent="0.25">
      <c r="A3151" s="321" t="s">
        <v>282</v>
      </c>
      <c r="B3151" s="321" t="s">
        <v>482</v>
      </c>
      <c r="C3151" s="293">
        <v>1168</v>
      </c>
      <c r="D3151" s="293">
        <v>1200</v>
      </c>
      <c r="E3151" s="293">
        <v>32</v>
      </c>
      <c r="F3151" s="294" t="s">
        <v>1358</v>
      </c>
    </row>
    <row r="3152" spans="1:6" hidden="1" outlineLevel="1" collapsed="1" x14ac:dyDescent="0.25">
      <c r="A3152" s="321" t="s">
        <v>282</v>
      </c>
      <c r="B3152" s="321" t="s">
        <v>403</v>
      </c>
      <c r="C3152" s="293">
        <v>0</v>
      </c>
      <c r="D3152" s="293">
        <v>1010</v>
      </c>
      <c r="E3152" s="293">
        <v>1010</v>
      </c>
      <c r="F3152" s="294" t="s">
        <v>298</v>
      </c>
    </row>
    <row r="3153" spans="1:6" hidden="1" outlineLevel="1" collapsed="1" x14ac:dyDescent="0.25">
      <c r="A3153" s="321" t="s">
        <v>282</v>
      </c>
      <c r="B3153" s="321" t="s">
        <v>405</v>
      </c>
      <c r="C3153" s="293">
        <v>2800</v>
      </c>
      <c r="D3153" s="293">
        <v>2250</v>
      </c>
      <c r="E3153" s="293">
        <v>-550</v>
      </c>
      <c r="F3153" s="294" t="s">
        <v>1359</v>
      </c>
    </row>
    <row r="3154" spans="1:6" collapsed="1" x14ac:dyDescent="0.25">
      <c r="A3154" s="560" t="s">
        <v>1360</v>
      </c>
      <c r="B3154" s="561"/>
      <c r="C3154" s="292">
        <v>107123.605824</v>
      </c>
      <c r="D3154" s="293">
        <v>111045.02039200001</v>
      </c>
      <c r="E3154" s="293">
        <v>3921.4145680000001</v>
      </c>
      <c r="F3154" s="294" t="s">
        <v>414</v>
      </c>
    </row>
    <row r="3155" spans="1:6" hidden="1" outlineLevel="1" collapsed="1" x14ac:dyDescent="0.25">
      <c r="A3155" s="321" t="s">
        <v>282</v>
      </c>
      <c r="B3155" s="321" t="s">
        <v>358</v>
      </c>
      <c r="C3155" s="293">
        <v>76192.127999999997</v>
      </c>
      <c r="D3155" s="293">
        <v>78645.772800000006</v>
      </c>
      <c r="E3155" s="293">
        <v>2453.6448</v>
      </c>
      <c r="F3155" s="294" t="s">
        <v>647</v>
      </c>
    </row>
    <row r="3156" spans="1:6" hidden="1" outlineLevel="1" collapsed="1" x14ac:dyDescent="0.25">
      <c r="A3156" s="321" t="s">
        <v>282</v>
      </c>
      <c r="B3156" s="321" t="s">
        <v>412</v>
      </c>
      <c r="C3156" s="293">
        <v>4800</v>
      </c>
      <c r="D3156" s="293">
        <v>4800</v>
      </c>
      <c r="E3156" s="293">
        <v>0</v>
      </c>
      <c r="F3156" s="294" t="s">
        <v>316</v>
      </c>
    </row>
    <row r="3157" spans="1:6" hidden="1" outlineLevel="1" collapsed="1" x14ac:dyDescent="0.25">
      <c r="A3157" s="321" t="s">
        <v>282</v>
      </c>
      <c r="B3157" s="321" t="s">
        <v>360</v>
      </c>
      <c r="C3157" s="293">
        <v>9943.0727040000002</v>
      </c>
      <c r="D3157" s="293">
        <v>11348.585008</v>
      </c>
      <c r="E3157" s="293">
        <v>1405.5123040000001</v>
      </c>
      <c r="F3157" s="294" t="s">
        <v>1340</v>
      </c>
    </row>
    <row r="3158" spans="1:6" hidden="1" outlineLevel="1" collapsed="1" x14ac:dyDescent="0.25">
      <c r="A3158" s="321" t="s">
        <v>282</v>
      </c>
      <c r="B3158" s="321" t="s">
        <v>362</v>
      </c>
      <c r="C3158" s="293">
        <v>1174.3858560000001</v>
      </c>
      <c r="D3158" s="293">
        <v>1209.963704</v>
      </c>
      <c r="E3158" s="293">
        <v>35.577848000000003</v>
      </c>
      <c r="F3158" s="294" t="s">
        <v>702</v>
      </c>
    </row>
    <row r="3159" spans="1:6" hidden="1" outlineLevel="1" collapsed="1" x14ac:dyDescent="0.25">
      <c r="A3159" s="321" t="s">
        <v>282</v>
      </c>
      <c r="B3159" s="321" t="s">
        <v>363</v>
      </c>
      <c r="C3159" s="293">
        <v>340.89983999999998</v>
      </c>
      <c r="D3159" s="293">
        <v>337.63200000000001</v>
      </c>
      <c r="E3159" s="293">
        <v>-3.2678400000000001</v>
      </c>
      <c r="F3159" s="294" t="s">
        <v>364</v>
      </c>
    </row>
    <row r="3160" spans="1:6" hidden="1" outlineLevel="1" collapsed="1" x14ac:dyDescent="0.25">
      <c r="A3160" s="321" t="s">
        <v>282</v>
      </c>
      <c r="B3160" s="321" t="s">
        <v>365</v>
      </c>
      <c r="C3160" s="293">
        <v>12286.848</v>
      </c>
      <c r="D3160" s="293">
        <v>12767.424000000001</v>
      </c>
      <c r="E3160" s="293">
        <v>480.57600000000002</v>
      </c>
      <c r="F3160" s="294" t="s">
        <v>366</v>
      </c>
    </row>
    <row r="3161" spans="1:6" hidden="1" outlineLevel="1" collapsed="1" x14ac:dyDescent="0.25">
      <c r="A3161" s="321" t="s">
        <v>282</v>
      </c>
      <c r="B3161" s="321" t="s">
        <v>367</v>
      </c>
      <c r="C3161" s="293">
        <v>186.83135999999999</v>
      </c>
      <c r="D3161" s="293">
        <v>146.304</v>
      </c>
      <c r="E3161" s="293">
        <v>-40.527360000000002</v>
      </c>
      <c r="F3161" s="294" t="s">
        <v>368</v>
      </c>
    </row>
    <row r="3162" spans="1:6" hidden="1" outlineLevel="1" collapsed="1" x14ac:dyDescent="0.25">
      <c r="A3162" s="321" t="s">
        <v>282</v>
      </c>
      <c r="B3162" s="321" t="s">
        <v>369</v>
      </c>
      <c r="C3162" s="293">
        <v>40.496063999999997</v>
      </c>
      <c r="D3162" s="293">
        <v>41.722880000000004</v>
      </c>
      <c r="E3162" s="293">
        <v>1.2268159999999999</v>
      </c>
      <c r="F3162" s="294" t="s">
        <v>702</v>
      </c>
    </row>
    <row r="3163" spans="1:6" hidden="1" outlineLevel="1" collapsed="1" x14ac:dyDescent="0.25">
      <c r="A3163" s="321" t="s">
        <v>282</v>
      </c>
      <c r="B3163" s="321" t="s">
        <v>370</v>
      </c>
      <c r="C3163" s="293">
        <v>1200</v>
      </c>
      <c r="D3163" s="293">
        <v>1200</v>
      </c>
      <c r="E3163" s="293">
        <v>0</v>
      </c>
      <c r="F3163" s="294" t="s">
        <v>316</v>
      </c>
    </row>
    <row r="3164" spans="1:6" hidden="1" outlineLevel="1" collapsed="1" x14ac:dyDescent="0.25">
      <c r="A3164" s="321" t="s">
        <v>282</v>
      </c>
      <c r="B3164" s="321" t="s">
        <v>371</v>
      </c>
      <c r="C3164" s="293">
        <v>39.744</v>
      </c>
      <c r="D3164" s="293">
        <v>38.783999999999999</v>
      </c>
      <c r="E3164" s="293">
        <v>-0.96</v>
      </c>
      <c r="F3164" s="294" t="s">
        <v>372</v>
      </c>
    </row>
    <row r="3165" spans="1:6" hidden="1" outlineLevel="1" collapsed="1" x14ac:dyDescent="0.25">
      <c r="A3165" s="321" t="s">
        <v>282</v>
      </c>
      <c r="B3165" s="321" t="s">
        <v>373</v>
      </c>
      <c r="C3165" s="293">
        <v>19.2</v>
      </c>
      <c r="D3165" s="293">
        <v>8.8320000000000007</v>
      </c>
      <c r="E3165" s="293">
        <v>-10.368</v>
      </c>
      <c r="F3165" s="294" t="s">
        <v>374</v>
      </c>
    </row>
    <row r="3166" spans="1:6" hidden="1" outlineLevel="1" collapsed="1" x14ac:dyDescent="0.25">
      <c r="A3166" s="321" t="s">
        <v>282</v>
      </c>
      <c r="B3166" s="321" t="s">
        <v>375</v>
      </c>
      <c r="C3166" s="293">
        <v>300</v>
      </c>
      <c r="D3166" s="293">
        <v>0</v>
      </c>
      <c r="E3166" s="293">
        <v>-300</v>
      </c>
      <c r="F3166" s="294" t="s">
        <v>286</v>
      </c>
    </row>
    <row r="3167" spans="1:6" hidden="1" outlineLevel="1" collapsed="1" x14ac:dyDescent="0.25">
      <c r="A3167" s="321" t="s">
        <v>282</v>
      </c>
      <c r="B3167" s="321" t="s">
        <v>376</v>
      </c>
      <c r="C3167" s="293">
        <v>300</v>
      </c>
      <c r="D3167" s="293">
        <v>200</v>
      </c>
      <c r="E3167" s="293">
        <v>-100</v>
      </c>
      <c r="F3167" s="294" t="s">
        <v>858</v>
      </c>
    </row>
    <row r="3168" spans="1:6" hidden="1" outlineLevel="1" collapsed="1" x14ac:dyDescent="0.25">
      <c r="A3168" s="321" t="s">
        <v>282</v>
      </c>
      <c r="B3168" s="321" t="s">
        <v>482</v>
      </c>
      <c r="C3168" s="293">
        <v>300</v>
      </c>
      <c r="D3168" s="293">
        <v>300</v>
      </c>
      <c r="E3168" s="293">
        <v>0</v>
      </c>
      <c r="F3168" s="294" t="s">
        <v>316</v>
      </c>
    </row>
    <row r="3169" spans="1:6" collapsed="1" x14ac:dyDescent="0.25">
      <c r="A3169" s="560" t="s">
        <v>1361</v>
      </c>
      <c r="B3169" s="561"/>
      <c r="C3169" s="292">
        <v>675401.49291200005</v>
      </c>
      <c r="D3169" s="293">
        <v>821263.68868799997</v>
      </c>
      <c r="E3169" s="293">
        <v>145862.19577600001</v>
      </c>
      <c r="F3169" s="294" t="s">
        <v>1362</v>
      </c>
    </row>
    <row r="3170" spans="1:6" hidden="1" outlineLevel="1" collapsed="1" x14ac:dyDescent="0.25">
      <c r="A3170" s="321" t="s">
        <v>282</v>
      </c>
      <c r="B3170" s="321" t="s">
        <v>358</v>
      </c>
      <c r="C3170" s="293">
        <v>511464.864</v>
      </c>
      <c r="D3170" s="293">
        <v>611033.96256000001</v>
      </c>
      <c r="E3170" s="293">
        <v>99569.098559999999</v>
      </c>
      <c r="F3170" s="294" t="s">
        <v>1363</v>
      </c>
    </row>
    <row r="3171" spans="1:6" hidden="1" outlineLevel="1" collapsed="1" x14ac:dyDescent="0.25">
      <c r="A3171" s="321" t="s">
        <v>282</v>
      </c>
      <c r="B3171" s="321" t="s">
        <v>360</v>
      </c>
      <c r="C3171" s="293">
        <v>66746.164751999997</v>
      </c>
      <c r="D3171" s="293">
        <v>88172.200761999993</v>
      </c>
      <c r="E3171" s="293">
        <v>21426.03601</v>
      </c>
      <c r="F3171" s="294" t="s">
        <v>1364</v>
      </c>
    </row>
    <row r="3172" spans="1:6" hidden="1" outlineLevel="1" collapsed="1" x14ac:dyDescent="0.25">
      <c r="A3172" s="321" t="s">
        <v>282</v>
      </c>
      <c r="B3172" s="321" t="s">
        <v>362</v>
      </c>
      <c r="C3172" s="293">
        <v>7416.2405280000003</v>
      </c>
      <c r="D3172" s="293">
        <v>8859.9924140000003</v>
      </c>
      <c r="E3172" s="293">
        <v>1443.751886</v>
      </c>
      <c r="F3172" s="294" t="s">
        <v>1363</v>
      </c>
    </row>
    <row r="3173" spans="1:6" hidden="1" outlineLevel="1" collapsed="1" x14ac:dyDescent="0.25">
      <c r="A3173" s="321" t="s">
        <v>282</v>
      </c>
      <c r="B3173" s="321" t="s">
        <v>363</v>
      </c>
      <c r="C3173" s="293">
        <v>2436.0134400000002</v>
      </c>
      <c r="D3173" s="293">
        <v>2869.8719999999998</v>
      </c>
      <c r="E3173" s="293">
        <v>433.85856000000001</v>
      </c>
      <c r="F3173" s="294" t="s">
        <v>1365</v>
      </c>
    </row>
    <row r="3174" spans="1:6" hidden="1" outlineLevel="1" collapsed="1" x14ac:dyDescent="0.25">
      <c r="A3174" s="321" t="s">
        <v>282</v>
      </c>
      <c r="B3174" s="321" t="s">
        <v>365</v>
      </c>
      <c r="C3174" s="293">
        <v>72441.207999999999</v>
      </c>
      <c r="D3174" s="293">
        <v>92563.823999999993</v>
      </c>
      <c r="E3174" s="293">
        <v>20122.616000000002</v>
      </c>
      <c r="F3174" s="294" t="s">
        <v>1366</v>
      </c>
    </row>
    <row r="3175" spans="1:6" hidden="1" outlineLevel="1" collapsed="1" x14ac:dyDescent="0.25">
      <c r="A3175" s="321" t="s">
        <v>282</v>
      </c>
      <c r="B3175" s="321" t="s">
        <v>367</v>
      </c>
      <c r="C3175" s="293">
        <v>1335.06576</v>
      </c>
      <c r="D3175" s="293">
        <v>1243.5840000000001</v>
      </c>
      <c r="E3175" s="293">
        <v>-91.481759999999994</v>
      </c>
      <c r="F3175" s="294" t="s">
        <v>1367</v>
      </c>
    </row>
    <row r="3176" spans="1:6" hidden="1" outlineLevel="1" collapsed="1" x14ac:dyDescent="0.25">
      <c r="A3176" s="321" t="s">
        <v>282</v>
      </c>
      <c r="B3176" s="321" t="s">
        <v>369</v>
      </c>
      <c r="C3176" s="293">
        <v>255.73243199999999</v>
      </c>
      <c r="D3176" s="293">
        <v>305.516952</v>
      </c>
      <c r="E3176" s="293">
        <v>49.784520000000001</v>
      </c>
      <c r="F3176" s="294" t="s">
        <v>1363</v>
      </c>
    </row>
    <row r="3177" spans="1:6" hidden="1" outlineLevel="1" collapsed="1" x14ac:dyDescent="0.25">
      <c r="A3177" s="321" t="s">
        <v>282</v>
      </c>
      <c r="B3177" s="321" t="s">
        <v>370</v>
      </c>
      <c r="C3177" s="293">
        <v>8575</v>
      </c>
      <c r="D3177" s="293">
        <v>10200</v>
      </c>
      <c r="E3177" s="293">
        <v>1625</v>
      </c>
      <c r="F3177" s="294" t="s">
        <v>1368</v>
      </c>
    </row>
    <row r="3178" spans="1:6" hidden="1" outlineLevel="1" collapsed="1" x14ac:dyDescent="0.25">
      <c r="A3178" s="321" t="s">
        <v>282</v>
      </c>
      <c r="B3178" s="321" t="s">
        <v>371</v>
      </c>
      <c r="C3178" s="293">
        <v>284.00400000000002</v>
      </c>
      <c r="D3178" s="293">
        <v>329.66399999999999</v>
      </c>
      <c r="E3178" s="293">
        <v>45.66</v>
      </c>
      <c r="F3178" s="294" t="s">
        <v>1369</v>
      </c>
    </row>
    <row r="3179" spans="1:6" hidden="1" outlineLevel="1" collapsed="1" x14ac:dyDescent="0.25">
      <c r="A3179" s="321" t="s">
        <v>282</v>
      </c>
      <c r="B3179" s="321" t="s">
        <v>373</v>
      </c>
      <c r="C3179" s="293">
        <v>137.19999999999999</v>
      </c>
      <c r="D3179" s="293">
        <v>75.072000000000003</v>
      </c>
      <c r="E3179" s="293">
        <v>-62.128</v>
      </c>
      <c r="F3179" s="294" t="s">
        <v>1370</v>
      </c>
    </row>
    <row r="3180" spans="1:6" hidden="1" outlineLevel="1" collapsed="1" x14ac:dyDescent="0.25">
      <c r="A3180" s="321" t="s">
        <v>282</v>
      </c>
      <c r="B3180" s="321" t="s">
        <v>445</v>
      </c>
      <c r="C3180" s="293">
        <v>3000</v>
      </c>
      <c r="D3180" s="293">
        <v>3000</v>
      </c>
      <c r="E3180" s="293">
        <v>0</v>
      </c>
      <c r="F3180" s="294" t="s">
        <v>316</v>
      </c>
    </row>
    <row r="3181" spans="1:6" hidden="1" outlineLevel="1" collapsed="1" x14ac:dyDescent="0.25">
      <c r="A3181" s="321" t="s">
        <v>282</v>
      </c>
      <c r="B3181" s="321" t="s">
        <v>375</v>
      </c>
      <c r="C3181" s="293">
        <v>0</v>
      </c>
      <c r="D3181" s="293">
        <v>250</v>
      </c>
      <c r="E3181" s="293">
        <v>250</v>
      </c>
      <c r="F3181" s="294" t="s">
        <v>298</v>
      </c>
    </row>
    <row r="3182" spans="1:6" hidden="1" outlineLevel="1" collapsed="1" x14ac:dyDescent="0.25">
      <c r="A3182" s="321" t="s">
        <v>282</v>
      </c>
      <c r="B3182" s="321" t="s">
        <v>376</v>
      </c>
      <c r="C3182" s="293">
        <v>0</v>
      </c>
      <c r="D3182" s="293">
        <v>250</v>
      </c>
      <c r="E3182" s="293">
        <v>250</v>
      </c>
      <c r="F3182" s="294" t="s">
        <v>298</v>
      </c>
    </row>
    <row r="3183" spans="1:6" hidden="1" outlineLevel="1" collapsed="1" x14ac:dyDescent="0.25">
      <c r="A3183" s="321" t="s">
        <v>282</v>
      </c>
      <c r="B3183" s="321" t="s">
        <v>567</v>
      </c>
      <c r="C3183" s="293">
        <v>900</v>
      </c>
      <c r="D3183" s="293">
        <v>1500</v>
      </c>
      <c r="E3183" s="293">
        <v>600</v>
      </c>
      <c r="F3183" s="294" t="s">
        <v>829</v>
      </c>
    </row>
    <row r="3184" spans="1:6" hidden="1" outlineLevel="1" collapsed="1" x14ac:dyDescent="0.25">
      <c r="A3184" s="321" t="s">
        <v>282</v>
      </c>
      <c r="B3184" s="321" t="s">
        <v>426</v>
      </c>
      <c r="C3184" s="293">
        <v>300</v>
      </c>
      <c r="D3184" s="293">
        <v>500</v>
      </c>
      <c r="E3184" s="293">
        <v>200</v>
      </c>
      <c r="F3184" s="294" t="s">
        <v>829</v>
      </c>
    </row>
    <row r="3185" spans="1:6" hidden="1" outlineLevel="1" collapsed="1" x14ac:dyDescent="0.25">
      <c r="A3185" s="321" t="s">
        <v>282</v>
      </c>
      <c r="B3185" s="321" t="s">
        <v>597</v>
      </c>
      <c r="C3185" s="293">
        <v>110</v>
      </c>
      <c r="D3185" s="293">
        <v>110</v>
      </c>
      <c r="E3185" s="293">
        <v>0</v>
      </c>
      <c r="F3185" s="294" t="s">
        <v>316</v>
      </c>
    </row>
    <row r="3186" spans="1:6" collapsed="1" x14ac:dyDescent="0.25">
      <c r="A3186" s="560" t="s">
        <v>1371</v>
      </c>
      <c r="B3186" s="561"/>
      <c r="C3186" s="292">
        <v>246603.86748399999</v>
      </c>
      <c r="D3186" s="293">
        <v>256895.78118399999</v>
      </c>
      <c r="E3186" s="293">
        <v>10291.913699999999</v>
      </c>
      <c r="F3186" s="294" t="s">
        <v>733</v>
      </c>
    </row>
    <row r="3187" spans="1:6" hidden="1" outlineLevel="1" collapsed="1" x14ac:dyDescent="0.25">
      <c r="A3187" s="321" t="s">
        <v>282</v>
      </c>
      <c r="B3187" s="321" t="s">
        <v>358</v>
      </c>
      <c r="C3187" s="293">
        <v>181021.439988</v>
      </c>
      <c r="D3187" s="293">
        <v>186826.82758799999</v>
      </c>
      <c r="E3187" s="293">
        <v>5805.3876</v>
      </c>
      <c r="F3187" s="294" t="s">
        <v>359</v>
      </c>
    </row>
    <row r="3188" spans="1:6" hidden="1" outlineLevel="1" collapsed="1" x14ac:dyDescent="0.25">
      <c r="A3188" s="321" t="s">
        <v>282</v>
      </c>
      <c r="B3188" s="321" t="s">
        <v>412</v>
      </c>
      <c r="C3188" s="293">
        <v>4000</v>
      </c>
      <c r="D3188" s="293">
        <v>4000</v>
      </c>
      <c r="E3188" s="293">
        <v>0</v>
      </c>
      <c r="F3188" s="294" t="s">
        <v>316</v>
      </c>
    </row>
    <row r="3189" spans="1:6" hidden="1" outlineLevel="1" collapsed="1" x14ac:dyDescent="0.25">
      <c r="A3189" s="321" t="s">
        <v>282</v>
      </c>
      <c r="B3189" s="321" t="s">
        <v>360</v>
      </c>
      <c r="C3189" s="293">
        <v>23623.297908</v>
      </c>
      <c r="D3189" s="293">
        <v>26959.111214</v>
      </c>
      <c r="E3189" s="293">
        <v>3335.813306</v>
      </c>
      <c r="F3189" s="294" t="s">
        <v>701</v>
      </c>
    </row>
    <row r="3190" spans="1:6" hidden="1" outlineLevel="1" collapsed="1" x14ac:dyDescent="0.25">
      <c r="A3190" s="321" t="s">
        <v>282</v>
      </c>
      <c r="B3190" s="321" t="s">
        <v>362</v>
      </c>
      <c r="C3190" s="293">
        <v>2682.810876</v>
      </c>
      <c r="D3190" s="293">
        <v>2766.9889859999998</v>
      </c>
      <c r="E3190" s="293">
        <v>84.178110000000004</v>
      </c>
      <c r="F3190" s="294" t="s">
        <v>1372</v>
      </c>
    </row>
    <row r="3191" spans="1:6" hidden="1" outlineLevel="1" collapsed="1" x14ac:dyDescent="0.25">
      <c r="A3191" s="321" t="s">
        <v>282</v>
      </c>
      <c r="B3191" s="321" t="s">
        <v>363</v>
      </c>
      <c r="C3191" s="293">
        <v>852.24959999999999</v>
      </c>
      <c r="D3191" s="293">
        <v>844.08</v>
      </c>
      <c r="E3191" s="293">
        <v>-8.1696000000000009</v>
      </c>
      <c r="F3191" s="294" t="s">
        <v>364</v>
      </c>
    </row>
    <row r="3192" spans="1:6" hidden="1" outlineLevel="1" collapsed="1" x14ac:dyDescent="0.25">
      <c r="A3192" s="321" t="s">
        <v>282</v>
      </c>
      <c r="B3192" s="321" t="s">
        <v>365</v>
      </c>
      <c r="C3192" s="293">
        <v>30717.119999999999</v>
      </c>
      <c r="D3192" s="293">
        <v>31918.560000000001</v>
      </c>
      <c r="E3192" s="293">
        <v>1201.44</v>
      </c>
      <c r="F3192" s="294" t="s">
        <v>366</v>
      </c>
    </row>
    <row r="3193" spans="1:6" hidden="1" outlineLevel="1" collapsed="1" x14ac:dyDescent="0.25">
      <c r="A3193" s="321" t="s">
        <v>282</v>
      </c>
      <c r="B3193" s="321" t="s">
        <v>367</v>
      </c>
      <c r="C3193" s="293">
        <v>467.07839999999999</v>
      </c>
      <c r="D3193" s="293">
        <v>365.76</v>
      </c>
      <c r="E3193" s="293">
        <v>-101.3184</v>
      </c>
      <c r="F3193" s="294" t="s">
        <v>368</v>
      </c>
    </row>
    <row r="3194" spans="1:6" hidden="1" outlineLevel="1" collapsed="1" x14ac:dyDescent="0.25">
      <c r="A3194" s="321" t="s">
        <v>282</v>
      </c>
      <c r="B3194" s="321" t="s">
        <v>369</v>
      </c>
      <c r="C3194" s="293">
        <v>92.510711999999998</v>
      </c>
      <c r="D3194" s="293">
        <v>95.413396000000006</v>
      </c>
      <c r="E3194" s="293">
        <v>2.9026839999999998</v>
      </c>
      <c r="F3194" s="294" t="s">
        <v>1372</v>
      </c>
    </row>
    <row r="3195" spans="1:6" hidden="1" outlineLevel="1" collapsed="1" x14ac:dyDescent="0.25">
      <c r="A3195" s="321" t="s">
        <v>282</v>
      </c>
      <c r="B3195" s="321" t="s">
        <v>370</v>
      </c>
      <c r="C3195" s="293">
        <v>3000</v>
      </c>
      <c r="D3195" s="293">
        <v>3000</v>
      </c>
      <c r="E3195" s="293">
        <v>0</v>
      </c>
      <c r="F3195" s="294" t="s">
        <v>316</v>
      </c>
    </row>
    <row r="3196" spans="1:6" hidden="1" outlineLevel="1" collapsed="1" x14ac:dyDescent="0.25">
      <c r="A3196" s="321" t="s">
        <v>282</v>
      </c>
      <c r="B3196" s="321" t="s">
        <v>371</v>
      </c>
      <c r="C3196" s="293">
        <v>99.36</v>
      </c>
      <c r="D3196" s="293">
        <v>96.96</v>
      </c>
      <c r="E3196" s="293">
        <v>-2.4</v>
      </c>
      <c r="F3196" s="294" t="s">
        <v>372</v>
      </c>
    </row>
    <row r="3197" spans="1:6" hidden="1" outlineLevel="1" collapsed="1" x14ac:dyDescent="0.25">
      <c r="A3197" s="321" t="s">
        <v>282</v>
      </c>
      <c r="B3197" s="321" t="s">
        <v>373</v>
      </c>
      <c r="C3197" s="293">
        <v>48</v>
      </c>
      <c r="D3197" s="293">
        <v>22.08</v>
      </c>
      <c r="E3197" s="293">
        <v>-25.92</v>
      </c>
      <c r="F3197" s="294" t="s">
        <v>374</v>
      </c>
    </row>
    <row r="3198" spans="1:6" collapsed="1" x14ac:dyDescent="0.25">
      <c r="A3198" s="560" t="s">
        <v>1373</v>
      </c>
      <c r="B3198" s="561"/>
      <c r="C3198" s="292">
        <v>111231.58044000001</v>
      </c>
      <c r="D3198" s="293">
        <v>176083.636784</v>
      </c>
      <c r="E3198" s="293">
        <v>64852.056343999997</v>
      </c>
      <c r="F3198" s="294" t="s">
        <v>1374</v>
      </c>
    </row>
    <row r="3199" spans="1:6" hidden="1" outlineLevel="1" collapsed="1" x14ac:dyDescent="0.25">
      <c r="A3199" s="321" t="s">
        <v>282</v>
      </c>
      <c r="B3199" s="321" t="s">
        <v>358</v>
      </c>
      <c r="C3199" s="293">
        <v>81745.679999999993</v>
      </c>
      <c r="D3199" s="293">
        <v>130001.23248000001</v>
      </c>
      <c r="E3199" s="293">
        <v>48255.552479999998</v>
      </c>
      <c r="F3199" s="294" t="s">
        <v>1375</v>
      </c>
    </row>
    <row r="3200" spans="1:6" hidden="1" outlineLevel="1" collapsed="1" x14ac:dyDescent="0.25">
      <c r="A3200" s="321" t="s">
        <v>282</v>
      </c>
      <c r="B3200" s="321" t="s">
        <v>360</v>
      </c>
      <c r="C3200" s="293">
        <v>10667.811240000001</v>
      </c>
      <c r="D3200" s="293">
        <v>18759.177835999999</v>
      </c>
      <c r="E3200" s="293">
        <v>8091.3665959999998</v>
      </c>
      <c r="F3200" s="294" t="s">
        <v>1376</v>
      </c>
    </row>
    <row r="3201" spans="1:6" hidden="1" outlineLevel="1" collapsed="1" x14ac:dyDescent="0.25">
      <c r="A3201" s="321" t="s">
        <v>282</v>
      </c>
      <c r="B3201" s="321" t="s">
        <v>362</v>
      </c>
      <c r="C3201" s="293">
        <v>1185.3123599999999</v>
      </c>
      <c r="D3201" s="293">
        <v>1885.0178619999999</v>
      </c>
      <c r="E3201" s="293">
        <v>699.70550200000002</v>
      </c>
      <c r="F3201" s="294" t="s">
        <v>1375</v>
      </c>
    </row>
    <row r="3202" spans="1:6" hidden="1" outlineLevel="1" collapsed="1" x14ac:dyDescent="0.25">
      <c r="A3202" s="321" t="s">
        <v>282</v>
      </c>
      <c r="B3202" s="321" t="s">
        <v>363</v>
      </c>
      <c r="C3202" s="293">
        <v>426.12479999999999</v>
      </c>
      <c r="D3202" s="293">
        <v>590.85599999999999</v>
      </c>
      <c r="E3202" s="293">
        <v>164.7312</v>
      </c>
      <c r="F3202" s="294" t="s">
        <v>1377</v>
      </c>
    </row>
    <row r="3203" spans="1:6" hidden="1" outlineLevel="1" collapsed="1" x14ac:dyDescent="0.25">
      <c r="A3203" s="321" t="s">
        <v>282</v>
      </c>
      <c r="B3203" s="321" t="s">
        <v>365</v>
      </c>
      <c r="C3203" s="293">
        <v>15358.56</v>
      </c>
      <c r="D3203" s="293">
        <v>22342.991999999998</v>
      </c>
      <c r="E3203" s="293">
        <v>6984.4319999999998</v>
      </c>
      <c r="F3203" s="294" t="s">
        <v>1378</v>
      </c>
    </row>
    <row r="3204" spans="1:6" hidden="1" outlineLevel="1" collapsed="1" x14ac:dyDescent="0.25">
      <c r="A3204" s="321" t="s">
        <v>282</v>
      </c>
      <c r="B3204" s="321" t="s">
        <v>367</v>
      </c>
      <c r="C3204" s="293">
        <v>233.53919999999999</v>
      </c>
      <c r="D3204" s="293">
        <v>256.03199999999998</v>
      </c>
      <c r="E3204" s="293">
        <v>22.492799999999999</v>
      </c>
      <c r="F3204" s="294" t="s">
        <v>1379</v>
      </c>
    </row>
    <row r="3205" spans="1:6" hidden="1" outlineLevel="1" collapsed="1" x14ac:dyDescent="0.25">
      <c r="A3205" s="321" t="s">
        <v>282</v>
      </c>
      <c r="B3205" s="321" t="s">
        <v>369</v>
      </c>
      <c r="C3205" s="293">
        <v>40.872839999999997</v>
      </c>
      <c r="D3205" s="293">
        <v>65.000606000000005</v>
      </c>
      <c r="E3205" s="293">
        <v>24.127766000000001</v>
      </c>
      <c r="F3205" s="294" t="s">
        <v>1375</v>
      </c>
    </row>
    <row r="3206" spans="1:6" hidden="1" outlineLevel="1" collapsed="1" x14ac:dyDescent="0.25">
      <c r="A3206" s="321" t="s">
        <v>282</v>
      </c>
      <c r="B3206" s="321" t="s">
        <v>370</v>
      </c>
      <c r="C3206" s="293">
        <v>1500</v>
      </c>
      <c r="D3206" s="293">
        <v>2100</v>
      </c>
      <c r="E3206" s="293">
        <v>600</v>
      </c>
      <c r="F3206" s="294" t="s">
        <v>1380</v>
      </c>
    </row>
    <row r="3207" spans="1:6" hidden="1" outlineLevel="1" collapsed="1" x14ac:dyDescent="0.25">
      <c r="A3207" s="321" t="s">
        <v>282</v>
      </c>
      <c r="B3207" s="321" t="s">
        <v>371</v>
      </c>
      <c r="C3207" s="293">
        <v>49.68</v>
      </c>
      <c r="D3207" s="293">
        <v>67.872</v>
      </c>
      <c r="E3207" s="293">
        <v>18.192</v>
      </c>
      <c r="F3207" s="294" t="s">
        <v>1381</v>
      </c>
    </row>
    <row r="3208" spans="1:6" hidden="1" outlineLevel="1" collapsed="1" x14ac:dyDescent="0.25">
      <c r="A3208" s="321" t="s">
        <v>282</v>
      </c>
      <c r="B3208" s="321" t="s">
        <v>373</v>
      </c>
      <c r="C3208" s="293">
        <v>24</v>
      </c>
      <c r="D3208" s="293">
        <v>15.456</v>
      </c>
      <c r="E3208" s="293">
        <v>-8.5440000000000005</v>
      </c>
      <c r="F3208" s="294" t="s">
        <v>1382</v>
      </c>
    </row>
    <row r="3209" spans="1:6" collapsed="1" x14ac:dyDescent="0.25">
      <c r="A3209" s="560" t="s">
        <v>1383</v>
      </c>
      <c r="B3209" s="561"/>
      <c r="C3209" s="292">
        <v>815656.92107200006</v>
      </c>
      <c r="D3209" s="293">
        <v>793194.84736599994</v>
      </c>
      <c r="E3209" s="293">
        <v>-22462.073705999999</v>
      </c>
      <c r="F3209" s="294" t="s">
        <v>2202</v>
      </c>
    </row>
    <row r="3210" spans="1:6" hidden="1" outlineLevel="1" collapsed="1" x14ac:dyDescent="0.25">
      <c r="A3210" s="321" t="s">
        <v>282</v>
      </c>
      <c r="B3210" s="321" t="s">
        <v>358</v>
      </c>
      <c r="C3210" s="293">
        <v>584758.63998800004</v>
      </c>
      <c r="D3210" s="293">
        <v>578144.16238800006</v>
      </c>
      <c r="E3210" s="293">
        <v>-6614.4776000000002</v>
      </c>
      <c r="F3210" s="294" t="s">
        <v>2203</v>
      </c>
    </row>
    <row r="3211" spans="1:6" hidden="1" outlineLevel="1" collapsed="1" x14ac:dyDescent="0.25">
      <c r="A3211" s="321" t="s">
        <v>282</v>
      </c>
      <c r="B3211" s="321" t="s">
        <v>412</v>
      </c>
      <c r="C3211" s="293">
        <v>14000</v>
      </c>
      <c r="D3211" s="293">
        <v>14000</v>
      </c>
      <c r="E3211" s="293">
        <v>0</v>
      </c>
      <c r="F3211" s="294" t="s">
        <v>316</v>
      </c>
    </row>
    <row r="3212" spans="1:6" hidden="1" outlineLevel="1" collapsed="1" x14ac:dyDescent="0.25">
      <c r="A3212" s="321" t="s">
        <v>282</v>
      </c>
      <c r="B3212" s="321" t="s">
        <v>360</v>
      </c>
      <c r="C3212" s="293">
        <v>83901.143507999994</v>
      </c>
      <c r="D3212" s="293">
        <v>83426.202609999993</v>
      </c>
      <c r="E3212" s="293">
        <v>-474.940898</v>
      </c>
      <c r="F3212" s="294" t="s">
        <v>2204</v>
      </c>
    </row>
    <row r="3213" spans="1:6" hidden="1" outlineLevel="1" collapsed="1" x14ac:dyDescent="0.25">
      <c r="A3213" s="321" t="s">
        <v>282</v>
      </c>
      <c r="B3213" s="321" t="s">
        <v>362</v>
      </c>
      <c r="C3213" s="293">
        <v>9525.3492679999999</v>
      </c>
      <c r="D3213" s="293">
        <v>8586.0903240000007</v>
      </c>
      <c r="E3213" s="293">
        <v>-939.25894400000004</v>
      </c>
      <c r="F3213" s="294" t="s">
        <v>2205</v>
      </c>
    </row>
    <row r="3214" spans="1:6" hidden="1" outlineLevel="1" collapsed="1" x14ac:dyDescent="0.25">
      <c r="A3214" s="321" t="s">
        <v>282</v>
      </c>
      <c r="B3214" s="321" t="s">
        <v>363</v>
      </c>
      <c r="C3214" s="293">
        <v>2982.8735999999999</v>
      </c>
      <c r="D3214" s="293">
        <v>2532.2399999999998</v>
      </c>
      <c r="E3214" s="293">
        <v>-450.6336</v>
      </c>
      <c r="F3214" s="294" t="s">
        <v>1710</v>
      </c>
    </row>
    <row r="3215" spans="1:6" hidden="1" outlineLevel="1" collapsed="1" x14ac:dyDescent="0.25">
      <c r="A3215" s="321" t="s">
        <v>282</v>
      </c>
      <c r="B3215" s="321" t="s">
        <v>365</v>
      </c>
      <c r="C3215" s="293">
        <v>107509.92</v>
      </c>
      <c r="D3215" s="293">
        <v>95755.68</v>
      </c>
      <c r="E3215" s="293">
        <v>-11754.24</v>
      </c>
      <c r="F3215" s="294" t="s">
        <v>2206</v>
      </c>
    </row>
    <row r="3216" spans="1:6" hidden="1" outlineLevel="1" collapsed="1" x14ac:dyDescent="0.25">
      <c r="A3216" s="321" t="s">
        <v>282</v>
      </c>
      <c r="B3216" s="321" t="s">
        <v>367</v>
      </c>
      <c r="C3216" s="293">
        <v>1634.7744</v>
      </c>
      <c r="D3216" s="293">
        <v>1097.28</v>
      </c>
      <c r="E3216" s="293">
        <v>-537.49440000000004</v>
      </c>
      <c r="F3216" s="294" t="s">
        <v>2207</v>
      </c>
    </row>
    <row r="3217" spans="1:6" hidden="1" outlineLevel="1" collapsed="1" x14ac:dyDescent="0.25">
      <c r="A3217" s="321" t="s">
        <v>282</v>
      </c>
      <c r="B3217" s="321" t="s">
        <v>369</v>
      </c>
      <c r="C3217" s="293">
        <v>328.460308</v>
      </c>
      <c r="D3217" s="293">
        <v>296.07204400000001</v>
      </c>
      <c r="E3217" s="293">
        <v>-32.388263999999999</v>
      </c>
      <c r="F3217" s="294" t="s">
        <v>2205</v>
      </c>
    </row>
    <row r="3218" spans="1:6" hidden="1" outlineLevel="1" collapsed="1" x14ac:dyDescent="0.25">
      <c r="A3218" s="321" t="s">
        <v>282</v>
      </c>
      <c r="B3218" s="321" t="s">
        <v>370</v>
      </c>
      <c r="C3218" s="293">
        <v>10500</v>
      </c>
      <c r="D3218" s="293">
        <v>9000</v>
      </c>
      <c r="E3218" s="293">
        <v>-1500</v>
      </c>
      <c r="F3218" s="294" t="s">
        <v>1763</v>
      </c>
    </row>
    <row r="3219" spans="1:6" hidden="1" outlineLevel="1" collapsed="1" x14ac:dyDescent="0.25">
      <c r="A3219" s="321" t="s">
        <v>282</v>
      </c>
      <c r="B3219" s="321" t="s">
        <v>371</v>
      </c>
      <c r="C3219" s="293">
        <v>347.76</v>
      </c>
      <c r="D3219" s="293">
        <v>290.88</v>
      </c>
      <c r="E3219" s="293">
        <v>-56.88</v>
      </c>
      <c r="F3219" s="294" t="s">
        <v>2208</v>
      </c>
    </row>
    <row r="3220" spans="1:6" hidden="1" outlineLevel="1" collapsed="1" x14ac:dyDescent="0.25">
      <c r="A3220" s="321" t="s">
        <v>282</v>
      </c>
      <c r="B3220" s="321" t="s">
        <v>373</v>
      </c>
      <c r="C3220" s="293">
        <v>168</v>
      </c>
      <c r="D3220" s="293">
        <v>66.239999999999995</v>
      </c>
      <c r="E3220" s="293">
        <v>-101.76</v>
      </c>
      <c r="F3220" s="294" t="s">
        <v>2209</v>
      </c>
    </row>
    <row r="3221" spans="1:6" collapsed="1" x14ac:dyDescent="0.25">
      <c r="A3221" s="560" t="s">
        <v>1387</v>
      </c>
      <c r="B3221" s="561"/>
      <c r="C3221" s="292">
        <v>146908.78709900001</v>
      </c>
      <c r="D3221" s="293">
        <v>156637.93316799999</v>
      </c>
      <c r="E3221" s="293">
        <v>9729.1460690000004</v>
      </c>
      <c r="F3221" s="294" t="s">
        <v>2210</v>
      </c>
    </row>
    <row r="3222" spans="1:6" hidden="1" outlineLevel="1" collapsed="1" x14ac:dyDescent="0.25">
      <c r="A3222" s="321" t="s">
        <v>282</v>
      </c>
      <c r="B3222" s="321" t="s">
        <v>358</v>
      </c>
      <c r="C3222" s="293">
        <v>49991.88</v>
      </c>
      <c r="D3222" s="293">
        <v>51596.915999999997</v>
      </c>
      <c r="E3222" s="293">
        <v>1605.0360000000001</v>
      </c>
      <c r="F3222" s="294" t="s">
        <v>359</v>
      </c>
    </row>
    <row r="3223" spans="1:6" hidden="1" outlineLevel="1" collapsed="1" x14ac:dyDescent="0.25">
      <c r="A3223" s="321" t="s">
        <v>282</v>
      </c>
      <c r="B3223" s="321" t="s">
        <v>380</v>
      </c>
      <c r="C3223" s="293">
        <v>49948.888076000003</v>
      </c>
      <c r="D3223" s="293">
        <v>54033.521181999997</v>
      </c>
      <c r="E3223" s="293">
        <v>4084.6331060000002</v>
      </c>
      <c r="F3223" s="294" t="s">
        <v>1389</v>
      </c>
    </row>
    <row r="3224" spans="1:6" hidden="1" outlineLevel="1" collapsed="1" x14ac:dyDescent="0.25">
      <c r="A3224" s="321" t="s">
        <v>282</v>
      </c>
      <c r="B3224" s="321" t="s">
        <v>360</v>
      </c>
      <c r="C3224" s="293">
        <v>6523.9403400000001</v>
      </c>
      <c r="D3224" s="293">
        <v>7445.4349750000001</v>
      </c>
      <c r="E3224" s="293">
        <v>921.49463500000002</v>
      </c>
      <c r="F3224" s="294" t="s">
        <v>701</v>
      </c>
    </row>
    <row r="3225" spans="1:6" hidden="1" outlineLevel="1" collapsed="1" x14ac:dyDescent="0.25">
      <c r="A3225" s="321" t="s">
        <v>282</v>
      </c>
      <c r="B3225" s="321" t="s">
        <v>384</v>
      </c>
      <c r="C3225" s="293">
        <v>6283.5701159999999</v>
      </c>
      <c r="D3225" s="293">
        <v>0</v>
      </c>
      <c r="E3225" s="293">
        <v>-6283.5701159999999</v>
      </c>
      <c r="F3225" s="294" t="s">
        <v>286</v>
      </c>
    </row>
    <row r="3226" spans="1:6" hidden="1" outlineLevel="1" collapsed="1" x14ac:dyDescent="0.25">
      <c r="A3226" s="321" t="s">
        <v>282</v>
      </c>
      <c r="B3226" s="321" t="s">
        <v>385</v>
      </c>
      <c r="C3226" s="293">
        <v>0</v>
      </c>
      <c r="D3226" s="293">
        <v>8391.9461640000009</v>
      </c>
      <c r="E3226" s="293">
        <v>8391.9461640000009</v>
      </c>
      <c r="F3226" s="294" t="s">
        <v>298</v>
      </c>
    </row>
    <row r="3227" spans="1:6" hidden="1" outlineLevel="1" collapsed="1" x14ac:dyDescent="0.25">
      <c r="A3227" s="321" t="s">
        <v>282</v>
      </c>
      <c r="B3227" s="321" t="s">
        <v>386</v>
      </c>
      <c r="C3227" s="293">
        <v>3096.8310580000002</v>
      </c>
      <c r="D3227" s="293">
        <v>0</v>
      </c>
      <c r="E3227" s="293">
        <v>-3096.8310580000002</v>
      </c>
      <c r="F3227" s="294" t="s">
        <v>286</v>
      </c>
    </row>
    <row r="3228" spans="1:6" hidden="1" outlineLevel="1" collapsed="1" x14ac:dyDescent="0.25">
      <c r="A3228" s="321" t="s">
        <v>282</v>
      </c>
      <c r="B3228" s="321" t="s">
        <v>387</v>
      </c>
      <c r="C3228" s="293">
        <v>0</v>
      </c>
      <c r="D3228" s="293">
        <v>3350.0783110000002</v>
      </c>
      <c r="E3228" s="293">
        <v>3350.0783110000002</v>
      </c>
      <c r="F3228" s="294" t="s">
        <v>298</v>
      </c>
    </row>
    <row r="3229" spans="1:6" hidden="1" outlineLevel="1" collapsed="1" x14ac:dyDescent="0.25">
      <c r="A3229" s="321" t="s">
        <v>282</v>
      </c>
      <c r="B3229" s="321" t="s">
        <v>362</v>
      </c>
      <c r="C3229" s="293">
        <v>724.88225999999997</v>
      </c>
      <c r="D3229" s="293">
        <v>748.15527999999995</v>
      </c>
      <c r="E3229" s="293">
        <v>23.273019999999999</v>
      </c>
      <c r="F3229" s="294" t="s">
        <v>359</v>
      </c>
    </row>
    <row r="3230" spans="1:6" hidden="1" outlineLevel="1" collapsed="1" x14ac:dyDescent="0.25">
      <c r="A3230" s="321" t="s">
        <v>282</v>
      </c>
      <c r="B3230" s="321" t="s">
        <v>388</v>
      </c>
      <c r="C3230" s="293">
        <v>724.258872</v>
      </c>
      <c r="D3230" s="293">
        <v>783.48604799999998</v>
      </c>
      <c r="E3230" s="293">
        <v>59.227176</v>
      </c>
      <c r="F3230" s="294" t="s">
        <v>1389</v>
      </c>
    </row>
    <row r="3231" spans="1:6" hidden="1" outlineLevel="1" collapsed="1" x14ac:dyDescent="0.25">
      <c r="A3231" s="321" t="s">
        <v>282</v>
      </c>
      <c r="B3231" s="321" t="s">
        <v>363</v>
      </c>
      <c r="C3231" s="293">
        <v>213.0624</v>
      </c>
      <c r="D3231" s="293">
        <v>211.02</v>
      </c>
      <c r="E3231" s="293">
        <v>-2.0424000000000002</v>
      </c>
      <c r="F3231" s="294" t="s">
        <v>364</v>
      </c>
    </row>
    <row r="3232" spans="1:6" hidden="1" outlineLevel="1" collapsed="1" x14ac:dyDescent="0.25">
      <c r="A3232" s="321" t="s">
        <v>282</v>
      </c>
      <c r="B3232" s="321" t="s">
        <v>365</v>
      </c>
      <c r="C3232" s="293">
        <v>7679.28</v>
      </c>
      <c r="D3232" s="293">
        <v>7979.64</v>
      </c>
      <c r="E3232" s="293">
        <v>300.36</v>
      </c>
      <c r="F3232" s="294" t="s">
        <v>366</v>
      </c>
    </row>
    <row r="3233" spans="1:6" hidden="1" outlineLevel="1" collapsed="1" x14ac:dyDescent="0.25">
      <c r="A3233" s="321" t="s">
        <v>282</v>
      </c>
      <c r="B3233" s="321" t="s">
        <v>367</v>
      </c>
      <c r="C3233" s="293">
        <v>116.7696</v>
      </c>
      <c r="D3233" s="293">
        <v>91.44</v>
      </c>
      <c r="E3233" s="293">
        <v>-25.329599999999999</v>
      </c>
      <c r="F3233" s="294" t="s">
        <v>368</v>
      </c>
    </row>
    <row r="3234" spans="1:6" hidden="1" outlineLevel="1" collapsed="1" x14ac:dyDescent="0.25">
      <c r="A3234" s="321" t="s">
        <v>282</v>
      </c>
      <c r="B3234" s="321" t="s">
        <v>389</v>
      </c>
      <c r="C3234" s="293">
        <v>426.12479999999999</v>
      </c>
      <c r="D3234" s="293">
        <v>422.04</v>
      </c>
      <c r="E3234" s="293">
        <v>-4.0848000000000004</v>
      </c>
      <c r="F3234" s="294" t="s">
        <v>364</v>
      </c>
    </row>
    <row r="3235" spans="1:6" hidden="1" outlineLevel="1" collapsed="1" x14ac:dyDescent="0.25">
      <c r="A3235" s="321" t="s">
        <v>282</v>
      </c>
      <c r="B3235" s="321" t="s">
        <v>390</v>
      </c>
      <c r="C3235" s="293">
        <v>15485.27</v>
      </c>
      <c r="D3235" s="293">
        <v>15959.28</v>
      </c>
      <c r="E3235" s="293">
        <v>474.01</v>
      </c>
      <c r="F3235" s="294" t="s">
        <v>391</v>
      </c>
    </row>
    <row r="3236" spans="1:6" hidden="1" outlineLevel="1" collapsed="1" x14ac:dyDescent="0.25">
      <c r="A3236" s="321" t="s">
        <v>282</v>
      </c>
      <c r="B3236" s="321" t="s">
        <v>392</v>
      </c>
      <c r="C3236" s="293">
        <v>233.53919999999999</v>
      </c>
      <c r="D3236" s="293">
        <v>182.88</v>
      </c>
      <c r="E3236" s="293">
        <v>-50.659199999999998</v>
      </c>
      <c r="F3236" s="294" t="s">
        <v>368</v>
      </c>
    </row>
    <row r="3237" spans="1:6" hidden="1" outlineLevel="1" collapsed="1" x14ac:dyDescent="0.25">
      <c r="A3237" s="321" t="s">
        <v>282</v>
      </c>
      <c r="B3237" s="321" t="s">
        <v>369</v>
      </c>
      <c r="C3237" s="293">
        <v>24.995940000000001</v>
      </c>
      <c r="D3237" s="293">
        <v>25.798455000000001</v>
      </c>
      <c r="E3237" s="293">
        <v>0.80251499999999998</v>
      </c>
      <c r="F3237" s="294" t="s">
        <v>359</v>
      </c>
    </row>
    <row r="3238" spans="1:6" hidden="1" outlineLevel="1" collapsed="1" x14ac:dyDescent="0.25">
      <c r="A3238" s="321" t="s">
        <v>282</v>
      </c>
      <c r="B3238" s="321" t="s">
        <v>393</v>
      </c>
      <c r="C3238" s="293">
        <v>24.974437000000002</v>
      </c>
      <c r="D3238" s="293">
        <v>27.016753000000001</v>
      </c>
      <c r="E3238" s="293">
        <v>2.042316</v>
      </c>
      <c r="F3238" s="294" t="s">
        <v>1389</v>
      </c>
    </row>
    <row r="3239" spans="1:6" hidden="1" outlineLevel="1" collapsed="1" x14ac:dyDescent="0.25">
      <c r="A3239" s="321" t="s">
        <v>282</v>
      </c>
      <c r="B3239" s="321" t="s">
        <v>370</v>
      </c>
      <c r="C3239" s="293">
        <v>750</v>
      </c>
      <c r="D3239" s="293">
        <v>750</v>
      </c>
      <c r="E3239" s="293">
        <v>0</v>
      </c>
      <c r="F3239" s="294" t="s">
        <v>316</v>
      </c>
    </row>
    <row r="3240" spans="1:6" hidden="1" outlineLevel="1" collapsed="1" x14ac:dyDescent="0.25">
      <c r="A3240" s="321" t="s">
        <v>282</v>
      </c>
      <c r="B3240" s="321" t="s">
        <v>394</v>
      </c>
      <c r="C3240" s="293">
        <v>1500</v>
      </c>
      <c r="D3240" s="293">
        <v>0</v>
      </c>
      <c r="E3240" s="293">
        <v>-1500</v>
      </c>
      <c r="F3240" s="294" t="s">
        <v>286</v>
      </c>
    </row>
    <row r="3241" spans="1:6" hidden="1" outlineLevel="1" collapsed="1" x14ac:dyDescent="0.25">
      <c r="A3241" s="321" t="s">
        <v>282</v>
      </c>
      <c r="B3241" s="321" t="s">
        <v>395</v>
      </c>
      <c r="C3241" s="293">
        <v>0</v>
      </c>
      <c r="D3241" s="293">
        <v>1500</v>
      </c>
      <c r="E3241" s="293">
        <v>1500</v>
      </c>
      <c r="F3241" s="294" t="s">
        <v>298</v>
      </c>
    </row>
    <row r="3242" spans="1:6" hidden="1" outlineLevel="1" collapsed="1" x14ac:dyDescent="0.25">
      <c r="A3242" s="321" t="s">
        <v>282</v>
      </c>
      <c r="B3242" s="321" t="s">
        <v>371</v>
      </c>
      <c r="C3242" s="293">
        <v>24.84</v>
      </c>
      <c r="D3242" s="293">
        <v>24.24</v>
      </c>
      <c r="E3242" s="293">
        <v>-0.6</v>
      </c>
      <c r="F3242" s="294" t="s">
        <v>372</v>
      </c>
    </row>
    <row r="3243" spans="1:6" hidden="1" outlineLevel="1" collapsed="1" x14ac:dyDescent="0.25">
      <c r="A3243" s="321" t="s">
        <v>282</v>
      </c>
      <c r="B3243" s="321" t="s">
        <v>396</v>
      </c>
      <c r="C3243" s="293">
        <v>49.68</v>
      </c>
      <c r="D3243" s="293">
        <v>0</v>
      </c>
      <c r="E3243" s="293">
        <v>-49.68</v>
      </c>
      <c r="F3243" s="294" t="s">
        <v>286</v>
      </c>
    </row>
    <row r="3244" spans="1:6" hidden="1" outlineLevel="1" collapsed="1" x14ac:dyDescent="0.25">
      <c r="A3244" s="321" t="s">
        <v>282</v>
      </c>
      <c r="B3244" s="321" t="s">
        <v>397</v>
      </c>
      <c r="C3244" s="293">
        <v>0</v>
      </c>
      <c r="D3244" s="293">
        <v>48.48</v>
      </c>
      <c r="E3244" s="293">
        <v>48.48</v>
      </c>
      <c r="F3244" s="294" t="s">
        <v>298</v>
      </c>
    </row>
    <row r="3245" spans="1:6" hidden="1" outlineLevel="1" collapsed="1" x14ac:dyDescent="0.25">
      <c r="A3245" s="321" t="s">
        <v>282</v>
      </c>
      <c r="B3245" s="321" t="s">
        <v>373</v>
      </c>
      <c r="C3245" s="293">
        <v>12</v>
      </c>
      <c r="D3245" s="293">
        <v>5.52</v>
      </c>
      <c r="E3245" s="293">
        <v>-6.48</v>
      </c>
      <c r="F3245" s="294" t="s">
        <v>374</v>
      </c>
    </row>
    <row r="3246" spans="1:6" hidden="1" outlineLevel="1" collapsed="1" x14ac:dyDescent="0.25">
      <c r="A3246" s="321" t="s">
        <v>282</v>
      </c>
      <c r="B3246" s="321" t="s">
        <v>398</v>
      </c>
      <c r="C3246" s="293">
        <v>24</v>
      </c>
      <c r="D3246" s="293">
        <v>11.04</v>
      </c>
      <c r="E3246" s="293">
        <v>-12.96</v>
      </c>
      <c r="F3246" s="294" t="s">
        <v>374</v>
      </c>
    </row>
    <row r="3247" spans="1:6" hidden="1" outlineLevel="1" collapsed="1" x14ac:dyDescent="0.25">
      <c r="A3247" s="321" t="s">
        <v>282</v>
      </c>
      <c r="B3247" s="321" t="s">
        <v>375</v>
      </c>
      <c r="C3247" s="293">
        <v>3050</v>
      </c>
      <c r="D3247" s="293">
        <v>3050</v>
      </c>
      <c r="E3247" s="293">
        <v>0</v>
      </c>
      <c r="F3247" s="294" t="s">
        <v>316</v>
      </c>
    </row>
    <row r="3248" spans="1:6" collapsed="1" x14ac:dyDescent="0.25">
      <c r="A3248" s="560" t="s">
        <v>1390</v>
      </c>
      <c r="B3248" s="561"/>
      <c r="C3248" s="292">
        <v>457179.62013599998</v>
      </c>
      <c r="D3248" s="293">
        <v>475948.91251599998</v>
      </c>
      <c r="E3248" s="293">
        <v>18769.292379999999</v>
      </c>
      <c r="F3248" s="294" t="s">
        <v>2211</v>
      </c>
    </row>
    <row r="3249" spans="1:6" hidden="1" outlineLevel="1" collapsed="1" x14ac:dyDescent="0.25">
      <c r="A3249" s="321" t="s">
        <v>282</v>
      </c>
      <c r="B3249" s="321" t="s">
        <v>358</v>
      </c>
      <c r="C3249" s="293">
        <v>278654.64</v>
      </c>
      <c r="D3249" s="293">
        <v>286643.14559999999</v>
      </c>
      <c r="E3249" s="293">
        <v>7988.5056000000004</v>
      </c>
      <c r="F3249" s="294" t="s">
        <v>1392</v>
      </c>
    </row>
    <row r="3250" spans="1:6" hidden="1" outlineLevel="1" collapsed="1" x14ac:dyDescent="0.25">
      <c r="A3250" s="321" t="s">
        <v>282</v>
      </c>
      <c r="B3250" s="321" t="s">
        <v>380</v>
      </c>
      <c r="C3250" s="293">
        <v>52657.469268000001</v>
      </c>
      <c r="D3250" s="293">
        <v>54249.039515999997</v>
      </c>
      <c r="E3250" s="293">
        <v>1591.570248</v>
      </c>
      <c r="F3250" s="294" t="s">
        <v>520</v>
      </c>
    </row>
    <row r="3251" spans="1:6" hidden="1" outlineLevel="1" collapsed="1" x14ac:dyDescent="0.25">
      <c r="A3251" s="321" t="s">
        <v>282</v>
      </c>
      <c r="B3251" s="321" t="s">
        <v>360</v>
      </c>
      <c r="C3251" s="293">
        <v>36364.430520000002</v>
      </c>
      <c r="D3251" s="293">
        <v>41362.605900000002</v>
      </c>
      <c r="E3251" s="293">
        <v>4998.1753799999997</v>
      </c>
      <c r="F3251" s="294" t="s">
        <v>1393</v>
      </c>
    </row>
    <row r="3252" spans="1:6" hidden="1" outlineLevel="1" collapsed="1" x14ac:dyDescent="0.25">
      <c r="A3252" s="321" t="s">
        <v>282</v>
      </c>
      <c r="B3252" s="321" t="s">
        <v>384</v>
      </c>
      <c r="C3252" s="293">
        <v>6624.3096240000004</v>
      </c>
      <c r="D3252" s="293">
        <v>0</v>
      </c>
      <c r="E3252" s="293">
        <v>-6624.3096240000004</v>
      </c>
      <c r="F3252" s="294" t="s">
        <v>286</v>
      </c>
    </row>
    <row r="3253" spans="1:6" hidden="1" outlineLevel="1" collapsed="1" x14ac:dyDescent="0.25">
      <c r="A3253" s="321" t="s">
        <v>282</v>
      </c>
      <c r="B3253" s="321" t="s">
        <v>385</v>
      </c>
      <c r="C3253" s="293">
        <v>0</v>
      </c>
      <c r="D3253" s="293">
        <v>8425.4183159999993</v>
      </c>
      <c r="E3253" s="293">
        <v>8425.4183159999993</v>
      </c>
      <c r="F3253" s="294" t="s">
        <v>298</v>
      </c>
    </row>
    <row r="3254" spans="1:6" hidden="1" outlineLevel="1" collapsed="1" x14ac:dyDescent="0.25">
      <c r="A3254" s="321" t="s">
        <v>282</v>
      </c>
      <c r="B3254" s="321" t="s">
        <v>386</v>
      </c>
      <c r="C3254" s="293">
        <v>3264.7630920000001</v>
      </c>
      <c r="D3254" s="293">
        <v>0</v>
      </c>
      <c r="E3254" s="293">
        <v>-3264.7630920000001</v>
      </c>
      <c r="F3254" s="294" t="s">
        <v>286</v>
      </c>
    </row>
    <row r="3255" spans="1:6" hidden="1" outlineLevel="1" collapsed="1" x14ac:dyDescent="0.25">
      <c r="A3255" s="321" t="s">
        <v>282</v>
      </c>
      <c r="B3255" s="321" t="s">
        <v>387</v>
      </c>
      <c r="C3255" s="293">
        <v>0</v>
      </c>
      <c r="D3255" s="293">
        <v>3363.4404479999998</v>
      </c>
      <c r="E3255" s="293">
        <v>3363.4404479999998</v>
      </c>
      <c r="F3255" s="294" t="s">
        <v>298</v>
      </c>
    </row>
    <row r="3256" spans="1:6" hidden="1" outlineLevel="1" collapsed="1" x14ac:dyDescent="0.25">
      <c r="A3256" s="321" t="s">
        <v>282</v>
      </c>
      <c r="B3256" s="321" t="s">
        <v>362</v>
      </c>
      <c r="C3256" s="293">
        <v>4040.4922799999999</v>
      </c>
      <c r="D3256" s="293">
        <v>4156.3256000000001</v>
      </c>
      <c r="E3256" s="293">
        <v>115.83332</v>
      </c>
      <c r="F3256" s="294" t="s">
        <v>1392</v>
      </c>
    </row>
    <row r="3257" spans="1:6" hidden="1" outlineLevel="1" collapsed="1" x14ac:dyDescent="0.25">
      <c r="A3257" s="321" t="s">
        <v>282</v>
      </c>
      <c r="B3257" s="321" t="s">
        <v>388</v>
      </c>
      <c r="C3257" s="293">
        <v>763.53330000000005</v>
      </c>
      <c r="D3257" s="293">
        <v>786.61106400000006</v>
      </c>
      <c r="E3257" s="293">
        <v>23.077763999999998</v>
      </c>
      <c r="F3257" s="294" t="s">
        <v>520</v>
      </c>
    </row>
    <row r="3258" spans="1:6" hidden="1" outlineLevel="1" collapsed="1" x14ac:dyDescent="0.25">
      <c r="A3258" s="321" t="s">
        <v>282</v>
      </c>
      <c r="B3258" s="321" t="s">
        <v>363</v>
      </c>
      <c r="C3258" s="293">
        <v>1278.3743999999999</v>
      </c>
      <c r="D3258" s="293">
        <v>1266.1199999999999</v>
      </c>
      <c r="E3258" s="293">
        <v>-12.2544</v>
      </c>
      <c r="F3258" s="294" t="s">
        <v>364</v>
      </c>
    </row>
    <row r="3259" spans="1:6" hidden="1" outlineLevel="1" collapsed="1" x14ac:dyDescent="0.25">
      <c r="A3259" s="321" t="s">
        <v>282</v>
      </c>
      <c r="B3259" s="321" t="s">
        <v>365</v>
      </c>
      <c r="C3259" s="293">
        <v>46275.68</v>
      </c>
      <c r="D3259" s="293">
        <v>47877.84</v>
      </c>
      <c r="E3259" s="293">
        <v>1602.16</v>
      </c>
      <c r="F3259" s="294" t="s">
        <v>463</v>
      </c>
    </row>
    <row r="3260" spans="1:6" hidden="1" outlineLevel="1" collapsed="1" x14ac:dyDescent="0.25">
      <c r="A3260" s="321" t="s">
        <v>282</v>
      </c>
      <c r="B3260" s="321" t="s">
        <v>367</v>
      </c>
      <c r="C3260" s="293">
        <v>700.61760000000004</v>
      </c>
      <c r="D3260" s="293">
        <v>548.64</v>
      </c>
      <c r="E3260" s="293">
        <v>-151.9776</v>
      </c>
      <c r="F3260" s="294" t="s">
        <v>368</v>
      </c>
    </row>
    <row r="3261" spans="1:6" hidden="1" outlineLevel="1" collapsed="1" x14ac:dyDescent="0.25">
      <c r="A3261" s="321" t="s">
        <v>282</v>
      </c>
      <c r="B3261" s="321" t="s">
        <v>389</v>
      </c>
      <c r="C3261" s="293">
        <v>426.12479999999999</v>
      </c>
      <c r="D3261" s="293">
        <v>422.04</v>
      </c>
      <c r="E3261" s="293">
        <v>-4.0848000000000004</v>
      </c>
      <c r="F3261" s="294" t="s">
        <v>364</v>
      </c>
    </row>
    <row r="3262" spans="1:6" hidden="1" outlineLevel="1" collapsed="1" x14ac:dyDescent="0.25">
      <c r="A3262" s="321" t="s">
        <v>282</v>
      </c>
      <c r="B3262" s="321" t="s">
        <v>390</v>
      </c>
      <c r="C3262" s="293">
        <v>15485.27</v>
      </c>
      <c r="D3262" s="293">
        <v>15959.28</v>
      </c>
      <c r="E3262" s="293">
        <v>474.01</v>
      </c>
      <c r="F3262" s="294" t="s">
        <v>391</v>
      </c>
    </row>
    <row r="3263" spans="1:6" hidden="1" outlineLevel="1" collapsed="1" x14ac:dyDescent="0.25">
      <c r="A3263" s="321" t="s">
        <v>282</v>
      </c>
      <c r="B3263" s="321" t="s">
        <v>392</v>
      </c>
      <c r="C3263" s="293">
        <v>233.53919999999999</v>
      </c>
      <c r="D3263" s="293">
        <v>182.88</v>
      </c>
      <c r="E3263" s="293">
        <v>-50.659199999999998</v>
      </c>
      <c r="F3263" s="294" t="s">
        <v>368</v>
      </c>
    </row>
    <row r="3264" spans="1:6" hidden="1" outlineLevel="1" collapsed="1" x14ac:dyDescent="0.25">
      <c r="A3264" s="321" t="s">
        <v>282</v>
      </c>
      <c r="B3264" s="321" t="s">
        <v>369</v>
      </c>
      <c r="C3264" s="293">
        <v>139.32731999999999</v>
      </c>
      <c r="D3264" s="293">
        <v>143.32156000000001</v>
      </c>
      <c r="E3264" s="293">
        <v>3.99424</v>
      </c>
      <c r="F3264" s="294" t="s">
        <v>1392</v>
      </c>
    </row>
    <row r="3265" spans="1:6" hidden="1" outlineLevel="1" collapsed="1" x14ac:dyDescent="0.25">
      <c r="A3265" s="321" t="s">
        <v>282</v>
      </c>
      <c r="B3265" s="321" t="s">
        <v>393</v>
      </c>
      <c r="C3265" s="293">
        <v>26.328731999999999</v>
      </c>
      <c r="D3265" s="293">
        <v>27.124511999999999</v>
      </c>
      <c r="E3265" s="293">
        <v>0.79578000000000004</v>
      </c>
      <c r="F3265" s="294" t="s">
        <v>520</v>
      </c>
    </row>
    <row r="3266" spans="1:6" hidden="1" outlineLevel="1" collapsed="1" x14ac:dyDescent="0.25">
      <c r="A3266" s="321" t="s">
        <v>282</v>
      </c>
      <c r="B3266" s="321" t="s">
        <v>370</v>
      </c>
      <c r="C3266" s="293">
        <v>4500</v>
      </c>
      <c r="D3266" s="293">
        <v>4500</v>
      </c>
      <c r="E3266" s="293">
        <v>0</v>
      </c>
      <c r="F3266" s="294" t="s">
        <v>316</v>
      </c>
    </row>
    <row r="3267" spans="1:6" hidden="1" outlineLevel="1" collapsed="1" x14ac:dyDescent="0.25">
      <c r="A3267" s="321" t="s">
        <v>282</v>
      </c>
      <c r="B3267" s="321" t="s">
        <v>394</v>
      </c>
      <c r="C3267" s="293">
        <v>1500</v>
      </c>
      <c r="D3267" s="293">
        <v>0</v>
      </c>
      <c r="E3267" s="293">
        <v>-1500</v>
      </c>
      <c r="F3267" s="294" t="s">
        <v>286</v>
      </c>
    </row>
    <row r="3268" spans="1:6" hidden="1" outlineLevel="1" collapsed="1" x14ac:dyDescent="0.25">
      <c r="A3268" s="321" t="s">
        <v>282</v>
      </c>
      <c r="B3268" s="321" t="s">
        <v>395</v>
      </c>
      <c r="C3268" s="293">
        <v>0</v>
      </c>
      <c r="D3268" s="293">
        <v>1500</v>
      </c>
      <c r="E3268" s="293">
        <v>1500</v>
      </c>
      <c r="F3268" s="294" t="s">
        <v>298</v>
      </c>
    </row>
    <row r="3269" spans="1:6" hidden="1" outlineLevel="1" collapsed="1" x14ac:dyDescent="0.25">
      <c r="A3269" s="321" t="s">
        <v>282</v>
      </c>
      <c r="B3269" s="321" t="s">
        <v>371</v>
      </c>
      <c r="C3269" s="293">
        <v>149.04</v>
      </c>
      <c r="D3269" s="293">
        <v>145.44</v>
      </c>
      <c r="E3269" s="293">
        <v>-3.6</v>
      </c>
      <c r="F3269" s="294" t="s">
        <v>372</v>
      </c>
    </row>
    <row r="3270" spans="1:6" hidden="1" outlineLevel="1" collapsed="1" x14ac:dyDescent="0.25">
      <c r="A3270" s="321" t="s">
        <v>282</v>
      </c>
      <c r="B3270" s="321" t="s">
        <v>396</v>
      </c>
      <c r="C3270" s="293">
        <v>49.68</v>
      </c>
      <c r="D3270" s="293">
        <v>0</v>
      </c>
      <c r="E3270" s="293">
        <v>-49.68</v>
      </c>
      <c r="F3270" s="294" t="s">
        <v>286</v>
      </c>
    </row>
    <row r="3271" spans="1:6" hidden="1" outlineLevel="1" collapsed="1" x14ac:dyDescent="0.25">
      <c r="A3271" s="321" t="s">
        <v>282</v>
      </c>
      <c r="B3271" s="321" t="s">
        <v>397</v>
      </c>
      <c r="C3271" s="293">
        <v>0</v>
      </c>
      <c r="D3271" s="293">
        <v>48.48</v>
      </c>
      <c r="E3271" s="293">
        <v>48.48</v>
      </c>
      <c r="F3271" s="294" t="s">
        <v>298</v>
      </c>
    </row>
    <row r="3272" spans="1:6" hidden="1" outlineLevel="1" collapsed="1" x14ac:dyDescent="0.25">
      <c r="A3272" s="321" t="s">
        <v>282</v>
      </c>
      <c r="B3272" s="321" t="s">
        <v>373</v>
      </c>
      <c r="C3272" s="293">
        <v>72</v>
      </c>
      <c r="D3272" s="293">
        <v>33.119999999999997</v>
      </c>
      <c r="E3272" s="293">
        <v>-38.880000000000003</v>
      </c>
      <c r="F3272" s="294" t="s">
        <v>374</v>
      </c>
    </row>
    <row r="3273" spans="1:6" hidden="1" outlineLevel="1" collapsed="1" x14ac:dyDescent="0.25">
      <c r="A3273" s="321" t="s">
        <v>282</v>
      </c>
      <c r="B3273" s="321" t="s">
        <v>398</v>
      </c>
      <c r="C3273" s="293">
        <v>24</v>
      </c>
      <c r="D3273" s="293">
        <v>11.04</v>
      </c>
      <c r="E3273" s="293">
        <v>-12.96</v>
      </c>
      <c r="F3273" s="294" t="s">
        <v>374</v>
      </c>
    </row>
    <row r="3274" spans="1:6" hidden="1" outlineLevel="1" collapsed="1" x14ac:dyDescent="0.25">
      <c r="A3274" s="321" t="s">
        <v>282</v>
      </c>
      <c r="B3274" s="321" t="s">
        <v>375</v>
      </c>
      <c r="C3274" s="293">
        <v>3950</v>
      </c>
      <c r="D3274" s="293">
        <v>3950</v>
      </c>
      <c r="E3274" s="293">
        <v>0</v>
      </c>
      <c r="F3274" s="294" t="s">
        <v>316</v>
      </c>
    </row>
    <row r="3275" spans="1:6" hidden="1" outlineLevel="1" collapsed="1" x14ac:dyDescent="0.25">
      <c r="A3275" s="321" t="s">
        <v>282</v>
      </c>
      <c r="B3275" s="321" t="s">
        <v>415</v>
      </c>
      <c r="C3275" s="293">
        <v>0</v>
      </c>
      <c r="D3275" s="293">
        <v>347</v>
      </c>
      <c r="E3275" s="293">
        <v>347</v>
      </c>
      <c r="F3275" s="294" t="s">
        <v>298</v>
      </c>
    </row>
    <row r="3276" spans="1:6" collapsed="1" x14ac:dyDescent="0.25">
      <c r="A3276" s="560" t="s">
        <v>1394</v>
      </c>
      <c r="B3276" s="561"/>
      <c r="C3276" s="292">
        <v>66061.650540000002</v>
      </c>
      <c r="D3276" s="293">
        <v>68878.164709999997</v>
      </c>
      <c r="E3276" s="293">
        <v>2816.5141699999999</v>
      </c>
      <c r="F3276" s="294" t="s">
        <v>1158</v>
      </c>
    </row>
    <row r="3277" spans="1:6" hidden="1" outlineLevel="1" collapsed="1" x14ac:dyDescent="0.25">
      <c r="A3277" s="321" t="s">
        <v>282</v>
      </c>
      <c r="B3277" s="321" t="s">
        <v>358</v>
      </c>
      <c r="C3277" s="293">
        <v>49991.88</v>
      </c>
      <c r="D3277" s="293">
        <v>51596.915999999997</v>
      </c>
      <c r="E3277" s="293">
        <v>1605.0360000000001</v>
      </c>
      <c r="F3277" s="294" t="s">
        <v>359</v>
      </c>
    </row>
    <row r="3278" spans="1:6" hidden="1" outlineLevel="1" collapsed="1" x14ac:dyDescent="0.25">
      <c r="A3278" s="321" t="s">
        <v>282</v>
      </c>
      <c r="B3278" s="321" t="s">
        <v>360</v>
      </c>
      <c r="C3278" s="293">
        <v>6523.9403400000001</v>
      </c>
      <c r="D3278" s="293">
        <v>7445.4349750000001</v>
      </c>
      <c r="E3278" s="293">
        <v>921.49463500000002</v>
      </c>
      <c r="F3278" s="294" t="s">
        <v>701</v>
      </c>
    </row>
    <row r="3279" spans="1:6" hidden="1" outlineLevel="1" collapsed="1" x14ac:dyDescent="0.25">
      <c r="A3279" s="321" t="s">
        <v>282</v>
      </c>
      <c r="B3279" s="321" t="s">
        <v>362</v>
      </c>
      <c r="C3279" s="293">
        <v>724.88225999999997</v>
      </c>
      <c r="D3279" s="293">
        <v>748.15527999999995</v>
      </c>
      <c r="E3279" s="293">
        <v>23.273019999999999</v>
      </c>
      <c r="F3279" s="294" t="s">
        <v>359</v>
      </c>
    </row>
    <row r="3280" spans="1:6" hidden="1" outlineLevel="1" collapsed="1" x14ac:dyDescent="0.25">
      <c r="A3280" s="321" t="s">
        <v>282</v>
      </c>
      <c r="B3280" s="321" t="s">
        <v>363</v>
      </c>
      <c r="C3280" s="293">
        <v>213.0624</v>
      </c>
      <c r="D3280" s="293">
        <v>211.02</v>
      </c>
      <c r="E3280" s="293">
        <v>-2.0424000000000002</v>
      </c>
      <c r="F3280" s="294" t="s">
        <v>364</v>
      </c>
    </row>
    <row r="3281" spans="1:6" hidden="1" outlineLevel="1" collapsed="1" x14ac:dyDescent="0.25">
      <c r="A3281" s="321" t="s">
        <v>282</v>
      </c>
      <c r="B3281" s="321" t="s">
        <v>365</v>
      </c>
      <c r="C3281" s="293">
        <v>7679.28</v>
      </c>
      <c r="D3281" s="293">
        <v>7979.64</v>
      </c>
      <c r="E3281" s="293">
        <v>300.36</v>
      </c>
      <c r="F3281" s="294" t="s">
        <v>366</v>
      </c>
    </row>
    <row r="3282" spans="1:6" hidden="1" outlineLevel="1" collapsed="1" x14ac:dyDescent="0.25">
      <c r="A3282" s="321" t="s">
        <v>282</v>
      </c>
      <c r="B3282" s="321" t="s">
        <v>367</v>
      </c>
      <c r="C3282" s="293">
        <v>116.7696</v>
      </c>
      <c r="D3282" s="293">
        <v>91.44</v>
      </c>
      <c r="E3282" s="293">
        <v>-25.329599999999999</v>
      </c>
      <c r="F3282" s="294" t="s">
        <v>368</v>
      </c>
    </row>
    <row r="3283" spans="1:6" hidden="1" outlineLevel="1" collapsed="1" x14ac:dyDescent="0.25">
      <c r="A3283" s="321" t="s">
        <v>282</v>
      </c>
      <c r="B3283" s="321" t="s">
        <v>369</v>
      </c>
      <c r="C3283" s="293">
        <v>24.995940000000001</v>
      </c>
      <c r="D3283" s="293">
        <v>25.798455000000001</v>
      </c>
      <c r="E3283" s="293">
        <v>0.80251499999999998</v>
      </c>
      <c r="F3283" s="294" t="s">
        <v>359</v>
      </c>
    </row>
    <row r="3284" spans="1:6" hidden="1" outlineLevel="1" collapsed="1" x14ac:dyDescent="0.25">
      <c r="A3284" s="321" t="s">
        <v>282</v>
      </c>
      <c r="B3284" s="321" t="s">
        <v>370</v>
      </c>
      <c r="C3284" s="293">
        <v>750</v>
      </c>
      <c r="D3284" s="293">
        <v>750</v>
      </c>
      <c r="E3284" s="293">
        <v>0</v>
      </c>
      <c r="F3284" s="294" t="s">
        <v>316</v>
      </c>
    </row>
    <row r="3285" spans="1:6" hidden="1" outlineLevel="1" collapsed="1" x14ac:dyDescent="0.25">
      <c r="A3285" s="321" t="s">
        <v>282</v>
      </c>
      <c r="B3285" s="321" t="s">
        <v>371</v>
      </c>
      <c r="C3285" s="293">
        <v>24.84</v>
      </c>
      <c r="D3285" s="293">
        <v>24.24</v>
      </c>
      <c r="E3285" s="293">
        <v>-0.6</v>
      </c>
      <c r="F3285" s="294" t="s">
        <v>372</v>
      </c>
    </row>
    <row r="3286" spans="1:6" hidden="1" outlineLevel="1" collapsed="1" x14ac:dyDescent="0.25">
      <c r="A3286" s="321" t="s">
        <v>282</v>
      </c>
      <c r="B3286" s="321" t="s">
        <v>373</v>
      </c>
      <c r="C3286" s="293">
        <v>12</v>
      </c>
      <c r="D3286" s="293">
        <v>5.52</v>
      </c>
      <c r="E3286" s="293">
        <v>-6.48</v>
      </c>
      <c r="F3286" s="294" t="s">
        <v>374</v>
      </c>
    </row>
    <row r="3287" spans="1:6" collapsed="1" x14ac:dyDescent="0.25">
      <c r="A3287" s="560" t="s">
        <v>1395</v>
      </c>
      <c r="B3287" s="561"/>
      <c r="C3287" s="292">
        <v>96180.088428000003</v>
      </c>
      <c r="D3287" s="293">
        <v>95800.471445000003</v>
      </c>
      <c r="E3287" s="293">
        <v>-379.616983</v>
      </c>
      <c r="F3287" s="294" t="s">
        <v>1396</v>
      </c>
    </row>
    <row r="3288" spans="1:6" hidden="1" outlineLevel="1" collapsed="1" x14ac:dyDescent="0.25">
      <c r="A3288" s="321" t="s">
        <v>282</v>
      </c>
      <c r="B3288" s="321" t="s">
        <v>358</v>
      </c>
      <c r="C3288" s="293">
        <v>50076.84</v>
      </c>
      <c r="D3288" s="293">
        <v>51683.150399999999</v>
      </c>
      <c r="E3288" s="293">
        <v>1606.3104000000001</v>
      </c>
      <c r="F3288" s="294" t="s">
        <v>359</v>
      </c>
    </row>
    <row r="3289" spans="1:6" hidden="1" outlineLevel="1" collapsed="1" x14ac:dyDescent="0.25">
      <c r="A3289" s="321" t="s">
        <v>282</v>
      </c>
      <c r="B3289" s="321" t="s">
        <v>380</v>
      </c>
      <c r="C3289" s="293">
        <v>21793.913653</v>
      </c>
      <c r="D3289" s="293">
        <v>19561.775428000001</v>
      </c>
      <c r="E3289" s="293">
        <v>-2232.1382250000001</v>
      </c>
      <c r="F3289" s="294" t="s">
        <v>1397</v>
      </c>
    </row>
    <row r="3290" spans="1:6" hidden="1" outlineLevel="1" collapsed="1" x14ac:dyDescent="0.25">
      <c r="A3290" s="321" t="s">
        <v>282</v>
      </c>
      <c r="B3290" s="321" t="s">
        <v>360</v>
      </c>
      <c r="C3290" s="293">
        <v>6535.0276199999998</v>
      </c>
      <c r="D3290" s="293">
        <v>7457.8786</v>
      </c>
      <c r="E3290" s="293">
        <v>922.85098000000005</v>
      </c>
      <c r="F3290" s="294" t="s">
        <v>701</v>
      </c>
    </row>
    <row r="3291" spans="1:6" hidden="1" outlineLevel="1" collapsed="1" x14ac:dyDescent="0.25">
      <c r="A3291" s="321" t="s">
        <v>282</v>
      </c>
      <c r="B3291" s="321" t="s">
        <v>386</v>
      </c>
      <c r="C3291" s="293">
        <v>1120.961769</v>
      </c>
      <c r="D3291" s="293">
        <v>0</v>
      </c>
      <c r="E3291" s="293">
        <v>-1120.961769</v>
      </c>
      <c r="F3291" s="294" t="s">
        <v>286</v>
      </c>
    </row>
    <row r="3292" spans="1:6" hidden="1" outlineLevel="1" collapsed="1" x14ac:dyDescent="0.25">
      <c r="A3292" s="321" t="s">
        <v>282</v>
      </c>
      <c r="B3292" s="321" t="s">
        <v>387</v>
      </c>
      <c r="C3292" s="293">
        <v>0</v>
      </c>
      <c r="D3292" s="293">
        <v>1212.8300670000001</v>
      </c>
      <c r="E3292" s="293">
        <v>1212.8300670000001</v>
      </c>
      <c r="F3292" s="294" t="s">
        <v>298</v>
      </c>
    </row>
    <row r="3293" spans="1:6" hidden="1" outlineLevel="1" collapsed="1" x14ac:dyDescent="0.25">
      <c r="A3293" s="321" t="s">
        <v>282</v>
      </c>
      <c r="B3293" s="321" t="s">
        <v>362</v>
      </c>
      <c r="C3293" s="293">
        <v>726.11418000000003</v>
      </c>
      <c r="D3293" s="293">
        <v>749.40567999999996</v>
      </c>
      <c r="E3293" s="293">
        <v>23.291499999999999</v>
      </c>
      <c r="F3293" s="294" t="s">
        <v>359</v>
      </c>
    </row>
    <row r="3294" spans="1:6" hidden="1" outlineLevel="1" collapsed="1" x14ac:dyDescent="0.25">
      <c r="A3294" s="321" t="s">
        <v>282</v>
      </c>
      <c r="B3294" s="321" t="s">
        <v>388</v>
      </c>
      <c r="C3294" s="293">
        <v>262.16041100000001</v>
      </c>
      <c r="D3294" s="293">
        <v>283.64573899999999</v>
      </c>
      <c r="E3294" s="293">
        <v>21.485327999999999</v>
      </c>
      <c r="F3294" s="294" t="s">
        <v>1398</v>
      </c>
    </row>
    <row r="3295" spans="1:6" hidden="1" outlineLevel="1" collapsed="1" x14ac:dyDescent="0.25">
      <c r="A3295" s="321" t="s">
        <v>282</v>
      </c>
      <c r="B3295" s="321" t="s">
        <v>480</v>
      </c>
      <c r="C3295" s="293">
        <v>235.040369</v>
      </c>
      <c r="D3295" s="293">
        <v>254.30307400000001</v>
      </c>
      <c r="E3295" s="293">
        <v>19.262705</v>
      </c>
      <c r="F3295" s="294" t="s">
        <v>1398</v>
      </c>
    </row>
    <row r="3296" spans="1:6" hidden="1" outlineLevel="1" collapsed="1" x14ac:dyDescent="0.25">
      <c r="A3296" s="321" t="s">
        <v>282</v>
      </c>
      <c r="B3296" s="321" t="s">
        <v>363</v>
      </c>
      <c r="C3296" s="293">
        <v>213.0624</v>
      </c>
      <c r="D3296" s="293">
        <v>211.02</v>
      </c>
      <c r="E3296" s="293">
        <v>-2.0424000000000002</v>
      </c>
      <c r="F3296" s="294" t="s">
        <v>364</v>
      </c>
    </row>
    <row r="3297" spans="1:6" hidden="1" outlineLevel="1" collapsed="1" x14ac:dyDescent="0.25">
      <c r="A3297" s="321" t="s">
        <v>282</v>
      </c>
      <c r="B3297" s="321" t="s">
        <v>365</v>
      </c>
      <c r="C3297" s="293">
        <v>7679.28</v>
      </c>
      <c r="D3297" s="293">
        <v>7979.64</v>
      </c>
      <c r="E3297" s="293">
        <v>300.36</v>
      </c>
      <c r="F3297" s="294" t="s">
        <v>366</v>
      </c>
    </row>
    <row r="3298" spans="1:6" hidden="1" outlineLevel="1" collapsed="1" x14ac:dyDescent="0.25">
      <c r="A3298" s="321" t="s">
        <v>282</v>
      </c>
      <c r="B3298" s="321" t="s">
        <v>367</v>
      </c>
      <c r="C3298" s="293">
        <v>116.7696</v>
      </c>
      <c r="D3298" s="293">
        <v>91.44</v>
      </c>
      <c r="E3298" s="293">
        <v>-25.329599999999999</v>
      </c>
      <c r="F3298" s="294" t="s">
        <v>368</v>
      </c>
    </row>
    <row r="3299" spans="1:6" hidden="1" outlineLevel="1" collapsed="1" x14ac:dyDescent="0.25">
      <c r="A3299" s="321" t="s">
        <v>282</v>
      </c>
      <c r="B3299" s="321" t="s">
        <v>369</v>
      </c>
      <c r="C3299" s="293">
        <v>25.038419999999999</v>
      </c>
      <c r="D3299" s="293">
        <v>25.841574999999999</v>
      </c>
      <c r="E3299" s="293">
        <v>0.80315499999999995</v>
      </c>
      <c r="F3299" s="294" t="s">
        <v>359</v>
      </c>
    </row>
    <row r="3300" spans="1:6" hidden="1" outlineLevel="1" collapsed="1" x14ac:dyDescent="0.25">
      <c r="A3300" s="321" t="s">
        <v>282</v>
      </c>
      <c r="B3300" s="321" t="s">
        <v>393</v>
      </c>
      <c r="C3300" s="293">
        <v>9.040006</v>
      </c>
      <c r="D3300" s="293">
        <v>9.7808820000000001</v>
      </c>
      <c r="E3300" s="293">
        <v>0.74087599999999998</v>
      </c>
      <c r="F3300" s="294" t="s">
        <v>1398</v>
      </c>
    </row>
    <row r="3301" spans="1:6" hidden="1" outlineLevel="1" collapsed="1" x14ac:dyDescent="0.25">
      <c r="A3301" s="321" t="s">
        <v>282</v>
      </c>
      <c r="B3301" s="321" t="s">
        <v>370</v>
      </c>
      <c r="C3301" s="293">
        <v>750</v>
      </c>
      <c r="D3301" s="293">
        <v>750</v>
      </c>
      <c r="E3301" s="293">
        <v>0</v>
      </c>
      <c r="F3301" s="294" t="s">
        <v>316</v>
      </c>
    </row>
    <row r="3302" spans="1:6" hidden="1" outlineLevel="1" collapsed="1" x14ac:dyDescent="0.25">
      <c r="A3302" s="321" t="s">
        <v>282</v>
      </c>
      <c r="B3302" s="321" t="s">
        <v>371</v>
      </c>
      <c r="C3302" s="293">
        <v>24.84</v>
      </c>
      <c r="D3302" s="293">
        <v>24.24</v>
      </c>
      <c r="E3302" s="293">
        <v>-0.6</v>
      </c>
      <c r="F3302" s="294" t="s">
        <v>372</v>
      </c>
    </row>
    <row r="3303" spans="1:6" hidden="1" outlineLevel="1" collapsed="1" x14ac:dyDescent="0.25">
      <c r="A3303" s="321" t="s">
        <v>282</v>
      </c>
      <c r="B3303" s="321" t="s">
        <v>373</v>
      </c>
      <c r="C3303" s="293">
        <v>12</v>
      </c>
      <c r="D3303" s="293">
        <v>5.52</v>
      </c>
      <c r="E3303" s="293">
        <v>-6.48</v>
      </c>
      <c r="F3303" s="294" t="s">
        <v>374</v>
      </c>
    </row>
    <row r="3304" spans="1:6" hidden="1" outlineLevel="1" collapsed="1" x14ac:dyDescent="0.25">
      <c r="A3304" s="321" t="s">
        <v>282</v>
      </c>
      <c r="B3304" s="321" t="s">
        <v>375</v>
      </c>
      <c r="C3304" s="293">
        <v>400</v>
      </c>
      <c r="D3304" s="293">
        <v>400</v>
      </c>
      <c r="E3304" s="293">
        <v>0</v>
      </c>
      <c r="F3304" s="294" t="s">
        <v>316</v>
      </c>
    </row>
    <row r="3305" spans="1:6" hidden="1" outlineLevel="1" collapsed="1" x14ac:dyDescent="0.25">
      <c r="A3305" s="321" t="s">
        <v>282</v>
      </c>
      <c r="B3305" s="321" t="s">
        <v>482</v>
      </c>
      <c r="C3305" s="293">
        <v>1700</v>
      </c>
      <c r="D3305" s="293">
        <v>600</v>
      </c>
      <c r="E3305" s="293">
        <v>-1100</v>
      </c>
      <c r="F3305" s="294" t="s">
        <v>1399</v>
      </c>
    </row>
    <row r="3306" spans="1:6" hidden="1" outlineLevel="1" collapsed="1" x14ac:dyDescent="0.25">
      <c r="A3306" s="321" t="s">
        <v>282</v>
      </c>
      <c r="B3306" s="321" t="s">
        <v>401</v>
      </c>
      <c r="C3306" s="293">
        <v>2600</v>
      </c>
      <c r="D3306" s="293">
        <v>2800</v>
      </c>
      <c r="E3306" s="293">
        <v>200</v>
      </c>
      <c r="F3306" s="294" t="s">
        <v>1400</v>
      </c>
    </row>
    <row r="3307" spans="1:6" hidden="1" outlineLevel="1" collapsed="1" x14ac:dyDescent="0.25">
      <c r="A3307" s="321" t="s">
        <v>282</v>
      </c>
      <c r="B3307" s="321" t="s">
        <v>405</v>
      </c>
      <c r="C3307" s="293">
        <v>1900</v>
      </c>
      <c r="D3307" s="293">
        <v>1700</v>
      </c>
      <c r="E3307" s="293">
        <v>-200</v>
      </c>
      <c r="F3307" s="294" t="s">
        <v>1401</v>
      </c>
    </row>
    <row r="3308" spans="1:6" collapsed="1" x14ac:dyDescent="0.25">
      <c r="A3308" s="560" t="s">
        <v>1402</v>
      </c>
      <c r="B3308" s="561"/>
      <c r="C3308" s="292">
        <v>389008.60771200003</v>
      </c>
      <c r="D3308" s="293">
        <v>402171.87620399997</v>
      </c>
      <c r="E3308" s="293">
        <v>13163.268491999999</v>
      </c>
      <c r="F3308" s="294" t="s">
        <v>1403</v>
      </c>
    </row>
    <row r="3309" spans="1:6" hidden="1" outlineLevel="1" collapsed="1" x14ac:dyDescent="0.25">
      <c r="A3309" s="321" t="s">
        <v>282</v>
      </c>
      <c r="B3309" s="321" t="s">
        <v>358</v>
      </c>
      <c r="C3309" s="293">
        <v>299667.96799199999</v>
      </c>
      <c r="D3309" s="293">
        <v>306262.57591199997</v>
      </c>
      <c r="E3309" s="293">
        <v>6594.6079200000004</v>
      </c>
      <c r="F3309" s="294" t="s">
        <v>1404</v>
      </c>
    </row>
    <row r="3310" spans="1:6" hidden="1" outlineLevel="1" collapsed="1" x14ac:dyDescent="0.25">
      <c r="A3310" s="321" t="s">
        <v>282</v>
      </c>
      <c r="B3310" s="321" t="s">
        <v>360</v>
      </c>
      <c r="C3310" s="293">
        <v>39106.669812</v>
      </c>
      <c r="D3310" s="293">
        <v>44193.689687999999</v>
      </c>
      <c r="E3310" s="293">
        <v>5087.0198760000003</v>
      </c>
      <c r="F3310" s="294" t="s">
        <v>1405</v>
      </c>
    </row>
    <row r="3311" spans="1:6" hidden="1" outlineLevel="1" collapsed="1" x14ac:dyDescent="0.25">
      <c r="A3311" s="321" t="s">
        <v>282</v>
      </c>
      <c r="B3311" s="321" t="s">
        <v>362</v>
      </c>
      <c r="C3311" s="293">
        <v>4345.185528</v>
      </c>
      <c r="D3311" s="293">
        <v>4440.8073359999999</v>
      </c>
      <c r="E3311" s="293">
        <v>95.621808000000001</v>
      </c>
      <c r="F3311" s="294" t="s">
        <v>1404</v>
      </c>
    </row>
    <row r="3312" spans="1:6" hidden="1" outlineLevel="1" collapsed="1" x14ac:dyDescent="0.25">
      <c r="A3312" s="321" t="s">
        <v>282</v>
      </c>
      <c r="B3312" s="321" t="s">
        <v>363</v>
      </c>
      <c r="C3312" s="293">
        <v>1107.9244799999999</v>
      </c>
      <c r="D3312" s="293">
        <v>1097.3040000000001</v>
      </c>
      <c r="E3312" s="293">
        <v>-10.620480000000001</v>
      </c>
      <c r="F3312" s="294" t="s">
        <v>364</v>
      </c>
    </row>
    <row r="3313" spans="1:6" hidden="1" outlineLevel="1" collapsed="1" x14ac:dyDescent="0.25">
      <c r="A3313" s="321" t="s">
        <v>282</v>
      </c>
      <c r="B3313" s="321" t="s">
        <v>365</v>
      </c>
      <c r="C3313" s="293">
        <v>39932.256000000001</v>
      </c>
      <c r="D3313" s="293">
        <v>41494.127999999997</v>
      </c>
      <c r="E3313" s="293">
        <v>1561.8720000000001</v>
      </c>
      <c r="F3313" s="294" t="s">
        <v>366</v>
      </c>
    </row>
    <row r="3314" spans="1:6" hidden="1" outlineLevel="1" collapsed="1" x14ac:dyDescent="0.25">
      <c r="A3314" s="321" t="s">
        <v>282</v>
      </c>
      <c r="B3314" s="321" t="s">
        <v>367</v>
      </c>
      <c r="C3314" s="293">
        <v>607.20191999999997</v>
      </c>
      <c r="D3314" s="293">
        <v>475.488</v>
      </c>
      <c r="E3314" s="293">
        <v>-131.71392</v>
      </c>
      <c r="F3314" s="294" t="s">
        <v>368</v>
      </c>
    </row>
    <row r="3315" spans="1:6" hidden="1" outlineLevel="1" collapsed="1" x14ac:dyDescent="0.25">
      <c r="A3315" s="321" t="s">
        <v>282</v>
      </c>
      <c r="B3315" s="321" t="s">
        <v>369</v>
      </c>
      <c r="C3315" s="293">
        <v>149.83398</v>
      </c>
      <c r="D3315" s="293">
        <v>153.13126800000001</v>
      </c>
      <c r="E3315" s="293">
        <v>3.297288</v>
      </c>
      <c r="F3315" s="294" t="s">
        <v>1404</v>
      </c>
    </row>
    <row r="3316" spans="1:6" hidden="1" outlineLevel="1" collapsed="1" x14ac:dyDescent="0.25">
      <c r="A3316" s="321" t="s">
        <v>282</v>
      </c>
      <c r="B3316" s="321" t="s">
        <v>370</v>
      </c>
      <c r="C3316" s="293">
        <v>3900</v>
      </c>
      <c r="D3316" s="293">
        <v>3900</v>
      </c>
      <c r="E3316" s="293">
        <v>0</v>
      </c>
      <c r="F3316" s="294" t="s">
        <v>316</v>
      </c>
    </row>
    <row r="3317" spans="1:6" hidden="1" outlineLevel="1" collapsed="1" x14ac:dyDescent="0.25">
      <c r="A3317" s="321" t="s">
        <v>282</v>
      </c>
      <c r="B3317" s="321" t="s">
        <v>371</v>
      </c>
      <c r="C3317" s="293">
        <v>129.16800000000001</v>
      </c>
      <c r="D3317" s="293">
        <v>126.048</v>
      </c>
      <c r="E3317" s="293">
        <v>-3.12</v>
      </c>
      <c r="F3317" s="294" t="s">
        <v>372</v>
      </c>
    </row>
    <row r="3318" spans="1:6" hidden="1" outlineLevel="1" collapsed="1" x14ac:dyDescent="0.25">
      <c r="A3318" s="321" t="s">
        <v>282</v>
      </c>
      <c r="B3318" s="321" t="s">
        <v>373</v>
      </c>
      <c r="C3318" s="293">
        <v>62.4</v>
      </c>
      <c r="D3318" s="293">
        <v>28.704000000000001</v>
      </c>
      <c r="E3318" s="293">
        <v>-33.695999999999998</v>
      </c>
      <c r="F3318" s="294" t="s">
        <v>374</v>
      </c>
    </row>
    <row r="3319" spans="1:6" collapsed="1" x14ac:dyDescent="0.25">
      <c r="A3319" s="560" t="s">
        <v>325</v>
      </c>
      <c r="B3319" s="561"/>
      <c r="C3319" s="292">
        <v>346447.30712000001</v>
      </c>
      <c r="D3319" s="293">
        <v>363570.45624999999</v>
      </c>
      <c r="E3319" s="293">
        <v>17123.149130000002</v>
      </c>
      <c r="F3319" s="294" t="s">
        <v>1406</v>
      </c>
    </row>
    <row r="3320" spans="1:6" hidden="1" outlineLevel="1" collapsed="1" x14ac:dyDescent="0.25">
      <c r="A3320" s="321" t="s">
        <v>282</v>
      </c>
      <c r="B3320" s="321" t="s">
        <v>358</v>
      </c>
      <c r="C3320" s="293">
        <v>160772.64000000001</v>
      </c>
      <c r="D3320" s="293">
        <v>166762.9572</v>
      </c>
      <c r="E3320" s="293">
        <v>5990.3172000000004</v>
      </c>
      <c r="F3320" s="294" t="s">
        <v>1407</v>
      </c>
    </row>
    <row r="3321" spans="1:6" hidden="1" outlineLevel="1" collapsed="1" x14ac:dyDescent="0.25">
      <c r="A3321" s="321" t="s">
        <v>282</v>
      </c>
      <c r="B3321" s="321" t="s">
        <v>488</v>
      </c>
      <c r="C3321" s="293">
        <v>10500</v>
      </c>
      <c r="D3321" s="293">
        <v>10500</v>
      </c>
      <c r="E3321" s="293">
        <v>0</v>
      </c>
      <c r="F3321" s="294" t="s">
        <v>316</v>
      </c>
    </row>
    <row r="3322" spans="1:6" hidden="1" outlineLevel="1" collapsed="1" x14ac:dyDescent="0.25">
      <c r="A3322" s="321" t="s">
        <v>282</v>
      </c>
      <c r="B3322" s="321" t="s">
        <v>818</v>
      </c>
      <c r="C3322" s="293">
        <v>83295</v>
      </c>
      <c r="D3322" s="293">
        <v>83295</v>
      </c>
      <c r="E3322" s="293">
        <v>0</v>
      </c>
      <c r="F3322" s="294" t="s">
        <v>316</v>
      </c>
    </row>
    <row r="3323" spans="1:6" hidden="1" outlineLevel="1" collapsed="1" x14ac:dyDescent="0.25">
      <c r="A3323" s="321" t="s">
        <v>282</v>
      </c>
      <c r="B3323" s="321" t="s">
        <v>360</v>
      </c>
      <c r="C3323" s="293">
        <v>20980.829519999999</v>
      </c>
      <c r="D3323" s="293">
        <v>24063.89471</v>
      </c>
      <c r="E3323" s="293">
        <v>3083.0651899999998</v>
      </c>
      <c r="F3323" s="294" t="s">
        <v>1408</v>
      </c>
    </row>
    <row r="3324" spans="1:6" hidden="1" outlineLevel="1" collapsed="1" x14ac:dyDescent="0.25">
      <c r="A3324" s="321" t="s">
        <v>282</v>
      </c>
      <c r="B3324" s="321" t="s">
        <v>362</v>
      </c>
      <c r="C3324" s="293">
        <v>2331.2032800000002</v>
      </c>
      <c r="D3324" s="293">
        <v>2418.0628700000002</v>
      </c>
      <c r="E3324" s="293">
        <v>86.859589999999997</v>
      </c>
      <c r="F3324" s="294" t="s">
        <v>1407</v>
      </c>
    </row>
    <row r="3325" spans="1:6" hidden="1" outlineLevel="1" collapsed="1" x14ac:dyDescent="0.25">
      <c r="A3325" s="321" t="s">
        <v>282</v>
      </c>
      <c r="B3325" s="321" t="s">
        <v>363</v>
      </c>
      <c r="C3325" s="293">
        <v>852.24959999999999</v>
      </c>
      <c r="D3325" s="293">
        <v>844.08</v>
      </c>
      <c r="E3325" s="293">
        <v>-8.1696000000000009</v>
      </c>
      <c r="F3325" s="294" t="s">
        <v>364</v>
      </c>
    </row>
    <row r="3326" spans="1:6" hidden="1" outlineLevel="1" collapsed="1" x14ac:dyDescent="0.25">
      <c r="A3326" s="321" t="s">
        <v>282</v>
      </c>
      <c r="B3326" s="321" t="s">
        <v>365</v>
      </c>
      <c r="C3326" s="293">
        <v>15358.56</v>
      </c>
      <c r="D3326" s="293">
        <v>15959.28</v>
      </c>
      <c r="E3326" s="293">
        <v>600.72</v>
      </c>
      <c r="F3326" s="294" t="s">
        <v>366</v>
      </c>
    </row>
    <row r="3327" spans="1:6" hidden="1" outlineLevel="1" collapsed="1" x14ac:dyDescent="0.25">
      <c r="A3327" s="321" t="s">
        <v>282</v>
      </c>
      <c r="B3327" s="321" t="s">
        <v>367</v>
      </c>
      <c r="C3327" s="293">
        <v>467.07839999999999</v>
      </c>
      <c r="D3327" s="293">
        <v>365.76</v>
      </c>
      <c r="E3327" s="293">
        <v>-101.3184</v>
      </c>
      <c r="F3327" s="294" t="s">
        <v>368</v>
      </c>
    </row>
    <row r="3328" spans="1:6" hidden="1" outlineLevel="1" collapsed="1" x14ac:dyDescent="0.25">
      <c r="A3328" s="321" t="s">
        <v>282</v>
      </c>
      <c r="B3328" s="321" t="s">
        <v>444</v>
      </c>
      <c r="C3328" s="293">
        <v>945</v>
      </c>
      <c r="D3328" s="293">
        <v>8442</v>
      </c>
      <c r="E3328" s="293">
        <v>7497</v>
      </c>
      <c r="F3328" s="294" t="s">
        <v>1409</v>
      </c>
    </row>
    <row r="3329" spans="1:6" hidden="1" outlineLevel="1" collapsed="1" x14ac:dyDescent="0.25">
      <c r="A3329" s="321" t="s">
        <v>282</v>
      </c>
      <c r="B3329" s="321" t="s">
        <v>369</v>
      </c>
      <c r="C3329" s="293">
        <v>80.386319999999998</v>
      </c>
      <c r="D3329" s="293">
        <v>83.381469999999993</v>
      </c>
      <c r="E3329" s="293">
        <v>2.9951500000000002</v>
      </c>
      <c r="F3329" s="294" t="s">
        <v>1407</v>
      </c>
    </row>
    <row r="3330" spans="1:6" hidden="1" outlineLevel="1" collapsed="1" x14ac:dyDescent="0.25">
      <c r="A3330" s="321" t="s">
        <v>282</v>
      </c>
      <c r="B3330" s="321" t="s">
        <v>370</v>
      </c>
      <c r="C3330" s="293">
        <v>3000</v>
      </c>
      <c r="D3330" s="293">
        <v>3000</v>
      </c>
      <c r="E3330" s="293">
        <v>0</v>
      </c>
      <c r="F3330" s="294" t="s">
        <v>316</v>
      </c>
    </row>
    <row r="3331" spans="1:6" hidden="1" outlineLevel="1" collapsed="1" x14ac:dyDescent="0.25">
      <c r="A3331" s="321" t="s">
        <v>282</v>
      </c>
      <c r="B3331" s="321" t="s">
        <v>371</v>
      </c>
      <c r="C3331" s="293">
        <v>99.36</v>
      </c>
      <c r="D3331" s="293">
        <v>96.96</v>
      </c>
      <c r="E3331" s="293">
        <v>-2.4</v>
      </c>
      <c r="F3331" s="294" t="s">
        <v>372</v>
      </c>
    </row>
    <row r="3332" spans="1:6" hidden="1" outlineLevel="1" collapsed="1" x14ac:dyDescent="0.25">
      <c r="A3332" s="321" t="s">
        <v>282</v>
      </c>
      <c r="B3332" s="321" t="s">
        <v>373</v>
      </c>
      <c r="C3332" s="293">
        <v>48</v>
      </c>
      <c r="D3332" s="293">
        <v>22.08</v>
      </c>
      <c r="E3332" s="293">
        <v>-25.92</v>
      </c>
      <c r="F3332" s="294" t="s">
        <v>374</v>
      </c>
    </row>
    <row r="3333" spans="1:6" hidden="1" outlineLevel="1" collapsed="1" x14ac:dyDescent="0.25">
      <c r="A3333" s="321" t="s">
        <v>282</v>
      </c>
      <c r="B3333" s="321" t="s">
        <v>445</v>
      </c>
      <c r="C3333" s="293">
        <v>3000</v>
      </c>
      <c r="D3333" s="293">
        <v>3000</v>
      </c>
      <c r="E3333" s="293">
        <v>0</v>
      </c>
      <c r="F3333" s="294" t="s">
        <v>316</v>
      </c>
    </row>
    <row r="3334" spans="1:6" hidden="1" outlineLevel="1" collapsed="1" x14ac:dyDescent="0.25">
      <c r="A3334" s="321" t="s">
        <v>282</v>
      </c>
      <c r="B3334" s="321" t="s">
        <v>375</v>
      </c>
      <c r="C3334" s="293">
        <v>13040</v>
      </c>
      <c r="D3334" s="293">
        <v>10511</v>
      </c>
      <c r="E3334" s="293">
        <v>-2529</v>
      </c>
      <c r="F3334" s="294" t="s">
        <v>1410</v>
      </c>
    </row>
    <row r="3335" spans="1:6" hidden="1" outlineLevel="1" collapsed="1" x14ac:dyDescent="0.25">
      <c r="A3335" s="321" t="s">
        <v>282</v>
      </c>
      <c r="B3335" s="321" t="s">
        <v>376</v>
      </c>
      <c r="C3335" s="293">
        <v>1628</v>
      </c>
      <c r="D3335" s="293">
        <v>1172</v>
      </c>
      <c r="E3335" s="293">
        <v>-456</v>
      </c>
      <c r="F3335" s="294" t="s">
        <v>1411</v>
      </c>
    </row>
    <row r="3336" spans="1:6" hidden="1" outlineLevel="1" collapsed="1" x14ac:dyDescent="0.25">
      <c r="A3336" s="321" t="s">
        <v>282</v>
      </c>
      <c r="B3336" s="321" t="s">
        <v>482</v>
      </c>
      <c r="C3336" s="293">
        <v>269</v>
      </c>
      <c r="D3336" s="293">
        <v>1083</v>
      </c>
      <c r="E3336" s="293">
        <v>814</v>
      </c>
      <c r="F3336" s="294" t="s">
        <v>1412</v>
      </c>
    </row>
    <row r="3337" spans="1:6" hidden="1" outlineLevel="1" collapsed="1" x14ac:dyDescent="0.25">
      <c r="A3337" s="321" t="s">
        <v>282</v>
      </c>
      <c r="B3337" s="321" t="s">
        <v>597</v>
      </c>
      <c r="C3337" s="293">
        <v>150</v>
      </c>
      <c r="D3337" s="293">
        <v>151</v>
      </c>
      <c r="E3337" s="293">
        <v>1</v>
      </c>
      <c r="F3337" s="294" t="s">
        <v>1413</v>
      </c>
    </row>
    <row r="3338" spans="1:6" hidden="1" outlineLevel="1" collapsed="1" x14ac:dyDescent="0.25">
      <c r="A3338" s="321" t="s">
        <v>282</v>
      </c>
      <c r="B3338" s="321" t="s">
        <v>416</v>
      </c>
      <c r="C3338" s="293">
        <v>1</v>
      </c>
      <c r="D3338" s="293">
        <v>0</v>
      </c>
      <c r="E3338" s="293">
        <v>-1</v>
      </c>
      <c r="F3338" s="294" t="s">
        <v>286</v>
      </c>
    </row>
    <row r="3339" spans="1:6" hidden="1" outlineLevel="1" collapsed="1" x14ac:dyDescent="0.25">
      <c r="A3339" s="321" t="s">
        <v>282</v>
      </c>
      <c r="B3339" s="321" t="s">
        <v>403</v>
      </c>
      <c r="C3339" s="293">
        <v>4629</v>
      </c>
      <c r="D3339" s="293">
        <v>6800</v>
      </c>
      <c r="E3339" s="293">
        <v>2171</v>
      </c>
      <c r="F3339" s="294" t="s">
        <v>1414</v>
      </c>
    </row>
    <row r="3340" spans="1:6" hidden="1" outlineLevel="1" collapsed="1" x14ac:dyDescent="0.25">
      <c r="A3340" s="321" t="s">
        <v>282</v>
      </c>
      <c r="B3340" s="321" t="s">
        <v>422</v>
      </c>
      <c r="C3340" s="293">
        <v>25000</v>
      </c>
      <c r="D3340" s="293">
        <v>25000</v>
      </c>
      <c r="E3340" s="293">
        <v>0</v>
      </c>
      <c r="F3340" s="294" t="s">
        <v>316</v>
      </c>
    </row>
    <row r="3341" spans="1:6" collapsed="1" x14ac:dyDescent="0.25">
      <c r="A3341" s="560" t="s">
        <v>1415</v>
      </c>
      <c r="B3341" s="561"/>
      <c r="C3341" s="292">
        <v>2180</v>
      </c>
      <c r="D3341" s="293">
        <v>2180</v>
      </c>
      <c r="E3341" s="293">
        <v>0</v>
      </c>
      <c r="F3341" s="294" t="s">
        <v>316</v>
      </c>
    </row>
    <row r="3342" spans="1:6" hidden="1" outlineLevel="1" collapsed="1" x14ac:dyDescent="0.25">
      <c r="A3342" s="321" t="s">
        <v>282</v>
      </c>
      <c r="B3342" s="321" t="s">
        <v>818</v>
      </c>
      <c r="C3342" s="293">
        <v>2000</v>
      </c>
      <c r="D3342" s="293">
        <v>2000</v>
      </c>
      <c r="E3342" s="293">
        <v>0</v>
      </c>
      <c r="F3342" s="294" t="s">
        <v>316</v>
      </c>
    </row>
    <row r="3343" spans="1:6" hidden="1" outlineLevel="1" collapsed="1" x14ac:dyDescent="0.25">
      <c r="A3343" s="321" t="s">
        <v>282</v>
      </c>
      <c r="B3343" s="321" t="s">
        <v>444</v>
      </c>
      <c r="C3343" s="293">
        <v>180</v>
      </c>
      <c r="D3343" s="293">
        <v>180</v>
      </c>
      <c r="E3343" s="293">
        <v>0</v>
      </c>
      <c r="F3343" s="294" t="s">
        <v>316</v>
      </c>
    </row>
    <row r="3344" spans="1:6" collapsed="1" x14ac:dyDescent="0.25">
      <c r="A3344" s="560" t="s">
        <v>1416</v>
      </c>
      <c r="B3344" s="561"/>
      <c r="C3344" s="292">
        <v>136275.69276000001</v>
      </c>
      <c r="D3344" s="293">
        <v>140039.01292000001</v>
      </c>
      <c r="E3344" s="293">
        <v>3763.3201600000002</v>
      </c>
      <c r="F3344" s="294" t="s">
        <v>1417</v>
      </c>
    </row>
    <row r="3345" spans="1:6" hidden="1" outlineLevel="1" collapsed="1" x14ac:dyDescent="0.25">
      <c r="A3345" s="321" t="s">
        <v>282</v>
      </c>
      <c r="B3345" s="321" t="s">
        <v>358</v>
      </c>
      <c r="C3345" s="293">
        <v>103608.72</v>
      </c>
      <c r="D3345" s="293">
        <v>105162.8508</v>
      </c>
      <c r="E3345" s="293">
        <v>1554.1307999999999</v>
      </c>
      <c r="F3345" s="294" t="s">
        <v>510</v>
      </c>
    </row>
    <row r="3346" spans="1:6" hidden="1" outlineLevel="1" collapsed="1" x14ac:dyDescent="0.25">
      <c r="A3346" s="321" t="s">
        <v>282</v>
      </c>
      <c r="B3346" s="321" t="s">
        <v>360</v>
      </c>
      <c r="C3346" s="293">
        <v>13520.937959999999</v>
      </c>
      <c r="D3346" s="293">
        <v>15174.99937</v>
      </c>
      <c r="E3346" s="293">
        <v>1654.06141</v>
      </c>
      <c r="F3346" s="294" t="s">
        <v>511</v>
      </c>
    </row>
    <row r="3347" spans="1:6" hidden="1" outlineLevel="1" collapsed="1" x14ac:dyDescent="0.25">
      <c r="A3347" s="321" t="s">
        <v>282</v>
      </c>
      <c r="B3347" s="321" t="s">
        <v>362</v>
      </c>
      <c r="C3347" s="293">
        <v>1502.32644</v>
      </c>
      <c r="D3347" s="293">
        <v>1524.86133</v>
      </c>
      <c r="E3347" s="293">
        <v>22.534890000000001</v>
      </c>
      <c r="F3347" s="294" t="s">
        <v>510</v>
      </c>
    </row>
    <row r="3348" spans="1:6" hidden="1" outlineLevel="1" collapsed="1" x14ac:dyDescent="0.25">
      <c r="A3348" s="321" t="s">
        <v>282</v>
      </c>
      <c r="B3348" s="321" t="s">
        <v>363</v>
      </c>
      <c r="C3348" s="293">
        <v>426.12479999999999</v>
      </c>
      <c r="D3348" s="293">
        <v>422.04</v>
      </c>
      <c r="E3348" s="293">
        <v>-4.0848000000000004</v>
      </c>
      <c r="F3348" s="294" t="s">
        <v>364</v>
      </c>
    </row>
    <row r="3349" spans="1:6" hidden="1" outlineLevel="1" collapsed="1" x14ac:dyDescent="0.25">
      <c r="A3349" s="321" t="s">
        <v>282</v>
      </c>
      <c r="B3349" s="321" t="s">
        <v>365</v>
      </c>
      <c r="C3349" s="293">
        <v>15358.56</v>
      </c>
      <c r="D3349" s="293">
        <v>15959.28</v>
      </c>
      <c r="E3349" s="293">
        <v>600.72</v>
      </c>
      <c r="F3349" s="294" t="s">
        <v>366</v>
      </c>
    </row>
    <row r="3350" spans="1:6" hidden="1" outlineLevel="1" collapsed="1" x14ac:dyDescent="0.25">
      <c r="A3350" s="321" t="s">
        <v>282</v>
      </c>
      <c r="B3350" s="321" t="s">
        <v>367</v>
      </c>
      <c r="C3350" s="293">
        <v>233.53919999999999</v>
      </c>
      <c r="D3350" s="293">
        <v>182.88</v>
      </c>
      <c r="E3350" s="293">
        <v>-50.659199999999998</v>
      </c>
      <c r="F3350" s="294" t="s">
        <v>368</v>
      </c>
    </row>
    <row r="3351" spans="1:6" hidden="1" outlineLevel="1" collapsed="1" x14ac:dyDescent="0.25">
      <c r="A3351" s="321" t="s">
        <v>282</v>
      </c>
      <c r="B3351" s="321" t="s">
        <v>369</v>
      </c>
      <c r="C3351" s="293">
        <v>51.804360000000003</v>
      </c>
      <c r="D3351" s="293">
        <v>52.581420000000001</v>
      </c>
      <c r="E3351" s="293">
        <v>0.77705999999999997</v>
      </c>
      <c r="F3351" s="294" t="s">
        <v>510</v>
      </c>
    </row>
    <row r="3352" spans="1:6" hidden="1" outlineLevel="1" collapsed="1" x14ac:dyDescent="0.25">
      <c r="A3352" s="321" t="s">
        <v>282</v>
      </c>
      <c r="B3352" s="321" t="s">
        <v>370</v>
      </c>
      <c r="C3352" s="293">
        <v>1500</v>
      </c>
      <c r="D3352" s="293">
        <v>1500</v>
      </c>
      <c r="E3352" s="293">
        <v>0</v>
      </c>
      <c r="F3352" s="294" t="s">
        <v>316</v>
      </c>
    </row>
    <row r="3353" spans="1:6" hidden="1" outlineLevel="1" collapsed="1" x14ac:dyDescent="0.25">
      <c r="A3353" s="321" t="s">
        <v>282</v>
      </c>
      <c r="B3353" s="321" t="s">
        <v>371</v>
      </c>
      <c r="C3353" s="293">
        <v>49.68</v>
      </c>
      <c r="D3353" s="293">
        <v>48.48</v>
      </c>
      <c r="E3353" s="293">
        <v>-1.2</v>
      </c>
      <c r="F3353" s="294" t="s">
        <v>372</v>
      </c>
    </row>
    <row r="3354" spans="1:6" hidden="1" outlineLevel="1" collapsed="1" x14ac:dyDescent="0.25">
      <c r="A3354" s="321" t="s">
        <v>282</v>
      </c>
      <c r="B3354" s="321" t="s">
        <v>373</v>
      </c>
      <c r="C3354" s="293">
        <v>24</v>
      </c>
      <c r="D3354" s="293">
        <v>11.04</v>
      </c>
      <c r="E3354" s="293">
        <v>-12.96</v>
      </c>
      <c r="F3354" s="294" t="s">
        <v>374</v>
      </c>
    </row>
    <row r="3355" spans="1:6" collapsed="1" x14ac:dyDescent="0.25">
      <c r="A3355" s="560" t="s">
        <v>1418</v>
      </c>
      <c r="B3355" s="561"/>
      <c r="C3355" s="292">
        <v>38178.562528000002</v>
      </c>
      <c r="D3355" s="293">
        <v>93868.823399999994</v>
      </c>
      <c r="E3355" s="293">
        <v>55690.260871999999</v>
      </c>
      <c r="F3355" s="294" t="s">
        <v>1419</v>
      </c>
    </row>
    <row r="3356" spans="1:6" hidden="1" outlineLevel="1" collapsed="1" x14ac:dyDescent="0.25">
      <c r="A3356" s="321" t="s">
        <v>282</v>
      </c>
      <c r="B3356" s="321" t="s">
        <v>358</v>
      </c>
      <c r="C3356" s="293">
        <v>23948.416000000001</v>
      </c>
      <c r="D3356" s="293">
        <v>65336.930399999997</v>
      </c>
      <c r="E3356" s="293">
        <v>41388.5144</v>
      </c>
      <c r="F3356" s="294" t="s">
        <v>1420</v>
      </c>
    </row>
    <row r="3357" spans="1:6" hidden="1" outlineLevel="1" collapsed="1" x14ac:dyDescent="0.25">
      <c r="A3357" s="321" t="s">
        <v>282</v>
      </c>
      <c r="B3357" s="321" t="s">
        <v>360</v>
      </c>
      <c r="C3357" s="293">
        <v>4873.968288</v>
      </c>
      <c r="D3357" s="293">
        <v>9428.1190499999993</v>
      </c>
      <c r="E3357" s="293">
        <v>4554.1507620000002</v>
      </c>
      <c r="F3357" s="294" t="s">
        <v>1421</v>
      </c>
    </row>
    <row r="3358" spans="1:6" hidden="1" outlineLevel="1" collapsed="1" x14ac:dyDescent="0.25">
      <c r="A3358" s="321" t="s">
        <v>282</v>
      </c>
      <c r="B3358" s="321" t="s">
        <v>362</v>
      </c>
      <c r="C3358" s="293">
        <v>541.55203200000005</v>
      </c>
      <c r="D3358" s="293">
        <v>947.38549</v>
      </c>
      <c r="E3358" s="293">
        <v>405.83345800000001</v>
      </c>
      <c r="F3358" s="294" t="s">
        <v>1422</v>
      </c>
    </row>
    <row r="3359" spans="1:6" hidden="1" outlineLevel="1" collapsed="1" x14ac:dyDescent="0.25">
      <c r="A3359" s="321" t="s">
        <v>282</v>
      </c>
      <c r="B3359" s="321" t="s">
        <v>363</v>
      </c>
      <c r="C3359" s="293">
        <v>213.0624</v>
      </c>
      <c r="D3359" s="293">
        <v>422.04</v>
      </c>
      <c r="E3359" s="293">
        <v>208.9776</v>
      </c>
      <c r="F3359" s="294" t="s">
        <v>532</v>
      </c>
    </row>
    <row r="3360" spans="1:6" hidden="1" outlineLevel="1" collapsed="1" x14ac:dyDescent="0.25">
      <c r="A3360" s="321" t="s">
        <v>282</v>
      </c>
      <c r="B3360" s="321" t="s">
        <v>365</v>
      </c>
      <c r="C3360" s="293">
        <v>7679.28</v>
      </c>
      <c r="D3360" s="293">
        <v>15959.28</v>
      </c>
      <c r="E3360" s="293">
        <v>8280</v>
      </c>
      <c r="F3360" s="294" t="s">
        <v>533</v>
      </c>
    </row>
    <row r="3361" spans="1:6" hidden="1" outlineLevel="1" collapsed="1" x14ac:dyDescent="0.25">
      <c r="A3361" s="321" t="s">
        <v>282</v>
      </c>
      <c r="B3361" s="321" t="s">
        <v>367</v>
      </c>
      <c r="C3361" s="293">
        <v>116.7696</v>
      </c>
      <c r="D3361" s="293">
        <v>182.88</v>
      </c>
      <c r="E3361" s="293">
        <v>66.110399999999998</v>
      </c>
      <c r="F3361" s="294" t="s">
        <v>534</v>
      </c>
    </row>
    <row r="3362" spans="1:6" hidden="1" outlineLevel="1" collapsed="1" x14ac:dyDescent="0.25">
      <c r="A3362" s="321" t="s">
        <v>282</v>
      </c>
      <c r="B3362" s="321" t="s">
        <v>369</v>
      </c>
      <c r="C3362" s="293">
        <v>18.674208</v>
      </c>
      <c r="D3362" s="293">
        <v>32.668460000000003</v>
      </c>
      <c r="E3362" s="293">
        <v>13.994251999999999</v>
      </c>
      <c r="F3362" s="294" t="s">
        <v>1422</v>
      </c>
    </row>
    <row r="3363" spans="1:6" hidden="1" outlineLevel="1" collapsed="1" x14ac:dyDescent="0.25">
      <c r="A3363" s="321" t="s">
        <v>282</v>
      </c>
      <c r="B3363" s="321" t="s">
        <v>370</v>
      </c>
      <c r="C3363" s="293">
        <v>750</v>
      </c>
      <c r="D3363" s="293">
        <v>1500</v>
      </c>
      <c r="E3363" s="293">
        <v>750</v>
      </c>
      <c r="F3363" s="294" t="s">
        <v>298</v>
      </c>
    </row>
    <row r="3364" spans="1:6" hidden="1" outlineLevel="1" collapsed="1" x14ac:dyDescent="0.25">
      <c r="A3364" s="321" t="s">
        <v>282</v>
      </c>
      <c r="B3364" s="321" t="s">
        <v>371</v>
      </c>
      <c r="C3364" s="293">
        <v>24.84</v>
      </c>
      <c r="D3364" s="293">
        <v>48.48</v>
      </c>
      <c r="E3364" s="293">
        <v>23.64</v>
      </c>
      <c r="F3364" s="294" t="s">
        <v>535</v>
      </c>
    </row>
    <row r="3365" spans="1:6" hidden="1" outlineLevel="1" collapsed="1" x14ac:dyDescent="0.25">
      <c r="A3365" s="321" t="s">
        <v>282</v>
      </c>
      <c r="B3365" s="321" t="s">
        <v>373</v>
      </c>
      <c r="C3365" s="293">
        <v>12</v>
      </c>
      <c r="D3365" s="293">
        <v>11.04</v>
      </c>
      <c r="E3365" s="293">
        <v>-0.96</v>
      </c>
      <c r="F3365" s="294" t="s">
        <v>536</v>
      </c>
    </row>
    <row r="3366" spans="1:6" collapsed="1" x14ac:dyDescent="0.25">
      <c r="A3366" s="560" t="s">
        <v>1423</v>
      </c>
      <c r="B3366" s="561"/>
      <c r="C3366" s="292">
        <v>66158.972219999996</v>
      </c>
      <c r="D3366" s="293">
        <v>68978.136255000005</v>
      </c>
      <c r="E3366" s="293">
        <v>2819.1640349999998</v>
      </c>
      <c r="F3366" s="294" t="s">
        <v>1158</v>
      </c>
    </row>
    <row r="3367" spans="1:6" hidden="1" outlineLevel="1" collapsed="1" x14ac:dyDescent="0.25">
      <c r="A3367" s="321" t="s">
        <v>282</v>
      </c>
      <c r="B3367" s="321" t="s">
        <v>358</v>
      </c>
      <c r="C3367" s="293">
        <v>50076.84</v>
      </c>
      <c r="D3367" s="293">
        <v>51683.150399999999</v>
      </c>
      <c r="E3367" s="293">
        <v>1606.3104000000001</v>
      </c>
      <c r="F3367" s="294" t="s">
        <v>359</v>
      </c>
    </row>
    <row r="3368" spans="1:6" hidden="1" outlineLevel="1" collapsed="1" x14ac:dyDescent="0.25">
      <c r="A3368" s="321" t="s">
        <v>282</v>
      </c>
      <c r="B3368" s="321" t="s">
        <v>360</v>
      </c>
      <c r="C3368" s="293">
        <v>6535.0276199999998</v>
      </c>
      <c r="D3368" s="293">
        <v>7457.8786</v>
      </c>
      <c r="E3368" s="293">
        <v>922.85098000000005</v>
      </c>
      <c r="F3368" s="294" t="s">
        <v>701</v>
      </c>
    </row>
    <row r="3369" spans="1:6" hidden="1" outlineLevel="1" collapsed="1" x14ac:dyDescent="0.25">
      <c r="A3369" s="321" t="s">
        <v>282</v>
      </c>
      <c r="B3369" s="321" t="s">
        <v>362</v>
      </c>
      <c r="C3369" s="293">
        <v>726.11418000000003</v>
      </c>
      <c r="D3369" s="293">
        <v>749.40567999999996</v>
      </c>
      <c r="E3369" s="293">
        <v>23.291499999999999</v>
      </c>
      <c r="F3369" s="294" t="s">
        <v>359</v>
      </c>
    </row>
    <row r="3370" spans="1:6" hidden="1" outlineLevel="1" collapsed="1" x14ac:dyDescent="0.25">
      <c r="A3370" s="321" t="s">
        <v>282</v>
      </c>
      <c r="B3370" s="321" t="s">
        <v>363</v>
      </c>
      <c r="C3370" s="293">
        <v>213.0624</v>
      </c>
      <c r="D3370" s="293">
        <v>211.02</v>
      </c>
      <c r="E3370" s="293">
        <v>-2.0424000000000002</v>
      </c>
      <c r="F3370" s="294" t="s">
        <v>364</v>
      </c>
    </row>
    <row r="3371" spans="1:6" hidden="1" outlineLevel="1" collapsed="1" x14ac:dyDescent="0.25">
      <c r="A3371" s="321" t="s">
        <v>282</v>
      </c>
      <c r="B3371" s="321" t="s">
        <v>365</v>
      </c>
      <c r="C3371" s="293">
        <v>7679.28</v>
      </c>
      <c r="D3371" s="293">
        <v>7979.64</v>
      </c>
      <c r="E3371" s="293">
        <v>300.36</v>
      </c>
      <c r="F3371" s="294" t="s">
        <v>366</v>
      </c>
    </row>
    <row r="3372" spans="1:6" hidden="1" outlineLevel="1" collapsed="1" x14ac:dyDescent="0.25">
      <c r="A3372" s="321" t="s">
        <v>282</v>
      </c>
      <c r="B3372" s="321" t="s">
        <v>367</v>
      </c>
      <c r="C3372" s="293">
        <v>116.7696</v>
      </c>
      <c r="D3372" s="293">
        <v>91.44</v>
      </c>
      <c r="E3372" s="293">
        <v>-25.329599999999999</v>
      </c>
      <c r="F3372" s="294" t="s">
        <v>368</v>
      </c>
    </row>
    <row r="3373" spans="1:6" hidden="1" outlineLevel="1" collapsed="1" x14ac:dyDescent="0.25">
      <c r="A3373" s="321" t="s">
        <v>282</v>
      </c>
      <c r="B3373" s="321" t="s">
        <v>369</v>
      </c>
      <c r="C3373" s="293">
        <v>25.038419999999999</v>
      </c>
      <c r="D3373" s="293">
        <v>25.841574999999999</v>
      </c>
      <c r="E3373" s="293">
        <v>0.80315499999999995</v>
      </c>
      <c r="F3373" s="294" t="s">
        <v>359</v>
      </c>
    </row>
    <row r="3374" spans="1:6" hidden="1" outlineLevel="1" collapsed="1" x14ac:dyDescent="0.25">
      <c r="A3374" s="321" t="s">
        <v>282</v>
      </c>
      <c r="B3374" s="321" t="s">
        <v>370</v>
      </c>
      <c r="C3374" s="293">
        <v>750</v>
      </c>
      <c r="D3374" s="293">
        <v>750</v>
      </c>
      <c r="E3374" s="293">
        <v>0</v>
      </c>
      <c r="F3374" s="294" t="s">
        <v>316</v>
      </c>
    </row>
    <row r="3375" spans="1:6" hidden="1" outlineLevel="1" collapsed="1" x14ac:dyDescent="0.25">
      <c r="A3375" s="321" t="s">
        <v>282</v>
      </c>
      <c r="B3375" s="321" t="s">
        <v>371</v>
      </c>
      <c r="C3375" s="293">
        <v>24.84</v>
      </c>
      <c r="D3375" s="293">
        <v>24.24</v>
      </c>
      <c r="E3375" s="293">
        <v>-0.6</v>
      </c>
      <c r="F3375" s="294" t="s">
        <v>372</v>
      </c>
    </row>
    <row r="3376" spans="1:6" hidden="1" outlineLevel="1" collapsed="1" x14ac:dyDescent="0.25">
      <c r="A3376" s="321" t="s">
        <v>282</v>
      </c>
      <c r="B3376" s="321" t="s">
        <v>373</v>
      </c>
      <c r="C3376" s="293">
        <v>12</v>
      </c>
      <c r="D3376" s="293">
        <v>5.52</v>
      </c>
      <c r="E3376" s="293">
        <v>-6.48</v>
      </c>
      <c r="F3376" s="294" t="s">
        <v>374</v>
      </c>
    </row>
    <row r="3377" spans="1:6" collapsed="1" x14ac:dyDescent="0.25">
      <c r="A3377" s="560" t="s">
        <v>1424</v>
      </c>
      <c r="B3377" s="561"/>
      <c r="C3377" s="292">
        <v>113810.60496</v>
      </c>
      <c r="D3377" s="293">
        <v>119478.19954</v>
      </c>
      <c r="E3377" s="293">
        <v>5667.59458</v>
      </c>
      <c r="F3377" s="294" t="s">
        <v>1425</v>
      </c>
    </row>
    <row r="3378" spans="1:6" hidden="1" outlineLevel="1" collapsed="1" x14ac:dyDescent="0.25">
      <c r="A3378" s="321" t="s">
        <v>282</v>
      </c>
      <c r="B3378" s="321" t="s">
        <v>358</v>
      </c>
      <c r="C3378" s="293">
        <v>83997.119999999995</v>
      </c>
      <c r="D3378" s="293">
        <v>87427.309200000003</v>
      </c>
      <c r="E3378" s="293">
        <v>3430.1891999999998</v>
      </c>
      <c r="F3378" s="294" t="s">
        <v>1028</v>
      </c>
    </row>
    <row r="3379" spans="1:6" hidden="1" outlineLevel="1" collapsed="1" x14ac:dyDescent="0.25">
      <c r="A3379" s="321" t="s">
        <v>282</v>
      </c>
      <c r="B3379" s="321" t="s">
        <v>360</v>
      </c>
      <c r="C3379" s="293">
        <v>10961.624159999999</v>
      </c>
      <c r="D3379" s="293">
        <v>12615.76071</v>
      </c>
      <c r="E3379" s="293">
        <v>1654.1365499999999</v>
      </c>
      <c r="F3379" s="294" t="s">
        <v>1426</v>
      </c>
    </row>
    <row r="3380" spans="1:6" hidden="1" outlineLevel="1" collapsed="1" x14ac:dyDescent="0.25">
      <c r="A3380" s="321" t="s">
        <v>282</v>
      </c>
      <c r="B3380" s="321" t="s">
        <v>362</v>
      </c>
      <c r="C3380" s="293">
        <v>1217.9582399999999</v>
      </c>
      <c r="D3380" s="293">
        <v>1267.69598</v>
      </c>
      <c r="E3380" s="293">
        <v>49.737740000000002</v>
      </c>
      <c r="F3380" s="294" t="s">
        <v>1028</v>
      </c>
    </row>
    <row r="3381" spans="1:6" hidden="1" outlineLevel="1" collapsed="1" x14ac:dyDescent="0.25">
      <c r="A3381" s="321" t="s">
        <v>282</v>
      </c>
      <c r="B3381" s="321" t="s">
        <v>363</v>
      </c>
      <c r="C3381" s="293">
        <v>426.12479999999999</v>
      </c>
      <c r="D3381" s="293">
        <v>422.04</v>
      </c>
      <c r="E3381" s="293">
        <v>-4.0848000000000004</v>
      </c>
      <c r="F3381" s="294" t="s">
        <v>364</v>
      </c>
    </row>
    <row r="3382" spans="1:6" hidden="1" outlineLevel="1" collapsed="1" x14ac:dyDescent="0.25">
      <c r="A3382" s="321" t="s">
        <v>282</v>
      </c>
      <c r="B3382" s="321" t="s">
        <v>365</v>
      </c>
      <c r="C3382" s="293">
        <v>15358.56</v>
      </c>
      <c r="D3382" s="293">
        <v>15959.28</v>
      </c>
      <c r="E3382" s="293">
        <v>600.72</v>
      </c>
      <c r="F3382" s="294" t="s">
        <v>366</v>
      </c>
    </row>
    <row r="3383" spans="1:6" hidden="1" outlineLevel="1" collapsed="1" x14ac:dyDescent="0.25">
      <c r="A3383" s="321" t="s">
        <v>282</v>
      </c>
      <c r="B3383" s="321" t="s">
        <v>367</v>
      </c>
      <c r="C3383" s="293">
        <v>233.53919999999999</v>
      </c>
      <c r="D3383" s="293">
        <v>182.88</v>
      </c>
      <c r="E3383" s="293">
        <v>-50.659199999999998</v>
      </c>
      <c r="F3383" s="294" t="s">
        <v>368</v>
      </c>
    </row>
    <row r="3384" spans="1:6" hidden="1" outlineLevel="1" collapsed="1" x14ac:dyDescent="0.25">
      <c r="A3384" s="321" t="s">
        <v>282</v>
      </c>
      <c r="B3384" s="321" t="s">
        <v>369</v>
      </c>
      <c r="C3384" s="293">
        <v>41.998559999999998</v>
      </c>
      <c r="D3384" s="293">
        <v>43.713650000000001</v>
      </c>
      <c r="E3384" s="293">
        <v>1.71509</v>
      </c>
      <c r="F3384" s="294" t="s">
        <v>1028</v>
      </c>
    </row>
    <row r="3385" spans="1:6" hidden="1" outlineLevel="1" collapsed="1" x14ac:dyDescent="0.25">
      <c r="A3385" s="321" t="s">
        <v>282</v>
      </c>
      <c r="B3385" s="321" t="s">
        <v>370</v>
      </c>
      <c r="C3385" s="293">
        <v>1500</v>
      </c>
      <c r="D3385" s="293">
        <v>1500</v>
      </c>
      <c r="E3385" s="293">
        <v>0</v>
      </c>
      <c r="F3385" s="294" t="s">
        <v>316</v>
      </c>
    </row>
    <row r="3386" spans="1:6" hidden="1" outlineLevel="1" collapsed="1" x14ac:dyDescent="0.25">
      <c r="A3386" s="321" t="s">
        <v>282</v>
      </c>
      <c r="B3386" s="321" t="s">
        <v>371</v>
      </c>
      <c r="C3386" s="293">
        <v>49.68</v>
      </c>
      <c r="D3386" s="293">
        <v>48.48</v>
      </c>
      <c r="E3386" s="293">
        <v>-1.2</v>
      </c>
      <c r="F3386" s="294" t="s">
        <v>372</v>
      </c>
    </row>
    <row r="3387" spans="1:6" hidden="1" outlineLevel="1" collapsed="1" x14ac:dyDescent="0.25">
      <c r="A3387" s="321" t="s">
        <v>282</v>
      </c>
      <c r="B3387" s="321" t="s">
        <v>373</v>
      </c>
      <c r="C3387" s="293">
        <v>24</v>
      </c>
      <c r="D3387" s="293">
        <v>11.04</v>
      </c>
      <c r="E3387" s="293">
        <v>-12.96</v>
      </c>
      <c r="F3387" s="294" t="s">
        <v>374</v>
      </c>
    </row>
    <row r="3388" spans="1:6" collapsed="1" x14ac:dyDescent="0.25">
      <c r="A3388" s="560" t="s">
        <v>1427</v>
      </c>
      <c r="B3388" s="561"/>
      <c r="C3388" s="292">
        <v>140437.94443999999</v>
      </c>
      <c r="D3388" s="293">
        <v>146076.27251000001</v>
      </c>
      <c r="E3388" s="293">
        <v>5638.3280699999996</v>
      </c>
      <c r="F3388" s="294" t="s">
        <v>1428</v>
      </c>
    </row>
    <row r="3389" spans="1:6" hidden="1" outlineLevel="1" collapsed="1" x14ac:dyDescent="0.25">
      <c r="A3389" s="321" t="s">
        <v>282</v>
      </c>
      <c r="B3389" s="321" t="s">
        <v>358</v>
      </c>
      <c r="C3389" s="293">
        <v>100153.68</v>
      </c>
      <c r="D3389" s="293">
        <v>103366.3008</v>
      </c>
      <c r="E3389" s="293">
        <v>3212.6208000000001</v>
      </c>
      <c r="F3389" s="294" t="s">
        <v>359</v>
      </c>
    </row>
    <row r="3390" spans="1:6" hidden="1" outlineLevel="1" collapsed="1" x14ac:dyDescent="0.25">
      <c r="A3390" s="321" t="s">
        <v>282</v>
      </c>
      <c r="B3390" s="321" t="s">
        <v>412</v>
      </c>
      <c r="C3390" s="293">
        <v>8000</v>
      </c>
      <c r="D3390" s="293">
        <v>8000</v>
      </c>
      <c r="E3390" s="293">
        <v>0</v>
      </c>
      <c r="F3390" s="294" t="s">
        <v>316</v>
      </c>
    </row>
    <row r="3391" spans="1:6" hidden="1" outlineLevel="1" collapsed="1" x14ac:dyDescent="0.25">
      <c r="A3391" s="321" t="s">
        <v>282</v>
      </c>
      <c r="B3391" s="321" t="s">
        <v>360</v>
      </c>
      <c r="C3391" s="293">
        <v>13070.05524</v>
      </c>
      <c r="D3391" s="293">
        <v>14915.7572</v>
      </c>
      <c r="E3391" s="293">
        <v>1845.7019600000001</v>
      </c>
      <c r="F3391" s="294" t="s">
        <v>701</v>
      </c>
    </row>
    <row r="3392" spans="1:6" hidden="1" outlineLevel="1" collapsed="1" x14ac:dyDescent="0.25">
      <c r="A3392" s="321" t="s">
        <v>282</v>
      </c>
      <c r="B3392" s="321" t="s">
        <v>362</v>
      </c>
      <c r="C3392" s="293">
        <v>1568.2283600000001</v>
      </c>
      <c r="D3392" s="293">
        <v>1614.8113599999999</v>
      </c>
      <c r="E3392" s="293">
        <v>46.582999999999998</v>
      </c>
      <c r="F3392" s="294" t="s">
        <v>553</v>
      </c>
    </row>
    <row r="3393" spans="1:6" hidden="1" outlineLevel="1" collapsed="1" x14ac:dyDescent="0.25">
      <c r="A3393" s="321" t="s">
        <v>282</v>
      </c>
      <c r="B3393" s="321" t="s">
        <v>363</v>
      </c>
      <c r="C3393" s="293">
        <v>426.12479999999999</v>
      </c>
      <c r="D3393" s="293">
        <v>422.04</v>
      </c>
      <c r="E3393" s="293">
        <v>-4.0848000000000004</v>
      </c>
      <c r="F3393" s="294" t="s">
        <v>364</v>
      </c>
    </row>
    <row r="3394" spans="1:6" hidden="1" outlineLevel="1" collapsed="1" x14ac:dyDescent="0.25">
      <c r="A3394" s="321" t="s">
        <v>282</v>
      </c>
      <c r="B3394" s="321" t="s">
        <v>365</v>
      </c>
      <c r="C3394" s="293">
        <v>15358.56</v>
      </c>
      <c r="D3394" s="293">
        <v>15959.28</v>
      </c>
      <c r="E3394" s="293">
        <v>600.72</v>
      </c>
      <c r="F3394" s="294" t="s">
        <v>366</v>
      </c>
    </row>
    <row r="3395" spans="1:6" hidden="1" outlineLevel="1" collapsed="1" x14ac:dyDescent="0.25">
      <c r="A3395" s="321" t="s">
        <v>282</v>
      </c>
      <c r="B3395" s="321" t="s">
        <v>367</v>
      </c>
      <c r="C3395" s="293">
        <v>233.53919999999999</v>
      </c>
      <c r="D3395" s="293">
        <v>182.88</v>
      </c>
      <c r="E3395" s="293">
        <v>-50.659199999999998</v>
      </c>
      <c r="F3395" s="294" t="s">
        <v>368</v>
      </c>
    </row>
    <row r="3396" spans="1:6" hidden="1" outlineLevel="1" collapsed="1" x14ac:dyDescent="0.25">
      <c r="A3396" s="321" t="s">
        <v>282</v>
      </c>
      <c r="B3396" s="321" t="s">
        <v>369</v>
      </c>
      <c r="C3396" s="293">
        <v>54.076839999999997</v>
      </c>
      <c r="D3396" s="293">
        <v>55.683149999999998</v>
      </c>
      <c r="E3396" s="293">
        <v>1.6063099999999999</v>
      </c>
      <c r="F3396" s="294" t="s">
        <v>553</v>
      </c>
    </row>
    <row r="3397" spans="1:6" hidden="1" outlineLevel="1" collapsed="1" x14ac:dyDescent="0.25">
      <c r="A3397" s="321" t="s">
        <v>282</v>
      </c>
      <c r="B3397" s="321" t="s">
        <v>370</v>
      </c>
      <c r="C3397" s="293">
        <v>1500</v>
      </c>
      <c r="D3397" s="293">
        <v>1500</v>
      </c>
      <c r="E3397" s="293">
        <v>0</v>
      </c>
      <c r="F3397" s="294" t="s">
        <v>316</v>
      </c>
    </row>
    <row r="3398" spans="1:6" hidden="1" outlineLevel="1" collapsed="1" x14ac:dyDescent="0.25">
      <c r="A3398" s="321" t="s">
        <v>282</v>
      </c>
      <c r="B3398" s="321" t="s">
        <v>371</v>
      </c>
      <c r="C3398" s="293">
        <v>49.68</v>
      </c>
      <c r="D3398" s="293">
        <v>48.48</v>
      </c>
      <c r="E3398" s="293">
        <v>-1.2</v>
      </c>
      <c r="F3398" s="294" t="s">
        <v>372</v>
      </c>
    </row>
    <row r="3399" spans="1:6" hidden="1" outlineLevel="1" collapsed="1" x14ac:dyDescent="0.25">
      <c r="A3399" s="321" t="s">
        <v>282</v>
      </c>
      <c r="B3399" s="321" t="s">
        <v>373</v>
      </c>
      <c r="C3399" s="293">
        <v>24</v>
      </c>
      <c r="D3399" s="293">
        <v>11.04</v>
      </c>
      <c r="E3399" s="293">
        <v>-12.96</v>
      </c>
      <c r="F3399" s="294" t="s">
        <v>374</v>
      </c>
    </row>
    <row r="3400" spans="1:6" collapsed="1" x14ac:dyDescent="0.25">
      <c r="A3400" s="560" t="s">
        <v>1429</v>
      </c>
      <c r="B3400" s="561"/>
      <c r="C3400" s="292">
        <v>4288374.8</v>
      </c>
      <c r="D3400" s="293">
        <v>4549820.08</v>
      </c>
      <c r="E3400" s="293">
        <v>261445.28</v>
      </c>
      <c r="F3400" s="294" t="s">
        <v>1268</v>
      </c>
    </row>
    <row r="3401" spans="1:6" hidden="1" outlineLevel="1" collapsed="1" x14ac:dyDescent="0.25">
      <c r="A3401" s="321" t="s">
        <v>282</v>
      </c>
      <c r="B3401" s="321" t="s">
        <v>735</v>
      </c>
      <c r="C3401" s="293">
        <v>3154831</v>
      </c>
      <c r="D3401" s="293">
        <v>3280600</v>
      </c>
      <c r="E3401" s="293">
        <v>125769</v>
      </c>
      <c r="F3401" s="294" t="s">
        <v>1682</v>
      </c>
    </row>
    <row r="3402" spans="1:6" hidden="1" outlineLevel="1" collapsed="1" x14ac:dyDescent="0.25">
      <c r="A3402" s="321" t="s">
        <v>282</v>
      </c>
      <c r="B3402" s="321" t="s">
        <v>834</v>
      </c>
      <c r="C3402" s="293">
        <v>12000</v>
      </c>
      <c r="D3402" s="293">
        <v>12000</v>
      </c>
      <c r="E3402" s="293">
        <v>0</v>
      </c>
      <c r="F3402" s="294" t="s">
        <v>316</v>
      </c>
    </row>
    <row r="3403" spans="1:6" hidden="1" outlineLevel="1" collapsed="1" x14ac:dyDescent="0.25">
      <c r="A3403" s="321" t="s">
        <v>282</v>
      </c>
      <c r="B3403" s="321" t="s">
        <v>737</v>
      </c>
      <c r="C3403" s="293">
        <v>445000</v>
      </c>
      <c r="D3403" s="293">
        <v>480000</v>
      </c>
      <c r="E3403" s="293">
        <v>35000</v>
      </c>
      <c r="F3403" s="294" t="s">
        <v>1432</v>
      </c>
    </row>
    <row r="3404" spans="1:6" hidden="1" outlineLevel="1" collapsed="1" x14ac:dyDescent="0.25">
      <c r="A3404" s="321" t="s">
        <v>282</v>
      </c>
      <c r="B3404" s="321" t="s">
        <v>739</v>
      </c>
      <c r="C3404" s="293">
        <v>140000</v>
      </c>
      <c r="D3404" s="293">
        <v>140000</v>
      </c>
      <c r="E3404" s="293">
        <v>0</v>
      </c>
      <c r="F3404" s="294" t="s">
        <v>316</v>
      </c>
    </row>
    <row r="3405" spans="1:6" hidden="1" outlineLevel="1" collapsed="1" x14ac:dyDescent="0.25">
      <c r="A3405" s="321" t="s">
        <v>282</v>
      </c>
      <c r="B3405" s="321" t="s">
        <v>360</v>
      </c>
      <c r="C3405" s="293">
        <v>439210.8</v>
      </c>
      <c r="D3405" s="293">
        <v>485656.08</v>
      </c>
      <c r="E3405" s="293">
        <v>46445.279999999999</v>
      </c>
      <c r="F3405" s="294" t="s">
        <v>740</v>
      </c>
    </row>
    <row r="3406" spans="1:6" hidden="1" outlineLevel="1" collapsed="1" x14ac:dyDescent="0.25">
      <c r="A3406" s="321" t="s">
        <v>282</v>
      </c>
      <c r="B3406" s="321" t="s">
        <v>362</v>
      </c>
      <c r="C3406" s="293">
        <v>48801.2</v>
      </c>
      <c r="D3406" s="293">
        <v>48801.2</v>
      </c>
      <c r="E3406" s="293">
        <v>0</v>
      </c>
      <c r="F3406" s="294" t="s">
        <v>316</v>
      </c>
    </row>
    <row r="3407" spans="1:6" hidden="1" outlineLevel="1" collapsed="1" x14ac:dyDescent="0.25">
      <c r="A3407" s="321" t="s">
        <v>282</v>
      </c>
      <c r="B3407" s="321" t="s">
        <v>444</v>
      </c>
      <c r="C3407" s="293">
        <v>46849</v>
      </c>
      <c r="D3407" s="293">
        <v>101080</v>
      </c>
      <c r="E3407" s="293">
        <v>54231</v>
      </c>
      <c r="F3407" s="294" t="s">
        <v>1433</v>
      </c>
    </row>
    <row r="3408" spans="1:6" hidden="1" outlineLevel="1" collapsed="1" x14ac:dyDescent="0.25">
      <c r="A3408" s="321" t="s">
        <v>282</v>
      </c>
      <c r="B3408" s="321" t="s">
        <v>369</v>
      </c>
      <c r="C3408" s="293">
        <v>1682.8</v>
      </c>
      <c r="D3408" s="293">
        <v>1682.8</v>
      </c>
      <c r="E3408" s="293">
        <v>0</v>
      </c>
      <c r="F3408" s="294" t="s">
        <v>316</v>
      </c>
    </row>
    <row r="3409" spans="1:6" collapsed="1" x14ac:dyDescent="0.25">
      <c r="A3409" s="560" t="s">
        <v>1434</v>
      </c>
      <c r="B3409" s="561"/>
      <c r="C3409" s="292">
        <v>114151.23084</v>
      </c>
      <c r="D3409" s="293">
        <v>119478.34183</v>
      </c>
      <c r="E3409" s="293">
        <v>5327.1109900000001</v>
      </c>
      <c r="F3409" s="294" t="s">
        <v>1435</v>
      </c>
    </row>
    <row r="3410" spans="1:6" hidden="1" outlineLevel="1" collapsed="1" x14ac:dyDescent="0.25">
      <c r="A3410" s="321" t="s">
        <v>282</v>
      </c>
      <c r="B3410" s="321" t="s">
        <v>358</v>
      </c>
      <c r="C3410" s="293">
        <v>84294.48</v>
      </c>
      <c r="D3410" s="293">
        <v>86996.137199999997</v>
      </c>
      <c r="E3410" s="293">
        <v>2701.6572000000001</v>
      </c>
      <c r="F3410" s="294" t="s">
        <v>359</v>
      </c>
    </row>
    <row r="3411" spans="1:6" hidden="1" outlineLevel="1" collapsed="1" x14ac:dyDescent="0.25">
      <c r="A3411" s="321" t="s">
        <v>282</v>
      </c>
      <c r="B3411" s="321" t="s">
        <v>360</v>
      </c>
      <c r="C3411" s="293">
        <v>11000.42964</v>
      </c>
      <c r="D3411" s="293">
        <v>12553.542589999999</v>
      </c>
      <c r="E3411" s="293">
        <v>1553.11295</v>
      </c>
      <c r="F3411" s="294" t="s">
        <v>701</v>
      </c>
    </row>
    <row r="3412" spans="1:6" hidden="1" outlineLevel="1" collapsed="1" x14ac:dyDescent="0.25">
      <c r="A3412" s="321" t="s">
        <v>282</v>
      </c>
      <c r="B3412" s="321" t="s">
        <v>362</v>
      </c>
      <c r="C3412" s="293">
        <v>1222.2699600000001</v>
      </c>
      <c r="D3412" s="293">
        <v>1261.44398</v>
      </c>
      <c r="E3412" s="293">
        <v>39.174019999999999</v>
      </c>
      <c r="F3412" s="294" t="s">
        <v>359</v>
      </c>
    </row>
    <row r="3413" spans="1:6" hidden="1" outlineLevel="1" collapsed="1" x14ac:dyDescent="0.25">
      <c r="A3413" s="321" t="s">
        <v>282</v>
      </c>
      <c r="B3413" s="321" t="s">
        <v>363</v>
      </c>
      <c r="C3413" s="293">
        <v>426.12479999999999</v>
      </c>
      <c r="D3413" s="293">
        <v>422.04</v>
      </c>
      <c r="E3413" s="293">
        <v>-4.0848000000000004</v>
      </c>
      <c r="F3413" s="294" t="s">
        <v>364</v>
      </c>
    </row>
    <row r="3414" spans="1:6" hidden="1" outlineLevel="1" collapsed="1" x14ac:dyDescent="0.25">
      <c r="A3414" s="321" t="s">
        <v>282</v>
      </c>
      <c r="B3414" s="321" t="s">
        <v>365</v>
      </c>
      <c r="C3414" s="293">
        <v>15358.56</v>
      </c>
      <c r="D3414" s="293">
        <v>15959.28</v>
      </c>
      <c r="E3414" s="293">
        <v>600.72</v>
      </c>
      <c r="F3414" s="294" t="s">
        <v>366</v>
      </c>
    </row>
    <row r="3415" spans="1:6" hidden="1" outlineLevel="1" collapsed="1" x14ac:dyDescent="0.25">
      <c r="A3415" s="321" t="s">
        <v>282</v>
      </c>
      <c r="B3415" s="321" t="s">
        <v>367</v>
      </c>
      <c r="C3415" s="293">
        <v>233.53919999999999</v>
      </c>
      <c r="D3415" s="293">
        <v>182.88</v>
      </c>
      <c r="E3415" s="293">
        <v>-50.659199999999998</v>
      </c>
      <c r="F3415" s="294" t="s">
        <v>368</v>
      </c>
    </row>
    <row r="3416" spans="1:6" hidden="1" outlineLevel="1" collapsed="1" x14ac:dyDescent="0.25">
      <c r="A3416" s="321" t="s">
        <v>282</v>
      </c>
      <c r="B3416" s="321" t="s">
        <v>369</v>
      </c>
      <c r="C3416" s="293">
        <v>42.147239999999996</v>
      </c>
      <c r="D3416" s="293">
        <v>43.498060000000002</v>
      </c>
      <c r="E3416" s="293">
        <v>1.3508199999999999</v>
      </c>
      <c r="F3416" s="294" t="s">
        <v>359</v>
      </c>
    </row>
    <row r="3417" spans="1:6" hidden="1" outlineLevel="1" collapsed="1" x14ac:dyDescent="0.25">
      <c r="A3417" s="321" t="s">
        <v>282</v>
      </c>
      <c r="B3417" s="321" t="s">
        <v>370</v>
      </c>
      <c r="C3417" s="293">
        <v>1500</v>
      </c>
      <c r="D3417" s="293">
        <v>1500</v>
      </c>
      <c r="E3417" s="293">
        <v>0</v>
      </c>
      <c r="F3417" s="294" t="s">
        <v>316</v>
      </c>
    </row>
    <row r="3418" spans="1:6" hidden="1" outlineLevel="1" collapsed="1" x14ac:dyDescent="0.25">
      <c r="A3418" s="321" t="s">
        <v>282</v>
      </c>
      <c r="B3418" s="321" t="s">
        <v>371</v>
      </c>
      <c r="C3418" s="293">
        <v>49.68</v>
      </c>
      <c r="D3418" s="293">
        <v>48.48</v>
      </c>
      <c r="E3418" s="293">
        <v>-1.2</v>
      </c>
      <c r="F3418" s="294" t="s">
        <v>372</v>
      </c>
    </row>
    <row r="3419" spans="1:6" hidden="1" outlineLevel="1" collapsed="1" x14ac:dyDescent="0.25">
      <c r="A3419" s="321" t="s">
        <v>282</v>
      </c>
      <c r="B3419" s="321" t="s">
        <v>373</v>
      </c>
      <c r="C3419" s="293">
        <v>24</v>
      </c>
      <c r="D3419" s="293">
        <v>11.04</v>
      </c>
      <c r="E3419" s="293">
        <v>-12.96</v>
      </c>
      <c r="F3419" s="294" t="s">
        <v>374</v>
      </c>
    </row>
    <row r="3420" spans="1:6" hidden="1" outlineLevel="1" collapsed="1" x14ac:dyDescent="0.25">
      <c r="A3420" s="321" t="s">
        <v>282</v>
      </c>
      <c r="B3420" s="321" t="s">
        <v>375</v>
      </c>
      <c r="C3420" s="293">
        <v>0</v>
      </c>
      <c r="D3420" s="293">
        <v>500</v>
      </c>
      <c r="E3420" s="293">
        <v>500</v>
      </c>
      <c r="F3420" s="294" t="s">
        <v>298</v>
      </c>
    </row>
    <row r="3421" spans="1:6" collapsed="1" x14ac:dyDescent="0.25">
      <c r="A3421" s="560" t="s">
        <v>1436</v>
      </c>
      <c r="B3421" s="561"/>
      <c r="C3421" s="292">
        <v>573975</v>
      </c>
      <c r="D3421" s="293">
        <v>0</v>
      </c>
      <c r="E3421" s="293">
        <v>-573975</v>
      </c>
      <c r="F3421" s="294" t="s">
        <v>286</v>
      </c>
    </row>
    <row r="3422" spans="1:6" hidden="1" outlineLevel="1" collapsed="1" x14ac:dyDescent="0.25">
      <c r="A3422" s="321" t="s">
        <v>282</v>
      </c>
      <c r="B3422" s="321" t="s">
        <v>735</v>
      </c>
      <c r="C3422" s="293">
        <v>189000</v>
      </c>
      <c r="D3422" s="293">
        <v>0</v>
      </c>
      <c r="E3422" s="293">
        <v>-189000</v>
      </c>
      <c r="F3422" s="294" t="s">
        <v>286</v>
      </c>
    </row>
    <row r="3423" spans="1:6" hidden="1" outlineLevel="1" collapsed="1" x14ac:dyDescent="0.25">
      <c r="A3423" s="321" t="s">
        <v>282</v>
      </c>
      <c r="B3423" s="321" t="s">
        <v>737</v>
      </c>
      <c r="C3423" s="293">
        <v>189000</v>
      </c>
      <c r="D3423" s="293">
        <v>0</v>
      </c>
      <c r="E3423" s="293">
        <v>-189000</v>
      </c>
      <c r="F3423" s="294" t="s">
        <v>286</v>
      </c>
    </row>
    <row r="3424" spans="1:6" hidden="1" outlineLevel="1" collapsed="1" x14ac:dyDescent="0.25">
      <c r="A3424" s="321" t="s">
        <v>282</v>
      </c>
      <c r="B3424" s="321" t="s">
        <v>739</v>
      </c>
      <c r="C3424" s="293">
        <v>15000</v>
      </c>
      <c r="D3424" s="293">
        <v>0</v>
      </c>
      <c r="E3424" s="293">
        <v>-15000</v>
      </c>
      <c r="F3424" s="294" t="s">
        <v>286</v>
      </c>
    </row>
    <row r="3425" spans="1:6" hidden="1" outlineLevel="1" collapsed="1" x14ac:dyDescent="0.25">
      <c r="A3425" s="321" t="s">
        <v>282</v>
      </c>
      <c r="B3425" s="321" t="s">
        <v>441</v>
      </c>
      <c r="C3425" s="293">
        <v>3000</v>
      </c>
      <c r="D3425" s="293">
        <v>0</v>
      </c>
      <c r="E3425" s="293">
        <v>-3000</v>
      </c>
      <c r="F3425" s="294" t="s">
        <v>286</v>
      </c>
    </row>
    <row r="3426" spans="1:6" hidden="1" outlineLevel="1" collapsed="1" x14ac:dyDescent="0.25">
      <c r="A3426" s="321" t="s">
        <v>282</v>
      </c>
      <c r="B3426" s="321" t="s">
        <v>444</v>
      </c>
      <c r="C3426" s="293">
        <v>48431</v>
      </c>
      <c r="D3426" s="293">
        <v>0</v>
      </c>
      <c r="E3426" s="293">
        <v>-48431</v>
      </c>
      <c r="F3426" s="294" t="s">
        <v>286</v>
      </c>
    </row>
    <row r="3427" spans="1:6" hidden="1" outlineLevel="1" collapsed="1" x14ac:dyDescent="0.25">
      <c r="A3427" s="321" t="s">
        <v>282</v>
      </c>
      <c r="B3427" s="321" t="s">
        <v>1026</v>
      </c>
      <c r="C3427" s="293">
        <v>129544</v>
      </c>
      <c r="D3427" s="293">
        <v>0</v>
      </c>
      <c r="E3427" s="293">
        <v>-129544</v>
      </c>
      <c r="F3427" s="294" t="s">
        <v>286</v>
      </c>
    </row>
    <row r="3428" spans="1:6" collapsed="1" x14ac:dyDescent="0.25">
      <c r="A3428" s="560" t="s">
        <v>1437</v>
      </c>
      <c r="B3428" s="561"/>
      <c r="C3428" s="292">
        <v>136051.99497599999</v>
      </c>
      <c r="D3428" s="293">
        <v>53081.673580000002</v>
      </c>
      <c r="E3428" s="293">
        <v>-82970.321395999999</v>
      </c>
      <c r="F3428" s="294" t="s">
        <v>2212</v>
      </c>
    </row>
    <row r="3429" spans="1:6" hidden="1" outlineLevel="1" collapsed="1" x14ac:dyDescent="0.25">
      <c r="A3429" s="321" t="s">
        <v>282</v>
      </c>
      <c r="B3429" s="321" t="s">
        <v>780</v>
      </c>
      <c r="C3429" s="293">
        <v>115666.358076</v>
      </c>
      <c r="D3429" s="293">
        <v>41090.525492000001</v>
      </c>
      <c r="E3429" s="293">
        <v>-74575.832584000003</v>
      </c>
      <c r="F3429" s="294" t="s">
        <v>2213</v>
      </c>
    </row>
    <row r="3430" spans="1:6" hidden="1" outlineLevel="1" collapsed="1" x14ac:dyDescent="0.25">
      <c r="A3430" s="321" t="s">
        <v>282</v>
      </c>
      <c r="B3430" s="321" t="s">
        <v>751</v>
      </c>
      <c r="C3430" s="293">
        <v>15094.459728</v>
      </c>
      <c r="D3430" s="293">
        <v>0</v>
      </c>
      <c r="E3430" s="293">
        <v>-15094.459728</v>
      </c>
      <c r="F3430" s="294" t="s">
        <v>286</v>
      </c>
    </row>
    <row r="3431" spans="1:6" hidden="1" outlineLevel="1" collapsed="1" x14ac:dyDescent="0.25">
      <c r="A3431" s="321" t="s">
        <v>282</v>
      </c>
      <c r="B3431" s="321" t="s">
        <v>752</v>
      </c>
      <c r="C3431" s="293">
        <v>0</v>
      </c>
      <c r="D3431" s="293">
        <v>5929.3628280000003</v>
      </c>
      <c r="E3431" s="293">
        <v>5929.3628280000003</v>
      </c>
      <c r="F3431" s="294" t="s">
        <v>298</v>
      </c>
    </row>
    <row r="3432" spans="1:6" hidden="1" outlineLevel="1" collapsed="1" x14ac:dyDescent="0.25">
      <c r="A3432" s="321" t="s">
        <v>282</v>
      </c>
      <c r="B3432" s="321" t="s">
        <v>754</v>
      </c>
      <c r="C3432" s="293">
        <v>0</v>
      </c>
      <c r="D3432" s="293">
        <v>5319.76</v>
      </c>
      <c r="E3432" s="293">
        <v>5319.76</v>
      </c>
      <c r="F3432" s="294" t="s">
        <v>298</v>
      </c>
    </row>
    <row r="3433" spans="1:6" hidden="1" outlineLevel="1" collapsed="1" x14ac:dyDescent="0.25">
      <c r="A3433" s="321" t="s">
        <v>282</v>
      </c>
      <c r="B3433" s="321" t="s">
        <v>755</v>
      </c>
      <c r="C3433" s="293">
        <v>426.12479999999999</v>
      </c>
      <c r="D3433" s="293">
        <v>140.68</v>
      </c>
      <c r="E3433" s="293">
        <v>-285.44479999999999</v>
      </c>
      <c r="F3433" s="294" t="s">
        <v>2214</v>
      </c>
    </row>
    <row r="3434" spans="1:6" hidden="1" outlineLevel="1" collapsed="1" x14ac:dyDescent="0.25">
      <c r="A3434" s="321" t="s">
        <v>282</v>
      </c>
      <c r="B3434" s="321" t="s">
        <v>756</v>
      </c>
      <c r="C3434" s="293">
        <v>233.53919999999999</v>
      </c>
      <c r="D3434" s="293">
        <v>60.96</v>
      </c>
      <c r="E3434" s="293">
        <v>-172.57919999999999</v>
      </c>
      <c r="F3434" s="294" t="s">
        <v>1442</v>
      </c>
    </row>
    <row r="3435" spans="1:6" hidden="1" outlineLevel="1" collapsed="1" x14ac:dyDescent="0.25">
      <c r="A3435" s="321" t="s">
        <v>282</v>
      </c>
      <c r="B3435" s="321" t="s">
        <v>757</v>
      </c>
      <c r="C3435" s="293">
        <v>57.833171999999998</v>
      </c>
      <c r="D3435" s="293">
        <v>0</v>
      </c>
      <c r="E3435" s="293">
        <v>-57.833171999999998</v>
      </c>
      <c r="F3435" s="294" t="s">
        <v>286</v>
      </c>
    </row>
    <row r="3436" spans="1:6" hidden="1" outlineLevel="1" collapsed="1" x14ac:dyDescent="0.25">
      <c r="A3436" s="321" t="s">
        <v>282</v>
      </c>
      <c r="B3436" s="321" t="s">
        <v>758</v>
      </c>
      <c r="C3436" s="293">
        <v>0</v>
      </c>
      <c r="D3436" s="293">
        <v>20.545259999999999</v>
      </c>
      <c r="E3436" s="293">
        <v>20.545259999999999</v>
      </c>
      <c r="F3436" s="294" t="s">
        <v>298</v>
      </c>
    </row>
    <row r="3437" spans="1:6" hidden="1" outlineLevel="1" collapsed="1" x14ac:dyDescent="0.25">
      <c r="A3437" s="321" t="s">
        <v>282</v>
      </c>
      <c r="B3437" s="321" t="s">
        <v>759</v>
      </c>
      <c r="C3437" s="293">
        <v>1500</v>
      </c>
      <c r="D3437" s="293">
        <v>0</v>
      </c>
      <c r="E3437" s="293">
        <v>-1500</v>
      </c>
      <c r="F3437" s="294" t="s">
        <v>286</v>
      </c>
    </row>
    <row r="3438" spans="1:6" hidden="1" outlineLevel="1" collapsed="1" x14ac:dyDescent="0.25">
      <c r="A3438" s="321" t="s">
        <v>282</v>
      </c>
      <c r="B3438" s="321" t="s">
        <v>760</v>
      </c>
      <c r="C3438" s="293">
        <v>0</v>
      </c>
      <c r="D3438" s="293">
        <v>500</v>
      </c>
      <c r="E3438" s="293">
        <v>500</v>
      </c>
      <c r="F3438" s="294" t="s">
        <v>298</v>
      </c>
    </row>
    <row r="3439" spans="1:6" hidden="1" outlineLevel="1" collapsed="1" x14ac:dyDescent="0.25">
      <c r="A3439" s="321" t="s">
        <v>282</v>
      </c>
      <c r="B3439" s="321" t="s">
        <v>761</v>
      </c>
      <c r="C3439" s="293">
        <v>49.68</v>
      </c>
      <c r="D3439" s="293">
        <v>0</v>
      </c>
      <c r="E3439" s="293">
        <v>-49.68</v>
      </c>
      <c r="F3439" s="294" t="s">
        <v>286</v>
      </c>
    </row>
    <row r="3440" spans="1:6" hidden="1" outlineLevel="1" collapsed="1" x14ac:dyDescent="0.25">
      <c r="A3440" s="321" t="s">
        <v>282</v>
      </c>
      <c r="B3440" s="321" t="s">
        <v>762</v>
      </c>
      <c r="C3440" s="293">
        <v>0</v>
      </c>
      <c r="D3440" s="293">
        <v>16.16</v>
      </c>
      <c r="E3440" s="293">
        <v>16.16</v>
      </c>
      <c r="F3440" s="294" t="s">
        <v>298</v>
      </c>
    </row>
    <row r="3441" spans="1:6" hidden="1" outlineLevel="1" collapsed="1" x14ac:dyDescent="0.25">
      <c r="A3441" s="321" t="s">
        <v>282</v>
      </c>
      <c r="B3441" s="321" t="s">
        <v>763</v>
      </c>
      <c r="C3441" s="293">
        <v>24</v>
      </c>
      <c r="D3441" s="293">
        <v>3.68</v>
      </c>
      <c r="E3441" s="293">
        <v>-20.32</v>
      </c>
      <c r="F3441" s="294" t="s">
        <v>2215</v>
      </c>
    </row>
    <row r="3442" spans="1:6" hidden="1" outlineLevel="1" collapsed="1" x14ac:dyDescent="0.25">
      <c r="A3442" s="321" t="s">
        <v>282</v>
      </c>
      <c r="B3442" s="321" t="s">
        <v>522</v>
      </c>
      <c r="C3442" s="293">
        <v>3000</v>
      </c>
      <c r="D3442" s="293">
        <v>0</v>
      </c>
      <c r="E3442" s="293">
        <v>-3000</v>
      </c>
      <c r="F3442" s="294" t="s">
        <v>286</v>
      </c>
    </row>
    <row r="3443" spans="1:6" collapsed="1" x14ac:dyDescent="0.25">
      <c r="A3443" s="560" t="s">
        <v>1439</v>
      </c>
      <c r="B3443" s="561"/>
      <c r="C3443" s="292">
        <v>599345.90544200002</v>
      </c>
      <c r="D3443" s="293">
        <v>605861.97211099998</v>
      </c>
      <c r="E3443" s="293">
        <v>6516.0666689999998</v>
      </c>
      <c r="F3443" s="294" t="s">
        <v>2216</v>
      </c>
    </row>
    <row r="3444" spans="1:6" hidden="1" outlineLevel="1" collapsed="1" x14ac:dyDescent="0.25">
      <c r="A3444" s="321" t="s">
        <v>282</v>
      </c>
      <c r="B3444" s="321" t="s">
        <v>780</v>
      </c>
      <c r="C3444" s="293">
        <v>133899.819036</v>
      </c>
      <c r="D3444" s="293">
        <v>135908.31487199999</v>
      </c>
      <c r="E3444" s="293">
        <v>2008.4958360000001</v>
      </c>
      <c r="F3444" s="294" t="s">
        <v>510</v>
      </c>
    </row>
    <row r="3445" spans="1:6" hidden="1" outlineLevel="1" collapsed="1" x14ac:dyDescent="0.25">
      <c r="A3445" s="321" t="s">
        <v>282</v>
      </c>
      <c r="B3445" s="321" t="s">
        <v>834</v>
      </c>
      <c r="C3445" s="293">
        <v>14700</v>
      </c>
      <c r="D3445" s="293">
        <v>12000</v>
      </c>
      <c r="E3445" s="293">
        <v>-2700</v>
      </c>
      <c r="F3445" s="294" t="s">
        <v>1440</v>
      </c>
    </row>
    <row r="3446" spans="1:6" hidden="1" outlineLevel="1" collapsed="1" x14ac:dyDescent="0.25">
      <c r="A3446" s="321" t="s">
        <v>282</v>
      </c>
      <c r="B3446" s="321" t="s">
        <v>441</v>
      </c>
      <c r="C3446" s="293">
        <v>16970</v>
      </c>
      <c r="D3446" s="293">
        <v>13970</v>
      </c>
      <c r="E3446" s="293">
        <v>-3000</v>
      </c>
      <c r="F3446" s="294" t="s">
        <v>2217</v>
      </c>
    </row>
    <row r="3447" spans="1:6" hidden="1" outlineLevel="1" collapsed="1" x14ac:dyDescent="0.25">
      <c r="A3447" s="321" t="s">
        <v>282</v>
      </c>
      <c r="B3447" s="321" t="s">
        <v>464</v>
      </c>
      <c r="C3447" s="293">
        <v>197644.71611400001</v>
      </c>
      <c r="D3447" s="293">
        <v>240032.467962</v>
      </c>
      <c r="E3447" s="293">
        <v>42387.751848</v>
      </c>
      <c r="F3447" s="294" t="s">
        <v>2218</v>
      </c>
    </row>
    <row r="3448" spans="1:6" hidden="1" outlineLevel="1" collapsed="1" x14ac:dyDescent="0.25">
      <c r="A3448" s="321" t="s">
        <v>282</v>
      </c>
      <c r="B3448" s="321" t="s">
        <v>424</v>
      </c>
      <c r="C3448" s="293">
        <v>2000</v>
      </c>
      <c r="D3448" s="293">
        <v>1000</v>
      </c>
      <c r="E3448" s="293">
        <v>-1000</v>
      </c>
      <c r="F3448" s="294" t="s">
        <v>722</v>
      </c>
    </row>
    <row r="3449" spans="1:6" hidden="1" outlineLevel="1" collapsed="1" x14ac:dyDescent="0.25">
      <c r="A3449" s="321" t="s">
        <v>282</v>
      </c>
      <c r="B3449" s="321" t="s">
        <v>475</v>
      </c>
      <c r="C3449" s="293">
        <v>6000</v>
      </c>
      <c r="D3449" s="293">
        <v>5000</v>
      </c>
      <c r="E3449" s="293">
        <v>-1000</v>
      </c>
      <c r="F3449" s="294" t="s">
        <v>852</v>
      </c>
    </row>
    <row r="3450" spans="1:6" hidden="1" outlineLevel="1" collapsed="1" x14ac:dyDescent="0.25">
      <c r="A3450" s="321" t="s">
        <v>282</v>
      </c>
      <c r="B3450" s="321" t="s">
        <v>799</v>
      </c>
      <c r="C3450" s="293">
        <v>33760.6</v>
      </c>
      <c r="D3450" s="293">
        <v>7958</v>
      </c>
      <c r="E3450" s="293">
        <v>-25802.6</v>
      </c>
      <c r="F3450" s="294" t="s">
        <v>2219</v>
      </c>
    </row>
    <row r="3451" spans="1:6" hidden="1" outlineLevel="1" collapsed="1" x14ac:dyDescent="0.25">
      <c r="A3451" s="321" t="s">
        <v>282</v>
      </c>
      <c r="B3451" s="321" t="s">
        <v>751</v>
      </c>
      <c r="C3451" s="293">
        <v>17473.926383999999</v>
      </c>
      <c r="D3451" s="293">
        <v>0</v>
      </c>
      <c r="E3451" s="293">
        <v>-17473.926383999999</v>
      </c>
      <c r="F3451" s="294" t="s">
        <v>286</v>
      </c>
    </row>
    <row r="3452" spans="1:6" hidden="1" outlineLevel="1" collapsed="1" x14ac:dyDescent="0.25">
      <c r="A3452" s="321" t="s">
        <v>282</v>
      </c>
      <c r="B3452" s="321" t="s">
        <v>752</v>
      </c>
      <c r="C3452" s="293">
        <v>0</v>
      </c>
      <c r="D3452" s="293">
        <v>19611.569832000001</v>
      </c>
      <c r="E3452" s="293">
        <v>19611.569832000001</v>
      </c>
      <c r="F3452" s="294" t="s">
        <v>298</v>
      </c>
    </row>
    <row r="3453" spans="1:6" hidden="1" outlineLevel="1" collapsed="1" x14ac:dyDescent="0.25">
      <c r="A3453" s="321" t="s">
        <v>282</v>
      </c>
      <c r="B3453" s="321" t="s">
        <v>384</v>
      </c>
      <c r="C3453" s="293">
        <v>30403.025215000001</v>
      </c>
      <c r="D3453" s="293">
        <v>0</v>
      </c>
      <c r="E3453" s="293">
        <v>-30403.025215000001</v>
      </c>
      <c r="F3453" s="294" t="s">
        <v>286</v>
      </c>
    </row>
    <row r="3454" spans="1:6" hidden="1" outlineLevel="1" collapsed="1" x14ac:dyDescent="0.25">
      <c r="A3454" s="321" t="s">
        <v>282</v>
      </c>
      <c r="B3454" s="321" t="s">
        <v>385</v>
      </c>
      <c r="C3454" s="293">
        <v>0</v>
      </c>
      <c r="D3454" s="293">
        <v>38137.530337999997</v>
      </c>
      <c r="E3454" s="293">
        <v>38137.530337999997</v>
      </c>
      <c r="F3454" s="294" t="s">
        <v>298</v>
      </c>
    </row>
    <row r="3455" spans="1:6" hidden="1" outlineLevel="1" collapsed="1" x14ac:dyDescent="0.25">
      <c r="A3455" s="321" t="s">
        <v>282</v>
      </c>
      <c r="B3455" s="321" t="s">
        <v>386</v>
      </c>
      <c r="C3455" s="293">
        <v>15179.302867</v>
      </c>
      <c r="D3455" s="293">
        <v>0</v>
      </c>
      <c r="E3455" s="293">
        <v>-15179.302867</v>
      </c>
      <c r="F3455" s="294" t="s">
        <v>286</v>
      </c>
    </row>
    <row r="3456" spans="1:6" hidden="1" outlineLevel="1" collapsed="1" x14ac:dyDescent="0.25">
      <c r="A3456" s="321" t="s">
        <v>282</v>
      </c>
      <c r="B3456" s="321" t="s">
        <v>387</v>
      </c>
      <c r="C3456" s="293">
        <v>0</v>
      </c>
      <c r="D3456" s="293">
        <v>15419.862993000001</v>
      </c>
      <c r="E3456" s="293">
        <v>15419.862993000001</v>
      </c>
      <c r="F3456" s="294" t="s">
        <v>298</v>
      </c>
    </row>
    <row r="3457" spans="1:6" hidden="1" outlineLevel="1" collapsed="1" x14ac:dyDescent="0.25">
      <c r="A3457" s="321" t="s">
        <v>282</v>
      </c>
      <c r="B3457" s="321" t="s">
        <v>388</v>
      </c>
      <c r="C3457" s="293">
        <v>3549.9982190000001</v>
      </c>
      <c r="D3457" s="293">
        <v>3606.258249</v>
      </c>
      <c r="E3457" s="293">
        <v>56.26003</v>
      </c>
      <c r="F3457" s="294" t="s">
        <v>2220</v>
      </c>
    </row>
    <row r="3458" spans="1:6" hidden="1" outlineLevel="1" collapsed="1" x14ac:dyDescent="0.25">
      <c r="A3458" s="321" t="s">
        <v>282</v>
      </c>
      <c r="B3458" s="321" t="s">
        <v>1444</v>
      </c>
      <c r="C3458" s="293">
        <v>330</v>
      </c>
      <c r="D3458" s="293">
        <v>0</v>
      </c>
      <c r="E3458" s="293">
        <v>-330</v>
      </c>
      <c r="F3458" s="294" t="s">
        <v>286</v>
      </c>
    </row>
    <row r="3459" spans="1:6" hidden="1" outlineLevel="1" collapsed="1" x14ac:dyDescent="0.25">
      <c r="A3459" s="321" t="s">
        <v>282</v>
      </c>
      <c r="B3459" s="321" t="s">
        <v>444</v>
      </c>
      <c r="C3459" s="293">
        <v>5825.15</v>
      </c>
      <c r="D3459" s="293">
        <v>3433</v>
      </c>
      <c r="E3459" s="293">
        <v>-2392.15</v>
      </c>
      <c r="F3459" s="294" t="s">
        <v>1445</v>
      </c>
    </row>
    <row r="3460" spans="1:6" hidden="1" outlineLevel="1" collapsed="1" x14ac:dyDescent="0.25">
      <c r="A3460" s="321" t="s">
        <v>282</v>
      </c>
      <c r="B3460" s="321" t="s">
        <v>389</v>
      </c>
      <c r="C3460" s="293">
        <v>2130.6239999999998</v>
      </c>
      <c r="D3460" s="293">
        <v>2039.86</v>
      </c>
      <c r="E3460" s="293">
        <v>-90.763999999999996</v>
      </c>
      <c r="F3460" s="294" t="s">
        <v>2221</v>
      </c>
    </row>
    <row r="3461" spans="1:6" hidden="1" outlineLevel="1" collapsed="1" x14ac:dyDescent="0.25">
      <c r="A3461" s="321" t="s">
        <v>282</v>
      </c>
      <c r="B3461" s="321" t="s">
        <v>390</v>
      </c>
      <c r="C3461" s="293">
        <v>61941.08</v>
      </c>
      <c r="D3461" s="293">
        <v>62507.18</v>
      </c>
      <c r="E3461" s="293">
        <v>566.1</v>
      </c>
      <c r="F3461" s="294" t="s">
        <v>1586</v>
      </c>
    </row>
    <row r="3462" spans="1:6" hidden="1" outlineLevel="1" collapsed="1" x14ac:dyDescent="0.25">
      <c r="A3462" s="321" t="s">
        <v>282</v>
      </c>
      <c r="B3462" s="321" t="s">
        <v>392</v>
      </c>
      <c r="C3462" s="293">
        <v>1167.6959999999999</v>
      </c>
      <c r="D3462" s="293">
        <v>883.92</v>
      </c>
      <c r="E3462" s="293">
        <v>-283.77600000000001</v>
      </c>
      <c r="F3462" s="294" t="s">
        <v>2222</v>
      </c>
    </row>
    <row r="3463" spans="1:6" hidden="1" outlineLevel="1" collapsed="1" x14ac:dyDescent="0.25">
      <c r="A3463" s="321" t="s">
        <v>282</v>
      </c>
      <c r="B3463" s="321" t="s">
        <v>754</v>
      </c>
      <c r="C3463" s="293">
        <v>15358.56</v>
      </c>
      <c r="D3463" s="293">
        <v>15959.28</v>
      </c>
      <c r="E3463" s="293">
        <v>600.72</v>
      </c>
      <c r="F3463" s="294" t="s">
        <v>366</v>
      </c>
    </row>
    <row r="3464" spans="1:6" hidden="1" outlineLevel="1" collapsed="1" x14ac:dyDescent="0.25">
      <c r="A3464" s="321" t="s">
        <v>282</v>
      </c>
      <c r="B3464" s="321" t="s">
        <v>755</v>
      </c>
      <c r="C3464" s="293">
        <v>426.12479999999999</v>
      </c>
      <c r="D3464" s="293">
        <v>422.04</v>
      </c>
      <c r="E3464" s="293">
        <v>-4.0848000000000004</v>
      </c>
      <c r="F3464" s="294" t="s">
        <v>364</v>
      </c>
    </row>
    <row r="3465" spans="1:6" hidden="1" outlineLevel="1" collapsed="1" x14ac:dyDescent="0.25">
      <c r="A3465" s="321" t="s">
        <v>282</v>
      </c>
      <c r="B3465" s="321" t="s">
        <v>756</v>
      </c>
      <c r="C3465" s="293">
        <v>233.53919999999999</v>
      </c>
      <c r="D3465" s="293">
        <v>182.88</v>
      </c>
      <c r="E3465" s="293">
        <v>-50.659199999999998</v>
      </c>
      <c r="F3465" s="294" t="s">
        <v>368</v>
      </c>
    </row>
    <row r="3466" spans="1:6" hidden="1" outlineLevel="1" collapsed="1" x14ac:dyDescent="0.25">
      <c r="A3466" s="321" t="s">
        <v>282</v>
      </c>
      <c r="B3466" s="321" t="s">
        <v>393</v>
      </c>
      <c r="C3466" s="293">
        <v>122.41369899999999</v>
      </c>
      <c r="D3466" s="293">
        <v>124.353713</v>
      </c>
      <c r="E3466" s="293">
        <v>1.9400139999999999</v>
      </c>
      <c r="F3466" s="294" t="s">
        <v>2220</v>
      </c>
    </row>
    <row r="3467" spans="1:6" hidden="1" outlineLevel="1" collapsed="1" x14ac:dyDescent="0.25">
      <c r="A3467" s="321" t="s">
        <v>282</v>
      </c>
      <c r="B3467" s="321" t="s">
        <v>757</v>
      </c>
      <c r="C3467" s="293">
        <v>67.249908000000005</v>
      </c>
      <c r="D3467" s="293">
        <v>0</v>
      </c>
      <c r="E3467" s="293">
        <v>-67.249908000000005</v>
      </c>
      <c r="F3467" s="294" t="s">
        <v>286</v>
      </c>
    </row>
    <row r="3468" spans="1:6" hidden="1" outlineLevel="1" collapsed="1" x14ac:dyDescent="0.25">
      <c r="A3468" s="321" t="s">
        <v>282</v>
      </c>
      <c r="B3468" s="321" t="s">
        <v>758</v>
      </c>
      <c r="C3468" s="293">
        <v>0</v>
      </c>
      <c r="D3468" s="293">
        <v>68.254152000000005</v>
      </c>
      <c r="E3468" s="293">
        <v>68.254152000000005</v>
      </c>
      <c r="F3468" s="294" t="s">
        <v>298</v>
      </c>
    </row>
    <row r="3469" spans="1:6" hidden="1" outlineLevel="1" collapsed="1" x14ac:dyDescent="0.25">
      <c r="A3469" s="321" t="s">
        <v>282</v>
      </c>
      <c r="B3469" s="321" t="s">
        <v>394</v>
      </c>
      <c r="C3469" s="293">
        <v>7500</v>
      </c>
      <c r="D3469" s="293">
        <v>0</v>
      </c>
      <c r="E3469" s="293">
        <v>-7500</v>
      </c>
      <c r="F3469" s="294" t="s">
        <v>286</v>
      </c>
    </row>
    <row r="3470" spans="1:6" hidden="1" outlineLevel="1" collapsed="1" x14ac:dyDescent="0.25">
      <c r="A3470" s="321" t="s">
        <v>282</v>
      </c>
      <c r="B3470" s="321" t="s">
        <v>395</v>
      </c>
      <c r="C3470" s="293">
        <v>0</v>
      </c>
      <c r="D3470" s="293">
        <v>7250</v>
      </c>
      <c r="E3470" s="293">
        <v>7250</v>
      </c>
      <c r="F3470" s="294" t="s">
        <v>298</v>
      </c>
    </row>
    <row r="3471" spans="1:6" hidden="1" outlineLevel="1" collapsed="1" x14ac:dyDescent="0.25">
      <c r="A3471" s="321" t="s">
        <v>282</v>
      </c>
      <c r="B3471" s="321" t="s">
        <v>759</v>
      </c>
      <c r="C3471" s="293">
        <v>1500</v>
      </c>
      <c r="D3471" s="293">
        <v>0</v>
      </c>
      <c r="E3471" s="293">
        <v>-1500</v>
      </c>
      <c r="F3471" s="294" t="s">
        <v>286</v>
      </c>
    </row>
    <row r="3472" spans="1:6" hidden="1" outlineLevel="1" collapsed="1" x14ac:dyDescent="0.25">
      <c r="A3472" s="321" t="s">
        <v>282</v>
      </c>
      <c r="B3472" s="321" t="s">
        <v>760</v>
      </c>
      <c r="C3472" s="293">
        <v>0</v>
      </c>
      <c r="D3472" s="293">
        <v>1500</v>
      </c>
      <c r="E3472" s="293">
        <v>1500</v>
      </c>
      <c r="F3472" s="294" t="s">
        <v>298</v>
      </c>
    </row>
    <row r="3473" spans="1:6" hidden="1" outlineLevel="1" collapsed="1" x14ac:dyDescent="0.25">
      <c r="A3473" s="321" t="s">
        <v>282</v>
      </c>
      <c r="B3473" s="321" t="s">
        <v>396</v>
      </c>
      <c r="C3473" s="293">
        <v>248.4</v>
      </c>
      <c r="D3473" s="293">
        <v>0</v>
      </c>
      <c r="E3473" s="293">
        <v>-248.4</v>
      </c>
      <c r="F3473" s="294" t="s">
        <v>286</v>
      </c>
    </row>
    <row r="3474" spans="1:6" hidden="1" outlineLevel="1" collapsed="1" x14ac:dyDescent="0.25">
      <c r="A3474" s="321" t="s">
        <v>282</v>
      </c>
      <c r="B3474" s="321" t="s">
        <v>397</v>
      </c>
      <c r="C3474" s="293">
        <v>0</v>
      </c>
      <c r="D3474" s="293">
        <v>234.32</v>
      </c>
      <c r="E3474" s="293">
        <v>234.32</v>
      </c>
      <c r="F3474" s="294" t="s">
        <v>298</v>
      </c>
    </row>
    <row r="3475" spans="1:6" hidden="1" outlineLevel="1" collapsed="1" x14ac:dyDescent="0.25">
      <c r="A3475" s="321" t="s">
        <v>282</v>
      </c>
      <c r="B3475" s="321" t="s">
        <v>761</v>
      </c>
      <c r="C3475" s="293">
        <v>49.68</v>
      </c>
      <c r="D3475" s="293">
        <v>0</v>
      </c>
      <c r="E3475" s="293">
        <v>-49.68</v>
      </c>
      <c r="F3475" s="294" t="s">
        <v>286</v>
      </c>
    </row>
    <row r="3476" spans="1:6" hidden="1" outlineLevel="1" collapsed="1" x14ac:dyDescent="0.25">
      <c r="A3476" s="321" t="s">
        <v>282</v>
      </c>
      <c r="B3476" s="321" t="s">
        <v>762</v>
      </c>
      <c r="C3476" s="293">
        <v>0</v>
      </c>
      <c r="D3476" s="293">
        <v>48.48</v>
      </c>
      <c r="E3476" s="293">
        <v>48.48</v>
      </c>
      <c r="F3476" s="294" t="s">
        <v>298</v>
      </c>
    </row>
    <row r="3477" spans="1:6" hidden="1" outlineLevel="1" collapsed="1" x14ac:dyDescent="0.25">
      <c r="A3477" s="321" t="s">
        <v>282</v>
      </c>
      <c r="B3477" s="321" t="s">
        <v>398</v>
      </c>
      <c r="C3477" s="293">
        <v>120</v>
      </c>
      <c r="D3477" s="293">
        <v>53.36</v>
      </c>
      <c r="E3477" s="293">
        <v>-66.64</v>
      </c>
      <c r="F3477" s="294" t="s">
        <v>2223</v>
      </c>
    </row>
    <row r="3478" spans="1:6" hidden="1" outlineLevel="1" collapsed="1" x14ac:dyDescent="0.25">
      <c r="A3478" s="321" t="s">
        <v>282</v>
      </c>
      <c r="B3478" s="321" t="s">
        <v>763</v>
      </c>
      <c r="C3478" s="293">
        <v>24</v>
      </c>
      <c r="D3478" s="293">
        <v>11.04</v>
      </c>
      <c r="E3478" s="293">
        <v>-12.96</v>
      </c>
      <c r="F3478" s="294" t="s">
        <v>374</v>
      </c>
    </row>
    <row r="3479" spans="1:6" hidden="1" outlineLevel="1" collapsed="1" x14ac:dyDescent="0.25">
      <c r="A3479" s="321" t="s">
        <v>282</v>
      </c>
      <c r="B3479" s="321" t="s">
        <v>522</v>
      </c>
      <c r="C3479" s="293">
        <v>3000</v>
      </c>
      <c r="D3479" s="293">
        <v>0</v>
      </c>
      <c r="E3479" s="293">
        <v>-3000</v>
      </c>
      <c r="F3479" s="294" t="s">
        <v>286</v>
      </c>
    </row>
    <row r="3480" spans="1:6" hidden="1" outlineLevel="1" collapsed="1" x14ac:dyDescent="0.25">
      <c r="A3480" s="321" t="s">
        <v>282</v>
      </c>
      <c r="B3480" s="321" t="s">
        <v>399</v>
      </c>
      <c r="C3480" s="293">
        <v>0</v>
      </c>
      <c r="D3480" s="293">
        <v>250</v>
      </c>
      <c r="E3480" s="293">
        <v>250</v>
      </c>
      <c r="F3480" s="294" t="s">
        <v>298</v>
      </c>
    </row>
    <row r="3481" spans="1:6" hidden="1" outlineLevel="1" collapsed="1" x14ac:dyDescent="0.25">
      <c r="A3481" s="321" t="s">
        <v>282</v>
      </c>
      <c r="B3481" s="321" t="s">
        <v>375</v>
      </c>
      <c r="C3481" s="293">
        <v>96.48</v>
      </c>
      <c r="D3481" s="293">
        <v>0</v>
      </c>
      <c r="E3481" s="293">
        <v>-96.48</v>
      </c>
      <c r="F3481" s="294" t="s">
        <v>286</v>
      </c>
    </row>
    <row r="3482" spans="1:6" hidden="1" outlineLevel="1" collapsed="1" x14ac:dyDescent="0.25">
      <c r="A3482" s="321" t="s">
        <v>282</v>
      </c>
      <c r="B3482" s="321" t="s">
        <v>376</v>
      </c>
      <c r="C3482" s="293">
        <v>1225</v>
      </c>
      <c r="D3482" s="293">
        <v>1150</v>
      </c>
      <c r="E3482" s="293">
        <v>-75</v>
      </c>
      <c r="F3482" s="294" t="s">
        <v>1446</v>
      </c>
    </row>
    <row r="3483" spans="1:6" hidden="1" outlineLevel="1" collapsed="1" x14ac:dyDescent="0.25">
      <c r="A3483" s="321" t="s">
        <v>282</v>
      </c>
      <c r="B3483" s="321" t="s">
        <v>662</v>
      </c>
      <c r="C3483" s="293">
        <v>105</v>
      </c>
      <c r="D3483" s="293">
        <v>150</v>
      </c>
      <c r="E3483" s="293">
        <v>45</v>
      </c>
      <c r="F3483" s="294" t="s">
        <v>1447</v>
      </c>
    </row>
    <row r="3484" spans="1:6" hidden="1" outlineLevel="1" collapsed="1" x14ac:dyDescent="0.25">
      <c r="A3484" s="321" t="s">
        <v>282</v>
      </c>
      <c r="B3484" s="321" t="s">
        <v>506</v>
      </c>
      <c r="C3484" s="293">
        <v>0</v>
      </c>
      <c r="D3484" s="293">
        <v>1500</v>
      </c>
      <c r="E3484" s="293">
        <v>1500</v>
      </c>
      <c r="F3484" s="294" t="s">
        <v>298</v>
      </c>
    </row>
    <row r="3485" spans="1:6" hidden="1" outlineLevel="1" collapsed="1" x14ac:dyDescent="0.25">
      <c r="A3485" s="321" t="s">
        <v>282</v>
      </c>
      <c r="B3485" s="321" t="s">
        <v>567</v>
      </c>
      <c r="C3485" s="293">
        <v>0</v>
      </c>
      <c r="D3485" s="293">
        <v>0</v>
      </c>
      <c r="E3485" s="293">
        <v>0</v>
      </c>
      <c r="F3485" s="294" t="s">
        <v>316</v>
      </c>
    </row>
    <row r="3486" spans="1:6" hidden="1" outlineLevel="1" collapsed="1" x14ac:dyDescent="0.25">
      <c r="A3486" s="321" t="s">
        <v>282</v>
      </c>
      <c r="B3486" s="321" t="s">
        <v>426</v>
      </c>
      <c r="C3486" s="293">
        <v>18718.52</v>
      </c>
      <c r="D3486" s="293">
        <v>14500</v>
      </c>
      <c r="E3486" s="293">
        <v>-4218.5200000000004</v>
      </c>
      <c r="F3486" s="294" t="s">
        <v>2224</v>
      </c>
    </row>
    <row r="3487" spans="1:6" hidden="1" outlineLevel="1" collapsed="1" x14ac:dyDescent="0.25">
      <c r="A3487" s="321" t="s">
        <v>282</v>
      </c>
      <c r="B3487" s="321" t="s">
        <v>707</v>
      </c>
      <c r="C3487" s="293">
        <v>600</v>
      </c>
      <c r="D3487" s="293">
        <v>600</v>
      </c>
      <c r="E3487" s="293">
        <v>0</v>
      </c>
      <c r="F3487" s="294" t="s">
        <v>316</v>
      </c>
    </row>
    <row r="3488" spans="1:6" hidden="1" outlineLevel="1" collapsed="1" x14ac:dyDescent="0.25">
      <c r="A3488" s="321" t="s">
        <v>282</v>
      </c>
      <c r="B3488" s="321" t="s">
        <v>597</v>
      </c>
      <c r="C3488" s="293">
        <v>300</v>
      </c>
      <c r="D3488" s="293">
        <v>350</v>
      </c>
      <c r="E3488" s="293">
        <v>50</v>
      </c>
      <c r="F3488" s="294" t="s">
        <v>1449</v>
      </c>
    </row>
    <row r="3489" spans="1:6" hidden="1" outlineLevel="1" collapsed="1" x14ac:dyDescent="0.25">
      <c r="A3489" s="321" t="s">
        <v>282</v>
      </c>
      <c r="B3489" s="321" t="s">
        <v>448</v>
      </c>
      <c r="C3489" s="293">
        <v>6500</v>
      </c>
      <c r="D3489" s="293">
        <v>0</v>
      </c>
      <c r="E3489" s="293">
        <v>-6500</v>
      </c>
      <c r="F3489" s="294" t="s">
        <v>286</v>
      </c>
    </row>
    <row r="3490" spans="1:6" hidden="1" outlineLevel="1" collapsed="1" x14ac:dyDescent="0.25">
      <c r="A3490" s="321" t="s">
        <v>282</v>
      </c>
      <c r="B3490" s="321" t="s">
        <v>770</v>
      </c>
      <c r="C3490" s="293">
        <v>175</v>
      </c>
      <c r="D3490" s="293">
        <v>0</v>
      </c>
      <c r="E3490" s="293">
        <v>-175</v>
      </c>
      <c r="F3490" s="294" t="s">
        <v>286</v>
      </c>
    </row>
    <row r="3491" spans="1:6" collapsed="1" x14ac:dyDescent="0.25">
      <c r="A3491" s="560" t="s">
        <v>1450</v>
      </c>
      <c r="B3491" s="561"/>
      <c r="C3491" s="292">
        <v>64485</v>
      </c>
      <c r="D3491" s="293">
        <v>72029</v>
      </c>
      <c r="E3491" s="293">
        <v>7544</v>
      </c>
      <c r="F3491" s="294" t="s">
        <v>1451</v>
      </c>
    </row>
    <row r="3492" spans="1:6" hidden="1" outlineLevel="1" collapsed="1" x14ac:dyDescent="0.25">
      <c r="A3492" s="321" t="s">
        <v>282</v>
      </c>
      <c r="B3492" s="321" t="s">
        <v>441</v>
      </c>
      <c r="C3492" s="293">
        <v>51220</v>
      </c>
      <c r="D3492" s="293">
        <v>57140</v>
      </c>
      <c r="E3492" s="293">
        <v>5920</v>
      </c>
      <c r="F3492" s="294" t="s">
        <v>1452</v>
      </c>
    </row>
    <row r="3493" spans="1:6" hidden="1" outlineLevel="1" collapsed="1" x14ac:dyDescent="0.25">
      <c r="A3493" s="321" t="s">
        <v>282</v>
      </c>
      <c r="B3493" s="321" t="s">
        <v>444</v>
      </c>
      <c r="C3493" s="293">
        <v>5175.1499999999996</v>
      </c>
      <c r="D3493" s="293">
        <v>6989</v>
      </c>
      <c r="E3493" s="293">
        <v>1813.85</v>
      </c>
      <c r="F3493" s="294" t="s">
        <v>1453</v>
      </c>
    </row>
    <row r="3494" spans="1:6" hidden="1" outlineLevel="1" collapsed="1" x14ac:dyDescent="0.25">
      <c r="A3494" s="321" t="s">
        <v>282</v>
      </c>
      <c r="B3494" s="321" t="s">
        <v>376</v>
      </c>
      <c r="C3494" s="293">
        <v>490</v>
      </c>
      <c r="D3494" s="293">
        <v>400</v>
      </c>
      <c r="E3494" s="293">
        <v>-90</v>
      </c>
      <c r="F3494" s="294" t="s">
        <v>1440</v>
      </c>
    </row>
    <row r="3495" spans="1:6" hidden="1" outlineLevel="1" collapsed="1" x14ac:dyDescent="0.25">
      <c r="A3495" s="321" t="s">
        <v>282</v>
      </c>
      <c r="B3495" s="321" t="s">
        <v>662</v>
      </c>
      <c r="C3495" s="293">
        <v>215</v>
      </c>
      <c r="D3495" s="293">
        <v>300</v>
      </c>
      <c r="E3495" s="293">
        <v>85</v>
      </c>
      <c r="F3495" s="294" t="s">
        <v>1454</v>
      </c>
    </row>
    <row r="3496" spans="1:6" hidden="1" outlineLevel="1" collapsed="1" x14ac:dyDescent="0.25">
      <c r="A3496" s="321" t="s">
        <v>282</v>
      </c>
      <c r="B3496" s="321" t="s">
        <v>506</v>
      </c>
      <c r="C3496" s="293">
        <v>0</v>
      </c>
      <c r="D3496" s="293">
        <v>1100</v>
      </c>
      <c r="E3496" s="293">
        <v>1100</v>
      </c>
      <c r="F3496" s="294" t="s">
        <v>298</v>
      </c>
    </row>
    <row r="3497" spans="1:6" hidden="1" outlineLevel="1" collapsed="1" x14ac:dyDescent="0.25">
      <c r="A3497" s="321" t="s">
        <v>282</v>
      </c>
      <c r="B3497" s="321" t="s">
        <v>426</v>
      </c>
      <c r="C3497" s="293">
        <v>5109.8500000000004</v>
      </c>
      <c r="D3497" s="293">
        <v>4400</v>
      </c>
      <c r="E3497" s="293">
        <v>-709.85</v>
      </c>
      <c r="F3497" s="294" t="s">
        <v>1455</v>
      </c>
    </row>
    <row r="3498" spans="1:6" hidden="1" outlineLevel="1" collapsed="1" x14ac:dyDescent="0.25">
      <c r="A3498" s="321" t="s">
        <v>282</v>
      </c>
      <c r="B3498" s="321" t="s">
        <v>482</v>
      </c>
      <c r="C3498" s="293">
        <v>700</v>
      </c>
      <c r="D3498" s="293">
        <v>700</v>
      </c>
      <c r="E3498" s="293">
        <v>0</v>
      </c>
      <c r="F3498" s="294" t="s">
        <v>316</v>
      </c>
    </row>
    <row r="3499" spans="1:6" hidden="1" outlineLevel="1" collapsed="1" x14ac:dyDescent="0.25">
      <c r="A3499" s="321" t="s">
        <v>282</v>
      </c>
      <c r="B3499" s="321" t="s">
        <v>597</v>
      </c>
      <c r="C3499" s="293">
        <v>845</v>
      </c>
      <c r="D3499" s="293">
        <v>500</v>
      </c>
      <c r="E3499" s="293">
        <v>-345</v>
      </c>
      <c r="F3499" s="294" t="s">
        <v>1456</v>
      </c>
    </row>
    <row r="3500" spans="1:6" hidden="1" outlineLevel="1" collapsed="1" x14ac:dyDescent="0.25">
      <c r="A3500" s="321" t="s">
        <v>282</v>
      </c>
      <c r="B3500" s="321" t="s">
        <v>401</v>
      </c>
      <c r="C3500" s="293">
        <v>300</v>
      </c>
      <c r="D3500" s="293">
        <v>0</v>
      </c>
      <c r="E3500" s="293">
        <v>-300</v>
      </c>
      <c r="F3500" s="294" t="s">
        <v>286</v>
      </c>
    </row>
    <row r="3501" spans="1:6" hidden="1" outlineLevel="1" collapsed="1" x14ac:dyDescent="0.25">
      <c r="A3501" s="321" t="s">
        <v>282</v>
      </c>
      <c r="B3501" s="321" t="s">
        <v>405</v>
      </c>
      <c r="C3501" s="293">
        <v>430</v>
      </c>
      <c r="D3501" s="293">
        <v>0</v>
      </c>
      <c r="E3501" s="293">
        <v>-430</v>
      </c>
      <c r="F3501" s="294" t="s">
        <v>286</v>
      </c>
    </row>
    <row r="3502" spans="1:6" hidden="1" outlineLevel="1" collapsed="1" x14ac:dyDescent="0.25">
      <c r="A3502" s="321" t="s">
        <v>282</v>
      </c>
      <c r="B3502" s="321" t="s">
        <v>557</v>
      </c>
      <c r="C3502" s="293">
        <v>0</v>
      </c>
      <c r="D3502" s="293">
        <v>500</v>
      </c>
      <c r="E3502" s="293">
        <v>500</v>
      </c>
      <c r="F3502" s="294" t="s">
        <v>298</v>
      </c>
    </row>
    <row r="3503" spans="1:6" collapsed="1" x14ac:dyDescent="0.25">
      <c r="A3503" s="560" t="s">
        <v>1457</v>
      </c>
      <c r="B3503" s="561"/>
      <c r="C3503" s="292">
        <v>11704.421394999999</v>
      </c>
      <c r="D3503" s="293">
        <v>74681.033637999994</v>
      </c>
      <c r="E3503" s="293">
        <v>62976.612243000003</v>
      </c>
      <c r="F3503" s="294" t="s">
        <v>2225</v>
      </c>
    </row>
    <row r="3504" spans="1:6" hidden="1" outlineLevel="1" collapsed="1" x14ac:dyDescent="0.25">
      <c r="A3504" s="321" t="s">
        <v>282</v>
      </c>
      <c r="B3504" s="321" t="s">
        <v>464</v>
      </c>
      <c r="C3504" s="293">
        <v>-26684.272201</v>
      </c>
      <c r="D3504" s="293">
        <v>40588.255922999997</v>
      </c>
      <c r="E3504" s="293">
        <v>67272.528124000004</v>
      </c>
      <c r="F3504" s="294" t="s">
        <v>2226</v>
      </c>
    </row>
    <row r="3505" spans="1:6" hidden="1" outlineLevel="1" collapsed="1" x14ac:dyDescent="0.25">
      <c r="A3505" s="321" t="s">
        <v>282</v>
      </c>
      <c r="B3505" s="321" t="s">
        <v>945</v>
      </c>
      <c r="C3505" s="293">
        <v>6000</v>
      </c>
      <c r="D3505" s="293">
        <v>6000</v>
      </c>
      <c r="E3505" s="293">
        <v>0</v>
      </c>
      <c r="F3505" s="294" t="s">
        <v>316</v>
      </c>
    </row>
    <row r="3506" spans="1:6" hidden="1" outlineLevel="1" collapsed="1" x14ac:dyDescent="0.25">
      <c r="A3506" s="321" t="s">
        <v>282</v>
      </c>
      <c r="B3506" s="321" t="s">
        <v>799</v>
      </c>
      <c r="C3506" s="293">
        <v>13483</v>
      </c>
      <c r="D3506" s="293">
        <v>0</v>
      </c>
      <c r="E3506" s="293">
        <v>-13483</v>
      </c>
      <c r="F3506" s="294" t="s">
        <v>286</v>
      </c>
    </row>
    <row r="3507" spans="1:6" hidden="1" outlineLevel="1" collapsed="1" x14ac:dyDescent="0.25">
      <c r="A3507" s="321" t="s">
        <v>282</v>
      </c>
      <c r="B3507" s="321" t="s">
        <v>384</v>
      </c>
      <c r="C3507" s="293">
        <v>401.39355699999999</v>
      </c>
      <c r="D3507" s="293">
        <v>0</v>
      </c>
      <c r="E3507" s="293">
        <v>-401.39355699999999</v>
      </c>
      <c r="F3507" s="294" t="s">
        <v>286</v>
      </c>
    </row>
    <row r="3508" spans="1:6" hidden="1" outlineLevel="1" collapsed="1" x14ac:dyDescent="0.25">
      <c r="A3508" s="321" t="s">
        <v>282</v>
      </c>
      <c r="B3508" s="321" t="s">
        <v>385</v>
      </c>
      <c r="C3508" s="293">
        <v>0</v>
      </c>
      <c r="D3508" s="293">
        <v>6303.762025</v>
      </c>
      <c r="E3508" s="293">
        <v>6303.762025</v>
      </c>
      <c r="F3508" s="294" t="s">
        <v>298</v>
      </c>
    </row>
    <row r="3509" spans="1:6" hidden="1" outlineLevel="1" collapsed="1" x14ac:dyDescent="0.25">
      <c r="A3509" s="321" t="s">
        <v>282</v>
      </c>
      <c r="B3509" s="321" t="s">
        <v>386</v>
      </c>
      <c r="C3509" s="293">
        <v>197.82512299999999</v>
      </c>
      <c r="D3509" s="293">
        <v>0</v>
      </c>
      <c r="E3509" s="293">
        <v>-197.82512299999999</v>
      </c>
      <c r="F3509" s="294" t="s">
        <v>286</v>
      </c>
    </row>
    <row r="3510" spans="1:6" hidden="1" outlineLevel="1" collapsed="1" x14ac:dyDescent="0.25">
      <c r="A3510" s="321" t="s">
        <v>282</v>
      </c>
      <c r="B3510" s="321" t="s">
        <v>387</v>
      </c>
      <c r="C3510" s="293">
        <v>0</v>
      </c>
      <c r="D3510" s="293">
        <v>2516.4718640000001</v>
      </c>
      <c r="E3510" s="293">
        <v>2516.4718640000001</v>
      </c>
      <c r="F3510" s="294" t="s">
        <v>298</v>
      </c>
    </row>
    <row r="3511" spans="1:6" hidden="1" outlineLevel="1" collapsed="1" x14ac:dyDescent="0.25">
      <c r="A3511" s="321" t="s">
        <v>282</v>
      </c>
      <c r="B3511" s="321" t="s">
        <v>388</v>
      </c>
      <c r="C3511" s="293">
        <v>46.265552999999997</v>
      </c>
      <c r="D3511" s="293">
        <v>588.52970700000003</v>
      </c>
      <c r="E3511" s="293">
        <v>542.26415399999996</v>
      </c>
      <c r="F3511" s="294" t="s">
        <v>2227</v>
      </c>
    </row>
    <row r="3512" spans="1:6" hidden="1" outlineLevel="1" collapsed="1" x14ac:dyDescent="0.25">
      <c r="A3512" s="321" t="s">
        <v>282</v>
      </c>
      <c r="B3512" s="321" t="s">
        <v>444</v>
      </c>
      <c r="C3512" s="293">
        <v>540</v>
      </c>
      <c r="D3512" s="293">
        <v>540</v>
      </c>
      <c r="E3512" s="293">
        <v>0</v>
      </c>
      <c r="F3512" s="294" t="s">
        <v>316</v>
      </c>
    </row>
    <row r="3513" spans="1:6" hidden="1" outlineLevel="1" collapsed="1" x14ac:dyDescent="0.25">
      <c r="A3513" s="321" t="s">
        <v>282</v>
      </c>
      <c r="B3513" s="321" t="s">
        <v>389</v>
      </c>
      <c r="C3513" s="293">
        <v>426.12479999999999</v>
      </c>
      <c r="D3513" s="293">
        <v>422.04</v>
      </c>
      <c r="E3513" s="293">
        <v>-4.0848000000000004</v>
      </c>
      <c r="F3513" s="294" t="s">
        <v>364</v>
      </c>
    </row>
    <row r="3514" spans="1:6" hidden="1" outlineLevel="1" collapsed="1" x14ac:dyDescent="0.25">
      <c r="A3514" s="321" t="s">
        <v>282</v>
      </c>
      <c r="B3514" s="321" t="s">
        <v>390</v>
      </c>
      <c r="C3514" s="293">
        <v>15485.27</v>
      </c>
      <c r="D3514" s="293">
        <v>15959.28</v>
      </c>
      <c r="E3514" s="293">
        <v>474.01</v>
      </c>
      <c r="F3514" s="294" t="s">
        <v>391</v>
      </c>
    </row>
    <row r="3515" spans="1:6" hidden="1" outlineLevel="1" collapsed="1" x14ac:dyDescent="0.25">
      <c r="A3515" s="321" t="s">
        <v>282</v>
      </c>
      <c r="B3515" s="321" t="s">
        <v>392</v>
      </c>
      <c r="C3515" s="293">
        <v>233.53919999999999</v>
      </c>
      <c r="D3515" s="293">
        <v>182.88</v>
      </c>
      <c r="E3515" s="293">
        <v>-50.659199999999998</v>
      </c>
      <c r="F3515" s="294" t="s">
        <v>368</v>
      </c>
    </row>
    <row r="3516" spans="1:6" hidden="1" outlineLevel="1" collapsed="1" x14ac:dyDescent="0.25">
      <c r="A3516" s="321" t="s">
        <v>282</v>
      </c>
      <c r="B3516" s="321" t="s">
        <v>393</v>
      </c>
      <c r="C3516" s="293">
        <v>1.5953630000000001</v>
      </c>
      <c r="D3516" s="293">
        <v>20.294118999999998</v>
      </c>
      <c r="E3516" s="293">
        <v>18.698755999999999</v>
      </c>
      <c r="F3516" s="294" t="s">
        <v>2227</v>
      </c>
    </row>
    <row r="3517" spans="1:6" hidden="1" outlineLevel="1" collapsed="1" x14ac:dyDescent="0.25">
      <c r="A3517" s="321" t="s">
        <v>282</v>
      </c>
      <c r="B3517" s="321" t="s">
        <v>394</v>
      </c>
      <c r="C3517" s="293">
        <v>1500</v>
      </c>
      <c r="D3517" s="293">
        <v>0</v>
      </c>
      <c r="E3517" s="293">
        <v>-1500</v>
      </c>
      <c r="F3517" s="294" t="s">
        <v>286</v>
      </c>
    </row>
    <row r="3518" spans="1:6" hidden="1" outlineLevel="1" collapsed="1" x14ac:dyDescent="0.25">
      <c r="A3518" s="321" t="s">
        <v>282</v>
      </c>
      <c r="B3518" s="321" t="s">
        <v>395</v>
      </c>
      <c r="C3518" s="293">
        <v>0</v>
      </c>
      <c r="D3518" s="293">
        <v>1500</v>
      </c>
      <c r="E3518" s="293">
        <v>1500</v>
      </c>
      <c r="F3518" s="294" t="s">
        <v>298</v>
      </c>
    </row>
    <row r="3519" spans="1:6" hidden="1" outlineLevel="1" collapsed="1" x14ac:dyDescent="0.25">
      <c r="A3519" s="321" t="s">
        <v>282</v>
      </c>
      <c r="B3519" s="321" t="s">
        <v>396</v>
      </c>
      <c r="C3519" s="293">
        <v>49.68</v>
      </c>
      <c r="D3519" s="293">
        <v>0</v>
      </c>
      <c r="E3519" s="293">
        <v>-49.68</v>
      </c>
      <c r="F3519" s="294" t="s">
        <v>286</v>
      </c>
    </row>
    <row r="3520" spans="1:6" hidden="1" outlineLevel="1" collapsed="1" x14ac:dyDescent="0.25">
      <c r="A3520" s="321" t="s">
        <v>282</v>
      </c>
      <c r="B3520" s="321" t="s">
        <v>397</v>
      </c>
      <c r="C3520" s="293">
        <v>0</v>
      </c>
      <c r="D3520" s="293">
        <v>48.48</v>
      </c>
      <c r="E3520" s="293">
        <v>48.48</v>
      </c>
      <c r="F3520" s="294" t="s">
        <v>298</v>
      </c>
    </row>
    <row r="3521" spans="1:6" hidden="1" outlineLevel="1" collapsed="1" x14ac:dyDescent="0.25">
      <c r="A3521" s="321" t="s">
        <v>282</v>
      </c>
      <c r="B3521" s="321" t="s">
        <v>398</v>
      </c>
      <c r="C3521" s="293">
        <v>24</v>
      </c>
      <c r="D3521" s="293">
        <v>11.04</v>
      </c>
      <c r="E3521" s="293">
        <v>-12.96</v>
      </c>
      <c r="F3521" s="294" t="s">
        <v>374</v>
      </c>
    </row>
    <row r="3522" spans="1:6" collapsed="1" x14ac:dyDescent="0.25">
      <c r="A3522" s="560" t="s">
        <v>1460</v>
      </c>
      <c r="B3522" s="561"/>
      <c r="C3522" s="292">
        <v>66233.850636999996</v>
      </c>
      <c r="D3522" s="293">
        <v>69922.564387000006</v>
      </c>
      <c r="E3522" s="293">
        <v>3688.7137499999999</v>
      </c>
      <c r="F3522" s="294" t="s">
        <v>2228</v>
      </c>
    </row>
    <row r="3523" spans="1:6" hidden="1" outlineLevel="1" collapsed="1" x14ac:dyDescent="0.25">
      <c r="A3523" s="321" t="s">
        <v>282</v>
      </c>
      <c r="B3523" s="321" t="s">
        <v>464</v>
      </c>
      <c r="C3523" s="293">
        <v>26482.941676999999</v>
      </c>
      <c r="D3523" s="293">
        <v>28644.847808999999</v>
      </c>
      <c r="E3523" s="293">
        <v>2161.9061320000001</v>
      </c>
      <c r="F3523" s="294" t="s">
        <v>408</v>
      </c>
    </row>
    <row r="3524" spans="1:6" hidden="1" outlineLevel="1" collapsed="1" x14ac:dyDescent="0.25">
      <c r="A3524" s="321" t="s">
        <v>282</v>
      </c>
      <c r="B3524" s="321" t="s">
        <v>935</v>
      </c>
      <c r="C3524" s="293">
        <v>14788</v>
      </c>
      <c r="D3524" s="293">
        <v>14788</v>
      </c>
      <c r="E3524" s="293">
        <v>0</v>
      </c>
      <c r="F3524" s="294" t="s">
        <v>316</v>
      </c>
    </row>
    <row r="3525" spans="1:6" hidden="1" outlineLevel="1" collapsed="1" x14ac:dyDescent="0.25">
      <c r="A3525" s="321" t="s">
        <v>282</v>
      </c>
      <c r="B3525" s="321" t="s">
        <v>945</v>
      </c>
      <c r="C3525" s="293">
        <v>7000</v>
      </c>
      <c r="D3525" s="293">
        <v>7000</v>
      </c>
      <c r="E3525" s="293">
        <v>0</v>
      </c>
      <c r="F3525" s="294" t="s">
        <v>316</v>
      </c>
    </row>
    <row r="3526" spans="1:6" hidden="1" outlineLevel="1" collapsed="1" x14ac:dyDescent="0.25">
      <c r="A3526" s="321" t="s">
        <v>282</v>
      </c>
      <c r="B3526" s="321" t="s">
        <v>384</v>
      </c>
      <c r="C3526" s="293">
        <v>3331.5540620000002</v>
      </c>
      <c r="D3526" s="293">
        <v>0</v>
      </c>
      <c r="E3526" s="293">
        <v>-3331.5540620000002</v>
      </c>
      <c r="F3526" s="294" t="s">
        <v>286</v>
      </c>
    </row>
    <row r="3527" spans="1:6" hidden="1" outlineLevel="1" collapsed="1" x14ac:dyDescent="0.25">
      <c r="A3527" s="321" t="s">
        <v>282</v>
      </c>
      <c r="B3527" s="321" t="s">
        <v>385</v>
      </c>
      <c r="C3527" s="293">
        <v>0</v>
      </c>
      <c r="D3527" s="293">
        <v>4448.8313079999998</v>
      </c>
      <c r="E3527" s="293">
        <v>4448.8313079999998</v>
      </c>
      <c r="F3527" s="294" t="s">
        <v>298</v>
      </c>
    </row>
    <row r="3528" spans="1:6" hidden="1" outlineLevel="1" collapsed="1" x14ac:dyDescent="0.25">
      <c r="A3528" s="321" t="s">
        <v>282</v>
      </c>
      <c r="B3528" s="321" t="s">
        <v>386</v>
      </c>
      <c r="C3528" s="293">
        <v>1641.9423810000001</v>
      </c>
      <c r="D3528" s="293">
        <v>0</v>
      </c>
      <c r="E3528" s="293">
        <v>-1641.9423810000001</v>
      </c>
      <c r="F3528" s="294" t="s">
        <v>286</v>
      </c>
    </row>
    <row r="3529" spans="1:6" hidden="1" outlineLevel="1" collapsed="1" x14ac:dyDescent="0.25">
      <c r="A3529" s="321" t="s">
        <v>282</v>
      </c>
      <c r="B3529" s="321" t="s">
        <v>387</v>
      </c>
      <c r="C3529" s="293">
        <v>0</v>
      </c>
      <c r="D3529" s="293">
        <v>1775.9805610000001</v>
      </c>
      <c r="E3529" s="293">
        <v>1775.9805610000001</v>
      </c>
      <c r="F3529" s="294" t="s">
        <v>298</v>
      </c>
    </row>
    <row r="3530" spans="1:6" hidden="1" outlineLevel="1" collapsed="1" x14ac:dyDescent="0.25">
      <c r="A3530" s="321" t="s">
        <v>282</v>
      </c>
      <c r="B3530" s="321" t="s">
        <v>388</v>
      </c>
      <c r="C3530" s="293">
        <v>384.00264900000002</v>
      </c>
      <c r="D3530" s="293">
        <v>415.35028799999998</v>
      </c>
      <c r="E3530" s="293">
        <v>31.347639000000001</v>
      </c>
      <c r="F3530" s="294" t="s">
        <v>408</v>
      </c>
    </row>
    <row r="3531" spans="1:6" hidden="1" outlineLevel="1" collapsed="1" x14ac:dyDescent="0.25">
      <c r="A3531" s="321" t="s">
        <v>282</v>
      </c>
      <c r="B3531" s="321" t="s">
        <v>444</v>
      </c>
      <c r="C3531" s="293">
        <v>1961</v>
      </c>
      <c r="D3531" s="293">
        <v>1961</v>
      </c>
      <c r="E3531" s="293">
        <v>0</v>
      </c>
      <c r="F3531" s="294" t="s">
        <v>316</v>
      </c>
    </row>
    <row r="3532" spans="1:6" hidden="1" outlineLevel="1" collapsed="1" x14ac:dyDescent="0.25">
      <c r="A3532" s="321" t="s">
        <v>282</v>
      </c>
      <c r="B3532" s="321" t="s">
        <v>389</v>
      </c>
      <c r="C3532" s="293">
        <v>255.67488</v>
      </c>
      <c r="D3532" s="293">
        <v>253.22399999999999</v>
      </c>
      <c r="E3532" s="293">
        <v>-2.4508800000000002</v>
      </c>
      <c r="F3532" s="294" t="s">
        <v>364</v>
      </c>
    </row>
    <row r="3533" spans="1:6" hidden="1" outlineLevel="1" collapsed="1" x14ac:dyDescent="0.25">
      <c r="A3533" s="321" t="s">
        <v>282</v>
      </c>
      <c r="B3533" s="321" t="s">
        <v>390</v>
      </c>
      <c r="C3533" s="293">
        <v>9291.1620000000003</v>
      </c>
      <c r="D3533" s="293">
        <v>9575.5679999999993</v>
      </c>
      <c r="E3533" s="293">
        <v>284.40600000000001</v>
      </c>
      <c r="F3533" s="294" t="s">
        <v>391</v>
      </c>
    </row>
    <row r="3534" spans="1:6" hidden="1" outlineLevel="1" collapsed="1" x14ac:dyDescent="0.25">
      <c r="A3534" s="321" t="s">
        <v>282</v>
      </c>
      <c r="B3534" s="321" t="s">
        <v>392</v>
      </c>
      <c r="C3534" s="293">
        <v>140.12352000000001</v>
      </c>
      <c r="D3534" s="293">
        <v>109.72799999999999</v>
      </c>
      <c r="E3534" s="293">
        <v>-30.395520000000001</v>
      </c>
      <c r="F3534" s="294" t="s">
        <v>368</v>
      </c>
    </row>
    <row r="3535" spans="1:6" hidden="1" outlineLevel="1" collapsed="1" x14ac:dyDescent="0.25">
      <c r="A3535" s="321" t="s">
        <v>282</v>
      </c>
      <c r="B3535" s="321" t="s">
        <v>393</v>
      </c>
      <c r="C3535" s="293">
        <v>13.241467999999999</v>
      </c>
      <c r="D3535" s="293">
        <v>14.322421</v>
      </c>
      <c r="E3535" s="293">
        <v>1.0809530000000001</v>
      </c>
      <c r="F3535" s="294" t="s">
        <v>408</v>
      </c>
    </row>
    <row r="3536" spans="1:6" hidden="1" outlineLevel="1" collapsed="1" x14ac:dyDescent="0.25">
      <c r="A3536" s="321" t="s">
        <v>282</v>
      </c>
      <c r="B3536" s="321" t="s">
        <v>394</v>
      </c>
      <c r="C3536" s="293">
        <v>900</v>
      </c>
      <c r="D3536" s="293">
        <v>0</v>
      </c>
      <c r="E3536" s="293">
        <v>-900</v>
      </c>
      <c r="F3536" s="294" t="s">
        <v>286</v>
      </c>
    </row>
    <row r="3537" spans="1:6" hidden="1" outlineLevel="1" collapsed="1" x14ac:dyDescent="0.25">
      <c r="A3537" s="321" t="s">
        <v>282</v>
      </c>
      <c r="B3537" s="321" t="s">
        <v>395</v>
      </c>
      <c r="C3537" s="293">
        <v>0</v>
      </c>
      <c r="D3537" s="293">
        <v>900</v>
      </c>
      <c r="E3537" s="293">
        <v>900</v>
      </c>
      <c r="F3537" s="294" t="s">
        <v>298</v>
      </c>
    </row>
    <row r="3538" spans="1:6" hidden="1" outlineLevel="1" collapsed="1" x14ac:dyDescent="0.25">
      <c r="A3538" s="321" t="s">
        <v>282</v>
      </c>
      <c r="B3538" s="321" t="s">
        <v>396</v>
      </c>
      <c r="C3538" s="293">
        <v>29.808</v>
      </c>
      <c r="D3538" s="293">
        <v>0</v>
      </c>
      <c r="E3538" s="293">
        <v>-29.808</v>
      </c>
      <c r="F3538" s="294" t="s">
        <v>286</v>
      </c>
    </row>
    <row r="3539" spans="1:6" hidden="1" outlineLevel="1" collapsed="1" x14ac:dyDescent="0.25">
      <c r="A3539" s="321" t="s">
        <v>282</v>
      </c>
      <c r="B3539" s="321" t="s">
        <v>397</v>
      </c>
      <c r="C3539" s="293">
        <v>0</v>
      </c>
      <c r="D3539" s="293">
        <v>29.088000000000001</v>
      </c>
      <c r="E3539" s="293">
        <v>29.088000000000001</v>
      </c>
      <c r="F3539" s="294" t="s">
        <v>298</v>
      </c>
    </row>
    <row r="3540" spans="1:6" hidden="1" outlineLevel="1" collapsed="1" x14ac:dyDescent="0.25">
      <c r="A3540" s="321" t="s">
        <v>282</v>
      </c>
      <c r="B3540" s="321" t="s">
        <v>398</v>
      </c>
      <c r="C3540" s="293">
        <v>14.4</v>
      </c>
      <c r="D3540" s="293">
        <v>6.6239999999999997</v>
      </c>
      <c r="E3540" s="293">
        <v>-7.7759999999999998</v>
      </c>
      <c r="F3540" s="294" t="s">
        <v>374</v>
      </c>
    </row>
    <row r="3541" spans="1:6" collapsed="1" x14ac:dyDescent="0.25">
      <c r="A3541" s="560" t="s">
        <v>1462</v>
      </c>
      <c r="B3541" s="561"/>
      <c r="C3541" s="292">
        <v>5037</v>
      </c>
      <c r="D3541" s="293">
        <v>5037</v>
      </c>
      <c r="E3541" s="293">
        <v>0</v>
      </c>
      <c r="F3541" s="294" t="s">
        <v>316</v>
      </c>
    </row>
    <row r="3542" spans="1:6" hidden="1" outlineLevel="1" collapsed="1" x14ac:dyDescent="0.25">
      <c r="A3542" s="321" t="s">
        <v>282</v>
      </c>
      <c r="B3542" s="321" t="s">
        <v>441</v>
      </c>
      <c r="C3542" s="293">
        <v>2254</v>
      </c>
      <c r="D3542" s="293">
        <v>2254</v>
      </c>
      <c r="E3542" s="293">
        <v>0</v>
      </c>
      <c r="F3542" s="294" t="s">
        <v>316</v>
      </c>
    </row>
    <row r="3543" spans="1:6" hidden="1" outlineLevel="1" collapsed="1" x14ac:dyDescent="0.25">
      <c r="A3543" s="321" t="s">
        <v>282</v>
      </c>
      <c r="B3543" s="321" t="s">
        <v>818</v>
      </c>
      <c r="C3543" s="293">
        <v>2300</v>
      </c>
      <c r="D3543" s="293">
        <v>2300</v>
      </c>
      <c r="E3543" s="293">
        <v>0</v>
      </c>
      <c r="F3543" s="294" t="s">
        <v>316</v>
      </c>
    </row>
    <row r="3544" spans="1:6" hidden="1" outlineLevel="1" collapsed="1" x14ac:dyDescent="0.25">
      <c r="A3544" s="321" t="s">
        <v>282</v>
      </c>
      <c r="B3544" s="321" t="s">
        <v>444</v>
      </c>
      <c r="C3544" s="293">
        <v>483</v>
      </c>
      <c r="D3544" s="293">
        <v>483</v>
      </c>
      <c r="E3544" s="293">
        <v>0</v>
      </c>
      <c r="F3544" s="294" t="s">
        <v>316</v>
      </c>
    </row>
    <row r="3545" spans="1:6" collapsed="1" x14ac:dyDescent="0.25">
      <c r="A3545" s="560" t="s">
        <v>1463</v>
      </c>
      <c r="B3545" s="561"/>
      <c r="C3545" s="292">
        <v>31823.233758999999</v>
      </c>
      <c r="D3545" s="293">
        <v>30782.376256</v>
      </c>
      <c r="E3545" s="293">
        <v>-1040.857503</v>
      </c>
      <c r="F3545" s="294" t="s">
        <v>2229</v>
      </c>
    </row>
    <row r="3546" spans="1:6" hidden="1" outlineLevel="1" collapsed="1" x14ac:dyDescent="0.25">
      <c r="A3546" s="321" t="s">
        <v>282</v>
      </c>
      <c r="B3546" s="321" t="s">
        <v>464</v>
      </c>
      <c r="C3546" s="293">
        <v>17655.294451999998</v>
      </c>
      <c r="D3546" s="293">
        <v>19096.565205999999</v>
      </c>
      <c r="E3546" s="293">
        <v>1441.2707539999999</v>
      </c>
      <c r="F3546" s="294" t="s">
        <v>408</v>
      </c>
    </row>
    <row r="3547" spans="1:6" hidden="1" outlineLevel="1" collapsed="1" x14ac:dyDescent="0.25">
      <c r="A3547" s="321" t="s">
        <v>282</v>
      </c>
      <c r="B3547" s="321" t="s">
        <v>476</v>
      </c>
      <c r="C3547" s="293">
        <v>3203</v>
      </c>
      <c r="D3547" s="293">
        <v>0</v>
      </c>
      <c r="E3547" s="293">
        <v>-3203</v>
      </c>
      <c r="F3547" s="294" t="s">
        <v>286</v>
      </c>
    </row>
    <row r="3548" spans="1:6" hidden="1" outlineLevel="1" collapsed="1" x14ac:dyDescent="0.25">
      <c r="A3548" s="321" t="s">
        <v>282</v>
      </c>
      <c r="B3548" s="321" t="s">
        <v>384</v>
      </c>
      <c r="C3548" s="293">
        <v>2221.0360420000002</v>
      </c>
      <c r="D3548" s="293">
        <v>0</v>
      </c>
      <c r="E3548" s="293">
        <v>-2221.0360420000002</v>
      </c>
      <c r="F3548" s="294" t="s">
        <v>286</v>
      </c>
    </row>
    <row r="3549" spans="1:6" hidden="1" outlineLevel="1" collapsed="1" x14ac:dyDescent="0.25">
      <c r="A3549" s="321" t="s">
        <v>282</v>
      </c>
      <c r="B3549" s="321" t="s">
        <v>385</v>
      </c>
      <c r="C3549" s="293">
        <v>0</v>
      </c>
      <c r="D3549" s="293">
        <v>2965.8875379999999</v>
      </c>
      <c r="E3549" s="293">
        <v>2965.8875379999999</v>
      </c>
      <c r="F3549" s="294" t="s">
        <v>298</v>
      </c>
    </row>
    <row r="3550" spans="1:6" hidden="1" outlineLevel="1" collapsed="1" x14ac:dyDescent="0.25">
      <c r="A3550" s="321" t="s">
        <v>282</v>
      </c>
      <c r="B3550" s="321" t="s">
        <v>386</v>
      </c>
      <c r="C3550" s="293">
        <v>1094.628254</v>
      </c>
      <c r="D3550" s="293">
        <v>0</v>
      </c>
      <c r="E3550" s="293">
        <v>-1094.628254</v>
      </c>
      <c r="F3550" s="294" t="s">
        <v>286</v>
      </c>
    </row>
    <row r="3551" spans="1:6" hidden="1" outlineLevel="1" collapsed="1" x14ac:dyDescent="0.25">
      <c r="A3551" s="321" t="s">
        <v>282</v>
      </c>
      <c r="B3551" s="321" t="s">
        <v>387</v>
      </c>
      <c r="C3551" s="293">
        <v>0</v>
      </c>
      <c r="D3551" s="293">
        <v>1183.98704</v>
      </c>
      <c r="E3551" s="293">
        <v>1183.98704</v>
      </c>
      <c r="F3551" s="294" t="s">
        <v>298</v>
      </c>
    </row>
    <row r="3552" spans="1:6" hidden="1" outlineLevel="1" collapsed="1" x14ac:dyDescent="0.25">
      <c r="A3552" s="321" t="s">
        <v>282</v>
      </c>
      <c r="B3552" s="321" t="s">
        <v>388</v>
      </c>
      <c r="C3552" s="293">
        <v>256.00176599999998</v>
      </c>
      <c r="D3552" s="293">
        <v>276.900192</v>
      </c>
      <c r="E3552" s="293">
        <v>20.898426000000001</v>
      </c>
      <c r="F3552" s="294" t="s">
        <v>408</v>
      </c>
    </row>
    <row r="3553" spans="1:6" hidden="1" outlineLevel="1" collapsed="1" x14ac:dyDescent="0.25">
      <c r="A3553" s="321" t="s">
        <v>282</v>
      </c>
      <c r="B3553" s="321" t="s">
        <v>444</v>
      </c>
      <c r="C3553" s="293">
        <v>297</v>
      </c>
      <c r="D3553" s="293">
        <v>0</v>
      </c>
      <c r="E3553" s="293">
        <v>-297</v>
      </c>
      <c r="F3553" s="294" t="s">
        <v>286</v>
      </c>
    </row>
    <row r="3554" spans="1:6" hidden="1" outlineLevel="1" collapsed="1" x14ac:dyDescent="0.25">
      <c r="A3554" s="321" t="s">
        <v>282</v>
      </c>
      <c r="B3554" s="321" t="s">
        <v>389</v>
      </c>
      <c r="C3554" s="293">
        <v>170.44991999999999</v>
      </c>
      <c r="D3554" s="293">
        <v>168.816</v>
      </c>
      <c r="E3554" s="293">
        <v>-1.63392</v>
      </c>
      <c r="F3554" s="294" t="s">
        <v>364</v>
      </c>
    </row>
    <row r="3555" spans="1:6" hidden="1" outlineLevel="1" collapsed="1" x14ac:dyDescent="0.25">
      <c r="A3555" s="321" t="s">
        <v>282</v>
      </c>
      <c r="B3555" s="321" t="s">
        <v>390</v>
      </c>
      <c r="C3555" s="293">
        <v>6194.1080000000002</v>
      </c>
      <c r="D3555" s="293">
        <v>6383.7120000000004</v>
      </c>
      <c r="E3555" s="293">
        <v>189.60400000000001</v>
      </c>
      <c r="F3555" s="294" t="s">
        <v>391</v>
      </c>
    </row>
    <row r="3556" spans="1:6" hidden="1" outlineLevel="1" collapsed="1" x14ac:dyDescent="0.25">
      <c r="A3556" s="321" t="s">
        <v>282</v>
      </c>
      <c r="B3556" s="321" t="s">
        <v>392</v>
      </c>
      <c r="C3556" s="293">
        <v>93.415679999999995</v>
      </c>
      <c r="D3556" s="293">
        <v>73.152000000000001</v>
      </c>
      <c r="E3556" s="293">
        <v>-20.263680000000001</v>
      </c>
      <c r="F3556" s="294" t="s">
        <v>368</v>
      </c>
    </row>
    <row r="3557" spans="1:6" hidden="1" outlineLevel="1" collapsed="1" x14ac:dyDescent="0.25">
      <c r="A3557" s="321" t="s">
        <v>282</v>
      </c>
      <c r="B3557" s="321" t="s">
        <v>393</v>
      </c>
      <c r="C3557" s="293">
        <v>8.8276450000000004</v>
      </c>
      <c r="D3557" s="293">
        <v>9.5482800000000001</v>
      </c>
      <c r="E3557" s="293">
        <v>0.72063500000000003</v>
      </c>
      <c r="F3557" s="294" t="s">
        <v>408</v>
      </c>
    </row>
    <row r="3558" spans="1:6" hidden="1" outlineLevel="1" collapsed="1" x14ac:dyDescent="0.25">
      <c r="A3558" s="321" t="s">
        <v>282</v>
      </c>
      <c r="B3558" s="321" t="s">
        <v>394</v>
      </c>
      <c r="C3558" s="293">
        <v>600</v>
      </c>
      <c r="D3558" s="293">
        <v>0</v>
      </c>
      <c r="E3558" s="293">
        <v>-600</v>
      </c>
      <c r="F3558" s="294" t="s">
        <v>286</v>
      </c>
    </row>
    <row r="3559" spans="1:6" hidden="1" outlineLevel="1" collapsed="1" x14ac:dyDescent="0.25">
      <c r="A3559" s="321" t="s">
        <v>282</v>
      </c>
      <c r="B3559" s="321" t="s">
        <v>395</v>
      </c>
      <c r="C3559" s="293">
        <v>0</v>
      </c>
      <c r="D3559" s="293">
        <v>600</v>
      </c>
      <c r="E3559" s="293">
        <v>600</v>
      </c>
      <c r="F3559" s="294" t="s">
        <v>298</v>
      </c>
    </row>
    <row r="3560" spans="1:6" hidden="1" outlineLevel="1" collapsed="1" x14ac:dyDescent="0.25">
      <c r="A3560" s="321" t="s">
        <v>282</v>
      </c>
      <c r="B3560" s="321" t="s">
        <v>396</v>
      </c>
      <c r="C3560" s="293">
        <v>19.872</v>
      </c>
      <c r="D3560" s="293">
        <v>0</v>
      </c>
      <c r="E3560" s="293">
        <v>-19.872</v>
      </c>
      <c r="F3560" s="294" t="s">
        <v>286</v>
      </c>
    </row>
    <row r="3561" spans="1:6" hidden="1" outlineLevel="1" collapsed="1" x14ac:dyDescent="0.25">
      <c r="A3561" s="321" t="s">
        <v>282</v>
      </c>
      <c r="B3561" s="321" t="s">
        <v>397</v>
      </c>
      <c r="C3561" s="293">
        <v>0</v>
      </c>
      <c r="D3561" s="293">
        <v>19.391999999999999</v>
      </c>
      <c r="E3561" s="293">
        <v>19.391999999999999</v>
      </c>
      <c r="F3561" s="294" t="s">
        <v>298</v>
      </c>
    </row>
    <row r="3562" spans="1:6" hidden="1" outlineLevel="1" collapsed="1" x14ac:dyDescent="0.25">
      <c r="A3562" s="321" t="s">
        <v>282</v>
      </c>
      <c r="B3562" s="321" t="s">
        <v>398</v>
      </c>
      <c r="C3562" s="293">
        <v>9.6</v>
      </c>
      <c r="D3562" s="293">
        <v>4.4160000000000004</v>
      </c>
      <c r="E3562" s="293">
        <v>-5.1840000000000002</v>
      </c>
      <c r="F3562" s="294" t="s">
        <v>374</v>
      </c>
    </row>
    <row r="3563" spans="1:6" collapsed="1" x14ac:dyDescent="0.25">
      <c r="A3563" s="560" t="s">
        <v>1465</v>
      </c>
      <c r="B3563" s="561"/>
      <c r="C3563" s="292">
        <v>250396.66270399999</v>
      </c>
      <c r="D3563" s="293">
        <v>258988.74927199999</v>
      </c>
      <c r="E3563" s="293">
        <v>8592.0865680000006</v>
      </c>
      <c r="F3563" s="294" t="s">
        <v>1287</v>
      </c>
    </row>
    <row r="3564" spans="1:6" hidden="1" outlineLevel="1" collapsed="1" x14ac:dyDescent="0.25">
      <c r="A3564" s="321" t="s">
        <v>282</v>
      </c>
      <c r="B3564" s="321" t="s">
        <v>780</v>
      </c>
      <c r="C3564" s="293">
        <v>133899.819036</v>
      </c>
      <c r="D3564" s="293">
        <v>135908.31487199999</v>
      </c>
      <c r="E3564" s="293">
        <v>2008.4958360000001</v>
      </c>
      <c r="F3564" s="294" t="s">
        <v>510</v>
      </c>
    </row>
    <row r="3565" spans="1:6" hidden="1" outlineLevel="1" collapsed="1" x14ac:dyDescent="0.25">
      <c r="A3565" s="321" t="s">
        <v>282</v>
      </c>
      <c r="B3565" s="321" t="s">
        <v>464</v>
      </c>
      <c r="C3565" s="293">
        <v>52166.436152000002</v>
      </c>
      <c r="D3565" s="293">
        <v>53978.015592000003</v>
      </c>
      <c r="E3565" s="293">
        <v>1811.57944</v>
      </c>
      <c r="F3565" s="294" t="s">
        <v>2230</v>
      </c>
    </row>
    <row r="3566" spans="1:6" hidden="1" outlineLevel="1" collapsed="1" x14ac:dyDescent="0.25">
      <c r="A3566" s="321" t="s">
        <v>282</v>
      </c>
      <c r="B3566" s="321" t="s">
        <v>751</v>
      </c>
      <c r="C3566" s="293">
        <v>17473.926383999999</v>
      </c>
      <c r="D3566" s="293">
        <v>0</v>
      </c>
      <c r="E3566" s="293">
        <v>-17473.926383999999</v>
      </c>
      <c r="F3566" s="294" t="s">
        <v>286</v>
      </c>
    </row>
    <row r="3567" spans="1:6" hidden="1" outlineLevel="1" collapsed="1" x14ac:dyDescent="0.25">
      <c r="A3567" s="321" t="s">
        <v>282</v>
      </c>
      <c r="B3567" s="321" t="s">
        <v>752</v>
      </c>
      <c r="C3567" s="293">
        <v>0</v>
      </c>
      <c r="D3567" s="293">
        <v>19611.569832000001</v>
      </c>
      <c r="E3567" s="293">
        <v>19611.569832000001</v>
      </c>
      <c r="F3567" s="294" t="s">
        <v>298</v>
      </c>
    </row>
    <row r="3568" spans="1:6" hidden="1" outlineLevel="1" collapsed="1" x14ac:dyDescent="0.25">
      <c r="A3568" s="321" t="s">
        <v>282</v>
      </c>
      <c r="B3568" s="321" t="s">
        <v>384</v>
      </c>
      <c r="C3568" s="293">
        <v>6461.8976640000001</v>
      </c>
      <c r="D3568" s="293">
        <v>0</v>
      </c>
      <c r="E3568" s="293">
        <v>-6461.8976640000001</v>
      </c>
      <c r="F3568" s="294" t="s">
        <v>286</v>
      </c>
    </row>
    <row r="3569" spans="1:6" hidden="1" outlineLevel="1" collapsed="1" x14ac:dyDescent="0.25">
      <c r="A3569" s="321" t="s">
        <v>282</v>
      </c>
      <c r="B3569" s="321" t="s">
        <v>385</v>
      </c>
      <c r="C3569" s="293">
        <v>0</v>
      </c>
      <c r="D3569" s="293">
        <v>8218.8476520000004</v>
      </c>
      <c r="E3569" s="293">
        <v>8218.8476520000004</v>
      </c>
      <c r="F3569" s="294" t="s">
        <v>298</v>
      </c>
    </row>
    <row r="3570" spans="1:6" hidden="1" outlineLevel="1" collapsed="1" x14ac:dyDescent="0.25">
      <c r="A3570" s="321" t="s">
        <v>282</v>
      </c>
      <c r="B3570" s="321" t="s">
        <v>386</v>
      </c>
      <c r="C3570" s="293">
        <v>3234.3190319999999</v>
      </c>
      <c r="D3570" s="293">
        <v>0</v>
      </c>
      <c r="E3570" s="293">
        <v>-3234.3190319999999</v>
      </c>
      <c r="F3570" s="294" t="s">
        <v>286</v>
      </c>
    </row>
    <row r="3571" spans="1:6" hidden="1" outlineLevel="1" collapsed="1" x14ac:dyDescent="0.25">
      <c r="A3571" s="321" t="s">
        <v>282</v>
      </c>
      <c r="B3571" s="321" t="s">
        <v>387</v>
      </c>
      <c r="C3571" s="293">
        <v>0</v>
      </c>
      <c r="D3571" s="293">
        <v>3346.6369559999998</v>
      </c>
      <c r="E3571" s="293">
        <v>3346.6369559999998</v>
      </c>
      <c r="F3571" s="294" t="s">
        <v>298</v>
      </c>
    </row>
    <row r="3572" spans="1:6" hidden="1" outlineLevel="1" collapsed="1" x14ac:dyDescent="0.25">
      <c r="A3572" s="321" t="s">
        <v>282</v>
      </c>
      <c r="B3572" s="321" t="s">
        <v>388</v>
      </c>
      <c r="C3572" s="293">
        <v>756.41331600000001</v>
      </c>
      <c r="D3572" s="293">
        <v>782.68122000000005</v>
      </c>
      <c r="E3572" s="293">
        <v>26.267904000000001</v>
      </c>
      <c r="F3572" s="294" t="s">
        <v>2230</v>
      </c>
    </row>
    <row r="3573" spans="1:6" hidden="1" outlineLevel="1" collapsed="1" x14ac:dyDescent="0.25">
      <c r="A3573" s="321" t="s">
        <v>282</v>
      </c>
      <c r="B3573" s="321" t="s">
        <v>389</v>
      </c>
      <c r="C3573" s="293">
        <v>426.12479999999999</v>
      </c>
      <c r="D3573" s="293">
        <v>422.04</v>
      </c>
      <c r="E3573" s="293">
        <v>-4.0848000000000004</v>
      </c>
      <c r="F3573" s="294" t="s">
        <v>364</v>
      </c>
    </row>
    <row r="3574" spans="1:6" hidden="1" outlineLevel="1" collapsed="1" x14ac:dyDescent="0.25">
      <c r="A3574" s="321" t="s">
        <v>282</v>
      </c>
      <c r="B3574" s="321" t="s">
        <v>390</v>
      </c>
      <c r="C3574" s="293">
        <v>15485.27</v>
      </c>
      <c r="D3574" s="293">
        <v>15959.28</v>
      </c>
      <c r="E3574" s="293">
        <v>474.01</v>
      </c>
      <c r="F3574" s="294" t="s">
        <v>391</v>
      </c>
    </row>
    <row r="3575" spans="1:6" hidden="1" outlineLevel="1" collapsed="1" x14ac:dyDescent="0.25">
      <c r="A3575" s="321" t="s">
        <v>282</v>
      </c>
      <c r="B3575" s="321" t="s">
        <v>392</v>
      </c>
      <c r="C3575" s="293">
        <v>233.53919999999999</v>
      </c>
      <c r="D3575" s="293">
        <v>182.88</v>
      </c>
      <c r="E3575" s="293">
        <v>-50.659199999999998</v>
      </c>
      <c r="F3575" s="294" t="s">
        <v>368</v>
      </c>
    </row>
    <row r="3576" spans="1:6" hidden="1" outlineLevel="1" collapsed="1" x14ac:dyDescent="0.25">
      <c r="A3576" s="321" t="s">
        <v>282</v>
      </c>
      <c r="B3576" s="321" t="s">
        <v>754</v>
      </c>
      <c r="C3576" s="293">
        <v>15358.56</v>
      </c>
      <c r="D3576" s="293">
        <v>15959.28</v>
      </c>
      <c r="E3576" s="293">
        <v>600.72</v>
      </c>
      <c r="F3576" s="294" t="s">
        <v>366</v>
      </c>
    </row>
    <row r="3577" spans="1:6" hidden="1" outlineLevel="1" collapsed="1" x14ac:dyDescent="0.25">
      <c r="A3577" s="321" t="s">
        <v>282</v>
      </c>
      <c r="B3577" s="321" t="s">
        <v>755</v>
      </c>
      <c r="C3577" s="293">
        <v>426.12479999999999</v>
      </c>
      <c r="D3577" s="293">
        <v>422.04</v>
      </c>
      <c r="E3577" s="293">
        <v>-4.0848000000000004</v>
      </c>
      <c r="F3577" s="294" t="s">
        <v>364</v>
      </c>
    </row>
    <row r="3578" spans="1:6" hidden="1" outlineLevel="1" collapsed="1" x14ac:dyDescent="0.25">
      <c r="A3578" s="321" t="s">
        <v>282</v>
      </c>
      <c r="B3578" s="321" t="s">
        <v>756</v>
      </c>
      <c r="C3578" s="293">
        <v>233.53919999999999</v>
      </c>
      <c r="D3578" s="293">
        <v>182.88</v>
      </c>
      <c r="E3578" s="293">
        <v>-50.659199999999998</v>
      </c>
      <c r="F3578" s="294" t="s">
        <v>368</v>
      </c>
    </row>
    <row r="3579" spans="1:6" hidden="1" outlineLevel="1" collapsed="1" x14ac:dyDescent="0.25">
      <c r="A3579" s="321" t="s">
        <v>282</v>
      </c>
      <c r="B3579" s="321" t="s">
        <v>393</v>
      </c>
      <c r="C3579" s="293">
        <v>26.083212</v>
      </c>
      <c r="D3579" s="293">
        <v>26.988996</v>
      </c>
      <c r="E3579" s="293">
        <v>0.90578400000000003</v>
      </c>
      <c r="F3579" s="294" t="s">
        <v>2230</v>
      </c>
    </row>
    <row r="3580" spans="1:6" hidden="1" outlineLevel="1" collapsed="1" x14ac:dyDescent="0.25">
      <c r="A3580" s="321" t="s">
        <v>282</v>
      </c>
      <c r="B3580" s="321" t="s">
        <v>757</v>
      </c>
      <c r="C3580" s="293">
        <v>67.249908000000005</v>
      </c>
      <c r="D3580" s="293">
        <v>0</v>
      </c>
      <c r="E3580" s="293">
        <v>-67.249908000000005</v>
      </c>
      <c r="F3580" s="294" t="s">
        <v>286</v>
      </c>
    </row>
    <row r="3581" spans="1:6" hidden="1" outlineLevel="1" collapsed="1" x14ac:dyDescent="0.25">
      <c r="A3581" s="321" t="s">
        <v>282</v>
      </c>
      <c r="B3581" s="321" t="s">
        <v>758</v>
      </c>
      <c r="C3581" s="293">
        <v>0</v>
      </c>
      <c r="D3581" s="293">
        <v>68.254152000000005</v>
      </c>
      <c r="E3581" s="293">
        <v>68.254152000000005</v>
      </c>
      <c r="F3581" s="294" t="s">
        <v>298</v>
      </c>
    </row>
    <row r="3582" spans="1:6" hidden="1" outlineLevel="1" collapsed="1" x14ac:dyDescent="0.25">
      <c r="A3582" s="321" t="s">
        <v>282</v>
      </c>
      <c r="B3582" s="321" t="s">
        <v>394</v>
      </c>
      <c r="C3582" s="293">
        <v>1500</v>
      </c>
      <c r="D3582" s="293">
        <v>0</v>
      </c>
      <c r="E3582" s="293">
        <v>-1500</v>
      </c>
      <c r="F3582" s="294" t="s">
        <v>286</v>
      </c>
    </row>
    <row r="3583" spans="1:6" hidden="1" outlineLevel="1" collapsed="1" x14ac:dyDescent="0.25">
      <c r="A3583" s="321" t="s">
        <v>282</v>
      </c>
      <c r="B3583" s="321" t="s">
        <v>395</v>
      </c>
      <c r="C3583" s="293">
        <v>0</v>
      </c>
      <c r="D3583" s="293">
        <v>1500</v>
      </c>
      <c r="E3583" s="293">
        <v>1500</v>
      </c>
      <c r="F3583" s="294" t="s">
        <v>298</v>
      </c>
    </row>
    <row r="3584" spans="1:6" hidden="1" outlineLevel="1" collapsed="1" x14ac:dyDescent="0.25">
      <c r="A3584" s="321" t="s">
        <v>282</v>
      </c>
      <c r="B3584" s="321" t="s">
        <v>759</v>
      </c>
      <c r="C3584" s="293">
        <v>1500</v>
      </c>
      <c r="D3584" s="293">
        <v>0</v>
      </c>
      <c r="E3584" s="293">
        <v>-1500</v>
      </c>
      <c r="F3584" s="294" t="s">
        <v>286</v>
      </c>
    </row>
    <row r="3585" spans="1:6" hidden="1" outlineLevel="1" collapsed="1" x14ac:dyDescent="0.25">
      <c r="A3585" s="321" t="s">
        <v>282</v>
      </c>
      <c r="B3585" s="321" t="s">
        <v>760</v>
      </c>
      <c r="C3585" s="293">
        <v>0</v>
      </c>
      <c r="D3585" s="293">
        <v>1500</v>
      </c>
      <c r="E3585" s="293">
        <v>1500</v>
      </c>
      <c r="F3585" s="294" t="s">
        <v>298</v>
      </c>
    </row>
    <row r="3586" spans="1:6" hidden="1" outlineLevel="1" collapsed="1" x14ac:dyDescent="0.25">
      <c r="A3586" s="321" t="s">
        <v>282</v>
      </c>
      <c r="B3586" s="321" t="s">
        <v>396</v>
      </c>
      <c r="C3586" s="293">
        <v>49.68</v>
      </c>
      <c r="D3586" s="293">
        <v>0</v>
      </c>
      <c r="E3586" s="293">
        <v>-49.68</v>
      </c>
      <c r="F3586" s="294" t="s">
        <v>286</v>
      </c>
    </row>
    <row r="3587" spans="1:6" hidden="1" outlineLevel="1" collapsed="1" x14ac:dyDescent="0.25">
      <c r="A3587" s="321" t="s">
        <v>282</v>
      </c>
      <c r="B3587" s="321" t="s">
        <v>397</v>
      </c>
      <c r="C3587" s="293">
        <v>0</v>
      </c>
      <c r="D3587" s="293">
        <v>48.48</v>
      </c>
      <c r="E3587" s="293">
        <v>48.48</v>
      </c>
      <c r="F3587" s="294" t="s">
        <v>298</v>
      </c>
    </row>
    <row r="3588" spans="1:6" hidden="1" outlineLevel="1" collapsed="1" x14ac:dyDescent="0.25">
      <c r="A3588" s="321" t="s">
        <v>282</v>
      </c>
      <c r="B3588" s="321" t="s">
        <v>761</v>
      </c>
      <c r="C3588" s="293">
        <v>49.68</v>
      </c>
      <c r="D3588" s="293">
        <v>0</v>
      </c>
      <c r="E3588" s="293">
        <v>-49.68</v>
      </c>
      <c r="F3588" s="294" t="s">
        <v>286</v>
      </c>
    </row>
    <row r="3589" spans="1:6" hidden="1" outlineLevel="1" collapsed="1" x14ac:dyDescent="0.25">
      <c r="A3589" s="321" t="s">
        <v>282</v>
      </c>
      <c r="B3589" s="321" t="s">
        <v>762</v>
      </c>
      <c r="C3589" s="293">
        <v>0</v>
      </c>
      <c r="D3589" s="293">
        <v>48.48</v>
      </c>
      <c r="E3589" s="293">
        <v>48.48</v>
      </c>
      <c r="F3589" s="294" t="s">
        <v>298</v>
      </c>
    </row>
    <row r="3590" spans="1:6" hidden="1" outlineLevel="1" collapsed="1" x14ac:dyDescent="0.25">
      <c r="A3590" s="321" t="s">
        <v>282</v>
      </c>
      <c r="B3590" s="321" t="s">
        <v>398</v>
      </c>
      <c r="C3590" s="293">
        <v>24</v>
      </c>
      <c r="D3590" s="293">
        <v>11.04</v>
      </c>
      <c r="E3590" s="293">
        <v>-12.96</v>
      </c>
      <c r="F3590" s="294" t="s">
        <v>374</v>
      </c>
    </row>
    <row r="3591" spans="1:6" hidden="1" outlineLevel="1" collapsed="1" x14ac:dyDescent="0.25">
      <c r="A3591" s="321" t="s">
        <v>282</v>
      </c>
      <c r="B3591" s="321" t="s">
        <v>763</v>
      </c>
      <c r="C3591" s="293">
        <v>24</v>
      </c>
      <c r="D3591" s="293">
        <v>11.04</v>
      </c>
      <c r="E3591" s="293">
        <v>-12.96</v>
      </c>
      <c r="F3591" s="294" t="s">
        <v>374</v>
      </c>
    </row>
    <row r="3592" spans="1:6" hidden="1" outlineLevel="1" collapsed="1" x14ac:dyDescent="0.25">
      <c r="A3592" s="321" t="s">
        <v>282</v>
      </c>
      <c r="B3592" s="321" t="s">
        <v>376</v>
      </c>
      <c r="C3592" s="293">
        <v>400</v>
      </c>
      <c r="D3592" s="293">
        <v>200</v>
      </c>
      <c r="E3592" s="293">
        <v>-200</v>
      </c>
      <c r="F3592" s="294" t="s">
        <v>722</v>
      </c>
    </row>
    <row r="3593" spans="1:6" hidden="1" outlineLevel="1" collapsed="1" x14ac:dyDescent="0.25">
      <c r="A3593" s="321" t="s">
        <v>282</v>
      </c>
      <c r="B3593" s="321" t="s">
        <v>707</v>
      </c>
      <c r="C3593" s="293">
        <v>600</v>
      </c>
      <c r="D3593" s="293">
        <v>600</v>
      </c>
      <c r="E3593" s="293">
        <v>0</v>
      </c>
      <c r="F3593" s="294" t="s">
        <v>316</v>
      </c>
    </row>
    <row r="3594" spans="1:6" collapsed="1" x14ac:dyDescent="0.25">
      <c r="A3594" s="560" t="s">
        <v>1466</v>
      </c>
      <c r="B3594" s="561"/>
      <c r="C3594" s="292">
        <v>30410.244160999999</v>
      </c>
      <c r="D3594" s="293">
        <v>114413.743038</v>
      </c>
      <c r="E3594" s="293">
        <v>84003.498877000005</v>
      </c>
      <c r="F3594" s="294" t="s">
        <v>1467</v>
      </c>
    </row>
    <row r="3595" spans="1:6" hidden="1" outlineLevel="1" collapsed="1" x14ac:dyDescent="0.25">
      <c r="A3595" s="321" t="s">
        <v>282</v>
      </c>
      <c r="B3595" s="321" t="s">
        <v>1143</v>
      </c>
      <c r="C3595" s="293">
        <v>2.6661000000000001E-2</v>
      </c>
      <c r="D3595" s="293">
        <v>78842.236187999995</v>
      </c>
      <c r="E3595" s="293">
        <v>78842.209526999999</v>
      </c>
      <c r="F3595" s="294" t="s">
        <v>1468</v>
      </c>
    </row>
    <row r="3596" spans="1:6" hidden="1" outlineLevel="1" collapsed="1" x14ac:dyDescent="0.25">
      <c r="A3596" s="321" t="s">
        <v>282</v>
      </c>
      <c r="B3596" s="321" t="s">
        <v>751</v>
      </c>
      <c r="C3596" s="293">
        <v>8983.6234690000001</v>
      </c>
      <c r="D3596" s="293">
        <v>0</v>
      </c>
      <c r="E3596" s="293">
        <v>-8983.6234690000001</v>
      </c>
      <c r="F3596" s="294" t="s">
        <v>286</v>
      </c>
    </row>
    <row r="3597" spans="1:6" hidden="1" outlineLevel="1" collapsed="1" x14ac:dyDescent="0.25">
      <c r="A3597" s="321" t="s">
        <v>282</v>
      </c>
      <c r="B3597" s="321" t="s">
        <v>752</v>
      </c>
      <c r="C3597" s="293">
        <v>0</v>
      </c>
      <c r="D3597" s="293">
        <v>11376.934676999999</v>
      </c>
      <c r="E3597" s="293">
        <v>11376.934676999999</v>
      </c>
      <c r="F3597" s="294" t="s">
        <v>298</v>
      </c>
    </row>
    <row r="3598" spans="1:6" hidden="1" outlineLevel="1" collapsed="1" x14ac:dyDescent="0.25">
      <c r="A3598" s="321" t="s">
        <v>282</v>
      </c>
      <c r="B3598" s="321" t="s">
        <v>753</v>
      </c>
      <c r="C3598" s="293">
        <v>4268.0816450000002</v>
      </c>
      <c r="D3598" s="293">
        <v>4888.2186419999998</v>
      </c>
      <c r="E3598" s="293">
        <v>620.13699699999995</v>
      </c>
      <c r="F3598" s="294" t="s">
        <v>1469</v>
      </c>
    </row>
    <row r="3599" spans="1:6" hidden="1" outlineLevel="1" collapsed="1" x14ac:dyDescent="0.25">
      <c r="A3599" s="321" t="s">
        <v>282</v>
      </c>
      <c r="B3599" s="321" t="s">
        <v>388</v>
      </c>
      <c r="C3599" s="293">
        <v>998.18038100000001</v>
      </c>
      <c r="D3599" s="293">
        <v>1143.2124209999999</v>
      </c>
      <c r="E3599" s="293">
        <v>145.03203999999999</v>
      </c>
      <c r="F3599" s="294" t="s">
        <v>1469</v>
      </c>
    </row>
    <row r="3600" spans="1:6" hidden="1" outlineLevel="1" collapsed="1" x14ac:dyDescent="0.25">
      <c r="A3600" s="321" t="s">
        <v>282</v>
      </c>
      <c r="B3600" s="321" t="s">
        <v>754</v>
      </c>
      <c r="C3600" s="293">
        <v>14078.68</v>
      </c>
      <c r="D3600" s="293">
        <v>15959.28</v>
      </c>
      <c r="E3600" s="293">
        <v>1880.6</v>
      </c>
      <c r="F3600" s="294" t="s">
        <v>1470</v>
      </c>
    </row>
    <row r="3601" spans="1:6" hidden="1" outlineLevel="1" collapsed="1" x14ac:dyDescent="0.25">
      <c r="A3601" s="321" t="s">
        <v>282</v>
      </c>
      <c r="B3601" s="321" t="s">
        <v>755</v>
      </c>
      <c r="C3601" s="293">
        <v>390.61439999999999</v>
      </c>
      <c r="D3601" s="293">
        <v>422.04</v>
      </c>
      <c r="E3601" s="293">
        <v>31.425599999999999</v>
      </c>
      <c r="F3601" s="294" t="s">
        <v>691</v>
      </c>
    </row>
    <row r="3602" spans="1:6" hidden="1" outlineLevel="1" collapsed="1" x14ac:dyDescent="0.25">
      <c r="A3602" s="321" t="s">
        <v>282</v>
      </c>
      <c r="B3602" s="321" t="s">
        <v>756</v>
      </c>
      <c r="C3602" s="293">
        <v>214.07759999999999</v>
      </c>
      <c r="D3602" s="293">
        <v>182.88</v>
      </c>
      <c r="E3602" s="293">
        <v>-31.197600000000001</v>
      </c>
      <c r="F3602" s="294" t="s">
        <v>692</v>
      </c>
    </row>
    <row r="3603" spans="1:6" hidden="1" outlineLevel="1" collapsed="1" x14ac:dyDescent="0.25">
      <c r="A3603" s="321" t="s">
        <v>282</v>
      </c>
      <c r="B3603" s="321" t="s">
        <v>757</v>
      </c>
      <c r="C3603" s="293">
        <v>34.420005000000003</v>
      </c>
      <c r="D3603" s="293">
        <v>0</v>
      </c>
      <c r="E3603" s="293">
        <v>-34.420005000000003</v>
      </c>
      <c r="F3603" s="294" t="s">
        <v>286</v>
      </c>
    </row>
    <row r="3604" spans="1:6" hidden="1" outlineLevel="1" collapsed="1" x14ac:dyDescent="0.25">
      <c r="A3604" s="321" t="s">
        <v>282</v>
      </c>
      <c r="B3604" s="321" t="s">
        <v>758</v>
      </c>
      <c r="C3604" s="293">
        <v>0</v>
      </c>
      <c r="D3604" s="293">
        <v>39.421109999999999</v>
      </c>
      <c r="E3604" s="293">
        <v>39.421109999999999</v>
      </c>
      <c r="F3604" s="294" t="s">
        <v>298</v>
      </c>
    </row>
    <row r="3605" spans="1:6" hidden="1" outlineLevel="1" collapsed="1" x14ac:dyDescent="0.25">
      <c r="A3605" s="321" t="s">
        <v>282</v>
      </c>
      <c r="B3605" s="321" t="s">
        <v>759</v>
      </c>
      <c r="C3605" s="293">
        <v>1375</v>
      </c>
      <c r="D3605" s="293">
        <v>0</v>
      </c>
      <c r="E3605" s="293">
        <v>-1375</v>
      </c>
      <c r="F3605" s="294" t="s">
        <v>286</v>
      </c>
    </row>
    <row r="3606" spans="1:6" hidden="1" outlineLevel="1" collapsed="1" x14ac:dyDescent="0.25">
      <c r="A3606" s="321" t="s">
        <v>282</v>
      </c>
      <c r="B3606" s="321" t="s">
        <v>760</v>
      </c>
      <c r="C3606" s="293">
        <v>0</v>
      </c>
      <c r="D3606" s="293">
        <v>1500</v>
      </c>
      <c r="E3606" s="293">
        <v>1500</v>
      </c>
      <c r="F3606" s="294" t="s">
        <v>298</v>
      </c>
    </row>
    <row r="3607" spans="1:6" hidden="1" outlineLevel="1" collapsed="1" x14ac:dyDescent="0.25">
      <c r="A3607" s="321" t="s">
        <v>282</v>
      </c>
      <c r="B3607" s="321" t="s">
        <v>761</v>
      </c>
      <c r="C3607" s="293">
        <v>45.54</v>
      </c>
      <c r="D3607" s="293">
        <v>0</v>
      </c>
      <c r="E3607" s="293">
        <v>-45.54</v>
      </c>
      <c r="F3607" s="294" t="s">
        <v>286</v>
      </c>
    </row>
    <row r="3608" spans="1:6" hidden="1" outlineLevel="1" collapsed="1" x14ac:dyDescent="0.25">
      <c r="A3608" s="321" t="s">
        <v>282</v>
      </c>
      <c r="B3608" s="321" t="s">
        <v>762</v>
      </c>
      <c r="C3608" s="293">
        <v>0</v>
      </c>
      <c r="D3608" s="293">
        <v>48.48</v>
      </c>
      <c r="E3608" s="293">
        <v>48.48</v>
      </c>
      <c r="F3608" s="294" t="s">
        <v>298</v>
      </c>
    </row>
    <row r="3609" spans="1:6" hidden="1" outlineLevel="1" collapsed="1" x14ac:dyDescent="0.25">
      <c r="A3609" s="321" t="s">
        <v>282</v>
      </c>
      <c r="B3609" s="321" t="s">
        <v>763</v>
      </c>
      <c r="C3609" s="293">
        <v>22</v>
      </c>
      <c r="D3609" s="293">
        <v>11.04</v>
      </c>
      <c r="E3609" s="293">
        <v>-10.96</v>
      </c>
      <c r="F3609" s="294" t="s">
        <v>695</v>
      </c>
    </row>
    <row r="3610" spans="1:6" collapsed="1" x14ac:dyDescent="0.25">
      <c r="A3610" s="560" t="s">
        <v>1471</v>
      </c>
      <c r="B3610" s="561"/>
      <c r="C3610" s="292">
        <v>468398.605744</v>
      </c>
      <c r="D3610" s="293">
        <v>476074.52422000002</v>
      </c>
      <c r="E3610" s="293">
        <v>7675.9184759999998</v>
      </c>
      <c r="F3610" s="294" t="s">
        <v>2231</v>
      </c>
    </row>
    <row r="3611" spans="1:6" hidden="1" outlineLevel="1" collapsed="1" x14ac:dyDescent="0.25">
      <c r="A3611" s="321" t="s">
        <v>282</v>
      </c>
      <c r="B3611" s="321" t="s">
        <v>1143</v>
      </c>
      <c r="C3611" s="293">
        <v>85641.919991999996</v>
      </c>
      <c r="D3611" s="293">
        <v>89600.383596</v>
      </c>
      <c r="E3611" s="293">
        <v>3958.463604</v>
      </c>
      <c r="F3611" s="294" t="s">
        <v>1473</v>
      </c>
    </row>
    <row r="3612" spans="1:6" hidden="1" outlineLevel="1" collapsed="1" x14ac:dyDescent="0.25">
      <c r="A3612" s="321" t="s">
        <v>282</v>
      </c>
      <c r="B3612" s="321" t="s">
        <v>441</v>
      </c>
      <c r="C3612" s="293">
        <v>0</v>
      </c>
      <c r="D3612" s="293">
        <v>92519</v>
      </c>
      <c r="E3612" s="293">
        <v>92519</v>
      </c>
      <c r="F3612" s="294" t="s">
        <v>298</v>
      </c>
    </row>
    <row r="3613" spans="1:6" hidden="1" outlineLevel="1" collapsed="1" x14ac:dyDescent="0.25">
      <c r="A3613" s="321" t="s">
        <v>282</v>
      </c>
      <c r="B3613" s="321" t="s">
        <v>822</v>
      </c>
      <c r="C3613" s="293">
        <v>92519</v>
      </c>
      <c r="D3613" s="293">
        <v>0</v>
      </c>
      <c r="E3613" s="293">
        <v>-92519</v>
      </c>
      <c r="F3613" s="294" t="s">
        <v>286</v>
      </c>
    </row>
    <row r="3614" spans="1:6" hidden="1" outlineLevel="1" collapsed="1" x14ac:dyDescent="0.25">
      <c r="A3614" s="321" t="s">
        <v>282</v>
      </c>
      <c r="B3614" s="321" t="s">
        <v>380</v>
      </c>
      <c r="C3614" s="293">
        <v>85713.806272000002</v>
      </c>
      <c r="D3614" s="293">
        <v>88221.919636000006</v>
      </c>
      <c r="E3614" s="293">
        <v>2508.1133639999998</v>
      </c>
      <c r="F3614" s="294" t="s">
        <v>805</v>
      </c>
    </row>
    <row r="3615" spans="1:6" hidden="1" outlineLevel="1" collapsed="1" x14ac:dyDescent="0.25">
      <c r="A3615" s="321" t="s">
        <v>282</v>
      </c>
      <c r="B3615" s="321" t="s">
        <v>935</v>
      </c>
      <c r="C3615" s="293">
        <v>5000</v>
      </c>
      <c r="D3615" s="293">
        <v>5000</v>
      </c>
      <c r="E3615" s="293">
        <v>0</v>
      </c>
      <c r="F3615" s="294" t="s">
        <v>316</v>
      </c>
    </row>
    <row r="3616" spans="1:6" hidden="1" outlineLevel="1" collapsed="1" x14ac:dyDescent="0.25">
      <c r="A3616" s="321" t="s">
        <v>282</v>
      </c>
      <c r="B3616" s="321" t="s">
        <v>452</v>
      </c>
      <c r="C3616" s="293">
        <v>58000</v>
      </c>
      <c r="D3616" s="293">
        <v>58000</v>
      </c>
      <c r="E3616" s="293">
        <v>0</v>
      </c>
      <c r="F3616" s="294" t="s">
        <v>316</v>
      </c>
    </row>
    <row r="3617" spans="1:6" hidden="1" outlineLevel="1" collapsed="1" x14ac:dyDescent="0.25">
      <c r="A3617" s="321" t="s">
        <v>282</v>
      </c>
      <c r="B3617" s="321" t="s">
        <v>453</v>
      </c>
      <c r="C3617" s="293">
        <v>38000</v>
      </c>
      <c r="D3617" s="293">
        <v>38000</v>
      </c>
      <c r="E3617" s="293">
        <v>0</v>
      </c>
      <c r="F3617" s="294" t="s">
        <v>316</v>
      </c>
    </row>
    <row r="3618" spans="1:6" hidden="1" outlineLevel="1" collapsed="1" x14ac:dyDescent="0.25">
      <c r="A3618" s="321" t="s">
        <v>282</v>
      </c>
      <c r="B3618" s="321" t="s">
        <v>751</v>
      </c>
      <c r="C3618" s="293">
        <v>11176.270548</v>
      </c>
      <c r="D3618" s="293">
        <v>0</v>
      </c>
      <c r="E3618" s="293">
        <v>-11176.270548</v>
      </c>
      <c r="F3618" s="294" t="s">
        <v>286</v>
      </c>
    </row>
    <row r="3619" spans="1:6" hidden="1" outlineLevel="1" collapsed="1" x14ac:dyDescent="0.25">
      <c r="A3619" s="321" t="s">
        <v>282</v>
      </c>
      <c r="B3619" s="321" t="s">
        <v>752</v>
      </c>
      <c r="C3619" s="293">
        <v>0</v>
      </c>
      <c r="D3619" s="293">
        <v>12929.335343999999</v>
      </c>
      <c r="E3619" s="293">
        <v>12929.335343999999</v>
      </c>
      <c r="F3619" s="294" t="s">
        <v>298</v>
      </c>
    </row>
    <row r="3620" spans="1:6" hidden="1" outlineLevel="1" collapsed="1" x14ac:dyDescent="0.25">
      <c r="A3620" s="321" t="s">
        <v>282</v>
      </c>
      <c r="B3620" s="321" t="s">
        <v>384</v>
      </c>
      <c r="C3620" s="293">
        <v>10439.086056</v>
      </c>
      <c r="D3620" s="293">
        <v>0</v>
      </c>
      <c r="E3620" s="293">
        <v>-10439.086056</v>
      </c>
      <c r="F3620" s="294" t="s">
        <v>286</v>
      </c>
    </row>
    <row r="3621" spans="1:6" hidden="1" outlineLevel="1" collapsed="1" x14ac:dyDescent="0.25">
      <c r="A3621" s="321" t="s">
        <v>282</v>
      </c>
      <c r="B3621" s="321" t="s">
        <v>385</v>
      </c>
      <c r="C3621" s="293">
        <v>0</v>
      </c>
      <c r="D3621" s="293">
        <v>13277.408352</v>
      </c>
      <c r="E3621" s="293">
        <v>13277.408352</v>
      </c>
      <c r="F3621" s="294" t="s">
        <v>298</v>
      </c>
    </row>
    <row r="3622" spans="1:6" hidden="1" outlineLevel="1" collapsed="1" x14ac:dyDescent="0.25">
      <c r="A3622" s="321" t="s">
        <v>282</v>
      </c>
      <c r="B3622" s="321" t="s">
        <v>386</v>
      </c>
      <c r="C3622" s="293">
        <v>5314.2559799999999</v>
      </c>
      <c r="D3622" s="293">
        <v>0</v>
      </c>
      <c r="E3622" s="293">
        <v>-5314.2559799999999</v>
      </c>
      <c r="F3622" s="294" t="s">
        <v>286</v>
      </c>
    </row>
    <row r="3623" spans="1:6" hidden="1" outlineLevel="1" collapsed="1" x14ac:dyDescent="0.25">
      <c r="A3623" s="321" t="s">
        <v>282</v>
      </c>
      <c r="B3623" s="321" t="s">
        <v>387</v>
      </c>
      <c r="C3623" s="293">
        <v>0</v>
      </c>
      <c r="D3623" s="293">
        <v>5469.759</v>
      </c>
      <c r="E3623" s="293">
        <v>5469.759</v>
      </c>
      <c r="F3623" s="294" t="s">
        <v>298</v>
      </c>
    </row>
    <row r="3624" spans="1:6" hidden="1" outlineLevel="1" collapsed="1" x14ac:dyDescent="0.25">
      <c r="A3624" s="321" t="s">
        <v>282</v>
      </c>
      <c r="B3624" s="321" t="s">
        <v>753</v>
      </c>
      <c r="C3624" s="293">
        <v>5309.7990360000003</v>
      </c>
      <c r="D3624" s="293">
        <v>5555.2237800000003</v>
      </c>
      <c r="E3624" s="293">
        <v>245.424744</v>
      </c>
      <c r="F3624" s="294" t="s">
        <v>1473</v>
      </c>
    </row>
    <row r="3625" spans="1:6" hidden="1" outlineLevel="1" collapsed="1" x14ac:dyDescent="0.25">
      <c r="A3625" s="321" t="s">
        <v>282</v>
      </c>
      <c r="B3625" s="321" t="s">
        <v>388</v>
      </c>
      <c r="C3625" s="293">
        <v>2484.6580079999999</v>
      </c>
      <c r="D3625" s="293">
        <v>2578.4233800000002</v>
      </c>
      <c r="E3625" s="293">
        <v>93.765371999999999</v>
      </c>
      <c r="F3625" s="294" t="s">
        <v>1329</v>
      </c>
    </row>
    <row r="3626" spans="1:6" hidden="1" outlineLevel="1" collapsed="1" x14ac:dyDescent="0.25">
      <c r="A3626" s="321" t="s">
        <v>282</v>
      </c>
      <c r="B3626" s="321" t="s">
        <v>444</v>
      </c>
      <c r="C3626" s="293">
        <v>15185</v>
      </c>
      <c r="D3626" s="293">
        <v>9963</v>
      </c>
      <c r="E3626" s="293">
        <v>-5222</v>
      </c>
      <c r="F3626" s="294" t="s">
        <v>1474</v>
      </c>
    </row>
    <row r="3627" spans="1:6" hidden="1" outlineLevel="1" collapsed="1" x14ac:dyDescent="0.25">
      <c r="A3627" s="321" t="s">
        <v>282</v>
      </c>
      <c r="B3627" s="321" t="s">
        <v>389</v>
      </c>
      <c r="C3627" s="293">
        <v>852.24959999999999</v>
      </c>
      <c r="D3627" s="293">
        <v>844.08</v>
      </c>
      <c r="E3627" s="293">
        <v>-8.1696000000000009</v>
      </c>
      <c r="F3627" s="294" t="s">
        <v>364</v>
      </c>
    </row>
    <row r="3628" spans="1:6" hidden="1" outlineLevel="1" collapsed="1" x14ac:dyDescent="0.25">
      <c r="A3628" s="321" t="s">
        <v>282</v>
      </c>
      <c r="B3628" s="321" t="s">
        <v>390</v>
      </c>
      <c r="C3628" s="293">
        <v>30970.54</v>
      </c>
      <c r="D3628" s="293">
        <v>31918.560000000001</v>
      </c>
      <c r="E3628" s="293">
        <v>948.02</v>
      </c>
      <c r="F3628" s="294" t="s">
        <v>391</v>
      </c>
    </row>
    <row r="3629" spans="1:6" hidden="1" outlineLevel="1" collapsed="1" x14ac:dyDescent="0.25">
      <c r="A3629" s="321" t="s">
        <v>282</v>
      </c>
      <c r="B3629" s="321" t="s">
        <v>392</v>
      </c>
      <c r="C3629" s="293">
        <v>467.07839999999999</v>
      </c>
      <c r="D3629" s="293">
        <v>365.76</v>
      </c>
      <c r="E3629" s="293">
        <v>-101.3184</v>
      </c>
      <c r="F3629" s="294" t="s">
        <v>368</v>
      </c>
    </row>
    <row r="3630" spans="1:6" hidden="1" outlineLevel="1" collapsed="1" x14ac:dyDescent="0.25">
      <c r="A3630" s="321" t="s">
        <v>282</v>
      </c>
      <c r="B3630" s="321" t="s">
        <v>754</v>
      </c>
      <c r="C3630" s="293">
        <v>15358.56</v>
      </c>
      <c r="D3630" s="293">
        <v>15959.28</v>
      </c>
      <c r="E3630" s="293">
        <v>600.72</v>
      </c>
      <c r="F3630" s="294" t="s">
        <v>366</v>
      </c>
    </row>
    <row r="3631" spans="1:6" hidden="1" outlineLevel="1" collapsed="1" x14ac:dyDescent="0.25">
      <c r="A3631" s="321" t="s">
        <v>282</v>
      </c>
      <c r="B3631" s="321" t="s">
        <v>755</v>
      </c>
      <c r="C3631" s="293">
        <v>426.12479999999999</v>
      </c>
      <c r="D3631" s="293">
        <v>422.04</v>
      </c>
      <c r="E3631" s="293">
        <v>-4.0848000000000004</v>
      </c>
      <c r="F3631" s="294" t="s">
        <v>364</v>
      </c>
    </row>
    <row r="3632" spans="1:6" hidden="1" outlineLevel="1" collapsed="1" x14ac:dyDescent="0.25">
      <c r="A3632" s="321" t="s">
        <v>282</v>
      </c>
      <c r="B3632" s="321" t="s">
        <v>756</v>
      </c>
      <c r="C3632" s="293">
        <v>233.53919999999999</v>
      </c>
      <c r="D3632" s="293">
        <v>182.88</v>
      </c>
      <c r="E3632" s="293">
        <v>-50.659199999999998</v>
      </c>
      <c r="F3632" s="294" t="s">
        <v>368</v>
      </c>
    </row>
    <row r="3633" spans="1:6" hidden="1" outlineLevel="1" collapsed="1" x14ac:dyDescent="0.25">
      <c r="A3633" s="321" t="s">
        <v>282</v>
      </c>
      <c r="B3633" s="321" t="s">
        <v>393</v>
      </c>
      <c r="C3633" s="293">
        <v>42.856895999999999</v>
      </c>
      <c r="D3633" s="293">
        <v>44.110944000000003</v>
      </c>
      <c r="E3633" s="293">
        <v>1.2540480000000001</v>
      </c>
      <c r="F3633" s="294" t="s">
        <v>805</v>
      </c>
    </row>
    <row r="3634" spans="1:6" hidden="1" outlineLevel="1" collapsed="1" x14ac:dyDescent="0.25">
      <c r="A3634" s="321" t="s">
        <v>282</v>
      </c>
      <c r="B3634" s="321" t="s">
        <v>757</v>
      </c>
      <c r="C3634" s="293">
        <v>42.820956000000002</v>
      </c>
      <c r="D3634" s="293">
        <v>0</v>
      </c>
      <c r="E3634" s="293">
        <v>-42.820956000000002</v>
      </c>
      <c r="F3634" s="294" t="s">
        <v>286</v>
      </c>
    </row>
    <row r="3635" spans="1:6" hidden="1" outlineLevel="1" collapsed="1" x14ac:dyDescent="0.25">
      <c r="A3635" s="321" t="s">
        <v>282</v>
      </c>
      <c r="B3635" s="321" t="s">
        <v>758</v>
      </c>
      <c r="C3635" s="293">
        <v>0</v>
      </c>
      <c r="D3635" s="293">
        <v>44.800187999999999</v>
      </c>
      <c r="E3635" s="293">
        <v>44.800187999999999</v>
      </c>
      <c r="F3635" s="294" t="s">
        <v>298</v>
      </c>
    </row>
    <row r="3636" spans="1:6" hidden="1" outlineLevel="1" collapsed="1" x14ac:dyDescent="0.25">
      <c r="A3636" s="321" t="s">
        <v>282</v>
      </c>
      <c r="B3636" s="321" t="s">
        <v>394</v>
      </c>
      <c r="C3636" s="293">
        <v>3000</v>
      </c>
      <c r="D3636" s="293">
        <v>0</v>
      </c>
      <c r="E3636" s="293">
        <v>-3000</v>
      </c>
      <c r="F3636" s="294" t="s">
        <v>286</v>
      </c>
    </row>
    <row r="3637" spans="1:6" hidden="1" outlineLevel="1" collapsed="1" x14ac:dyDescent="0.25">
      <c r="A3637" s="321" t="s">
        <v>282</v>
      </c>
      <c r="B3637" s="321" t="s">
        <v>395</v>
      </c>
      <c r="C3637" s="293">
        <v>0</v>
      </c>
      <c r="D3637" s="293">
        <v>3000</v>
      </c>
      <c r="E3637" s="293">
        <v>3000</v>
      </c>
      <c r="F3637" s="294" t="s">
        <v>298</v>
      </c>
    </row>
    <row r="3638" spans="1:6" hidden="1" outlineLevel="1" collapsed="1" x14ac:dyDescent="0.25">
      <c r="A3638" s="321" t="s">
        <v>282</v>
      </c>
      <c r="B3638" s="321" t="s">
        <v>759</v>
      </c>
      <c r="C3638" s="293">
        <v>1500</v>
      </c>
      <c r="D3638" s="293">
        <v>0</v>
      </c>
      <c r="E3638" s="293">
        <v>-1500</v>
      </c>
      <c r="F3638" s="294" t="s">
        <v>286</v>
      </c>
    </row>
    <row r="3639" spans="1:6" hidden="1" outlineLevel="1" collapsed="1" x14ac:dyDescent="0.25">
      <c r="A3639" s="321" t="s">
        <v>282</v>
      </c>
      <c r="B3639" s="321" t="s">
        <v>760</v>
      </c>
      <c r="C3639" s="293">
        <v>0</v>
      </c>
      <c r="D3639" s="293">
        <v>1500</v>
      </c>
      <c r="E3639" s="293">
        <v>1500</v>
      </c>
      <c r="F3639" s="294" t="s">
        <v>298</v>
      </c>
    </row>
    <row r="3640" spans="1:6" hidden="1" outlineLevel="1" collapsed="1" x14ac:dyDescent="0.25">
      <c r="A3640" s="321" t="s">
        <v>282</v>
      </c>
      <c r="B3640" s="321" t="s">
        <v>396</v>
      </c>
      <c r="C3640" s="293">
        <v>99.36</v>
      </c>
      <c r="D3640" s="293">
        <v>0</v>
      </c>
      <c r="E3640" s="293">
        <v>-99.36</v>
      </c>
      <c r="F3640" s="294" t="s">
        <v>286</v>
      </c>
    </row>
    <row r="3641" spans="1:6" hidden="1" outlineLevel="1" collapsed="1" x14ac:dyDescent="0.25">
      <c r="A3641" s="321" t="s">
        <v>282</v>
      </c>
      <c r="B3641" s="321" t="s">
        <v>397</v>
      </c>
      <c r="C3641" s="293">
        <v>0</v>
      </c>
      <c r="D3641" s="293">
        <v>96.96</v>
      </c>
      <c r="E3641" s="293">
        <v>96.96</v>
      </c>
      <c r="F3641" s="294" t="s">
        <v>298</v>
      </c>
    </row>
    <row r="3642" spans="1:6" hidden="1" outlineLevel="1" collapsed="1" x14ac:dyDescent="0.25">
      <c r="A3642" s="321" t="s">
        <v>282</v>
      </c>
      <c r="B3642" s="321" t="s">
        <v>761</v>
      </c>
      <c r="C3642" s="293">
        <v>49.68</v>
      </c>
      <c r="D3642" s="293">
        <v>0</v>
      </c>
      <c r="E3642" s="293">
        <v>-49.68</v>
      </c>
      <c r="F3642" s="294" t="s">
        <v>286</v>
      </c>
    </row>
    <row r="3643" spans="1:6" hidden="1" outlineLevel="1" collapsed="1" x14ac:dyDescent="0.25">
      <c r="A3643" s="321" t="s">
        <v>282</v>
      </c>
      <c r="B3643" s="321" t="s">
        <v>762</v>
      </c>
      <c r="C3643" s="293">
        <v>0</v>
      </c>
      <c r="D3643" s="293">
        <v>48.48</v>
      </c>
      <c r="E3643" s="293">
        <v>48.48</v>
      </c>
      <c r="F3643" s="294" t="s">
        <v>298</v>
      </c>
    </row>
    <row r="3644" spans="1:6" hidden="1" outlineLevel="1" collapsed="1" x14ac:dyDescent="0.25">
      <c r="A3644" s="321" t="s">
        <v>282</v>
      </c>
      <c r="B3644" s="321" t="s">
        <v>398</v>
      </c>
      <c r="C3644" s="293">
        <v>48</v>
      </c>
      <c r="D3644" s="293">
        <v>22.08</v>
      </c>
      <c r="E3644" s="293">
        <v>-25.92</v>
      </c>
      <c r="F3644" s="294" t="s">
        <v>374</v>
      </c>
    </row>
    <row r="3645" spans="1:6" hidden="1" outlineLevel="1" collapsed="1" x14ac:dyDescent="0.25">
      <c r="A3645" s="321" t="s">
        <v>282</v>
      </c>
      <c r="B3645" s="321" t="s">
        <v>763</v>
      </c>
      <c r="C3645" s="293">
        <v>24</v>
      </c>
      <c r="D3645" s="293">
        <v>11.04</v>
      </c>
      <c r="E3645" s="293">
        <v>-12.96</v>
      </c>
      <c r="F3645" s="294" t="s">
        <v>374</v>
      </c>
    </row>
    <row r="3646" spans="1:6" hidden="1" outlineLevel="1" collapsed="1" x14ac:dyDescent="0.25">
      <c r="A3646" s="321" t="s">
        <v>282</v>
      </c>
      <c r="B3646" s="321" t="s">
        <v>399</v>
      </c>
      <c r="C3646" s="293">
        <v>250</v>
      </c>
      <c r="D3646" s="293">
        <v>250</v>
      </c>
      <c r="E3646" s="293">
        <v>0</v>
      </c>
      <c r="F3646" s="294" t="s">
        <v>316</v>
      </c>
    </row>
    <row r="3647" spans="1:6" hidden="1" outlineLevel="1" collapsed="1" x14ac:dyDescent="0.25">
      <c r="A3647" s="321" t="s">
        <v>282</v>
      </c>
      <c r="B3647" s="321" t="s">
        <v>376</v>
      </c>
      <c r="C3647" s="293">
        <v>250</v>
      </c>
      <c r="D3647" s="293">
        <v>250</v>
      </c>
      <c r="E3647" s="293">
        <v>0</v>
      </c>
      <c r="F3647" s="294" t="s">
        <v>316</v>
      </c>
    </row>
    <row r="3648" spans="1:6" collapsed="1" x14ac:dyDescent="0.25">
      <c r="A3648" s="560" t="s">
        <v>1475</v>
      </c>
      <c r="B3648" s="561"/>
      <c r="C3648" s="292">
        <v>534956.46081299998</v>
      </c>
      <c r="D3648" s="293">
        <v>476484.34982800001</v>
      </c>
      <c r="E3648" s="293">
        <v>-58472.110984999999</v>
      </c>
      <c r="F3648" s="294" t="s">
        <v>2206</v>
      </c>
    </row>
    <row r="3649" spans="1:6" hidden="1" outlineLevel="1" collapsed="1" x14ac:dyDescent="0.25">
      <c r="A3649" s="321" t="s">
        <v>282</v>
      </c>
      <c r="B3649" s="321" t="s">
        <v>1143</v>
      </c>
      <c r="C3649" s="293">
        <v>46427.679995999999</v>
      </c>
      <c r="D3649" s="293">
        <v>48461.012598000001</v>
      </c>
      <c r="E3649" s="293">
        <v>2033.332602</v>
      </c>
      <c r="F3649" s="294" t="s">
        <v>978</v>
      </c>
    </row>
    <row r="3650" spans="1:6" hidden="1" outlineLevel="1" collapsed="1" x14ac:dyDescent="0.25">
      <c r="A3650" s="321" t="s">
        <v>282</v>
      </c>
      <c r="B3650" s="321" t="s">
        <v>750</v>
      </c>
      <c r="C3650" s="293">
        <v>126942.39999599999</v>
      </c>
      <c r="D3650" s="293">
        <v>131035.85038800001</v>
      </c>
      <c r="E3650" s="293">
        <v>4093.4503920000002</v>
      </c>
      <c r="F3650" s="294" t="s">
        <v>647</v>
      </c>
    </row>
    <row r="3651" spans="1:6" hidden="1" outlineLevel="1" collapsed="1" x14ac:dyDescent="0.25">
      <c r="A3651" s="321" t="s">
        <v>282</v>
      </c>
      <c r="B3651" s="321" t="s">
        <v>441</v>
      </c>
      <c r="C3651" s="293">
        <v>66000</v>
      </c>
      <c r="D3651" s="293">
        <v>0</v>
      </c>
      <c r="E3651" s="293">
        <v>-66000</v>
      </c>
      <c r="F3651" s="294" t="s">
        <v>286</v>
      </c>
    </row>
    <row r="3652" spans="1:6" hidden="1" outlineLevel="1" collapsed="1" x14ac:dyDescent="0.25">
      <c r="A3652" s="321" t="s">
        <v>282</v>
      </c>
      <c r="B3652" s="321" t="s">
        <v>464</v>
      </c>
      <c r="C3652" s="293">
        <v>124017.28024399999</v>
      </c>
      <c r="D3652" s="293">
        <v>141295.97725200001</v>
      </c>
      <c r="E3652" s="293">
        <v>17278.697007999999</v>
      </c>
      <c r="F3652" s="294" t="s">
        <v>420</v>
      </c>
    </row>
    <row r="3653" spans="1:6" hidden="1" outlineLevel="1" collapsed="1" x14ac:dyDescent="0.25">
      <c r="A3653" s="321" t="s">
        <v>282</v>
      </c>
      <c r="B3653" s="321" t="s">
        <v>424</v>
      </c>
      <c r="C3653" s="293">
        <v>6500</v>
      </c>
      <c r="D3653" s="293">
        <v>0</v>
      </c>
      <c r="E3653" s="293">
        <v>-6500</v>
      </c>
      <c r="F3653" s="294" t="s">
        <v>286</v>
      </c>
    </row>
    <row r="3654" spans="1:6" hidden="1" outlineLevel="1" collapsed="1" x14ac:dyDescent="0.25">
      <c r="A3654" s="321" t="s">
        <v>282</v>
      </c>
      <c r="B3654" s="321" t="s">
        <v>935</v>
      </c>
      <c r="C3654" s="293">
        <v>6072</v>
      </c>
      <c r="D3654" s="293">
        <v>0</v>
      </c>
      <c r="E3654" s="293">
        <v>-6072</v>
      </c>
      <c r="F3654" s="294" t="s">
        <v>286</v>
      </c>
    </row>
    <row r="3655" spans="1:6" hidden="1" outlineLevel="1" collapsed="1" x14ac:dyDescent="0.25">
      <c r="A3655" s="321" t="s">
        <v>282</v>
      </c>
      <c r="B3655" s="321" t="s">
        <v>799</v>
      </c>
      <c r="C3655" s="293">
        <v>11000</v>
      </c>
      <c r="D3655" s="293">
        <v>0</v>
      </c>
      <c r="E3655" s="293">
        <v>-11000</v>
      </c>
      <c r="F3655" s="294" t="s">
        <v>286</v>
      </c>
    </row>
    <row r="3656" spans="1:6" hidden="1" outlineLevel="1" collapsed="1" x14ac:dyDescent="0.25">
      <c r="A3656" s="321" t="s">
        <v>282</v>
      </c>
      <c r="B3656" s="321" t="s">
        <v>751</v>
      </c>
      <c r="C3656" s="293">
        <v>22624.795421999999</v>
      </c>
      <c r="D3656" s="293">
        <v>0</v>
      </c>
      <c r="E3656" s="293">
        <v>-22624.795421999999</v>
      </c>
      <c r="F3656" s="294" t="s">
        <v>286</v>
      </c>
    </row>
    <row r="3657" spans="1:6" hidden="1" outlineLevel="1" collapsed="1" x14ac:dyDescent="0.25">
      <c r="A3657" s="321" t="s">
        <v>282</v>
      </c>
      <c r="B3657" s="321" t="s">
        <v>752</v>
      </c>
      <c r="C3657" s="293">
        <v>0</v>
      </c>
      <c r="D3657" s="293">
        <v>25901.39733</v>
      </c>
      <c r="E3657" s="293">
        <v>25901.39733</v>
      </c>
      <c r="F3657" s="294" t="s">
        <v>298</v>
      </c>
    </row>
    <row r="3658" spans="1:6" hidden="1" outlineLevel="1" collapsed="1" x14ac:dyDescent="0.25">
      <c r="A3658" s="321" t="s">
        <v>282</v>
      </c>
      <c r="B3658" s="321" t="s">
        <v>384</v>
      </c>
      <c r="C3658" s="293">
        <v>16547.490492000001</v>
      </c>
      <c r="D3658" s="293">
        <v>0</v>
      </c>
      <c r="E3658" s="293">
        <v>-16547.490492000001</v>
      </c>
      <c r="F3658" s="294" t="s">
        <v>286</v>
      </c>
    </row>
    <row r="3659" spans="1:6" hidden="1" outlineLevel="1" collapsed="1" x14ac:dyDescent="0.25">
      <c r="A3659" s="321" t="s">
        <v>282</v>
      </c>
      <c r="B3659" s="321" t="s">
        <v>385</v>
      </c>
      <c r="C3659" s="293">
        <v>0</v>
      </c>
      <c r="D3659" s="293">
        <v>21404.323656</v>
      </c>
      <c r="E3659" s="293">
        <v>21404.323656</v>
      </c>
      <c r="F3659" s="294" t="s">
        <v>298</v>
      </c>
    </row>
    <row r="3660" spans="1:6" hidden="1" outlineLevel="1" collapsed="1" x14ac:dyDescent="0.25">
      <c r="A3660" s="321" t="s">
        <v>282</v>
      </c>
      <c r="B3660" s="321" t="s">
        <v>386</v>
      </c>
      <c r="C3660" s="293">
        <v>8371.0713670000005</v>
      </c>
      <c r="D3660" s="293">
        <v>0</v>
      </c>
      <c r="E3660" s="293">
        <v>-8371.0713670000005</v>
      </c>
      <c r="F3660" s="294" t="s">
        <v>286</v>
      </c>
    </row>
    <row r="3661" spans="1:6" hidden="1" outlineLevel="1" collapsed="1" x14ac:dyDescent="0.25">
      <c r="A3661" s="321" t="s">
        <v>282</v>
      </c>
      <c r="B3661" s="321" t="s">
        <v>387</v>
      </c>
      <c r="C3661" s="293">
        <v>0</v>
      </c>
      <c r="D3661" s="293">
        <v>8760.3505719999994</v>
      </c>
      <c r="E3661" s="293">
        <v>8760.3505719999994</v>
      </c>
      <c r="F3661" s="294" t="s">
        <v>298</v>
      </c>
    </row>
    <row r="3662" spans="1:6" hidden="1" outlineLevel="1" collapsed="1" x14ac:dyDescent="0.25">
      <c r="A3662" s="321" t="s">
        <v>282</v>
      </c>
      <c r="B3662" s="321" t="s">
        <v>753</v>
      </c>
      <c r="C3662" s="293">
        <v>10748.944949999999</v>
      </c>
      <c r="D3662" s="293">
        <v>11128.805496000001</v>
      </c>
      <c r="E3662" s="293">
        <v>379.860546</v>
      </c>
      <c r="F3662" s="294" t="s">
        <v>1029</v>
      </c>
    </row>
    <row r="3663" spans="1:6" hidden="1" outlineLevel="1" collapsed="1" x14ac:dyDescent="0.25">
      <c r="A3663" s="321" t="s">
        <v>282</v>
      </c>
      <c r="B3663" s="321" t="s">
        <v>388</v>
      </c>
      <c r="C3663" s="293">
        <v>4471.6166919999996</v>
      </c>
      <c r="D3663" s="293">
        <v>4651.4961460000004</v>
      </c>
      <c r="E3663" s="293">
        <v>179.87945400000001</v>
      </c>
      <c r="F3663" s="294" t="s">
        <v>2232</v>
      </c>
    </row>
    <row r="3664" spans="1:6" hidden="1" outlineLevel="1" collapsed="1" x14ac:dyDescent="0.25">
      <c r="A3664" s="321" t="s">
        <v>282</v>
      </c>
      <c r="B3664" s="321" t="s">
        <v>444</v>
      </c>
      <c r="C3664" s="293">
        <v>2000</v>
      </c>
      <c r="D3664" s="293">
        <v>0</v>
      </c>
      <c r="E3664" s="293">
        <v>-2000</v>
      </c>
      <c r="F3664" s="294" t="s">
        <v>286</v>
      </c>
    </row>
    <row r="3665" spans="1:6" hidden="1" outlineLevel="1" collapsed="1" x14ac:dyDescent="0.25">
      <c r="A3665" s="321" t="s">
        <v>282</v>
      </c>
      <c r="B3665" s="321" t="s">
        <v>389</v>
      </c>
      <c r="C3665" s="293">
        <v>1278.3743999999999</v>
      </c>
      <c r="D3665" s="293">
        <v>1266.1199999999999</v>
      </c>
      <c r="E3665" s="293">
        <v>-12.2544</v>
      </c>
      <c r="F3665" s="294" t="s">
        <v>364</v>
      </c>
    </row>
    <row r="3666" spans="1:6" hidden="1" outlineLevel="1" collapsed="1" x14ac:dyDescent="0.25">
      <c r="A3666" s="321" t="s">
        <v>282</v>
      </c>
      <c r="B3666" s="321" t="s">
        <v>390</v>
      </c>
      <c r="C3666" s="293">
        <v>46455.81</v>
      </c>
      <c r="D3666" s="293">
        <v>47877.84</v>
      </c>
      <c r="E3666" s="293">
        <v>1422.03</v>
      </c>
      <c r="F3666" s="294" t="s">
        <v>391</v>
      </c>
    </row>
    <row r="3667" spans="1:6" hidden="1" outlineLevel="1" collapsed="1" x14ac:dyDescent="0.25">
      <c r="A3667" s="321" t="s">
        <v>282</v>
      </c>
      <c r="B3667" s="321" t="s">
        <v>392</v>
      </c>
      <c r="C3667" s="293">
        <v>700.61760000000004</v>
      </c>
      <c r="D3667" s="293">
        <v>548.64</v>
      </c>
      <c r="E3667" s="293">
        <v>-151.9776</v>
      </c>
      <c r="F3667" s="294" t="s">
        <v>368</v>
      </c>
    </row>
    <row r="3668" spans="1:6" hidden="1" outlineLevel="1" collapsed="1" x14ac:dyDescent="0.25">
      <c r="A3668" s="321" t="s">
        <v>282</v>
      </c>
      <c r="B3668" s="321" t="s">
        <v>754</v>
      </c>
      <c r="C3668" s="293">
        <v>23037.84</v>
      </c>
      <c r="D3668" s="293">
        <v>23938.92</v>
      </c>
      <c r="E3668" s="293">
        <v>901.08</v>
      </c>
      <c r="F3668" s="294" t="s">
        <v>366</v>
      </c>
    </row>
    <row r="3669" spans="1:6" hidden="1" outlineLevel="1" collapsed="1" x14ac:dyDescent="0.25">
      <c r="A3669" s="321" t="s">
        <v>282</v>
      </c>
      <c r="B3669" s="321" t="s">
        <v>755</v>
      </c>
      <c r="C3669" s="293">
        <v>639.18719999999996</v>
      </c>
      <c r="D3669" s="293">
        <v>633.05999999999995</v>
      </c>
      <c r="E3669" s="293">
        <v>-6.1272000000000002</v>
      </c>
      <c r="F3669" s="294" t="s">
        <v>364</v>
      </c>
    </row>
    <row r="3670" spans="1:6" hidden="1" outlineLevel="1" collapsed="1" x14ac:dyDescent="0.25">
      <c r="A3670" s="321" t="s">
        <v>282</v>
      </c>
      <c r="B3670" s="321" t="s">
        <v>756</v>
      </c>
      <c r="C3670" s="293">
        <v>350.30880000000002</v>
      </c>
      <c r="D3670" s="293">
        <v>274.32</v>
      </c>
      <c r="E3670" s="293">
        <v>-75.988799999999998</v>
      </c>
      <c r="F3670" s="294" t="s">
        <v>368</v>
      </c>
    </row>
    <row r="3671" spans="1:6" hidden="1" outlineLevel="1" collapsed="1" x14ac:dyDescent="0.25">
      <c r="A3671" s="321" t="s">
        <v>282</v>
      </c>
      <c r="B3671" s="321" t="s">
        <v>393</v>
      </c>
      <c r="C3671" s="293">
        <v>67.508623999999998</v>
      </c>
      <c r="D3671" s="293">
        <v>70.647964000000002</v>
      </c>
      <c r="E3671" s="293">
        <v>3.1393399999999998</v>
      </c>
      <c r="F3671" s="294" t="s">
        <v>1478</v>
      </c>
    </row>
    <row r="3672" spans="1:6" hidden="1" outlineLevel="1" collapsed="1" x14ac:dyDescent="0.25">
      <c r="A3672" s="321" t="s">
        <v>282</v>
      </c>
      <c r="B3672" s="321" t="s">
        <v>757</v>
      </c>
      <c r="C3672" s="293">
        <v>86.685029999999998</v>
      </c>
      <c r="D3672" s="293">
        <v>0</v>
      </c>
      <c r="E3672" s="293">
        <v>-86.685029999999998</v>
      </c>
      <c r="F3672" s="294" t="s">
        <v>286</v>
      </c>
    </row>
    <row r="3673" spans="1:6" hidden="1" outlineLevel="1" collapsed="1" x14ac:dyDescent="0.25">
      <c r="A3673" s="321" t="s">
        <v>282</v>
      </c>
      <c r="B3673" s="321" t="s">
        <v>758</v>
      </c>
      <c r="C3673" s="293">
        <v>0</v>
      </c>
      <c r="D3673" s="293">
        <v>89.748425999999995</v>
      </c>
      <c r="E3673" s="293">
        <v>89.748425999999995</v>
      </c>
      <c r="F3673" s="294" t="s">
        <v>298</v>
      </c>
    </row>
    <row r="3674" spans="1:6" hidden="1" outlineLevel="1" collapsed="1" x14ac:dyDescent="0.25">
      <c r="A3674" s="321" t="s">
        <v>282</v>
      </c>
      <c r="B3674" s="321" t="s">
        <v>394</v>
      </c>
      <c r="C3674" s="293">
        <v>4500</v>
      </c>
      <c r="D3674" s="293">
        <v>0</v>
      </c>
      <c r="E3674" s="293">
        <v>-4500</v>
      </c>
      <c r="F3674" s="294" t="s">
        <v>286</v>
      </c>
    </row>
    <row r="3675" spans="1:6" hidden="1" outlineLevel="1" collapsed="1" x14ac:dyDescent="0.25">
      <c r="A3675" s="321" t="s">
        <v>282</v>
      </c>
      <c r="B3675" s="321" t="s">
        <v>395</v>
      </c>
      <c r="C3675" s="293">
        <v>0</v>
      </c>
      <c r="D3675" s="293">
        <v>4500</v>
      </c>
      <c r="E3675" s="293">
        <v>4500</v>
      </c>
      <c r="F3675" s="294" t="s">
        <v>298</v>
      </c>
    </row>
    <row r="3676" spans="1:6" hidden="1" outlineLevel="1" collapsed="1" x14ac:dyDescent="0.25">
      <c r="A3676" s="321" t="s">
        <v>282</v>
      </c>
      <c r="B3676" s="321" t="s">
        <v>759</v>
      </c>
      <c r="C3676" s="293">
        <v>2250</v>
      </c>
      <c r="D3676" s="293">
        <v>0</v>
      </c>
      <c r="E3676" s="293">
        <v>-2250</v>
      </c>
      <c r="F3676" s="294" t="s">
        <v>286</v>
      </c>
    </row>
    <row r="3677" spans="1:6" hidden="1" outlineLevel="1" collapsed="1" x14ac:dyDescent="0.25">
      <c r="A3677" s="321" t="s">
        <v>282</v>
      </c>
      <c r="B3677" s="321" t="s">
        <v>760</v>
      </c>
      <c r="C3677" s="293">
        <v>0</v>
      </c>
      <c r="D3677" s="293">
        <v>2250</v>
      </c>
      <c r="E3677" s="293">
        <v>2250</v>
      </c>
      <c r="F3677" s="294" t="s">
        <v>298</v>
      </c>
    </row>
    <row r="3678" spans="1:6" hidden="1" outlineLevel="1" collapsed="1" x14ac:dyDescent="0.25">
      <c r="A3678" s="321" t="s">
        <v>282</v>
      </c>
      <c r="B3678" s="321" t="s">
        <v>396</v>
      </c>
      <c r="C3678" s="293">
        <v>149.04</v>
      </c>
      <c r="D3678" s="293">
        <v>0</v>
      </c>
      <c r="E3678" s="293">
        <v>-149.04</v>
      </c>
      <c r="F3678" s="294" t="s">
        <v>286</v>
      </c>
    </row>
    <row r="3679" spans="1:6" hidden="1" outlineLevel="1" collapsed="1" x14ac:dyDescent="0.25">
      <c r="A3679" s="321" t="s">
        <v>282</v>
      </c>
      <c r="B3679" s="321" t="s">
        <v>397</v>
      </c>
      <c r="C3679" s="293">
        <v>0</v>
      </c>
      <c r="D3679" s="293">
        <v>145.44</v>
      </c>
      <c r="E3679" s="293">
        <v>145.44</v>
      </c>
      <c r="F3679" s="294" t="s">
        <v>298</v>
      </c>
    </row>
    <row r="3680" spans="1:6" hidden="1" outlineLevel="1" collapsed="1" x14ac:dyDescent="0.25">
      <c r="A3680" s="321" t="s">
        <v>282</v>
      </c>
      <c r="B3680" s="321" t="s">
        <v>761</v>
      </c>
      <c r="C3680" s="293">
        <v>74.52</v>
      </c>
      <c r="D3680" s="293">
        <v>0</v>
      </c>
      <c r="E3680" s="293">
        <v>-74.52</v>
      </c>
      <c r="F3680" s="294" t="s">
        <v>286</v>
      </c>
    </row>
    <row r="3681" spans="1:6" hidden="1" outlineLevel="1" collapsed="1" x14ac:dyDescent="0.25">
      <c r="A3681" s="321" t="s">
        <v>282</v>
      </c>
      <c r="B3681" s="321" t="s">
        <v>762</v>
      </c>
      <c r="C3681" s="293">
        <v>0</v>
      </c>
      <c r="D3681" s="293">
        <v>72.72</v>
      </c>
      <c r="E3681" s="293">
        <v>72.72</v>
      </c>
      <c r="F3681" s="294" t="s">
        <v>298</v>
      </c>
    </row>
    <row r="3682" spans="1:6" hidden="1" outlineLevel="1" collapsed="1" x14ac:dyDescent="0.25">
      <c r="A3682" s="321" t="s">
        <v>282</v>
      </c>
      <c r="B3682" s="321" t="s">
        <v>398</v>
      </c>
      <c r="C3682" s="293">
        <v>72</v>
      </c>
      <c r="D3682" s="293">
        <v>33.119999999999997</v>
      </c>
      <c r="E3682" s="293">
        <v>-38.880000000000003</v>
      </c>
      <c r="F3682" s="294" t="s">
        <v>374</v>
      </c>
    </row>
    <row r="3683" spans="1:6" hidden="1" outlineLevel="1" collapsed="1" x14ac:dyDescent="0.25">
      <c r="A3683" s="321" t="s">
        <v>282</v>
      </c>
      <c r="B3683" s="321" t="s">
        <v>763</v>
      </c>
      <c r="C3683" s="293">
        <v>36</v>
      </c>
      <c r="D3683" s="293">
        <v>16.559999999999999</v>
      </c>
      <c r="E3683" s="293">
        <v>-19.440000000000001</v>
      </c>
      <c r="F3683" s="294" t="s">
        <v>374</v>
      </c>
    </row>
    <row r="3684" spans="1:6" hidden="1" outlineLevel="1" collapsed="1" x14ac:dyDescent="0.25">
      <c r="A3684" s="321" t="s">
        <v>282</v>
      </c>
      <c r="B3684" s="321" t="s">
        <v>523</v>
      </c>
      <c r="C3684" s="293">
        <v>1853.29</v>
      </c>
      <c r="D3684" s="293">
        <v>1853</v>
      </c>
      <c r="E3684" s="293">
        <v>-0.28999999999999998</v>
      </c>
      <c r="F3684" s="294" t="s">
        <v>1481</v>
      </c>
    </row>
    <row r="3685" spans="1:6" hidden="1" outlineLevel="1" collapsed="1" x14ac:dyDescent="0.25">
      <c r="A3685" s="321" t="s">
        <v>282</v>
      </c>
      <c r="B3685" s="321" t="s">
        <v>496</v>
      </c>
      <c r="C3685" s="293">
        <v>125</v>
      </c>
      <c r="D3685" s="293">
        <v>125</v>
      </c>
      <c r="E3685" s="293">
        <v>0</v>
      </c>
      <c r="F3685" s="294" t="s">
        <v>316</v>
      </c>
    </row>
    <row r="3686" spans="1:6" hidden="1" outlineLevel="1" collapsed="1" x14ac:dyDescent="0.25">
      <c r="A3686" s="321" t="s">
        <v>282</v>
      </c>
      <c r="B3686" s="321" t="s">
        <v>376</v>
      </c>
      <c r="C3686" s="293">
        <v>1407</v>
      </c>
      <c r="D3686" s="293">
        <v>0</v>
      </c>
      <c r="E3686" s="293">
        <v>-1407</v>
      </c>
      <c r="F3686" s="294" t="s">
        <v>286</v>
      </c>
    </row>
    <row r="3687" spans="1:6" hidden="1" outlineLevel="1" collapsed="1" x14ac:dyDescent="0.25">
      <c r="A3687" s="321" t="s">
        <v>282</v>
      </c>
      <c r="B3687" s="321" t="s">
        <v>662</v>
      </c>
      <c r="C3687" s="293">
        <v>0</v>
      </c>
      <c r="D3687" s="293">
        <v>0</v>
      </c>
      <c r="E3687" s="293">
        <v>0</v>
      </c>
      <c r="F3687" s="294" t="s">
        <v>316</v>
      </c>
    </row>
    <row r="3688" spans="1:6" hidden="1" outlineLevel="1" collapsed="1" x14ac:dyDescent="0.25">
      <c r="A3688" s="321" t="s">
        <v>282</v>
      </c>
      <c r="B3688" s="321" t="s">
        <v>426</v>
      </c>
      <c r="C3688" s="293">
        <v>0</v>
      </c>
      <c r="D3688" s="293">
        <v>0</v>
      </c>
      <c r="E3688" s="293">
        <v>0</v>
      </c>
      <c r="F3688" s="294" t="s">
        <v>316</v>
      </c>
    </row>
    <row r="3689" spans="1:6" hidden="1" outlineLevel="1" collapsed="1" x14ac:dyDescent="0.25">
      <c r="A3689" s="321" t="s">
        <v>282</v>
      </c>
      <c r="B3689" s="321" t="s">
        <v>597</v>
      </c>
      <c r="C3689" s="293">
        <v>150</v>
      </c>
      <c r="D3689" s="293">
        <v>150</v>
      </c>
      <c r="E3689" s="293">
        <v>0</v>
      </c>
      <c r="F3689" s="294" t="s">
        <v>316</v>
      </c>
    </row>
    <row r="3690" spans="1:6" hidden="1" outlineLevel="1" collapsed="1" x14ac:dyDescent="0.25">
      <c r="A3690" s="321" t="s">
        <v>282</v>
      </c>
      <c r="B3690" s="321" t="s">
        <v>403</v>
      </c>
      <c r="C3690" s="293">
        <v>0</v>
      </c>
      <c r="D3690" s="293">
        <v>0</v>
      </c>
      <c r="E3690" s="293">
        <v>0</v>
      </c>
      <c r="F3690" s="294" t="s">
        <v>316</v>
      </c>
    </row>
    <row r="3691" spans="1:6" collapsed="1" x14ac:dyDescent="0.25">
      <c r="A3691" s="560" t="s">
        <v>1482</v>
      </c>
      <c r="B3691" s="561"/>
      <c r="C3691" s="292">
        <v>21114.239599</v>
      </c>
      <c r="D3691" s="293">
        <v>29026.521691999998</v>
      </c>
      <c r="E3691" s="293">
        <v>7912.2820929999998</v>
      </c>
      <c r="F3691" s="294" t="s">
        <v>2233</v>
      </c>
    </row>
    <row r="3692" spans="1:6" hidden="1" outlineLevel="1" collapsed="1" x14ac:dyDescent="0.25">
      <c r="A3692" s="321" t="s">
        <v>282</v>
      </c>
      <c r="B3692" s="321" t="s">
        <v>942</v>
      </c>
      <c r="C3692" s="293">
        <v>8220.4848949999996</v>
      </c>
      <c r="D3692" s="293">
        <v>8343.7920790000007</v>
      </c>
      <c r="E3692" s="293">
        <v>123.30718400000001</v>
      </c>
      <c r="F3692" s="294" t="s">
        <v>510</v>
      </c>
    </row>
    <row r="3693" spans="1:6" hidden="1" outlineLevel="1" collapsed="1" x14ac:dyDescent="0.25">
      <c r="A3693" s="321" t="s">
        <v>282</v>
      </c>
      <c r="B3693" s="321" t="s">
        <v>464</v>
      </c>
      <c r="C3693" s="293">
        <v>-7825.8908520000005</v>
      </c>
      <c r="D3693" s="293">
        <v>14939.459911</v>
      </c>
      <c r="E3693" s="293">
        <v>22765.350762999999</v>
      </c>
      <c r="F3693" s="294" t="s">
        <v>2234</v>
      </c>
    </row>
    <row r="3694" spans="1:6" hidden="1" outlineLevel="1" collapsed="1" x14ac:dyDescent="0.25">
      <c r="A3694" s="321" t="s">
        <v>282</v>
      </c>
      <c r="B3694" s="321" t="s">
        <v>935</v>
      </c>
      <c r="C3694" s="293">
        <v>7500</v>
      </c>
      <c r="D3694" s="293">
        <v>0</v>
      </c>
      <c r="E3694" s="293">
        <v>-7500</v>
      </c>
      <c r="F3694" s="294" t="s">
        <v>286</v>
      </c>
    </row>
    <row r="3695" spans="1:6" hidden="1" outlineLevel="1" collapsed="1" x14ac:dyDescent="0.25">
      <c r="A3695" s="321" t="s">
        <v>282</v>
      </c>
      <c r="B3695" s="321" t="s">
        <v>799</v>
      </c>
      <c r="C3695" s="293">
        <v>9000</v>
      </c>
      <c r="D3695" s="293">
        <v>0</v>
      </c>
      <c r="E3695" s="293">
        <v>-9000</v>
      </c>
      <c r="F3695" s="294" t="s">
        <v>286</v>
      </c>
    </row>
    <row r="3696" spans="1:6" hidden="1" outlineLevel="1" collapsed="1" x14ac:dyDescent="0.25">
      <c r="A3696" s="321" t="s">
        <v>282</v>
      </c>
      <c r="B3696" s="321" t="s">
        <v>384</v>
      </c>
      <c r="C3696" s="293">
        <v>1034.1369999999999</v>
      </c>
      <c r="D3696" s="293">
        <v>0</v>
      </c>
      <c r="E3696" s="293">
        <v>-1034.1369999999999</v>
      </c>
      <c r="F3696" s="294" t="s">
        <v>286</v>
      </c>
    </row>
    <row r="3697" spans="1:6" hidden="1" outlineLevel="1" collapsed="1" x14ac:dyDescent="0.25">
      <c r="A3697" s="321" t="s">
        <v>282</v>
      </c>
      <c r="B3697" s="321" t="s">
        <v>385</v>
      </c>
      <c r="C3697" s="293">
        <v>0</v>
      </c>
      <c r="D3697" s="293">
        <v>1295.8743469999999</v>
      </c>
      <c r="E3697" s="293">
        <v>1295.8743469999999</v>
      </c>
      <c r="F3697" s="294" t="s">
        <v>298</v>
      </c>
    </row>
    <row r="3698" spans="1:6" hidden="1" outlineLevel="1" collapsed="1" x14ac:dyDescent="0.25">
      <c r="A3698" s="321" t="s">
        <v>282</v>
      </c>
      <c r="B3698" s="321" t="s">
        <v>386</v>
      </c>
      <c r="C3698" s="293">
        <v>582.46482900000001</v>
      </c>
      <c r="D3698" s="293">
        <v>0</v>
      </c>
      <c r="E3698" s="293">
        <v>-582.46482900000001</v>
      </c>
      <c r="F3698" s="294" t="s">
        <v>286</v>
      </c>
    </row>
    <row r="3699" spans="1:6" hidden="1" outlineLevel="1" collapsed="1" x14ac:dyDescent="0.25">
      <c r="A3699" s="321" t="s">
        <v>282</v>
      </c>
      <c r="B3699" s="321" t="s">
        <v>387</v>
      </c>
      <c r="C3699" s="293">
        <v>0</v>
      </c>
      <c r="D3699" s="293">
        <v>1443.561614</v>
      </c>
      <c r="E3699" s="293">
        <v>1443.561614</v>
      </c>
      <c r="F3699" s="294" t="s">
        <v>298</v>
      </c>
    </row>
    <row r="3700" spans="1:6" hidden="1" outlineLevel="1" collapsed="1" x14ac:dyDescent="0.25">
      <c r="A3700" s="321" t="s">
        <v>282</v>
      </c>
      <c r="B3700" s="321" t="s">
        <v>388</v>
      </c>
      <c r="C3700" s="293">
        <v>136.22161299999999</v>
      </c>
      <c r="D3700" s="293">
        <v>337.60714899999999</v>
      </c>
      <c r="E3700" s="293">
        <v>201.385536</v>
      </c>
      <c r="F3700" s="294" t="s">
        <v>2235</v>
      </c>
    </row>
    <row r="3701" spans="1:6" hidden="1" outlineLevel="1" collapsed="1" x14ac:dyDescent="0.25">
      <c r="A3701" s="321" t="s">
        <v>282</v>
      </c>
      <c r="B3701" s="321" t="s">
        <v>480</v>
      </c>
      <c r="C3701" s="293">
        <v>15.263418</v>
      </c>
      <c r="D3701" s="293">
        <v>194.21297100000001</v>
      </c>
      <c r="E3701" s="293">
        <v>178.94955300000001</v>
      </c>
      <c r="F3701" s="294" t="s">
        <v>2236</v>
      </c>
    </row>
    <row r="3702" spans="1:6" hidden="1" outlineLevel="1" collapsed="1" x14ac:dyDescent="0.25">
      <c r="A3702" s="321" t="s">
        <v>282</v>
      </c>
      <c r="B3702" s="321" t="s">
        <v>444</v>
      </c>
      <c r="C3702" s="293">
        <v>675</v>
      </c>
      <c r="D3702" s="293">
        <v>648</v>
      </c>
      <c r="E3702" s="293">
        <v>-27</v>
      </c>
      <c r="F3702" s="294" t="s">
        <v>938</v>
      </c>
    </row>
    <row r="3703" spans="1:6" hidden="1" outlineLevel="1" collapsed="1" x14ac:dyDescent="0.25">
      <c r="A3703" s="321" t="s">
        <v>282</v>
      </c>
      <c r="B3703" s="321" t="s">
        <v>389</v>
      </c>
      <c r="C3703" s="293">
        <v>42.612479999999998</v>
      </c>
      <c r="D3703" s="293">
        <v>42.204000000000001</v>
      </c>
      <c r="E3703" s="293">
        <v>-0.40848000000000001</v>
      </c>
      <c r="F3703" s="294" t="s">
        <v>364</v>
      </c>
    </row>
    <row r="3704" spans="1:6" hidden="1" outlineLevel="1" collapsed="1" x14ac:dyDescent="0.25">
      <c r="A3704" s="321" t="s">
        <v>282</v>
      </c>
      <c r="B3704" s="321" t="s">
        <v>390</v>
      </c>
      <c r="C3704" s="293">
        <v>1548.527</v>
      </c>
      <c r="D3704" s="293">
        <v>1595.9280000000001</v>
      </c>
      <c r="E3704" s="293">
        <v>47.401000000000003</v>
      </c>
      <c r="F3704" s="294" t="s">
        <v>391</v>
      </c>
    </row>
    <row r="3705" spans="1:6" hidden="1" outlineLevel="1" collapsed="1" x14ac:dyDescent="0.25">
      <c r="A3705" s="321" t="s">
        <v>282</v>
      </c>
      <c r="B3705" s="321" t="s">
        <v>392</v>
      </c>
      <c r="C3705" s="293">
        <v>23.353919999999999</v>
      </c>
      <c r="D3705" s="293">
        <v>18.288</v>
      </c>
      <c r="E3705" s="293">
        <v>-5.0659200000000002</v>
      </c>
      <c r="F3705" s="294" t="s">
        <v>368</v>
      </c>
    </row>
    <row r="3706" spans="1:6" hidden="1" outlineLevel="1" collapsed="1" x14ac:dyDescent="0.25">
      <c r="A3706" s="321" t="s">
        <v>282</v>
      </c>
      <c r="B3706" s="321" t="s">
        <v>393</v>
      </c>
      <c r="C3706" s="293">
        <v>4.6972959999999997</v>
      </c>
      <c r="D3706" s="293">
        <v>11.641621000000001</v>
      </c>
      <c r="E3706" s="293">
        <v>6.9443250000000001</v>
      </c>
      <c r="F3706" s="294" t="s">
        <v>2235</v>
      </c>
    </row>
    <row r="3707" spans="1:6" hidden="1" outlineLevel="1" collapsed="1" x14ac:dyDescent="0.25">
      <c r="A3707" s="321" t="s">
        <v>282</v>
      </c>
      <c r="B3707" s="321" t="s">
        <v>394</v>
      </c>
      <c r="C3707" s="293">
        <v>150</v>
      </c>
      <c r="D3707" s="293">
        <v>0</v>
      </c>
      <c r="E3707" s="293">
        <v>-150</v>
      </c>
      <c r="F3707" s="294" t="s">
        <v>286</v>
      </c>
    </row>
    <row r="3708" spans="1:6" hidden="1" outlineLevel="1" collapsed="1" x14ac:dyDescent="0.25">
      <c r="A3708" s="321" t="s">
        <v>282</v>
      </c>
      <c r="B3708" s="321" t="s">
        <v>395</v>
      </c>
      <c r="C3708" s="293">
        <v>0</v>
      </c>
      <c r="D3708" s="293">
        <v>150</v>
      </c>
      <c r="E3708" s="293">
        <v>150</v>
      </c>
      <c r="F3708" s="294" t="s">
        <v>298</v>
      </c>
    </row>
    <row r="3709" spans="1:6" hidden="1" outlineLevel="1" collapsed="1" x14ac:dyDescent="0.25">
      <c r="A3709" s="321" t="s">
        <v>282</v>
      </c>
      <c r="B3709" s="321" t="s">
        <v>396</v>
      </c>
      <c r="C3709" s="293">
        <v>4.968</v>
      </c>
      <c r="D3709" s="293">
        <v>0</v>
      </c>
      <c r="E3709" s="293">
        <v>-4.968</v>
      </c>
      <c r="F3709" s="294" t="s">
        <v>286</v>
      </c>
    </row>
    <row r="3710" spans="1:6" hidden="1" outlineLevel="1" collapsed="1" x14ac:dyDescent="0.25">
      <c r="A3710" s="321" t="s">
        <v>282</v>
      </c>
      <c r="B3710" s="321" t="s">
        <v>397</v>
      </c>
      <c r="C3710" s="293">
        <v>0</v>
      </c>
      <c r="D3710" s="293">
        <v>4.8479999999999999</v>
      </c>
      <c r="E3710" s="293">
        <v>4.8479999999999999</v>
      </c>
      <c r="F3710" s="294" t="s">
        <v>298</v>
      </c>
    </row>
    <row r="3711" spans="1:6" hidden="1" outlineLevel="1" collapsed="1" x14ac:dyDescent="0.25">
      <c r="A3711" s="321" t="s">
        <v>282</v>
      </c>
      <c r="B3711" s="321" t="s">
        <v>398</v>
      </c>
      <c r="C3711" s="293">
        <v>2.4</v>
      </c>
      <c r="D3711" s="293">
        <v>1.1040000000000001</v>
      </c>
      <c r="E3711" s="293">
        <v>-1.296</v>
      </c>
      <c r="F3711" s="294" t="s">
        <v>374</v>
      </c>
    </row>
    <row r="3712" spans="1:6" collapsed="1" x14ac:dyDescent="0.25">
      <c r="A3712" s="560" t="s">
        <v>1486</v>
      </c>
      <c r="B3712" s="561"/>
      <c r="C3712" s="292">
        <v>17383</v>
      </c>
      <c r="D3712" s="293">
        <v>10208</v>
      </c>
      <c r="E3712" s="293">
        <v>-7175</v>
      </c>
      <c r="F3712" s="294" t="s">
        <v>1487</v>
      </c>
    </row>
    <row r="3713" spans="1:6" hidden="1" outlineLevel="1" collapsed="1" x14ac:dyDescent="0.25">
      <c r="A3713" s="321" t="s">
        <v>282</v>
      </c>
      <c r="B3713" s="321" t="s">
        <v>376</v>
      </c>
      <c r="C3713" s="293">
        <v>0</v>
      </c>
      <c r="D3713" s="293">
        <v>0</v>
      </c>
      <c r="E3713" s="293">
        <v>0</v>
      </c>
      <c r="F3713" s="294" t="s">
        <v>316</v>
      </c>
    </row>
    <row r="3714" spans="1:6" hidden="1" outlineLevel="1" collapsed="1" x14ac:dyDescent="0.25">
      <c r="A3714" s="321" t="s">
        <v>282</v>
      </c>
      <c r="B3714" s="321" t="s">
        <v>567</v>
      </c>
      <c r="C3714" s="293">
        <v>8000</v>
      </c>
      <c r="D3714" s="293">
        <v>10208</v>
      </c>
      <c r="E3714" s="293">
        <v>2208</v>
      </c>
      <c r="F3714" s="294" t="s">
        <v>2237</v>
      </c>
    </row>
    <row r="3715" spans="1:6" hidden="1" outlineLevel="1" collapsed="1" x14ac:dyDescent="0.25">
      <c r="A3715" s="321" t="s">
        <v>282</v>
      </c>
      <c r="B3715" s="321" t="s">
        <v>426</v>
      </c>
      <c r="C3715" s="293">
        <v>0</v>
      </c>
      <c r="D3715" s="293">
        <v>0</v>
      </c>
      <c r="E3715" s="293">
        <v>0</v>
      </c>
      <c r="F3715" s="294" t="s">
        <v>316</v>
      </c>
    </row>
    <row r="3716" spans="1:6" hidden="1" outlineLevel="1" collapsed="1" x14ac:dyDescent="0.25">
      <c r="A3716" s="321" t="s">
        <v>282</v>
      </c>
      <c r="B3716" s="321" t="s">
        <v>482</v>
      </c>
      <c r="C3716" s="293">
        <v>0</v>
      </c>
      <c r="D3716" s="293">
        <v>0</v>
      </c>
      <c r="E3716" s="293">
        <v>0</v>
      </c>
      <c r="F3716" s="294" t="s">
        <v>316</v>
      </c>
    </row>
    <row r="3717" spans="1:6" hidden="1" outlineLevel="1" collapsed="1" x14ac:dyDescent="0.25">
      <c r="A3717" s="321" t="s">
        <v>282</v>
      </c>
      <c r="B3717" s="321" t="s">
        <v>597</v>
      </c>
      <c r="C3717" s="293">
        <v>7854</v>
      </c>
      <c r="D3717" s="293">
        <v>0</v>
      </c>
      <c r="E3717" s="293">
        <v>-7854</v>
      </c>
      <c r="F3717" s="294" t="s">
        <v>286</v>
      </c>
    </row>
    <row r="3718" spans="1:6" hidden="1" outlineLevel="1" collapsed="1" x14ac:dyDescent="0.25">
      <c r="A3718" s="321" t="s">
        <v>282</v>
      </c>
      <c r="B3718" s="321" t="s">
        <v>448</v>
      </c>
      <c r="C3718" s="293">
        <v>1529</v>
      </c>
      <c r="D3718" s="293">
        <v>0</v>
      </c>
      <c r="E3718" s="293">
        <v>-1529</v>
      </c>
      <c r="F3718" s="294" t="s">
        <v>286</v>
      </c>
    </row>
    <row r="3719" spans="1:6" collapsed="1" x14ac:dyDescent="0.25">
      <c r="A3719" s="560" t="s">
        <v>1490</v>
      </c>
      <c r="B3719" s="561"/>
      <c r="C3719" s="292">
        <v>112331.629831</v>
      </c>
      <c r="D3719" s="293">
        <v>235083.242264</v>
      </c>
      <c r="E3719" s="293">
        <v>122751.612433</v>
      </c>
      <c r="F3719" s="294" t="s">
        <v>2238</v>
      </c>
    </row>
    <row r="3720" spans="1:6" hidden="1" outlineLevel="1" collapsed="1" x14ac:dyDescent="0.25">
      <c r="A3720" s="321" t="s">
        <v>282</v>
      </c>
      <c r="B3720" s="321" t="s">
        <v>750</v>
      </c>
      <c r="C3720" s="293">
        <v>42324.613324999998</v>
      </c>
      <c r="D3720" s="293">
        <v>97959.679992000005</v>
      </c>
      <c r="E3720" s="293">
        <v>55635.066666999999</v>
      </c>
      <c r="F3720" s="294" t="s">
        <v>1492</v>
      </c>
    </row>
    <row r="3721" spans="1:6" hidden="1" outlineLevel="1" collapsed="1" x14ac:dyDescent="0.25">
      <c r="A3721" s="321" t="s">
        <v>282</v>
      </c>
      <c r="B3721" s="321" t="s">
        <v>412</v>
      </c>
      <c r="C3721" s="293">
        <v>4687.5</v>
      </c>
      <c r="D3721" s="293">
        <v>5000</v>
      </c>
      <c r="E3721" s="293">
        <v>312.5</v>
      </c>
      <c r="F3721" s="294" t="s">
        <v>1156</v>
      </c>
    </row>
    <row r="3722" spans="1:6" hidden="1" outlineLevel="1" collapsed="1" x14ac:dyDescent="0.25">
      <c r="A3722" s="321" t="s">
        <v>282</v>
      </c>
      <c r="B3722" s="321" t="s">
        <v>464</v>
      </c>
      <c r="C3722" s="293">
        <v>0.43615199999999998</v>
      </c>
      <c r="D3722" s="293">
        <v>53568.985591999997</v>
      </c>
      <c r="E3722" s="293">
        <v>53568.549440000003</v>
      </c>
      <c r="F3722" s="294" t="s">
        <v>1493</v>
      </c>
    </row>
    <row r="3723" spans="1:6" hidden="1" outlineLevel="1" collapsed="1" x14ac:dyDescent="0.25">
      <c r="A3723" s="321" t="s">
        <v>282</v>
      </c>
      <c r="B3723" s="321" t="s">
        <v>751</v>
      </c>
      <c r="C3723" s="293">
        <v>6358.5629859999999</v>
      </c>
      <c r="D3723" s="293">
        <v>0</v>
      </c>
      <c r="E3723" s="293">
        <v>-6358.5629859999999</v>
      </c>
      <c r="F3723" s="294" t="s">
        <v>286</v>
      </c>
    </row>
    <row r="3724" spans="1:6" hidden="1" outlineLevel="1" collapsed="1" x14ac:dyDescent="0.25">
      <c r="A3724" s="321" t="s">
        <v>282</v>
      </c>
      <c r="B3724" s="321" t="s">
        <v>752</v>
      </c>
      <c r="C3724" s="293">
        <v>0</v>
      </c>
      <c r="D3724" s="293">
        <v>14135.581812</v>
      </c>
      <c r="E3724" s="293">
        <v>14135.581812</v>
      </c>
      <c r="F3724" s="294" t="s">
        <v>298</v>
      </c>
    </row>
    <row r="3725" spans="1:6" hidden="1" outlineLevel="1" collapsed="1" x14ac:dyDescent="0.25">
      <c r="A3725" s="321" t="s">
        <v>282</v>
      </c>
      <c r="B3725" s="321" t="s">
        <v>384</v>
      </c>
      <c r="C3725" s="293">
        <v>6461.8976640000001</v>
      </c>
      <c r="D3725" s="293">
        <v>0</v>
      </c>
      <c r="E3725" s="293">
        <v>-6461.8976640000001</v>
      </c>
      <c r="F3725" s="294" t="s">
        <v>286</v>
      </c>
    </row>
    <row r="3726" spans="1:6" hidden="1" outlineLevel="1" collapsed="1" x14ac:dyDescent="0.25">
      <c r="A3726" s="321" t="s">
        <v>282</v>
      </c>
      <c r="B3726" s="321" t="s">
        <v>385</v>
      </c>
      <c r="C3726" s="293">
        <v>0</v>
      </c>
      <c r="D3726" s="293">
        <v>8218.8476520000004</v>
      </c>
      <c r="E3726" s="293">
        <v>8218.8476520000004</v>
      </c>
      <c r="F3726" s="294" t="s">
        <v>298</v>
      </c>
    </row>
    <row r="3727" spans="1:6" hidden="1" outlineLevel="1" collapsed="1" x14ac:dyDescent="0.25">
      <c r="A3727" s="321" t="s">
        <v>282</v>
      </c>
      <c r="B3727" s="321" t="s">
        <v>386</v>
      </c>
      <c r="C3727" s="293">
        <v>3225.0190320000002</v>
      </c>
      <c r="D3727" s="293">
        <v>0</v>
      </c>
      <c r="E3727" s="293">
        <v>-3225.0190320000002</v>
      </c>
      <c r="F3727" s="294" t="s">
        <v>286</v>
      </c>
    </row>
    <row r="3728" spans="1:6" hidden="1" outlineLevel="1" collapsed="1" x14ac:dyDescent="0.25">
      <c r="A3728" s="321" t="s">
        <v>282</v>
      </c>
      <c r="B3728" s="321" t="s">
        <v>387</v>
      </c>
      <c r="C3728" s="293">
        <v>0</v>
      </c>
      <c r="D3728" s="293">
        <v>3321.2771039999998</v>
      </c>
      <c r="E3728" s="293">
        <v>3321.2771039999998</v>
      </c>
      <c r="F3728" s="294" t="s">
        <v>298</v>
      </c>
    </row>
    <row r="3729" spans="1:6" hidden="1" outlineLevel="1" collapsed="1" x14ac:dyDescent="0.25">
      <c r="A3729" s="321" t="s">
        <v>282</v>
      </c>
      <c r="B3729" s="321" t="s">
        <v>753</v>
      </c>
      <c r="C3729" s="293">
        <v>6941.9436580000001</v>
      </c>
      <c r="D3729" s="293">
        <v>6383.5001519999996</v>
      </c>
      <c r="E3729" s="293">
        <v>-558.44350599999996</v>
      </c>
      <c r="F3729" s="294" t="s">
        <v>1494</v>
      </c>
    </row>
    <row r="3730" spans="1:6" hidden="1" outlineLevel="1" collapsed="1" x14ac:dyDescent="0.25">
      <c r="A3730" s="321" t="s">
        <v>282</v>
      </c>
      <c r="B3730" s="321" t="s">
        <v>388</v>
      </c>
      <c r="C3730" s="293">
        <v>1528.717394</v>
      </c>
      <c r="D3730" s="293">
        <v>2269.6656360000002</v>
      </c>
      <c r="E3730" s="293">
        <v>740.94824200000005</v>
      </c>
      <c r="F3730" s="294" t="s">
        <v>1495</v>
      </c>
    </row>
    <row r="3731" spans="1:6" hidden="1" outlineLevel="1" collapsed="1" x14ac:dyDescent="0.25">
      <c r="A3731" s="321" t="s">
        <v>282</v>
      </c>
      <c r="B3731" s="321" t="s">
        <v>389</v>
      </c>
      <c r="C3731" s="293">
        <v>426.12479999999999</v>
      </c>
      <c r="D3731" s="293">
        <v>422.04</v>
      </c>
      <c r="E3731" s="293">
        <v>-4.0848000000000004</v>
      </c>
      <c r="F3731" s="294" t="s">
        <v>364</v>
      </c>
    </row>
    <row r="3732" spans="1:6" hidden="1" outlineLevel="1" collapsed="1" x14ac:dyDescent="0.25">
      <c r="A3732" s="321" t="s">
        <v>282</v>
      </c>
      <c r="B3732" s="321" t="s">
        <v>390</v>
      </c>
      <c r="C3732" s="293">
        <v>15485.27</v>
      </c>
      <c r="D3732" s="293">
        <v>15959.28</v>
      </c>
      <c r="E3732" s="293">
        <v>474.01</v>
      </c>
      <c r="F3732" s="294" t="s">
        <v>391</v>
      </c>
    </row>
    <row r="3733" spans="1:6" hidden="1" outlineLevel="1" collapsed="1" x14ac:dyDescent="0.25">
      <c r="A3733" s="321" t="s">
        <v>282</v>
      </c>
      <c r="B3733" s="321" t="s">
        <v>392</v>
      </c>
      <c r="C3733" s="293">
        <v>233.53919999999999</v>
      </c>
      <c r="D3733" s="293">
        <v>182.88</v>
      </c>
      <c r="E3733" s="293">
        <v>-50.659199999999998</v>
      </c>
      <c r="F3733" s="294" t="s">
        <v>368</v>
      </c>
    </row>
    <row r="3734" spans="1:6" hidden="1" outlineLevel="1" collapsed="1" x14ac:dyDescent="0.25">
      <c r="A3734" s="321" t="s">
        <v>282</v>
      </c>
      <c r="B3734" s="321" t="s">
        <v>754</v>
      </c>
      <c r="C3734" s="293">
        <v>5772.26</v>
      </c>
      <c r="D3734" s="293">
        <v>15959.28</v>
      </c>
      <c r="E3734" s="293">
        <v>10187.02</v>
      </c>
      <c r="F3734" s="294" t="s">
        <v>1496</v>
      </c>
    </row>
    <row r="3735" spans="1:6" hidden="1" outlineLevel="1" collapsed="1" x14ac:dyDescent="0.25">
      <c r="A3735" s="321" t="s">
        <v>282</v>
      </c>
      <c r="B3735" s="321" t="s">
        <v>755</v>
      </c>
      <c r="C3735" s="293">
        <v>160.16079999999999</v>
      </c>
      <c r="D3735" s="293">
        <v>422.04</v>
      </c>
      <c r="E3735" s="293">
        <v>261.87920000000003</v>
      </c>
      <c r="F3735" s="294" t="s">
        <v>1497</v>
      </c>
    </row>
    <row r="3736" spans="1:6" hidden="1" outlineLevel="1" collapsed="1" x14ac:dyDescent="0.25">
      <c r="A3736" s="321" t="s">
        <v>282</v>
      </c>
      <c r="B3736" s="321" t="s">
        <v>756</v>
      </c>
      <c r="C3736" s="293">
        <v>87.773200000000003</v>
      </c>
      <c r="D3736" s="293">
        <v>182.88</v>
      </c>
      <c r="E3736" s="293">
        <v>95.106800000000007</v>
      </c>
      <c r="F3736" s="294" t="s">
        <v>1498</v>
      </c>
    </row>
    <row r="3737" spans="1:6" hidden="1" outlineLevel="1" collapsed="1" x14ac:dyDescent="0.25">
      <c r="A3737" s="321" t="s">
        <v>282</v>
      </c>
      <c r="B3737" s="321" t="s">
        <v>393</v>
      </c>
      <c r="C3737" s="293">
        <v>26.008212</v>
      </c>
      <c r="D3737" s="293">
        <v>26.784492</v>
      </c>
      <c r="E3737" s="293">
        <v>0.77627999999999997</v>
      </c>
      <c r="F3737" s="294" t="s">
        <v>381</v>
      </c>
    </row>
    <row r="3738" spans="1:6" hidden="1" outlineLevel="1" collapsed="1" x14ac:dyDescent="0.25">
      <c r="A3738" s="321" t="s">
        <v>282</v>
      </c>
      <c r="B3738" s="321" t="s">
        <v>757</v>
      </c>
      <c r="C3738" s="293">
        <v>26.703408</v>
      </c>
      <c r="D3738" s="293">
        <v>0</v>
      </c>
      <c r="E3738" s="293">
        <v>-26.703408</v>
      </c>
      <c r="F3738" s="294" t="s">
        <v>286</v>
      </c>
    </row>
    <row r="3739" spans="1:6" hidden="1" outlineLevel="1" collapsed="1" x14ac:dyDescent="0.25">
      <c r="A3739" s="321" t="s">
        <v>282</v>
      </c>
      <c r="B3739" s="321" t="s">
        <v>758</v>
      </c>
      <c r="C3739" s="293">
        <v>0</v>
      </c>
      <c r="D3739" s="293">
        <v>51.479832000000002</v>
      </c>
      <c r="E3739" s="293">
        <v>51.479832000000002</v>
      </c>
      <c r="F3739" s="294" t="s">
        <v>298</v>
      </c>
    </row>
    <row r="3740" spans="1:6" hidden="1" outlineLevel="1" collapsed="1" x14ac:dyDescent="0.25">
      <c r="A3740" s="321" t="s">
        <v>282</v>
      </c>
      <c r="B3740" s="321" t="s">
        <v>394</v>
      </c>
      <c r="C3740" s="293">
        <v>1500</v>
      </c>
      <c r="D3740" s="293">
        <v>0</v>
      </c>
      <c r="E3740" s="293">
        <v>-1500</v>
      </c>
      <c r="F3740" s="294" t="s">
        <v>286</v>
      </c>
    </row>
    <row r="3741" spans="1:6" hidden="1" outlineLevel="1" collapsed="1" x14ac:dyDescent="0.25">
      <c r="A3741" s="321" t="s">
        <v>282</v>
      </c>
      <c r="B3741" s="321" t="s">
        <v>395</v>
      </c>
      <c r="C3741" s="293">
        <v>0</v>
      </c>
      <c r="D3741" s="293">
        <v>1500</v>
      </c>
      <c r="E3741" s="293">
        <v>1500</v>
      </c>
      <c r="F3741" s="294" t="s">
        <v>298</v>
      </c>
    </row>
    <row r="3742" spans="1:6" hidden="1" outlineLevel="1" collapsed="1" x14ac:dyDescent="0.25">
      <c r="A3742" s="321" t="s">
        <v>282</v>
      </c>
      <c r="B3742" s="321" t="s">
        <v>759</v>
      </c>
      <c r="C3742" s="293">
        <v>563.75</v>
      </c>
      <c r="D3742" s="293">
        <v>0</v>
      </c>
      <c r="E3742" s="293">
        <v>-563.75</v>
      </c>
      <c r="F3742" s="294" t="s">
        <v>286</v>
      </c>
    </row>
    <row r="3743" spans="1:6" hidden="1" outlineLevel="1" collapsed="1" x14ac:dyDescent="0.25">
      <c r="A3743" s="321" t="s">
        <v>282</v>
      </c>
      <c r="B3743" s="321" t="s">
        <v>760</v>
      </c>
      <c r="C3743" s="293">
        <v>0</v>
      </c>
      <c r="D3743" s="293">
        <v>1500</v>
      </c>
      <c r="E3743" s="293">
        <v>1500</v>
      </c>
      <c r="F3743" s="294" t="s">
        <v>298</v>
      </c>
    </row>
    <row r="3744" spans="1:6" hidden="1" outlineLevel="1" collapsed="1" x14ac:dyDescent="0.25">
      <c r="A3744" s="321" t="s">
        <v>282</v>
      </c>
      <c r="B3744" s="321" t="s">
        <v>396</v>
      </c>
      <c r="C3744" s="293">
        <v>49.68</v>
      </c>
      <c r="D3744" s="293">
        <v>0</v>
      </c>
      <c r="E3744" s="293">
        <v>-49.68</v>
      </c>
      <c r="F3744" s="294" t="s">
        <v>286</v>
      </c>
    </row>
    <row r="3745" spans="1:6" hidden="1" outlineLevel="1" collapsed="1" x14ac:dyDescent="0.25">
      <c r="A3745" s="321" t="s">
        <v>282</v>
      </c>
      <c r="B3745" s="321" t="s">
        <v>397</v>
      </c>
      <c r="C3745" s="293">
        <v>0</v>
      </c>
      <c r="D3745" s="293">
        <v>48.48</v>
      </c>
      <c r="E3745" s="293">
        <v>48.48</v>
      </c>
      <c r="F3745" s="294" t="s">
        <v>298</v>
      </c>
    </row>
    <row r="3746" spans="1:6" hidden="1" outlineLevel="1" collapsed="1" x14ac:dyDescent="0.25">
      <c r="A3746" s="321" t="s">
        <v>282</v>
      </c>
      <c r="B3746" s="321" t="s">
        <v>761</v>
      </c>
      <c r="C3746" s="293">
        <v>18.670000000000002</v>
      </c>
      <c r="D3746" s="293">
        <v>0</v>
      </c>
      <c r="E3746" s="293">
        <v>-18.670000000000002</v>
      </c>
      <c r="F3746" s="294" t="s">
        <v>286</v>
      </c>
    </row>
    <row r="3747" spans="1:6" hidden="1" outlineLevel="1" collapsed="1" x14ac:dyDescent="0.25">
      <c r="A3747" s="321" t="s">
        <v>282</v>
      </c>
      <c r="B3747" s="321" t="s">
        <v>762</v>
      </c>
      <c r="C3747" s="293">
        <v>0</v>
      </c>
      <c r="D3747" s="293">
        <v>48.48</v>
      </c>
      <c r="E3747" s="293">
        <v>48.48</v>
      </c>
      <c r="F3747" s="294" t="s">
        <v>298</v>
      </c>
    </row>
    <row r="3748" spans="1:6" hidden="1" outlineLevel="1" collapsed="1" x14ac:dyDescent="0.25">
      <c r="A3748" s="321" t="s">
        <v>282</v>
      </c>
      <c r="B3748" s="321" t="s">
        <v>398</v>
      </c>
      <c r="C3748" s="293">
        <v>24</v>
      </c>
      <c r="D3748" s="293">
        <v>11.04</v>
      </c>
      <c r="E3748" s="293">
        <v>-12.96</v>
      </c>
      <c r="F3748" s="294" t="s">
        <v>374</v>
      </c>
    </row>
    <row r="3749" spans="1:6" hidden="1" outlineLevel="1" collapsed="1" x14ac:dyDescent="0.25">
      <c r="A3749" s="321" t="s">
        <v>282</v>
      </c>
      <c r="B3749" s="321" t="s">
        <v>763</v>
      </c>
      <c r="C3749" s="293">
        <v>29</v>
      </c>
      <c r="D3749" s="293">
        <v>11.04</v>
      </c>
      <c r="E3749" s="293">
        <v>-17.96</v>
      </c>
      <c r="F3749" s="294" t="s">
        <v>1499</v>
      </c>
    </row>
    <row r="3750" spans="1:6" hidden="1" outlineLevel="1" collapsed="1" x14ac:dyDescent="0.25">
      <c r="A3750" s="321" t="s">
        <v>282</v>
      </c>
      <c r="B3750" s="321" t="s">
        <v>506</v>
      </c>
      <c r="C3750" s="293">
        <v>550</v>
      </c>
      <c r="D3750" s="293">
        <v>550</v>
      </c>
      <c r="E3750" s="293">
        <v>0</v>
      </c>
      <c r="F3750" s="294" t="s">
        <v>316</v>
      </c>
    </row>
    <row r="3751" spans="1:6" hidden="1" outlineLevel="1" collapsed="1" x14ac:dyDescent="0.25">
      <c r="A3751" s="321" t="s">
        <v>282</v>
      </c>
      <c r="B3751" s="321" t="s">
        <v>567</v>
      </c>
      <c r="C3751" s="293">
        <v>9900</v>
      </c>
      <c r="D3751" s="293">
        <v>3000</v>
      </c>
      <c r="E3751" s="293">
        <v>-6900</v>
      </c>
      <c r="F3751" s="294" t="s">
        <v>1500</v>
      </c>
    </row>
    <row r="3752" spans="1:6" hidden="1" outlineLevel="1" collapsed="1" x14ac:dyDescent="0.25">
      <c r="A3752" s="321" t="s">
        <v>282</v>
      </c>
      <c r="B3752" s="321" t="s">
        <v>597</v>
      </c>
      <c r="C3752" s="293">
        <v>1000</v>
      </c>
      <c r="D3752" s="293">
        <v>1000</v>
      </c>
      <c r="E3752" s="293">
        <v>0</v>
      </c>
      <c r="F3752" s="294" t="s">
        <v>316</v>
      </c>
    </row>
    <row r="3753" spans="1:6" hidden="1" outlineLevel="1" collapsed="1" x14ac:dyDescent="0.25">
      <c r="A3753" s="321" t="s">
        <v>282</v>
      </c>
      <c r="B3753" s="321" t="s">
        <v>405</v>
      </c>
      <c r="C3753" s="293">
        <v>4600</v>
      </c>
      <c r="D3753" s="293">
        <v>3000</v>
      </c>
      <c r="E3753" s="293">
        <v>-1600</v>
      </c>
      <c r="F3753" s="294" t="s">
        <v>1501</v>
      </c>
    </row>
    <row r="3754" spans="1:6" hidden="1" outlineLevel="1" collapsed="1" x14ac:dyDescent="0.25">
      <c r="A3754" s="321" t="s">
        <v>282</v>
      </c>
      <c r="B3754" s="321" t="s">
        <v>557</v>
      </c>
      <c r="C3754" s="293">
        <v>350</v>
      </c>
      <c r="D3754" s="293">
        <v>350</v>
      </c>
      <c r="E3754" s="293">
        <v>0</v>
      </c>
      <c r="F3754" s="294" t="s">
        <v>316</v>
      </c>
    </row>
    <row r="3755" spans="1:6" collapsed="1" x14ac:dyDescent="0.25">
      <c r="A3755" s="560" t="s">
        <v>1502</v>
      </c>
      <c r="B3755" s="561"/>
      <c r="C3755" s="292">
        <v>187014.04324500001</v>
      </c>
      <c r="D3755" s="293">
        <v>159509.03848799999</v>
      </c>
      <c r="E3755" s="293">
        <v>-27505.004756999999</v>
      </c>
      <c r="F3755" s="294" t="s">
        <v>1137</v>
      </c>
    </row>
    <row r="3756" spans="1:6" hidden="1" outlineLevel="1" collapsed="1" x14ac:dyDescent="0.25">
      <c r="A3756" s="321" t="s">
        <v>282</v>
      </c>
      <c r="B3756" s="321" t="s">
        <v>780</v>
      </c>
      <c r="C3756" s="293">
        <v>96389.980953000006</v>
      </c>
      <c r="D3756" s="293">
        <v>117401.352636</v>
      </c>
      <c r="E3756" s="293">
        <v>21011.371683000001</v>
      </c>
      <c r="F3756" s="294" t="s">
        <v>1503</v>
      </c>
    </row>
    <row r="3757" spans="1:6" hidden="1" outlineLevel="1" collapsed="1" x14ac:dyDescent="0.25">
      <c r="A3757" s="321" t="s">
        <v>282</v>
      </c>
      <c r="B3757" s="321" t="s">
        <v>441</v>
      </c>
      <c r="C3757" s="293">
        <v>1500</v>
      </c>
      <c r="D3757" s="293">
        <v>1500</v>
      </c>
      <c r="E3757" s="293">
        <v>0</v>
      </c>
      <c r="F3757" s="294" t="s">
        <v>316</v>
      </c>
    </row>
    <row r="3758" spans="1:6" hidden="1" outlineLevel="1" collapsed="1" x14ac:dyDescent="0.25">
      <c r="A3758" s="321" t="s">
        <v>282</v>
      </c>
      <c r="B3758" s="321" t="s">
        <v>464</v>
      </c>
      <c r="C3758" s="293">
        <v>31851.867114000001</v>
      </c>
      <c r="D3758" s="293">
        <v>0</v>
      </c>
      <c r="E3758" s="293">
        <v>-31851.867114000001</v>
      </c>
      <c r="F3758" s="294" t="s">
        <v>286</v>
      </c>
    </row>
    <row r="3759" spans="1:6" hidden="1" outlineLevel="1" collapsed="1" x14ac:dyDescent="0.25">
      <c r="A3759" s="321" t="s">
        <v>282</v>
      </c>
      <c r="B3759" s="321" t="s">
        <v>453</v>
      </c>
      <c r="C3759" s="293">
        <v>1500</v>
      </c>
      <c r="D3759" s="293">
        <v>0</v>
      </c>
      <c r="E3759" s="293">
        <v>-1500</v>
      </c>
      <c r="F3759" s="294" t="s">
        <v>286</v>
      </c>
    </row>
    <row r="3760" spans="1:6" hidden="1" outlineLevel="1" collapsed="1" x14ac:dyDescent="0.25">
      <c r="A3760" s="321" t="s">
        <v>282</v>
      </c>
      <c r="B3760" s="321" t="s">
        <v>751</v>
      </c>
      <c r="C3760" s="293">
        <v>12578.892512</v>
      </c>
      <c r="D3760" s="293">
        <v>0</v>
      </c>
      <c r="E3760" s="293">
        <v>-12578.892512</v>
      </c>
      <c r="F3760" s="294" t="s">
        <v>286</v>
      </c>
    </row>
    <row r="3761" spans="1:6" hidden="1" outlineLevel="1" collapsed="1" x14ac:dyDescent="0.25">
      <c r="A3761" s="321" t="s">
        <v>282</v>
      </c>
      <c r="B3761" s="321" t="s">
        <v>752</v>
      </c>
      <c r="C3761" s="293">
        <v>0</v>
      </c>
      <c r="D3761" s="293">
        <v>16941.015179999999</v>
      </c>
      <c r="E3761" s="293">
        <v>16941.015179999999</v>
      </c>
      <c r="F3761" s="294" t="s">
        <v>298</v>
      </c>
    </row>
    <row r="3762" spans="1:6" hidden="1" outlineLevel="1" collapsed="1" x14ac:dyDescent="0.25">
      <c r="A3762" s="321" t="s">
        <v>282</v>
      </c>
      <c r="B3762" s="321" t="s">
        <v>384</v>
      </c>
      <c r="C3762" s="293">
        <v>4846.4232480000001</v>
      </c>
      <c r="D3762" s="293">
        <v>0</v>
      </c>
      <c r="E3762" s="293">
        <v>-4846.4232480000001</v>
      </c>
      <c r="F3762" s="294" t="s">
        <v>286</v>
      </c>
    </row>
    <row r="3763" spans="1:6" hidden="1" outlineLevel="1" collapsed="1" x14ac:dyDescent="0.25">
      <c r="A3763" s="321" t="s">
        <v>282</v>
      </c>
      <c r="B3763" s="321" t="s">
        <v>386</v>
      </c>
      <c r="C3763" s="293">
        <v>2388.5392769999999</v>
      </c>
      <c r="D3763" s="293">
        <v>0</v>
      </c>
      <c r="E3763" s="293">
        <v>-2388.5392769999999</v>
      </c>
      <c r="F3763" s="294" t="s">
        <v>286</v>
      </c>
    </row>
    <row r="3764" spans="1:6" hidden="1" outlineLevel="1" collapsed="1" x14ac:dyDescent="0.25">
      <c r="A3764" s="321" t="s">
        <v>282</v>
      </c>
      <c r="B3764" s="321" t="s">
        <v>388</v>
      </c>
      <c r="C3764" s="293">
        <v>558.60999300000003</v>
      </c>
      <c r="D3764" s="293">
        <v>0</v>
      </c>
      <c r="E3764" s="293">
        <v>-558.60999300000003</v>
      </c>
      <c r="F3764" s="294" t="s">
        <v>286</v>
      </c>
    </row>
    <row r="3765" spans="1:6" hidden="1" outlineLevel="1" collapsed="1" x14ac:dyDescent="0.25">
      <c r="A3765" s="321" t="s">
        <v>282</v>
      </c>
      <c r="B3765" s="321" t="s">
        <v>444</v>
      </c>
      <c r="C3765" s="293">
        <v>319</v>
      </c>
      <c r="D3765" s="293">
        <v>184</v>
      </c>
      <c r="E3765" s="293">
        <v>-135</v>
      </c>
      <c r="F3765" s="294" t="s">
        <v>1504</v>
      </c>
    </row>
    <row r="3766" spans="1:6" hidden="1" outlineLevel="1" collapsed="1" x14ac:dyDescent="0.25">
      <c r="A3766" s="321" t="s">
        <v>282</v>
      </c>
      <c r="B3766" s="321" t="s">
        <v>389</v>
      </c>
      <c r="C3766" s="293">
        <v>319.59359999999998</v>
      </c>
      <c r="D3766" s="293">
        <v>0</v>
      </c>
      <c r="E3766" s="293">
        <v>-319.59359999999998</v>
      </c>
      <c r="F3766" s="294" t="s">
        <v>286</v>
      </c>
    </row>
    <row r="3767" spans="1:6" hidden="1" outlineLevel="1" collapsed="1" x14ac:dyDescent="0.25">
      <c r="A3767" s="321" t="s">
        <v>282</v>
      </c>
      <c r="B3767" s="321" t="s">
        <v>390</v>
      </c>
      <c r="C3767" s="293">
        <v>11645.63</v>
      </c>
      <c r="D3767" s="293">
        <v>0</v>
      </c>
      <c r="E3767" s="293">
        <v>-11645.63</v>
      </c>
      <c r="F3767" s="294" t="s">
        <v>286</v>
      </c>
    </row>
    <row r="3768" spans="1:6" hidden="1" outlineLevel="1" collapsed="1" x14ac:dyDescent="0.25">
      <c r="A3768" s="321" t="s">
        <v>282</v>
      </c>
      <c r="B3768" s="321" t="s">
        <v>392</v>
      </c>
      <c r="C3768" s="293">
        <v>175.15440000000001</v>
      </c>
      <c r="D3768" s="293">
        <v>0</v>
      </c>
      <c r="E3768" s="293">
        <v>-175.15440000000001</v>
      </c>
      <c r="F3768" s="294" t="s">
        <v>286</v>
      </c>
    </row>
    <row r="3769" spans="1:6" hidden="1" outlineLevel="1" collapsed="1" x14ac:dyDescent="0.25">
      <c r="A3769" s="321" t="s">
        <v>282</v>
      </c>
      <c r="B3769" s="321" t="s">
        <v>754</v>
      </c>
      <c r="C3769" s="293">
        <v>13438.74</v>
      </c>
      <c r="D3769" s="293">
        <v>15959.28</v>
      </c>
      <c r="E3769" s="293">
        <v>2520.54</v>
      </c>
      <c r="F3769" s="294" t="s">
        <v>1505</v>
      </c>
    </row>
    <row r="3770" spans="1:6" hidden="1" outlineLevel="1" collapsed="1" x14ac:dyDescent="0.25">
      <c r="A3770" s="321" t="s">
        <v>282</v>
      </c>
      <c r="B3770" s="321" t="s">
        <v>755</v>
      </c>
      <c r="C3770" s="293">
        <v>372.85919999999999</v>
      </c>
      <c r="D3770" s="293">
        <v>422.04</v>
      </c>
      <c r="E3770" s="293">
        <v>49.180799999999998</v>
      </c>
      <c r="F3770" s="294" t="s">
        <v>1506</v>
      </c>
    </row>
    <row r="3771" spans="1:6" hidden="1" outlineLevel="1" collapsed="1" x14ac:dyDescent="0.25">
      <c r="A3771" s="321" t="s">
        <v>282</v>
      </c>
      <c r="B3771" s="321" t="s">
        <v>756</v>
      </c>
      <c r="C3771" s="293">
        <v>204.3468</v>
      </c>
      <c r="D3771" s="293">
        <v>182.88</v>
      </c>
      <c r="E3771" s="293">
        <v>-21.466799999999999</v>
      </c>
      <c r="F3771" s="294" t="s">
        <v>1507</v>
      </c>
    </row>
    <row r="3772" spans="1:6" hidden="1" outlineLevel="1" collapsed="1" x14ac:dyDescent="0.25">
      <c r="A3772" s="321" t="s">
        <v>282</v>
      </c>
      <c r="B3772" s="321" t="s">
        <v>393</v>
      </c>
      <c r="C3772" s="293">
        <v>19.262412000000001</v>
      </c>
      <c r="D3772" s="293">
        <v>0</v>
      </c>
      <c r="E3772" s="293">
        <v>-19.262412000000001</v>
      </c>
      <c r="F3772" s="294" t="s">
        <v>286</v>
      </c>
    </row>
    <row r="3773" spans="1:6" hidden="1" outlineLevel="1" collapsed="1" x14ac:dyDescent="0.25">
      <c r="A3773" s="321" t="s">
        <v>282</v>
      </c>
      <c r="B3773" s="321" t="s">
        <v>757</v>
      </c>
      <c r="C3773" s="293">
        <v>48.413736</v>
      </c>
      <c r="D3773" s="293">
        <v>0</v>
      </c>
      <c r="E3773" s="293">
        <v>-48.413736</v>
      </c>
      <c r="F3773" s="294" t="s">
        <v>286</v>
      </c>
    </row>
    <row r="3774" spans="1:6" hidden="1" outlineLevel="1" collapsed="1" x14ac:dyDescent="0.25">
      <c r="A3774" s="321" t="s">
        <v>282</v>
      </c>
      <c r="B3774" s="321" t="s">
        <v>758</v>
      </c>
      <c r="C3774" s="293">
        <v>0</v>
      </c>
      <c r="D3774" s="293">
        <v>58.950671999999997</v>
      </c>
      <c r="E3774" s="293">
        <v>58.950671999999997</v>
      </c>
      <c r="F3774" s="294" t="s">
        <v>298</v>
      </c>
    </row>
    <row r="3775" spans="1:6" hidden="1" outlineLevel="1" collapsed="1" x14ac:dyDescent="0.25">
      <c r="A3775" s="321" t="s">
        <v>282</v>
      </c>
      <c r="B3775" s="321" t="s">
        <v>394</v>
      </c>
      <c r="C3775" s="293">
        <v>1125</v>
      </c>
      <c r="D3775" s="293">
        <v>0</v>
      </c>
      <c r="E3775" s="293">
        <v>-1125</v>
      </c>
      <c r="F3775" s="294" t="s">
        <v>286</v>
      </c>
    </row>
    <row r="3776" spans="1:6" hidden="1" outlineLevel="1" collapsed="1" x14ac:dyDescent="0.25">
      <c r="A3776" s="321" t="s">
        <v>282</v>
      </c>
      <c r="B3776" s="321" t="s">
        <v>759</v>
      </c>
      <c r="C3776" s="293">
        <v>1312.5</v>
      </c>
      <c r="D3776" s="293">
        <v>0</v>
      </c>
      <c r="E3776" s="293">
        <v>-1312.5</v>
      </c>
      <c r="F3776" s="294" t="s">
        <v>286</v>
      </c>
    </row>
    <row r="3777" spans="1:6" hidden="1" outlineLevel="1" collapsed="1" x14ac:dyDescent="0.25">
      <c r="A3777" s="321" t="s">
        <v>282</v>
      </c>
      <c r="B3777" s="321" t="s">
        <v>760</v>
      </c>
      <c r="C3777" s="293">
        <v>0</v>
      </c>
      <c r="D3777" s="293">
        <v>1500</v>
      </c>
      <c r="E3777" s="293">
        <v>1500</v>
      </c>
      <c r="F3777" s="294" t="s">
        <v>298</v>
      </c>
    </row>
    <row r="3778" spans="1:6" hidden="1" outlineLevel="1" collapsed="1" x14ac:dyDescent="0.25">
      <c r="A3778" s="321" t="s">
        <v>282</v>
      </c>
      <c r="B3778" s="321" t="s">
        <v>396</v>
      </c>
      <c r="C3778" s="293">
        <v>37.26</v>
      </c>
      <c r="D3778" s="293">
        <v>0</v>
      </c>
      <c r="E3778" s="293">
        <v>-37.26</v>
      </c>
      <c r="F3778" s="294" t="s">
        <v>286</v>
      </c>
    </row>
    <row r="3779" spans="1:6" hidden="1" outlineLevel="1" collapsed="1" x14ac:dyDescent="0.25">
      <c r="A3779" s="321" t="s">
        <v>282</v>
      </c>
      <c r="B3779" s="321" t="s">
        <v>761</v>
      </c>
      <c r="C3779" s="293">
        <v>43.47</v>
      </c>
      <c r="D3779" s="293">
        <v>0</v>
      </c>
      <c r="E3779" s="293">
        <v>-43.47</v>
      </c>
      <c r="F3779" s="294" t="s">
        <v>286</v>
      </c>
    </row>
    <row r="3780" spans="1:6" hidden="1" outlineLevel="1" collapsed="1" x14ac:dyDescent="0.25">
      <c r="A3780" s="321" t="s">
        <v>282</v>
      </c>
      <c r="B3780" s="321" t="s">
        <v>762</v>
      </c>
      <c r="C3780" s="293">
        <v>0</v>
      </c>
      <c r="D3780" s="293">
        <v>48.48</v>
      </c>
      <c r="E3780" s="293">
        <v>48.48</v>
      </c>
      <c r="F3780" s="294" t="s">
        <v>298</v>
      </c>
    </row>
    <row r="3781" spans="1:6" hidden="1" outlineLevel="1" collapsed="1" x14ac:dyDescent="0.25">
      <c r="A3781" s="321" t="s">
        <v>282</v>
      </c>
      <c r="B3781" s="321" t="s">
        <v>398</v>
      </c>
      <c r="C3781" s="293">
        <v>18</v>
      </c>
      <c r="D3781" s="293">
        <v>0</v>
      </c>
      <c r="E3781" s="293">
        <v>-18</v>
      </c>
      <c r="F3781" s="294" t="s">
        <v>286</v>
      </c>
    </row>
    <row r="3782" spans="1:6" hidden="1" outlineLevel="1" collapsed="1" x14ac:dyDescent="0.25">
      <c r="A3782" s="321" t="s">
        <v>282</v>
      </c>
      <c r="B3782" s="321" t="s">
        <v>763</v>
      </c>
      <c r="C3782" s="293">
        <v>21</v>
      </c>
      <c r="D3782" s="293">
        <v>11.04</v>
      </c>
      <c r="E3782" s="293">
        <v>-9.9600000000000009</v>
      </c>
      <c r="F3782" s="294" t="s">
        <v>1508</v>
      </c>
    </row>
    <row r="3783" spans="1:6" hidden="1" outlineLevel="1" collapsed="1" x14ac:dyDescent="0.25">
      <c r="A3783" s="321" t="s">
        <v>282</v>
      </c>
      <c r="B3783" s="321" t="s">
        <v>399</v>
      </c>
      <c r="C3783" s="293">
        <v>200</v>
      </c>
      <c r="D3783" s="293">
        <v>200</v>
      </c>
      <c r="E3783" s="293">
        <v>0</v>
      </c>
      <c r="F3783" s="294" t="s">
        <v>316</v>
      </c>
    </row>
    <row r="3784" spans="1:6" hidden="1" outlineLevel="1" collapsed="1" x14ac:dyDescent="0.25">
      <c r="A3784" s="321" t="s">
        <v>282</v>
      </c>
      <c r="B3784" s="321" t="s">
        <v>375</v>
      </c>
      <c r="C3784" s="293">
        <v>1800</v>
      </c>
      <c r="D3784" s="293">
        <v>1800</v>
      </c>
      <c r="E3784" s="293">
        <v>0</v>
      </c>
      <c r="F3784" s="294" t="s">
        <v>316</v>
      </c>
    </row>
    <row r="3785" spans="1:6" hidden="1" outlineLevel="1" collapsed="1" x14ac:dyDescent="0.25">
      <c r="A3785" s="321" t="s">
        <v>282</v>
      </c>
      <c r="B3785" s="321" t="s">
        <v>376</v>
      </c>
      <c r="C3785" s="293">
        <v>1750</v>
      </c>
      <c r="D3785" s="293">
        <v>1800</v>
      </c>
      <c r="E3785" s="293">
        <v>50</v>
      </c>
      <c r="F3785" s="294" t="s">
        <v>1509</v>
      </c>
    </row>
    <row r="3786" spans="1:6" hidden="1" outlineLevel="1" collapsed="1" x14ac:dyDescent="0.25">
      <c r="A3786" s="321" t="s">
        <v>282</v>
      </c>
      <c r="B3786" s="321" t="s">
        <v>707</v>
      </c>
      <c r="C3786" s="293">
        <v>499.5</v>
      </c>
      <c r="D3786" s="293">
        <v>500</v>
      </c>
      <c r="E3786" s="293">
        <v>0.5</v>
      </c>
      <c r="F3786" s="294" t="s">
        <v>1510</v>
      </c>
    </row>
    <row r="3787" spans="1:6" hidden="1" outlineLevel="1" collapsed="1" x14ac:dyDescent="0.25">
      <c r="A3787" s="321" t="s">
        <v>282</v>
      </c>
      <c r="B3787" s="321" t="s">
        <v>482</v>
      </c>
      <c r="C3787" s="293">
        <v>50</v>
      </c>
      <c r="D3787" s="293">
        <v>0</v>
      </c>
      <c r="E3787" s="293">
        <v>-50</v>
      </c>
      <c r="F3787" s="294" t="s">
        <v>286</v>
      </c>
    </row>
    <row r="3788" spans="1:6" hidden="1" outlineLevel="1" collapsed="1" x14ac:dyDescent="0.25">
      <c r="A3788" s="321" t="s">
        <v>282</v>
      </c>
      <c r="B3788" s="321" t="s">
        <v>403</v>
      </c>
      <c r="C3788" s="293">
        <v>1000</v>
      </c>
      <c r="D3788" s="293">
        <v>1000</v>
      </c>
      <c r="E3788" s="293">
        <v>0</v>
      </c>
      <c r="F3788" s="294" t="s">
        <v>316</v>
      </c>
    </row>
    <row r="3789" spans="1:6" hidden="1" outlineLevel="1" collapsed="1" x14ac:dyDescent="0.25">
      <c r="A3789" s="321" t="s">
        <v>282</v>
      </c>
      <c r="B3789" s="321" t="s">
        <v>422</v>
      </c>
      <c r="C3789" s="293">
        <v>1000</v>
      </c>
      <c r="D3789" s="293">
        <v>0</v>
      </c>
      <c r="E3789" s="293">
        <v>-1000</v>
      </c>
      <c r="F3789" s="294" t="s">
        <v>286</v>
      </c>
    </row>
    <row r="3790" spans="1:6" collapsed="1" x14ac:dyDescent="0.25">
      <c r="A3790" s="560" t="s">
        <v>1511</v>
      </c>
      <c r="B3790" s="561"/>
      <c r="C3790" s="292">
        <v>265850.48051199998</v>
      </c>
      <c r="D3790" s="293">
        <v>271189.09637599997</v>
      </c>
      <c r="E3790" s="293">
        <v>5338.6158640000003</v>
      </c>
      <c r="F3790" s="294" t="s">
        <v>2239</v>
      </c>
    </row>
    <row r="3791" spans="1:6" hidden="1" outlineLevel="1" collapsed="1" x14ac:dyDescent="0.25">
      <c r="A3791" s="321" t="s">
        <v>282</v>
      </c>
      <c r="B3791" s="321" t="s">
        <v>942</v>
      </c>
      <c r="C3791" s="293">
        <v>104917.50879599999</v>
      </c>
      <c r="D3791" s="293">
        <v>106491.270072</v>
      </c>
      <c r="E3791" s="293">
        <v>1573.761276</v>
      </c>
      <c r="F3791" s="294" t="s">
        <v>510</v>
      </c>
    </row>
    <row r="3792" spans="1:6" hidden="1" outlineLevel="1" collapsed="1" x14ac:dyDescent="0.25">
      <c r="A3792" s="321" t="s">
        <v>282</v>
      </c>
      <c r="B3792" s="321" t="s">
        <v>464</v>
      </c>
      <c r="C3792" s="293">
        <v>58024.328022000002</v>
      </c>
      <c r="D3792" s="293">
        <v>65818.573711999998</v>
      </c>
      <c r="E3792" s="293">
        <v>7794.2456899999997</v>
      </c>
      <c r="F3792" s="294" t="s">
        <v>1353</v>
      </c>
    </row>
    <row r="3793" spans="1:6" hidden="1" outlineLevel="1" collapsed="1" x14ac:dyDescent="0.25">
      <c r="A3793" s="321" t="s">
        <v>282</v>
      </c>
      <c r="B3793" s="321" t="s">
        <v>945</v>
      </c>
      <c r="C3793" s="293">
        <v>15000</v>
      </c>
      <c r="D3793" s="293">
        <v>5000</v>
      </c>
      <c r="E3793" s="293">
        <v>-10000</v>
      </c>
      <c r="F3793" s="294" t="s">
        <v>1513</v>
      </c>
    </row>
    <row r="3794" spans="1:6" hidden="1" outlineLevel="1" collapsed="1" x14ac:dyDescent="0.25">
      <c r="A3794" s="321" t="s">
        <v>282</v>
      </c>
      <c r="B3794" s="321" t="s">
        <v>384</v>
      </c>
      <c r="C3794" s="293">
        <v>18692.062644000001</v>
      </c>
      <c r="D3794" s="293">
        <v>0</v>
      </c>
      <c r="E3794" s="293">
        <v>-18692.062644000001</v>
      </c>
      <c r="F3794" s="294" t="s">
        <v>286</v>
      </c>
    </row>
    <row r="3795" spans="1:6" hidden="1" outlineLevel="1" collapsed="1" x14ac:dyDescent="0.25">
      <c r="A3795" s="321" t="s">
        <v>282</v>
      </c>
      <c r="B3795" s="321" t="s">
        <v>385</v>
      </c>
      <c r="C3795" s="293">
        <v>0</v>
      </c>
      <c r="D3795" s="293">
        <v>23876.254192</v>
      </c>
      <c r="E3795" s="293">
        <v>23876.254192</v>
      </c>
      <c r="F3795" s="294" t="s">
        <v>298</v>
      </c>
    </row>
    <row r="3796" spans="1:6" hidden="1" outlineLevel="1" collapsed="1" x14ac:dyDescent="0.25">
      <c r="A3796" s="321" t="s">
        <v>282</v>
      </c>
      <c r="B3796" s="321" t="s">
        <v>386</v>
      </c>
      <c r="C3796" s="293">
        <v>10139.593862</v>
      </c>
      <c r="D3796" s="293">
        <v>0</v>
      </c>
      <c r="E3796" s="293">
        <v>-10139.593862</v>
      </c>
      <c r="F3796" s="294" t="s">
        <v>286</v>
      </c>
    </row>
    <row r="3797" spans="1:6" hidden="1" outlineLevel="1" collapsed="1" x14ac:dyDescent="0.25">
      <c r="A3797" s="321" t="s">
        <v>282</v>
      </c>
      <c r="B3797" s="321" t="s">
        <v>387</v>
      </c>
      <c r="C3797" s="293">
        <v>0</v>
      </c>
      <c r="D3797" s="293">
        <v>10720.410296</v>
      </c>
      <c r="E3797" s="293">
        <v>10720.410296</v>
      </c>
      <c r="F3797" s="294" t="s">
        <v>298</v>
      </c>
    </row>
    <row r="3798" spans="1:6" hidden="1" outlineLevel="1" collapsed="1" x14ac:dyDescent="0.25">
      <c r="A3798" s="321" t="s">
        <v>282</v>
      </c>
      <c r="B3798" s="321" t="s">
        <v>388</v>
      </c>
      <c r="C3798" s="293">
        <v>2371.356616</v>
      </c>
      <c r="D3798" s="293">
        <v>2507.19272</v>
      </c>
      <c r="E3798" s="293">
        <v>135.83610400000001</v>
      </c>
      <c r="F3798" s="294" t="s">
        <v>1514</v>
      </c>
    </row>
    <row r="3799" spans="1:6" hidden="1" outlineLevel="1" collapsed="1" x14ac:dyDescent="0.25">
      <c r="A3799" s="321" t="s">
        <v>282</v>
      </c>
      <c r="B3799" s="321" t="s">
        <v>480</v>
      </c>
      <c r="C3799" s="293">
        <v>186.63167999999999</v>
      </c>
      <c r="D3799" s="293">
        <v>241.50047599999999</v>
      </c>
      <c r="E3799" s="293">
        <v>54.868796000000003</v>
      </c>
      <c r="F3799" s="294" t="s">
        <v>1515</v>
      </c>
    </row>
    <row r="3800" spans="1:6" hidden="1" outlineLevel="1" collapsed="1" x14ac:dyDescent="0.25">
      <c r="A3800" s="321" t="s">
        <v>282</v>
      </c>
      <c r="B3800" s="321" t="s">
        <v>444</v>
      </c>
      <c r="C3800" s="293">
        <v>900</v>
      </c>
      <c r="D3800" s="293">
        <v>900</v>
      </c>
      <c r="E3800" s="293">
        <v>0</v>
      </c>
      <c r="F3800" s="294" t="s">
        <v>316</v>
      </c>
    </row>
    <row r="3801" spans="1:6" hidden="1" outlineLevel="1" collapsed="1" x14ac:dyDescent="0.25">
      <c r="A3801" s="321" t="s">
        <v>282</v>
      </c>
      <c r="B3801" s="321" t="s">
        <v>389</v>
      </c>
      <c r="C3801" s="293">
        <v>852.24959999999999</v>
      </c>
      <c r="D3801" s="293">
        <v>844.08</v>
      </c>
      <c r="E3801" s="293">
        <v>-8.1696000000000009</v>
      </c>
      <c r="F3801" s="294" t="s">
        <v>364</v>
      </c>
    </row>
    <row r="3802" spans="1:6" hidden="1" outlineLevel="1" collapsed="1" x14ac:dyDescent="0.25">
      <c r="A3802" s="321" t="s">
        <v>282</v>
      </c>
      <c r="B3802" s="321" t="s">
        <v>390</v>
      </c>
      <c r="C3802" s="293">
        <v>30970.54</v>
      </c>
      <c r="D3802" s="293">
        <v>31918.560000000001</v>
      </c>
      <c r="E3802" s="293">
        <v>948.02</v>
      </c>
      <c r="F3802" s="294" t="s">
        <v>391</v>
      </c>
    </row>
    <row r="3803" spans="1:6" hidden="1" outlineLevel="1" collapsed="1" x14ac:dyDescent="0.25">
      <c r="A3803" s="321" t="s">
        <v>282</v>
      </c>
      <c r="B3803" s="321" t="s">
        <v>392</v>
      </c>
      <c r="C3803" s="293">
        <v>467.07839999999999</v>
      </c>
      <c r="D3803" s="293">
        <v>365.76</v>
      </c>
      <c r="E3803" s="293">
        <v>-101.3184</v>
      </c>
      <c r="F3803" s="294" t="s">
        <v>368</v>
      </c>
    </row>
    <row r="3804" spans="1:6" hidden="1" outlineLevel="1" collapsed="1" x14ac:dyDescent="0.25">
      <c r="A3804" s="321" t="s">
        <v>282</v>
      </c>
      <c r="B3804" s="321" t="s">
        <v>393</v>
      </c>
      <c r="C3804" s="293">
        <v>81.770892000000003</v>
      </c>
      <c r="D3804" s="293">
        <v>86.454908000000003</v>
      </c>
      <c r="E3804" s="293">
        <v>4.6840159999999997</v>
      </c>
      <c r="F3804" s="294" t="s">
        <v>1514</v>
      </c>
    </row>
    <row r="3805" spans="1:6" hidden="1" outlineLevel="1" collapsed="1" x14ac:dyDescent="0.25">
      <c r="A3805" s="321" t="s">
        <v>282</v>
      </c>
      <c r="B3805" s="321" t="s">
        <v>394</v>
      </c>
      <c r="C3805" s="293">
        <v>3000</v>
      </c>
      <c r="D3805" s="293">
        <v>0</v>
      </c>
      <c r="E3805" s="293">
        <v>-3000</v>
      </c>
      <c r="F3805" s="294" t="s">
        <v>286</v>
      </c>
    </row>
    <row r="3806" spans="1:6" hidden="1" outlineLevel="1" collapsed="1" x14ac:dyDescent="0.25">
      <c r="A3806" s="321" t="s">
        <v>282</v>
      </c>
      <c r="B3806" s="321" t="s">
        <v>395</v>
      </c>
      <c r="C3806" s="293">
        <v>0</v>
      </c>
      <c r="D3806" s="293">
        <v>3000</v>
      </c>
      <c r="E3806" s="293">
        <v>3000</v>
      </c>
      <c r="F3806" s="294" t="s">
        <v>298</v>
      </c>
    </row>
    <row r="3807" spans="1:6" hidden="1" outlineLevel="1" collapsed="1" x14ac:dyDescent="0.25">
      <c r="A3807" s="321" t="s">
        <v>282</v>
      </c>
      <c r="B3807" s="321" t="s">
        <v>396</v>
      </c>
      <c r="C3807" s="293">
        <v>99.36</v>
      </c>
      <c r="D3807" s="293">
        <v>0</v>
      </c>
      <c r="E3807" s="293">
        <v>-99.36</v>
      </c>
      <c r="F3807" s="294" t="s">
        <v>286</v>
      </c>
    </row>
    <row r="3808" spans="1:6" hidden="1" outlineLevel="1" collapsed="1" x14ac:dyDescent="0.25">
      <c r="A3808" s="321" t="s">
        <v>282</v>
      </c>
      <c r="B3808" s="321" t="s">
        <v>397</v>
      </c>
      <c r="C3808" s="293">
        <v>0</v>
      </c>
      <c r="D3808" s="293">
        <v>96.96</v>
      </c>
      <c r="E3808" s="293">
        <v>96.96</v>
      </c>
      <c r="F3808" s="294" t="s">
        <v>298</v>
      </c>
    </row>
    <row r="3809" spans="1:6" hidden="1" outlineLevel="1" collapsed="1" x14ac:dyDescent="0.25">
      <c r="A3809" s="321" t="s">
        <v>282</v>
      </c>
      <c r="B3809" s="321" t="s">
        <v>398</v>
      </c>
      <c r="C3809" s="293">
        <v>48</v>
      </c>
      <c r="D3809" s="293">
        <v>22.08</v>
      </c>
      <c r="E3809" s="293">
        <v>-25.92</v>
      </c>
      <c r="F3809" s="294" t="s">
        <v>374</v>
      </c>
    </row>
    <row r="3810" spans="1:6" hidden="1" outlineLevel="1" collapsed="1" x14ac:dyDescent="0.25">
      <c r="A3810" s="321" t="s">
        <v>282</v>
      </c>
      <c r="B3810" s="321" t="s">
        <v>376</v>
      </c>
      <c r="C3810" s="293">
        <v>2000</v>
      </c>
      <c r="D3810" s="293">
        <v>1450</v>
      </c>
      <c r="E3810" s="293">
        <v>-550</v>
      </c>
      <c r="F3810" s="294" t="s">
        <v>2240</v>
      </c>
    </row>
    <row r="3811" spans="1:6" hidden="1" outlineLevel="1" collapsed="1" x14ac:dyDescent="0.25">
      <c r="A3811" s="321" t="s">
        <v>282</v>
      </c>
      <c r="B3811" s="321" t="s">
        <v>662</v>
      </c>
      <c r="C3811" s="293">
        <v>2000</v>
      </c>
      <c r="D3811" s="293">
        <v>2000</v>
      </c>
      <c r="E3811" s="293">
        <v>0</v>
      </c>
      <c r="F3811" s="294" t="s">
        <v>316</v>
      </c>
    </row>
    <row r="3812" spans="1:6" hidden="1" outlineLevel="1" collapsed="1" x14ac:dyDescent="0.25">
      <c r="A3812" s="321" t="s">
        <v>282</v>
      </c>
      <c r="B3812" s="321" t="s">
        <v>426</v>
      </c>
      <c r="C3812" s="293">
        <v>2400</v>
      </c>
      <c r="D3812" s="293">
        <v>2400</v>
      </c>
      <c r="E3812" s="293">
        <v>0</v>
      </c>
      <c r="F3812" s="294" t="s">
        <v>316</v>
      </c>
    </row>
    <row r="3813" spans="1:6" hidden="1" outlineLevel="1" collapsed="1" x14ac:dyDescent="0.25">
      <c r="A3813" s="321" t="s">
        <v>282</v>
      </c>
      <c r="B3813" s="321" t="s">
        <v>952</v>
      </c>
      <c r="C3813" s="293">
        <v>600</v>
      </c>
      <c r="D3813" s="293">
        <v>600</v>
      </c>
      <c r="E3813" s="293">
        <v>0</v>
      </c>
      <c r="F3813" s="294" t="s">
        <v>316</v>
      </c>
    </row>
    <row r="3814" spans="1:6" hidden="1" outlineLevel="1" collapsed="1" x14ac:dyDescent="0.25">
      <c r="A3814" s="321" t="s">
        <v>282</v>
      </c>
      <c r="B3814" s="321" t="s">
        <v>597</v>
      </c>
      <c r="C3814" s="293">
        <v>1100</v>
      </c>
      <c r="D3814" s="293">
        <v>1150</v>
      </c>
      <c r="E3814" s="293">
        <v>50</v>
      </c>
      <c r="F3814" s="294" t="s">
        <v>974</v>
      </c>
    </row>
    <row r="3815" spans="1:6" hidden="1" outlineLevel="1" collapsed="1" x14ac:dyDescent="0.25">
      <c r="A3815" s="321" t="s">
        <v>282</v>
      </c>
      <c r="B3815" s="321" t="s">
        <v>842</v>
      </c>
      <c r="C3815" s="293">
        <v>500</v>
      </c>
      <c r="D3815" s="293">
        <v>500</v>
      </c>
      <c r="E3815" s="293">
        <v>0</v>
      </c>
      <c r="F3815" s="294" t="s">
        <v>316</v>
      </c>
    </row>
    <row r="3816" spans="1:6" hidden="1" outlineLevel="1" collapsed="1" x14ac:dyDescent="0.25">
      <c r="A3816" s="321" t="s">
        <v>282</v>
      </c>
      <c r="B3816" s="321" t="s">
        <v>448</v>
      </c>
      <c r="C3816" s="293">
        <v>4325.75</v>
      </c>
      <c r="D3816" s="293">
        <v>4200</v>
      </c>
      <c r="E3816" s="293">
        <v>-125.75</v>
      </c>
      <c r="F3816" s="294" t="s">
        <v>1517</v>
      </c>
    </row>
    <row r="3817" spans="1:6" hidden="1" outlineLevel="1" collapsed="1" x14ac:dyDescent="0.25">
      <c r="A3817" s="321" t="s">
        <v>282</v>
      </c>
      <c r="B3817" s="321" t="s">
        <v>616</v>
      </c>
      <c r="C3817" s="293">
        <v>7174.25</v>
      </c>
      <c r="D3817" s="293">
        <v>7000</v>
      </c>
      <c r="E3817" s="293">
        <v>-174.25</v>
      </c>
      <c r="F3817" s="294" t="s">
        <v>1518</v>
      </c>
    </row>
    <row r="3818" spans="1:6" collapsed="1" x14ac:dyDescent="0.25">
      <c r="A3818" s="560" t="s">
        <v>1519</v>
      </c>
      <c r="B3818" s="561"/>
      <c r="C3818" s="292">
        <v>112452.736216</v>
      </c>
      <c r="D3818" s="293">
        <v>118076.82191499999</v>
      </c>
      <c r="E3818" s="293">
        <v>5624.0856990000002</v>
      </c>
      <c r="F3818" s="294" t="s">
        <v>732</v>
      </c>
    </row>
    <row r="3819" spans="1:6" hidden="1" outlineLevel="1" collapsed="1" x14ac:dyDescent="0.25">
      <c r="A3819" s="321" t="s">
        <v>282</v>
      </c>
      <c r="B3819" s="321" t="s">
        <v>464</v>
      </c>
      <c r="C3819" s="293">
        <v>78829.308476000006</v>
      </c>
      <c r="D3819" s="293">
        <v>81192.275827999998</v>
      </c>
      <c r="E3819" s="293">
        <v>2362.9673520000001</v>
      </c>
      <c r="F3819" s="294" t="s">
        <v>548</v>
      </c>
    </row>
    <row r="3820" spans="1:6" hidden="1" outlineLevel="1" collapsed="1" x14ac:dyDescent="0.25">
      <c r="A3820" s="321" t="s">
        <v>282</v>
      </c>
      <c r="B3820" s="321" t="s">
        <v>384</v>
      </c>
      <c r="C3820" s="293">
        <v>9834.9570000000003</v>
      </c>
      <c r="D3820" s="293">
        <v>0</v>
      </c>
      <c r="E3820" s="293">
        <v>-9834.9570000000003</v>
      </c>
      <c r="F3820" s="294" t="s">
        <v>286</v>
      </c>
    </row>
    <row r="3821" spans="1:6" hidden="1" outlineLevel="1" collapsed="1" x14ac:dyDescent="0.25">
      <c r="A3821" s="321" t="s">
        <v>282</v>
      </c>
      <c r="B3821" s="321" t="s">
        <v>385</v>
      </c>
      <c r="C3821" s="293">
        <v>0</v>
      </c>
      <c r="D3821" s="293">
        <v>12509.020860000001</v>
      </c>
      <c r="E3821" s="293">
        <v>12509.020860000001</v>
      </c>
      <c r="F3821" s="294" t="s">
        <v>298</v>
      </c>
    </row>
    <row r="3822" spans="1:6" hidden="1" outlineLevel="1" collapsed="1" x14ac:dyDescent="0.25">
      <c r="A3822" s="321" t="s">
        <v>282</v>
      </c>
      <c r="B3822" s="321" t="s">
        <v>386</v>
      </c>
      <c r="C3822" s="293">
        <v>4887.4171200000001</v>
      </c>
      <c r="D3822" s="293">
        <v>0</v>
      </c>
      <c r="E3822" s="293">
        <v>-4887.4171200000001</v>
      </c>
      <c r="F3822" s="294" t="s">
        <v>286</v>
      </c>
    </row>
    <row r="3823" spans="1:6" hidden="1" outlineLevel="1" collapsed="1" x14ac:dyDescent="0.25">
      <c r="A3823" s="321" t="s">
        <v>282</v>
      </c>
      <c r="B3823" s="321" t="s">
        <v>387</v>
      </c>
      <c r="C3823" s="293">
        <v>0</v>
      </c>
      <c r="D3823" s="293">
        <v>5033.9210990000001</v>
      </c>
      <c r="E3823" s="293">
        <v>5033.9210990000001</v>
      </c>
      <c r="F3823" s="294" t="s">
        <v>298</v>
      </c>
    </row>
    <row r="3824" spans="1:6" hidden="1" outlineLevel="1" collapsed="1" x14ac:dyDescent="0.25">
      <c r="A3824" s="321" t="s">
        <v>282</v>
      </c>
      <c r="B3824" s="321" t="s">
        <v>388</v>
      </c>
      <c r="C3824" s="293">
        <v>1143.0249719999999</v>
      </c>
      <c r="D3824" s="293">
        <v>1177.287996</v>
      </c>
      <c r="E3824" s="293">
        <v>34.263024000000001</v>
      </c>
      <c r="F3824" s="294" t="s">
        <v>548</v>
      </c>
    </row>
    <row r="3825" spans="1:6" hidden="1" outlineLevel="1" collapsed="1" x14ac:dyDescent="0.25">
      <c r="A3825" s="321" t="s">
        <v>282</v>
      </c>
      <c r="B3825" s="321" t="s">
        <v>389</v>
      </c>
      <c r="C3825" s="293">
        <v>426.12479999999999</v>
      </c>
      <c r="D3825" s="293">
        <v>422.04</v>
      </c>
      <c r="E3825" s="293">
        <v>-4.0848000000000004</v>
      </c>
      <c r="F3825" s="294" t="s">
        <v>364</v>
      </c>
    </row>
    <row r="3826" spans="1:6" hidden="1" outlineLevel="1" collapsed="1" x14ac:dyDescent="0.25">
      <c r="A3826" s="321" t="s">
        <v>282</v>
      </c>
      <c r="B3826" s="321" t="s">
        <v>390</v>
      </c>
      <c r="C3826" s="293">
        <v>15485.27</v>
      </c>
      <c r="D3826" s="293">
        <v>15959.28</v>
      </c>
      <c r="E3826" s="293">
        <v>474.01</v>
      </c>
      <c r="F3826" s="294" t="s">
        <v>391</v>
      </c>
    </row>
    <row r="3827" spans="1:6" hidden="1" outlineLevel="1" collapsed="1" x14ac:dyDescent="0.25">
      <c r="A3827" s="321" t="s">
        <v>282</v>
      </c>
      <c r="B3827" s="321" t="s">
        <v>392</v>
      </c>
      <c r="C3827" s="293">
        <v>233.53919999999999</v>
      </c>
      <c r="D3827" s="293">
        <v>182.88</v>
      </c>
      <c r="E3827" s="293">
        <v>-50.659199999999998</v>
      </c>
      <c r="F3827" s="294" t="s">
        <v>368</v>
      </c>
    </row>
    <row r="3828" spans="1:6" hidden="1" outlineLevel="1" collapsed="1" x14ac:dyDescent="0.25">
      <c r="A3828" s="321" t="s">
        <v>282</v>
      </c>
      <c r="B3828" s="321" t="s">
        <v>393</v>
      </c>
      <c r="C3828" s="293">
        <v>39.414648</v>
      </c>
      <c r="D3828" s="293">
        <v>40.596131999999997</v>
      </c>
      <c r="E3828" s="293">
        <v>1.181484</v>
      </c>
      <c r="F3828" s="294" t="s">
        <v>548</v>
      </c>
    </row>
    <row r="3829" spans="1:6" hidden="1" outlineLevel="1" collapsed="1" x14ac:dyDescent="0.25">
      <c r="A3829" s="321" t="s">
        <v>282</v>
      </c>
      <c r="B3829" s="321" t="s">
        <v>394</v>
      </c>
      <c r="C3829" s="293">
        <v>1500</v>
      </c>
      <c r="D3829" s="293">
        <v>0</v>
      </c>
      <c r="E3829" s="293">
        <v>-1500</v>
      </c>
      <c r="F3829" s="294" t="s">
        <v>286</v>
      </c>
    </row>
    <row r="3830" spans="1:6" hidden="1" outlineLevel="1" collapsed="1" x14ac:dyDescent="0.25">
      <c r="A3830" s="321" t="s">
        <v>282</v>
      </c>
      <c r="B3830" s="321" t="s">
        <v>395</v>
      </c>
      <c r="C3830" s="293">
        <v>0</v>
      </c>
      <c r="D3830" s="293">
        <v>1500</v>
      </c>
      <c r="E3830" s="293">
        <v>1500</v>
      </c>
      <c r="F3830" s="294" t="s">
        <v>298</v>
      </c>
    </row>
    <row r="3831" spans="1:6" hidden="1" outlineLevel="1" collapsed="1" x14ac:dyDescent="0.25">
      <c r="A3831" s="321" t="s">
        <v>282</v>
      </c>
      <c r="B3831" s="321" t="s">
        <v>396</v>
      </c>
      <c r="C3831" s="293">
        <v>49.68</v>
      </c>
      <c r="D3831" s="293">
        <v>0</v>
      </c>
      <c r="E3831" s="293">
        <v>-49.68</v>
      </c>
      <c r="F3831" s="294" t="s">
        <v>286</v>
      </c>
    </row>
    <row r="3832" spans="1:6" hidden="1" outlineLevel="1" collapsed="1" x14ac:dyDescent="0.25">
      <c r="A3832" s="321" t="s">
        <v>282</v>
      </c>
      <c r="B3832" s="321" t="s">
        <v>397</v>
      </c>
      <c r="C3832" s="293">
        <v>0</v>
      </c>
      <c r="D3832" s="293">
        <v>48.48</v>
      </c>
      <c r="E3832" s="293">
        <v>48.48</v>
      </c>
      <c r="F3832" s="294" t="s">
        <v>298</v>
      </c>
    </row>
    <row r="3833" spans="1:6" hidden="1" outlineLevel="1" collapsed="1" x14ac:dyDescent="0.25">
      <c r="A3833" s="321" t="s">
        <v>282</v>
      </c>
      <c r="B3833" s="321" t="s">
        <v>398</v>
      </c>
      <c r="C3833" s="293">
        <v>24</v>
      </c>
      <c r="D3833" s="293">
        <v>11.04</v>
      </c>
      <c r="E3833" s="293">
        <v>-12.96</v>
      </c>
      <c r="F3833" s="294" t="s">
        <v>374</v>
      </c>
    </row>
    <row r="3834" spans="1:6" hidden="1" outlineLevel="1" collapsed="1" x14ac:dyDescent="0.25">
      <c r="A3834" s="321" t="s">
        <v>282</v>
      </c>
      <c r="B3834" s="321" t="s">
        <v>426</v>
      </c>
      <c r="C3834" s="293">
        <v>0</v>
      </c>
      <c r="D3834" s="293">
        <v>0</v>
      </c>
      <c r="E3834" s="293">
        <v>0</v>
      </c>
      <c r="F3834" s="294" t="s">
        <v>316</v>
      </c>
    </row>
    <row r="3835" spans="1:6" hidden="1" outlineLevel="1" collapsed="1" x14ac:dyDescent="0.25">
      <c r="A3835" s="321" t="s">
        <v>282</v>
      </c>
      <c r="B3835" s="321" t="s">
        <v>770</v>
      </c>
      <c r="C3835" s="293">
        <v>0</v>
      </c>
      <c r="D3835" s="293">
        <v>0</v>
      </c>
      <c r="E3835" s="293">
        <v>0</v>
      </c>
      <c r="F3835" s="294" t="s">
        <v>316</v>
      </c>
    </row>
    <row r="3836" spans="1:6" collapsed="1" x14ac:dyDescent="0.25">
      <c r="A3836" s="560" t="s">
        <v>1521</v>
      </c>
      <c r="B3836" s="561"/>
      <c r="C3836" s="292">
        <v>429124.72036600002</v>
      </c>
      <c r="D3836" s="293">
        <v>559590.74523999996</v>
      </c>
      <c r="E3836" s="293">
        <v>130466.024874</v>
      </c>
      <c r="F3836" s="294" t="s">
        <v>2241</v>
      </c>
    </row>
    <row r="3837" spans="1:6" hidden="1" outlineLevel="1" collapsed="1" x14ac:dyDescent="0.25">
      <c r="A3837" s="321" t="s">
        <v>282</v>
      </c>
      <c r="B3837" s="321" t="s">
        <v>942</v>
      </c>
      <c r="C3837" s="293">
        <v>0</v>
      </c>
      <c r="D3837" s="293">
        <v>68996.225997000001</v>
      </c>
      <c r="E3837" s="293">
        <v>68996.225997000001</v>
      </c>
      <c r="F3837" s="294" t="s">
        <v>298</v>
      </c>
    </row>
    <row r="3838" spans="1:6" hidden="1" outlineLevel="1" collapsed="1" x14ac:dyDescent="0.25">
      <c r="A3838" s="321" t="s">
        <v>282</v>
      </c>
      <c r="B3838" s="321" t="s">
        <v>464</v>
      </c>
      <c r="C3838" s="293">
        <v>237515.53609199999</v>
      </c>
      <c r="D3838" s="293">
        <v>269824.78110199998</v>
      </c>
      <c r="E3838" s="293">
        <v>32309.245009999999</v>
      </c>
      <c r="F3838" s="294" t="s">
        <v>2242</v>
      </c>
    </row>
    <row r="3839" spans="1:6" hidden="1" outlineLevel="1" collapsed="1" x14ac:dyDescent="0.25">
      <c r="A3839" s="321" t="s">
        <v>282</v>
      </c>
      <c r="B3839" s="321" t="s">
        <v>935</v>
      </c>
      <c r="C3839" s="293">
        <v>250</v>
      </c>
      <c r="D3839" s="293">
        <v>0</v>
      </c>
      <c r="E3839" s="293">
        <v>-250</v>
      </c>
      <c r="F3839" s="294" t="s">
        <v>286</v>
      </c>
    </row>
    <row r="3840" spans="1:6" hidden="1" outlineLevel="1" collapsed="1" x14ac:dyDescent="0.25">
      <c r="A3840" s="321" t="s">
        <v>282</v>
      </c>
      <c r="B3840" s="321" t="s">
        <v>799</v>
      </c>
      <c r="C3840" s="293">
        <v>36442</v>
      </c>
      <c r="D3840" s="293">
        <v>13000</v>
      </c>
      <c r="E3840" s="293">
        <v>-23442</v>
      </c>
      <c r="F3840" s="294" t="s">
        <v>2243</v>
      </c>
    </row>
    <row r="3841" spans="1:6" hidden="1" outlineLevel="1" collapsed="1" x14ac:dyDescent="0.25">
      <c r="A3841" s="321" t="s">
        <v>282</v>
      </c>
      <c r="B3841" s="321" t="s">
        <v>384</v>
      </c>
      <c r="C3841" s="293">
        <v>32417.261198</v>
      </c>
      <c r="D3841" s="293">
        <v>0</v>
      </c>
      <c r="E3841" s="293">
        <v>-32417.261198</v>
      </c>
      <c r="F3841" s="294" t="s">
        <v>286</v>
      </c>
    </row>
    <row r="3842" spans="1:6" hidden="1" outlineLevel="1" collapsed="1" x14ac:dyDescent="0.25">
      <c r="A3842" s="321" t="s">
        <v>282</v>
      </c>
      <c r="B3842" s="321" t="s">
        <v>385</v>
      </c>
      <c r="C3842" s="293">
        <v>0</v>
      </c>
      <c r="D3842" s="293">
        <v>53802.270733999998</v>
      </c>
      <c r="E3842" s="293">
        <v>53802.270733999998</v>
      </c>
      <c r="F3842" s="294" t="s">
        <v>298</v>
      </c>
    </row>
    <row r="3843" spans="1:6" hidden="1" outlineLevel="1" collapsed="1" x14ac:dyDescent="0.25">
      <c r="A3843" s="321" t="s">
        <v>282</v>
      </c>
      <c r="B3843" s="321" t="s">
        <v>386</v>
      </c>
      <c r="C3843" s="293">
        <v>16311.660625</v>
      </c>
      <c r="D3843" s="293">
        <v>0</v>
      </c>
      <c r="E3843" s="293">
        <v>-16311.660625</v>
      </c>
      <c r="F3843" s="294" t="s">
        <v>286</v>
      </c>
    </row>
    <row r="3844" spans="1:6" hidden="1" outlineLevel="1" collapsed="1" x14ac:dyDescent="0.25">
      <c r="A3844" s="321" t="s">
        <v>282</v>
      </c>
      <c r="B3844" s="321" t="s">
        <v>387</v>
      </c>
      <c r="C3844" s="293">
        <v>0</v>
      </c>
      <c r="D3844" s="293">
        <v>21812.902392</v>
      </c>
      <c r="E3844" s="293">
        <v>21812.902392</v>
      </c>
      <c r="F3844" s="294" t="s">
        <v>298</v>
      </c>
    </row>
    <row r="3845" spans="1:6" hidden="1" outlineLevel="1" collapsed="1" x14ac:dyDescent="0.25">
      <c r="A3845" s="321" t="s">
        <v>282</v>
      </c>
      <c r="B3845" s="321" t="s">
        <v>388</v>
      </c>
      <c r="C3845" s="293">
        <v>3814.823828</v>
      </c>
      <c r="D3845" s="293">
        <v>5101.4045640000004</v>
      </c>
      <c r="E3845" s="293">
        <v>1286.5807359999999</v>
      </c>
      <c r="F3845" s="294" t="s">
        <v>2244</v>
      </c>
    </row>
    <row r="3846" spans="1:6" hidden="1" outlineLevel="1" collapsed="1" x14ac:dyDescent="0.25">
      <c r="A3846" s="321" t="s">
        <v>282</v>
      </c>
      <c r="B3846" s="321" t="s">
        <v>389</v>
      </c>
      <c r="C3846" s="293">
        <v>2272.6655999999998</v>
      </c>
      <c r="D3846" s="293">
        <v>2637.75</v>
      </c>
      <c r="E3846" s="293">
        <v>365.08440000000002</v>
      </c>
      <c r="F3846" s="294" t="s">
        <v>2245</v>
      </c>
    </row>
    <row r="3847" spans="1:6" hidden="1" outlineLevel="1" collapsed="1" x14ac:dyDescent="0.25">
      <c r="A3847" s="321" t="s">
        <v>282</v>
      </c>
      <c r="B3847" s="321" t="s">
        <v>390</v>
      </c>
      <c r="C3847" s="293">
        <v>82609.225000000006</v>
      </c>
      <c r="D3847" s="293">
        <v>99745.5</v>
      </c>
      <c r="E3847" s="293">
        <v>17136.275000000001</v>
      </c>
      <c r="F3847" s="294" t="s">
        <v>2246</v>
      </c>
    </row>
    <row r="3848" spans="1:6" hidden="1" outlineLevel="1" collapsed="1" x14ac:dyDescent="0.25">
      <c r="A3848" s="321" t="s">
        <v>282</v>
      </c>
      <c r="B3848" s="321" t="s">
        <v>392</v>
      </c>
      <c r="C3848" s="293">
        <v>1245.5424</v>
      </c>
      <c r="D3848" s="293">
        <v>1143</v>
      </c>
      <c r="E3848" s="293">
        <v>-102.5424</v>
      </c>
      <c r="F3848" s="294" t="s">
        <v>2247</v>
      </c>
    </row>
    <row r="3849" spans="1:6" hidden="1" outlineLevel="1" collapsed="1" x14ac:dyDescent="0.25">
      <c r="A3849" s="321" t="s">
        <v>282</v>
      </c>
      <c r="B3849" s="321" t="s">
        <v>393</v>
      </c>
      <c r="C3849" s="293">
        <v>131.54562300000001</v>
      </c>
      <c r="D3849" s="293">
        <v>175.91045099999999</v>
      </c>
      <c r="E3849" s="293">
        <v>44.364828000000003</v>
      </c>
      <c r="F3849" s="294" t="s">
        <v>2244</v>
      </c>
    </row>
    <row r="3850" spans="1:6" hidden="1" outlineLevel="1" collapsed="1" x14ac:dyDescent="0.25">
      <c r="A3850" s="321" t="s">
        <v>282</v>
      </c>
      <c r="B3850" s="321" t="s">
        <v>394</v>
      </c>
      <c r="C3850" s="293">
        <v>8000</v>
      </c>
      <c r="D3850" s="293">
        <v>0</v>
      </c>
      <c r="E3850" s="293">
        <v>-8000</v>
      </c>
      <c r="F3850" s="294" t="s">
        <v>286</v>
      </c>
    </row>
    <row r="3851" spans="1:6" hidden="1" outlineLevel="1" collapsed="1" x14ac:dyDescent="0.25">
      <c r="A3851" s="321" t="s">
        <v>282</v>
      </c>
      <c r="B3851" s="321" t="s">
        <v>395</v>
      </c>
      <c r="C3851" s="293">
        <v>0</v>
      </c>
      <c r="D3851" s="293">
        <v>9375</v>
      </c>
      <c r="E3851" s="293">
        <v>9375</v>
      </c>
      <c r="F3851" s="294" t="s">
        <v>298</v>
      </c>
    </row>
    <row r="3852" spans="1:6" hidden="1" outlineLevel="1" collapsed="1" x14ac:dyDescent="0.25">
      <c r="A3852" s="321" t="s">
        <v>282</v>
      </c>
      <c r="B3852" s="321" t="s">
        <v>396</v>
      </c>
      <c r="C3852" s="293">
        <v>264.95999999999998</v>
      </c>
      <c r="D3852" s="293">
        <v>0</v>
      </c>
      <c r="E3852" s="293">
        <v>-264.95999999999998</v>
      </c>
      <c r="F3852" s="294" t="s">
        <v>286</v>
      </c>
    </row>
    <row r="3853" spans="1:6" hidden="1" outlineLevel="1" collapsed="1" x14ac:dyDescent="0.25">
      <c r="A3853" s="321" t="s">
        <v>282</v>
      </c>
      <c r="B3853" s="321" t="s">
        <v>397</v>
      </c>
      <c r="C3853" s="293">
        <v>0</v>
      </c>
      <c r="D3853" s="293">
        <v>303</v>
      </c>
      <c r="E3853" s="293">
        <v>303</v>
      </c>
      <c r="F3853" s="294" t="s">
        <v>298</v>
      </c>
    </row>
    <row r="3854" spans="1:6" hidden="1" outlineLevel="1" collapsed="1" x14ac:dyDescent="0.25">
      <c r="A3854" s="321" t="s">
        <v>282</v>
      </c>
      <c r="B3854" s="321" t="s">
        <v>398</v>
      </c>
      <c r="C3854" s="293">
        <v>128</v>
      </c>
      <c r="D3854" s="293">
        <v>69</v>
      </c>
      <c r="E3854" s="293">
        <v>-59</v>
      </c>
      <c r="F3854" s="294" t="s">
        <v>2248</v>
      </c>
    </row>
    <row r="3855" spans="1:6" hidden="1" outlineLevel="1" collapsed="1" x14ac:dyDescent="0.25">
      <c r="A3855" s="321" t="s">
        <v>282</v>
      </c>
      <c r="B3855" s="321" t="s">
        <v>399</v>
      </c>
      <c r="C3855" s="293">
        <v>315.5</v>
      </c>
      <c r="D3855" s="293">
        <v>340</v>
      </c>
      <c r="E3855" s="293">
        <v>24.5</v>
      </c>
      <c r="F3855" s="294" t="s">
        <v>1529</v>
      </c>
    </row>
    <row r="3856" spans="1:6" hidden="1" outlineLevel="1" collapsed="1" x14ac:dyDescent="0.25">
      <c r="A3856" s="321" t="s">
        <v>282</v>
      </c>
      <c r="B3856" s="321" t="s">
        <v>376</v>
      </c>
      <c r="C3856" s="293">
        <v>2254</v>
      </c>
      <c r="D3856" s="293">
        <v>2254</v>
      </c>
      <c r="E3856" s="293">
        <v>0</v>
      </c>
      <c r="F3856" s="294" t="s">
        <v>316</v>
      </c>
    </row>
    <row r="3857" spans="1:6" hidden="1" outlineLevel="1" collapsed="1" x14ac:dyDescent="0.25">
      <c r="A3857" s="321" t="s">
        <v>282</v>
      </c>
      <c r="B3857" s="321" t="s">
        <v>426</v>
      </c>
      <c r="C3857" s="293">
        <v>2344</v>
      </c>
      <c r="D3857" s="293">
        <v>2000</v>
      </c>
      <c r="E3857" s="293">
        <v>-344</v>
      </c>
      <c r="F3857" s="294" t="s">
        <v>1530</v>
      </c>
    </row>
    <row r="3858" spans="1:6" hidden="1" outlineLevel="1" collapsed="1" x14ac:dyDescent="0.25">
      <c r="A3858" s="321" t="s">
        <v>282</v>
      </c>
      <c r="B3858" s="321" t="s">
        <v>482</v>
      </c>
      <c r="C3858" s="293">
        <v>700</v>
      </c>
      <c r="D3858" s="293">
        <v>900</v>
      </c>
      <c r="E3858" s="293">
        <v>200</v>
      </c>
      <c r="F3858" s="294" t="s">
        <v>1531</v>
      </c>
    </row>
    <row r="3859" spans="1:6" hidden="1" outlineLevel="1" collapsed="1" x14ac:dyDescent="0.25">
      <c r="A3859" s="321" t="s">
        <v>282</v>
      </c>
      <c r="B3859" s="321" t="s">
        <v>597</v>
      </c>
      <c r="C3859" s="293">
        <v>200</v>
      </c>
      <c r="D3859" s="293">
        <v>300</v>
      </c>
      <c r="E3859" s="293">
        <v>100</v>
      </c>
      <c r="F3859" s="294" t="s">
        <v>784</v>
      </c>
    </row>
    <row r="3860" spans="1:6" hidden="1" outlineLevel="1" collapsed="1" x14ac:dyDescent="0.25">
      <c r="A3860" s="321" t="s">
        <v>282</v>
      </c>
      <c r="B3860" s="321" t="s">
        <v>448</v>
      </c>
      <c r="C3860" s="293">
        <v>0</v>
      </c>
      <c r="D3860" s="293">
        <v>7110</v>
      </c>
      <c r="E3860" s="293">
        <v>7110</v>
      </c>
      <c r="F3860" s="294" t="s">
        <v>298</v>
      </c>
    </row>
    <row r="3861" spans="1:6" hidden="1" outlineLevel="1" collapsed="1" x14ac:dyDescent="0.25">
      <c r="A3861" s="321" t="s">
        <v>282</v>
      </c>
      <c r="B3861" s="321" t="s">
        <v>422</v>
      </c>
      <c r="C3861" s="293">
        <v>750</v>
      </c>
      <c r="D3861" s="293">
        <v>700</v>
      </c>
      <c r="E3861" s="293">
        <v>-50</v>
      </c>
      <c r="F3861" s="294" t="s">
        <v>1100</v>
      </c>
    </row>
    <row r="3862" spans="1:6" hidden="1" outlineLevel="1" collapsed="1" x14ac:dyDescent="0.25">
      <c r="A3862" s="321" t="s">
        <v>282</v>
      </c>
      <c r="B3862" s="321" t="s">
        <v>770</v>
      </c>
      <c r="C3862" s="293">
        <v>1158</v>
      </c>
      <c r="D3862" s="293">
        <v>0</v>
      </c>
      <c r="E3862" s="293">
        <v>-1158</v>
      </c>
      <c r="F3862" s="294" t="s">
        <v>286</v>
      </c>
    </row>
    <row r="3863" spans="1:6" collapsed="1" x14ac:dyDescent="0.25">
      <c r="A3863" s="560" t="s">
        <v>1532</v>
      </c>
      <c r="B3863" s="561"/>
      <c r="C3863" s="292">
        <v>4360</v>
      </c>
      <c r="D3863" s="293">
        <v>0</v>
      </c>
      <c r="E3863" s="293">
        <v>-4360</v>
      </c>
      <c r="F3863" s="294" t="s">
        <v>286</v>
      </c>
    </row>
    <row r="3864" spans="1:6" hidden="1" outlineLevel="1" collapsed="1" x14ac:dyDescent="0.25">
      <c r="A3864" s="321" t="s">
        <v>282</v>
      </c>
      <c r="B3864" s="321" t="s">
        <v>475</v>
      </c>
      <c r="C3864" s="293">
        <v>4000</v>
      </c>
      <c r="D3864" s="293">
        <v>0</v>
      </c>
      <c r="E3864" s="293">
        <v>-4000</v>
      </c>
      <c r="F3864" s="294" t="s">
        <v>286</v>
      </c>
    </row>
    <row r="3865" spans="1:6" hidden="1" outlineLevel="1" collapsed="1" x14ac:dyDescent="0.25">
      <c r="A3865" s="321" t="s">
        <v>282</v>
      </c>
      <c r="B3865" s="321" t="s">
        <v>444</v>
      </c>
      <c r="C3865" s="293">
        <v>360</v>
      </c>
      <c r="D3865" s="293">
        <v>0</v>
      </c>
      <c r="E3865" s="293">
        <v>-360</v>
      </c>
      <c r="F3865" s="294" t="s">
        <v>286</v>
      </c>
    </row>
    <row r="3866" spans="1:6" collapsed="1" x14ac:dyDescent="0.25">
      <c r="A3866" s="560" t="s">
        <v>1533</v>
      </c>
      <c r="B3866" s="561"/>
      <c r="C3866" s="292">
        <v>824945.89747700002</v>
      </c>
      <c r="D3866" s="293">
        <v>711958.60594499996</v>
      </c>
      <c r="E3866" s="293">
        <v>-112987.291532</v>
      </c>
      <c r="F3866" s="294" t="s">
        <v>2249</v>
      </c>
    </row>
    <row r="3867" spans="1:6" hidden="1" outlineLevel="1" collapsed="1" x14ac:dyDescent="0.25">
      <c r="A3867" s="321" t="s">
        <v>282</v>
      </c>
      <c r="B3867" s="321" t="s">
        <v>750</v>
      </c>
      <c r="C3867" s="293">
        <v>425975.83996100002</v>
      </c>
      <c r="D3867" s="293">
        <v>346845.79997699999</v>
      </c>
      <c r="E3867" s="293">
        <v>-79130.039984000003</v>
      </c>
      <c r="F3867" s="294" t="s">
        <v>2250</v>
      </c>
    </row>
    <row r="3868" spans="1:6" hidden="1" outlineLevel="1" collapsed="1" x14ac:dyDescent="0.25">
      <c r="A3868" s="321" t="s">
        <v>282</v>
      </c>
      <c r="B3868" s="321" t="s">
        <v>735</v>
      </c>
      <c r="C3868" s="293">
        <v>0</v>
      </c>
      <c r="D3868" s="293">
        <v>17600</v>
      </c>
      <c r="E3868" s="293">
        <v>17600</v>
      </c>
      <c r="F3868" s="294" t="s">
        <v>298</v>
      </c>
    </row>
    <row r="3869" spans="1:6" hidden="1" outlineLevel="1" collapsed="1" x14ac:dyDescent="0.25">
      <c r="A3869" s="321" t="s">
        <v>282</v>
      </c>
      <c r="B3869" s="321" t="s">
        <v>412</v>
      </c>
      <c r="C3869" s="293">
        <v>6600</v>
      </c>
      <c r="D3869" s="293">
        <v>6600</v>
      </c>
      <c r="E3869" s="293">
        <v>0</v>
      </c>
      <c r="F3869" s="294" t="s">
        <v>316</v>
      </c>
    </row>
    <row r="3870" spans="1:6" hidden="1" outlineLevel="1" collapsed="1" x14ac:dyDescent="0.25">
      <c r="A3870" s="321" t="s">
        <v>282</v>
      </c>
      <c r="B3870" s="321" t="s">
        <v>441</v>
      </c>
      <c r="C3870" s="293">
        <v>19000</v>
      </c>
      <c r="D3870" s="293">
        <v>25000</v>
      </c>
      <c r="E3870" s="293">
        <v>6000</v>
      </c>
      <c r="F3870" s="294" t="s">
        <v>1252</v>
      </c>
    </row>
    <row r="3871" spans="1:6" hidden="1" outlineLevel="1" collapsed="1" x14ac:dyDescent="0.25">
      <c r="A3871" s="321" t="s">
        <v>282</v>
      </c>
      <c r="B3871" s="321" t="s">
        <v>464</v>
      </c>
      <c r="C3871" s="293">
        <v>93215.975821999993</v>
      </c>
      <c r="D3871" s="293">
        <v>98138.173106000002</v>
      </c>
      <c r="E3871" s="293">
        <v>4922.1972839999999</v>
      </c>
      <c r="F3871" s="294" t="s">
        <v>1536</v>
      </c>
    </row>
    <row r="3872" spans="1:6" hidden="1" outlineLevel="1" collapsed="1" x14ac:dyDescent="0.25">
      <c r="A3872" s="321" t="s">
        <v>282</v>
      </c>
      <c r="B3872" s="321" t="s">
        <v>424</v>
      </c>
      <c r="C3872" s="293">
        <v>30000</v>
      </c>
      <c r="D3872" s="293">
        <v>5000</v>
      </c>
      <c r="E3872" s="293">
        <v>-25000</v>
      </c>
      <c r="F3872" s="294" t="s">
        <v>1537</v>
      </c>
    </row>
    <row r="3873" spans="1:6" hidden="1" outlineLevel="1" collapsed="1" x14ac:dyDescent="0.25">
      <c r="A3873" s="321" t="s">
        <v>282</v>
      </c>
      <c r="B3873" s="321" t="s">
        <v>799</v>
      </c>
      <c r="C3873" s="293">
        <v>590</v>
      </c>
      <c r="D3873" s="293">
        <v>0</v>
      </c>
      <c r="E3873" s="293">
        <v>-590</v>
      </c>
      <c r="F3873" s="294" t="s">
        <v>286</v>
      </c>
    </row>
    <row r="3874" spans="1:6" hidden="1" outlineLevel="1" collapsed="1" x14ac:dyDescent="0.25">
      <c r="A3874" s="321" t="s">
        <v>282</v>
      </c>
      <c r="B3874" s="321" t="s">
        <v>751</v>
      </c>
      <c r="C3874" s="293">
        <v>50977.475951</v>
      </c>
      <c r="D3874" s="293">
        <v>0</v>
      </c>
      <c r="E3874" s="293">
        <v>-50977.475951</v>
      </c>
      <c r="F3874" s="294" t="s">
        <v>286</v>
      </c>
    </row>
    <row r="3875" spans="1:6" hidden="1" outlineLevel="1" collapsed="1" x14ac:dyDescent="0.25">
      <c r="A3875" s="321" t="s">
        <v>282</v>
      </c>
      <c r="B3875" s="321" t="s">
        <v>752</v>
      </c>
      <c r="C3875" s="293">
        <v>0</v>
      </c>
      <c r="D3875" s="293">
        <v>50049.848895000003</v>
      </c>
      <c r="E3875" s="293">
        <v>50049.848895000003</v>
      </c>
      <c r="F3875" s="294" t="s">
        <v>298</v>
      </c>
    </row>
    <row r="3876" spans="1:6" hidden="1" outlineLevel="1" collapsed="1" x14ac:dyDescent="0.25">
      <c r="A3876" s="321" t="s">
        <v>282</v>
      </c>
      <c r="B3876" s="321" t="s">
        <v>384</v>
      </c>
      <c r="C3876" s="293">
        <v>11644.799754</v>
      </c>
      <c r="D3876" s="293">
        <v>0</v>
      </c>
      <c r="E3876" s="293">
        <v>-11644.799754</v>
      </c>
      <c r="F3876" s="294" t="s">
        <v>286</v>
      </c>
    </row>
    <row r="3877" spans="1:6" hidden="1" outlineLevel="1" collapsed="1" x14ac:dyDescent="0.25">
      <c r="A3877" s="321" t="s">
        <v>282</v>
      </c>
      <c r="B3877" s="321" t="s">
        <v>385</v>
      </c>
      <c r="C3877" s="293">
        <v>0</v>
      </c>
      <c r="D3877" s="293">
        <v>15140.88816</v>
      </c>
      <c r="E3877" s="293">
        <v>15140.88816</v>
      </c>
      <c r="F3877" s="294" t="s">
        <v>298</v>
      </c>
    </row>
    <row r="3878" spans="1:6" hidden="1" outlineLevel="1" collapsed="1" x14ac:dyDescent="0.25">
      <c r="A3878" s="321" t="s">
        <v>282</v>
      </c>
      <c r="B3878" s="321" t="s">
        <v>386</v>
      </c>
      <c r="C3878" s="293">
        <v>5779.390488</v>
      </c>
      <c r="D3878" s="293">
        <v>0</v>
      </c>
      <c r="E3878" s="293">
        <v>-5779.390488</v>
      </c>
      <c r="F3878" s="294" t="s">
        <v>286</v>
      </c>
    </row>
    <row r="3879" spans="1:6" hidden="1" outlineLevel="1" collapsed="1" x14ac:dyDescent="0.25">
      <c r="A3879" s="321" t="s">
        <v>282</v>
      </c>
      <c r="B3879" s="321" t="s">
        <v>387</v>
      </c>
      <c r="C3879" s="293">
        <v>0</v>
      </c>
      <c r="D3879" s="293">
        <v>6084.5667240000002</v>
      </c>
      <c r="E3879" s="293">
        <v>6084.5667240000002</v>
      </c>
      <c r="F3879" s="294" t="s">
        <v>298</v>
      </c>
    </row>
    <row r="3880" spans="1:6" hidden="1" outlineLevel="1" collapsed="1" x14ac:dyDescent="0.25">
      <c r="A3880" s="321" t="s">
        <v>282</v>
      </c>
      <c r="B3880" s="321" t="s">
        <v>753</v>
      </c>
      <c r="C3880" s="293">
        <v>24628.383962</v>
      </c>
      <c r="D3880" s="293">
        <v>21913.639566000002</v>
      </c>
      <c r="E3880" s="293">
        <v>-2714.7443960000001</v>
      </c>
      <c r="F3880" s="294" t="s">
        <v>2251</v>
      </c>
    </row>
    <row r="3881" spans="1:6" hidden="1" outlineLevel="1" collapsed="1" x14ac:dyDescent="0.25">
      <c r="A3881" s="321" t="s">
        <v>282</v>
      </c>
      <c r="B3881" s="321" t="s">
        <v>388</v>
      </c>
      <c r="C3881" s="293">
        <v>7111.4956009999996</v>
      </c>
      <c r="D3881" s="293">
        <v>6547.9675710000001</v>
      </c>
      <c r="E3881" s="293">
        <v>-563.52802999999994</v>
      </c>
      <c r="F3881" s="294" t="s">
        <v>2252</v>
      </c>
    </row>
    <row r="3882" spans="1:6" hidden="1" outlineLevel="1" collapsed="1" x14ac:dyDescent="0.25">
      <c r="A3882" s="321" t="s">
        <v>282</v>
      </c>
      <c r="B3882" s="321" t="s">
        <v>444</v>
      </c>
      <c r="C3882" s="293">
        <v>24926.400000000001</v>
      </c>
      <c r="D3882" s="293">
        <v>6115</v>
      </c>
      <c r="E3882" s="293">
        <v>-18811.400000000001</v>
      </c>
      <c r="F3882" s="294" t="s">
        <v>1540</v>
      </c>
    </row>
    <row r="3883" spans="1:6" hidden="1" outlineLevel="1" collapsed="1" x14ac:dyDescent="0.25">
      <c r="A3883" s="321" t="s">
        <v>282</v>
      </c>
      <c r="B3883" s="321" t="s">
        <v>389</v>
      </c>
      <c r="C3883" s="293">
        <v>852.24959999999999</v>
      </c>
      <c r="D3883" s="293">
        <v>844.08</v>
      </c>
      <c r="E3883" s="293">
        <v>-8.1696000000000009</v>
      </c>
      <c r="F3883" s="294" t="s">
        <v>364</v>
      </c>
    </row>
    <row r="3884" spans="1:6" hidden="1" outlineLevel="1" collapsed="1" x14ac:dyDescent="0.25">
      <c r="A3884" s="321" t="s">
        <v>282</v>
      </c>
      <c r="B3884" s="321" t="s">
        <v>390</v>
      </c>
      <c r="C3884" s="293">
        <v>30970.54</v>
      </c>
      <c r="D3884" s="293">
        <v>31918.560000000001</v>
      </c>
      <c r="E3884" s="293">
        <v>948.02</v>
      </c>
      <c r="F3884" s="294" t="s">
        <v>391</v>
      </c>
    </row>
    <row r="3885" spans="1:6" hidden="1" outlineLevel="1" collapsed="1" x14ac:dyDescent="0.25">
      <c r="A3885" s="321" t="s">
        <v>282</v>
      </c>
      <c r="B3885" s="321" t="s">
        <v>392</v>
      </c>
      <c r="C3885" s="293">
        <v>467.07839999999999</v>
      </c>
      <c r="D3885" s="293">
        <v>365.76</v>
      </c>
      <c r="E3885" s="293">
        <v>-101.3184</v>
      </c>
      <c r="F3885" s="294" t="s">
        <v>368</v>
      </c>
    </row>
    <row r="3886" spans="1:6" hidden="1" outlineLevel="1" collapsed="1" x14ac:dyDescent="0.25">
      <c r="A3886" s="321" t="s">
        <v>282</v>
      </c>
      <c r="B3886" s="321" t="s">
        <v>754</v>
      </c>
      <c r="C3886" s="293">
        <v>51835.14</v>
      </c>
      <c r="D3886" s="293">
        <v>47877.84</v>
      </c>
      <c r="E3886" s="293">
        <v>-3957.3</v>
      </c>
      <c r="F3886" s="294" t="s">
        <v>2253</v>
      </c>
    </row>
    <row r="3887" spans="1:6" hidden="1" outlineLevel="1" collapsed="1" x14ac:dyDescent="0.25">
      <c r="A3887" s="321" t="s">
        <v>282</v>
      </c>
      <c r="B3887" s="321" t="s">
        <v>755</v>
      </c>
      <c r="C3887" s="293">
        <v>1757.7647999999999</v>
      </c>
      <c r="D3887" s="293">
        <v>1582.65</v>
      </c>
      <c r="E3887" s="293">
        <v>-175.1148</v>
      </c>
      <c r="F3887" s="294" t="s">
        <v>2254</v>
      </c>
    </row>
    <row r="3888" spans="1:6" hidden="1" outlineLevel="1" collapsed="1" x14ac:dyDescent="0.25">
      <c r="A3888" s="321" t="s">
        <v>282</v>
      </c>
      <c r="B3888" s="321" t="s">
        <v>756</v>
      </c>
      <c r="C3888" s="293">
        <v>963.3492</v>
      </c>
      <c r="D3888" s="293">
        <v>685.8</v>
      </c>
      <c r="E3888" s="293">
        <v>-277.54919999999998</v>
      </c>
      <c r="F3888" s="294" t="s">
        <v>2255</v>
      </c>
    </row>
    <row r="3889" spans="1:6" hidden="1" outlineLevel="1" collapsed="1" x14ac:dyDescent="0.25">
      <c r="A3889" s="321" t="s">
        <v>282</v>
      </c>
      <c r="B3889" s="321" t="s">
        <v>393</v>
      </c>
      <c r="C3889" s="293">
        <v>46.607976000000001</v>
      </c>
      <c r="D3889" s="293">
        <v>49.06908</v>
      </c>
      <c r="E3889" s="293">
        <v>2.4611040000000002</v>
      </c>
      <c r="F3889" s="294" t="s">
        <v>1536</v>
      </c>
    </row>
    <row r="3890" spans="1:6" hidden="1" outlineLevel="1" collapsed="1" x14ac:dyDescent="0.25">
      <c r="A3890" s="321" t="s">
        <v>282</v>
      </c>
      <c r="B3890" s="321" t="s">
        <v>757</v>
      </c>
      <c r="C3890" s="293">
        <v>198.615962</v>
      </c>
      <c r="D3890" s="293">
        <v>0</v>
      </c>
      <c r="E3890" s="293">
        <v>-198.615962</v>
      </c>
      <c r="F3890" s="294" t="s">
        <v>286</v>
      </c>
    </row>
    <row r="3891" spans="1:6" hidden="1" outlineLevel="1" collapsed="1" x14ac:dyDescent="0.25">
      <c r="A3891" s="321" t="s">
        <v>282</v>
      </c>
      <c r="B3891" s="321" t="s">
        <v>758</v>
      </c>
      <c r="C3891" s="293">
        <v>0</v>
      </c>
      <c r="D3891" s="293">
        <v>176.72286600000001</v>
      </c>
      <c r="E3891" s="293">
        <v>176.72286600000001</v>
      </c>
      <c r="F3891" s="294" t="s">
        <v>298</v>
      </c>
    </row>
    <row r="3892" spans="1:6" hidden="1" outlineLevel="1" collapsed="1" x14ac:dyDescent="0.25">
      <c r="A3892" s="321" t="s">
        <v>282</v>
      </c>
      <c r="B3892" s="321" t="s">
        <v>394</v>
      </c>
      <c r="C3892" s="293">
        <v>3000</v>
      </c>
      <c r="D3892" s="293">
        <v>0</v>
      </c>
      <c r="E3892" s="293">
        <v>-3000</v>
      </c>
      <c r="F3892" s="294" t="s">
        <v>286</v>
      </c>
    </row>
    <row r="3893" spans="1:6" hidden="1" outlineLevel="1" collapsed="1" x14ac:dyDescent="0.25">
      <c r="A3893" s="321" t="s">
        <v>282</v>
      </c>
      <c r="B3893" s="321" t="s">
        <v>395</v>
      </c>
      <c r="C3893" s="293">
        <v>0</v>
      </c>
      <c r="D3893" s="293">
        <v>3000</v>
      </c>
      <c r="E3893" s="293">
        <v>3000</v>
      </c>
      <c r="F3893" s="294" t="s">
        <v>298</v>
      </c>
    </row>
    <row r="3894" spans="1:6" hidden="1" outlineLevel="1" collapsed="1" x14ac:dyDescent="0.25">
      <c r="A3894" s="321" t="s">
        <v>282</v>
      </c>
      <c r="B3894" s="321" t="s">
        <v>759</v>
      </c>
      <c r="C3894" s="293">
        <v>6187.5</v>
      </c>
      <c r="D3894" s="293">
        <v>0</v>
      </c>
      <c r="E3894" s="293">
        <v>-6187.5</v>
      </c>
      <c r="F3894" s="294" t="s">
        <v>286</v>
      </c>
    </row>
    <row r="3895" spans="1:6" hidden="1" outlineLevel="1" collapsed="1" x14ac:dyDescent="0.25">
      <c r="A3895" s="321" t="s">
        <v>282</v>
      </c>
      <c r="B3895" s="321" t="s">
        <v>760</v>
      </c>
      <c r="C3895" s="293">
        <v>0</v>
      </c>
      <c r="D3895" s="293">
        <v>5625</v>
      </c>
      <c r="E3895" s="293">
        <v>5625</v>
      </c>
      <c r="F3895" s="294" t="s">
        <v>298</v>
      </c>
    </row>
    <row r="3896" spans="1:6" hidden="1" outlineLevel="1" collapsed="1" x14ac:dyDescent="0.25">
      <c r="A3896" s="321" t="s">
        <v>282</v>
      </c>
      <c r="B3896" s="321" t="s">
        <v>396</v>
      </c>
      <c r="C3896" s="293">
        <v>99.36</v>
      </c>
      <c r="D3896" s="293">
        <v>0</v>
      </c>
      <c r="E3896" s="293">
        <v>-99.36</v>
      </c>
      <c r="F3896" s="294" t="s">
        <v>286</v>
      </c>
    </row>
    <row r="3897" spans="1:6" hidden="1" outlineLevel="1" collapsed="1" x14ac:dyDescent="0.25">
      <c r="A3897" s="321" t="s">
        <v>282</v>
      </c>
      <c r="B3897" s="321" t="s">
        <v>397</v>
      </c>
      <c r="C3897" s="293">
        <v>0</v>
      </c>
      <c r="D3897" s="293">
        <v>96.96</v>
      </c>
      <c r="E3897" s="293">
        <v>96.96</v>
      </c>
      <c r="F3897" s="294" t="s">
        <v>298</v>
      </c>
    </row>
    <row r="3898" spans="1:6" hidden="1" outlineLevel="1" collapsed="1" x14ac:dyDescent="0.25">
      <c r="A3898" s="321" t="s">
        <v>282</v>
      </c>
      <c r="B3898" s="321" t="s">
        <v>761</v>
      </c>
      <c r="C3898" s="293">
        <v>204.93</v>
      </c>
      <c r="D3898" s="293">
        <v>0</v>
      </c>
      <c r="E3898" s="293">
        <v>-204.93</v>
      </c>
      <c r="F3898" s="294" t="s">
        <v>286</v>
      </c>
    </row>
    <row r="3899" spans="1:6" hidden="1" outlineLevel="1" collapsed="1" x14ac:dyDescent="0.25">
      <c r="A3899" s="321" t="s">
        <v>282</v>
      </c>
      <c r="B3899" s="321" t="s">
        <v>762</v>
      </c>
      <c r="C3899" s="293">
        <v>0</v>
      </c>
      <c r="D3899" s="293">
        <v>181.8</v>
      </c>
      <c r="E3899" s="293">
        <v>181.8</v>
      </c>
      <c r="F3899" s="294" t="s">
        <v>298</v>
      </c>
    </row>
    <row r="3900" spans="1:6" hidden="1" outlineLevel="1" collapsed="1" x14ac:dyDescent="0.25">
      <c r="A3900" s="321" t="s">
        <v>282</v>
      </c>
      <c r="B3900" s="321" t="s">
        <v>398</v>
      </c>
      <c r="C3900" s="293">
        <v>48</v>
      </c>
      <c r="D3900" s="293">
        <v>22.08</v>
      </c>
      <c r="E3900" s="293">
        <v>-25.92</v>
      </c>
      <c r="F3900" s="294" t="s">
        <v>374</v>
      </c>
    </row>
    <row r="3901" spans="1:6" hidden="1" outlineLevel="1" collapsed="1" x14ac:dyDescent="0.25">
      <c r="A3901" s="321" t="s">
        <v>282</v>
      </c>
      <c r="B3901" s="321" t="s">
        <v>763</v>
      </c>
      <c r="C3901" s="293">
        <v>99</v>
      </c>
      <c r="D3901" s="293">
        <v>41.4</v>
      </c>
      <c r="E3901" s="293">
        <v>-57.6</v>
      </c>
      <c r="F3901" s="294" t="s">
        <v>2256</v>
      </c>
    </row>
    <row r="3902" spans="1:6" hidden="1" outlineLevel="1" collapsed="1" x14ac:dyDescent="0.25">
      <c r="A3902" s="321" t="s">
        <v>282</v>
      </c>
      <c r="B3902" s="321" t="s">
        <v>522</v>
      </c>
      <c r="C3902" s="293">
        <v>2250</v>
      </c>
      <c r="D3902" s="293">
        <v>2250</v>
      </c>
      <c r="E3902" s="293">
        <v>0</v>
      </c>
      <c r="F3902" s="294" t="s">
        <v>316</v>
      </c>
    </row>
    <row r="3903" spans="1:6" hidden="1" outlineLevel="1" collapsed="1" x14ac:dyDescent="0.25">
      <c r="A3903" s="321" t="s">
        <v>282</v>
      </c>
      <c r="B3903" s="321" t="s">
        <v>376</v>
      </c>
      <c r="C3903" s="293">
        <v>2500</v>
      </c>
      <c r="D3903" s="293">
        <v>4000</v>
      </c>
      <c r="E3903" s="293">
        <v>1500</v>
      </c>
      <c r="F3903" s="294" t="s">
        <v>1689</v>
      </c>
    </row>
    <row r="3904" spans="1:6" hidden="1" outlineLevel="1" collapsed="1" x14ac:dyDescent="0.25">
      <c r="A3904" s="321" t="s">
        <v>282</v>
      </c>
      <c r="B3904" s="321" t="s">
        <v>506</v>
      </c>
      <c r="C3904" s="293">
        <v>3000</v>
      </c>
      <c r="D3904" s="293">
        <v>5000</v>
      </c>
      <c r="E3904" s="293">
        <v>2000</v>
      </c>
      <c r="F3904" s="294" t="s">
        <v>829</v>
      </c>
    </row>
    <row r="3905" spans="1:6" hidden="1" outlineLevel="1" collapsed="1" x14ac:dyDescent="0.25">
      <c r="A3905" s="321" t="s">
        <v>282</v>
      </c>
      <c r="B3905" s="321" t="s">
        <v>426</v>
      </c>
      <c r="C3905" s="293">
        <v>7500</v>
      </c>
      <c r="D3905" s="293">
        <v>2000</v>
      </c>
      <c r="E3905" s="293">
        <v>-5500</v>
      </c>
      <c r="F3905" s="294" t="s">
        <v>1546</v>
      </c>
    </row>
    <row r="3906" spans="1:6" hidden="1" outlineLevel="1" collapsed="1" x14ac:dyDescent="0.25">
      <c r="A3906" s="321" t="s">
        <v>282</v>
      </c>
      <c r="B3906" s="321" t="s">
        <v>482</v>
      </c>
      <c r="C3906" s="293">
        <v>1400</v>
      </c>
      <c r="D3906" s="293">
        <v>750</v>
      </c>
      <c r="E3906" s="293">
        <v>-650</v>
      </c>
      <c r="F3906" s="294" t="s">
        <v>1547</v>
      </c>
    </row>
    <row r="3907" spans="1:6" hidden="1" outlineLevel="1" collapsed="1" x14ac:dyDescent="0.25">
      <c r="A3907" s="321" t="s">
        <v>282</v>
      </c>
      <c r="B3907" s="321" t="s">
        <v>597</v>
      </c>
      <c r="C3907" s="293">
        <v>600</v>
      </c>
      <c r="D3907" s="293">
        <v>455</v>
      </c>
      <c r="E3907" s="293">
        <v>-145</v>
      </c>
      <c r="F3907" s="294" t="s">
        <v>1548</v>
      </c>
    </row>
    <row r="3908" spans="1:6" hidden="1" outlineLevel="1" collapsed="1" x14ac:dyDescent="0.25">
      <c r="A3908" s="321" t="s">
        <v>282</v>
      </c>
      <c r="B3908" s="321" t="s">
        <v>448</v>
      </c>
      <c r="C3908" s="293">
        <v>200</v>
      </c>
      <c r="D3908" s="293">
        <v>0</v>
      </c>
      <c r="E3908" s="293">
        <v>-200</v>
      </c>
      <c r="F3908" s="294" t="s">
        <v>286</v>
      </c>
    </row>
    <row r="3909" spans="1:6" hidden="1" outlineLevel="1" collapsed="1" x14ac:dyDescent="0.25">
      <c r="A3909" s="321" t="s">
        <v>282</v>
      </c>
      <c r="B3909" s="321" t="s">
        <v>626</v>
      </c>
      <c r="C3909" s="293">
        <v>1000</v>
      </c>
      <c r="D3909" s="293">
        <v>0</v>
      </c>
      <c r="E3909" s="293">
        <v>-1000</v>
      </c>
      <c r="F3909" s="294" t="s">
        <v>286</v>
      </c>
    </row>
    <row r="3910" spans="1:6" hidden="1" outlineLevel="1" collapsed="1" x14ac:dyDescent="0.25">
      <c r="A3910" s="321" t="s">
        <v>282</v>
      </c>
      <c r="B3910" s="321" t="s">
        <v>405</v>
      </c>
      <c r="C3910" s="293">
        <v>2716</v>
      </c>
      <c r="D3910" s="293">
        <v>0</v>
      </c>
      <c r="E3910" s="293">
        <v>-2716</v>
      </c>
      <c r="F3910" s="294" t="s">
        <v>286</v>
      </c>
    </row>
    <row r="3911" spans="1:6" hidden="1" outlineLevel="1" collapsed="1" x14ac:dyDescent="0.25">
      <c r="A3911" s="321" t="s">
        <v>282</v>
      </c>
      <c r="B3911" s="321" t="s">
        <v>557</v>
      </c>
      <c r="C3911" s="293">
        <v>1500</v>
      </c>
      <c r="D3911" s="293">
        <v>0</v>
      </c>
      <c r="E3911" s="293">
        <v>-1500</v>
      </c>
      <c r="F3911" s="294" t="s">
        <v>286</v>
      </c>
    </row>
    <row r="3912" spans="1:6" hidden="1" outlineLevel="1" collapsed="1" x14ac:dyDescent="0.25">
      <c r="A3912" s="321" t="s">
        <v>282</v>
      </c>
      <c r="B3912" s="321" t="s">
        <v>422</v>
      </c>
      <c r="C3912" s="293">
        <v>5100</v>
      </c>
      <c r="D3912" s="293">
        <v>0</v>
      </c>
      <c r="E3912" s="293">
        <v>-5100</v>
      </c>
      <c r="F3912" s="294" t="s">
        <v>286</v>
      </c>
    </row>
    <row r="3913" spans="1:6" collapsed="1" x14ac:dyDescent="0.25">
      <c r="A3913" s="560" t="s">
        <v>1549</v>
      </c>
      <c r="B3913" s="561"/>
      <c r="C3913" s="292">
        <v>1850</v>
      </c>
      <c r="D3913" s="293">
        <v>0</v>
      </c>
      <c r="E3913" s="293">
        <v>-1850</v>
      </c>
      <c r="F3913" s="294" t="s">
        <v>286</v>
      </c>
    </row>
    <row r="3914" spans="1:6" hidden="1" outlineLevel="1" collapsed="1" x14ac:dyDescent="0.25">
      <c r="A3914" s="321" t="s">
        <v>282</v>
      </c>
      <c r="B3914" s="321" t="s">
        <v>426</v>
      </c>
      <c r="C3914" s="293">
        <v>1500</v>
      </c>
      <c r="D3914" s="293">
        <v>0</v>
      </c>
      <c r="E3914" s="293">
        <v>-1500</v>
      </c>
      <c r="F3914" s="294" t="s">
        <v>286</v>
      </c>
    </row>
    <row r="3915" spans="1:6" hidden="1" outlineLevel="1" collapsed="1" x14ac:dyDescent="0.25">
      <c r="A3915" s="321" t="s">
        <v>282</v>
      </c>
      <c r="B3915" s="321" t="s">
        <v>482</v>
      </c>
      <c r="C3915" s="293">
        <v>250</v>
      </c>
      <c r="D3915" s="293">
        <v>0</v>
      </c>
      <c r="E3915" s="293">
        <v>-250</v>
      </c>
      <c r="F3915" s="294" t="s">
        <v>286</v>
      </c>
    </row>
    <row r="3916" spans="1:6" hidden="1" outlineLevel="1" collapsed="1" x14ac:dyDescent="0.25">
      <c r="A3916" s="321" t="s">
        <v>282</v>
      </c>
      <c r="B3916" s="321" t="s">
        <v>597</v>
      </c>
      <c r="C3916" s="293">
        <v>100</v>
      </c>
      <c r="D3916" s="293">
        <v>0</v>
      </c>
      <c r="E3916" s="293">
        <v>-100</v>
      </c>
      <c r="F3916" s="294" t="s">
        <v>286</v>
      </c>
    </row>
    <row r="3917" spans="1:6" collapsed="1" x14ac:dyDescent="0.25">
      <c r="A3917" s="560" t="s">
        <v>1550</v>
      </c>
      <c r="B3917" s="561"/>
      <c r="C3917" s="292">
        <v>170451.97358399999</v>
      </c>
      <c r="D3917" s="293">
        <v>179832.12509300001</v>
      </c>
      <c r="E3917" s="293">
        <v>9380.1515089999994</v>
      </c>
      <c r="F3917" s="294" t="s">
        <v>2257</v>
      </c>
    </row>
    <row r="3918" spans="1:6" hidden="1" outlineLevel="1" collapsed="1" x14ac:dyDescent="0.25">
      <c r="A3918" s="321" t="s">
        <v>282</v>
      </c>
      <c r="B3918" s="321" t="s">
        <v>1143</v>
      </c>
      <c r="C3918" s="293">
        <v>92837.679996000006</v>
      </c>
      <c r="D3918" s="293">
        <v>96616.956791999997</v>
      </c>
      <c r="E3918" s="293">
        <v>3779.2767960000001</v>
      </c>
      <c r="F3918" s="294" t="s">
        <v>411</v>
      </c>
    </row>
    <row r="3919" spans="1:6" hidden="1" outlineLevel="1" collapsed="1" x14ac:dyDescent="0.25">
      <c r="A3919" s="321" t="s">
        <v>282</v>
      </c>
      <c r="B3919" s="321" t="s">
        <v>464</v>
      </c>
      <c r="C3919" s="293">
        <v>21116.780874</v>
      </c>
      <c r="D3919" s="293">
        <v>22841.862675</v>
      </c>
      <c r="E3919" s="293">
        <v>1725.081801</v>
      </c>
      <c r="F3919" s="294" t="s">
        <v>613</v>
      </c>
    </row>
    <row r="3920" spans="1:6" hidden="1" outlineLevel="1" collapsed="1" x14ac:dyDescent="0.25">
      <c r="A3920" s="321" t="s">
        <v>282</v>
      </c>
      <c r="B3920" s="321" t="s">
        <v>751</v>
      </c>
      <c r="C3920" s="293">
        <v>12115.317228</v>
      </c>
      <c r="D3920" s="293">
        <v>0</v>
      </c>
      <c r="E3920" s="293">
        <v>-12115.317228</v>
      </c>
      <c r="F3920" s="294" t="s">
        <v>286</v>
      </c>
    </row>
    <row r="3921" spans="1:6" hidden="1" outlineLevel="1" collapsed="1" x14ac:dyDescent="0.25">
      <c r="A3921" s="321" t="s">
        <v>282</v>
      </c>
      <c r="B3921" s="321" t="s">
        <v>752</v>
      </c>
      <c r="C3921" s="293">
        <v>0</v>
      </c>
      <c r="D3921" s="293">
        <v>13941.826859999999</v>
      </c>
      <c r="E3921" s="293">
        <v>13941.826859999999</v>
      </c>
      <c r="F3921" s="294" t="s">
        <v>298</v>
      </c>
    </row>
    <row r="3922" spans="1:6" hidden="1" outlineLevel="1" collapsed="1" x14ac:dyDescent="0.25">
      <c r="A3922" s="321" t="s">
        <v>282</v>
      </c>
      <c r="B3922" s="321" t="s">
        <v>384</v>
      </c>
      <c r="C3922" s="293">
        <v>2656.4910329999998</v>
      </c>
      <c r="D3922" s="293">
        <v>0</v>
      </c>
      <c r="E3922" s="293">
        <v>-2656.4910329999998</v>
      </c>
      <c r="F3922" s="294" t="s">
        <v>286</v>
      </c>
    </row>
    <row r="3923" spans="1:6" hidden="1" outlineLevel="1" collapsed="1" x14ac:dyDescent="0.25">
      <c r="A3923" s="321" t="s">
        <v>282</v>
      </c>
      <c r="B3923" s="321" t="s">
        <v>385</v>
      </c>
      <c r="C3923" s="293">
        <v>0</v>
      </c>
      <c r="D3923" s="293">
        <v>3547.5696899999998</v>
      </c>
      <c r="E3923" s="293">
        <v>3547.5696899999998</v>
      </c>
      <c r="F3923" s="294" t="s">
        <v>298</v>
      </c>
    </row>
    <row r="3924" spans="1:6" hidden="1" outlineLevel="1" collapsed="1" x14ac:dyDescent="0.25">
      <c r="A3924" s="321" t="s">
        <v>282</v>
      </c>
      <c r="B3924" s="321" t="s">
        <v>386</v>
      </c>
      <c r="C3924" s="293">
        <v>1309.2404100000001</v>
      </c>
      <c r="D3924" s="293">
        <v>0</v>
      </c>
      <c r="E3924" s="293">
        <v>-1309.2404100000001</v>
      </c>
      <c r="F3924" s="294" t="s">
        <v>286</v>
      </c>
    </row>
    <row r="3925" spans="1:6" hidden="1" outlineLevel="1" collapsed="1" x14ac:dyDescent="0.25">
      <c r="A3925" s="321" t="s">
        <v>282</v>
      </c>
      <c r="B3925" s="321" t="s">
        <v>387</v>
      </c>
      <c r="C3925" s="293">
        <v>0</v>
      </c>
      <c r="D3925" s="293">
        <v>1416.195483</v>
      </c>
      <c r="E3925" s="293">
        <v>1416.195483</v>
      </c>
      <c r="F3925" s="294" t="s">
        <v>298</v>
      </c>
    </row>
    <row r="3926" spans="1:6" hidden="1" outlineLevel="1" collapsed="1" x14ac:dyDescent="0.25">
      <c r="A3926" s="321" t="s">
        <v>282</v>
      </c>
      <c r="B3926" s="321" t="s">
        <v>753</v>
      </c>
      <c r="C3926" s="293">
        <v>5755.9361520000002</v>
      </c>
      <c r="D3926" s="293">
        <v>5990.2513200000003</v>
      </c>
      <c r="E3926" s="293">
        <v>234.315168</v>
      </c>
      <c r="F3926" s="294" t="s">
        <v>411</v>
      </c>
    </row>
    <row r="3927" spans="1:6" hidden="1" outlineLevel="1" collapsed="1" x14ac:dyDescent="0.25">
      <c r="A3927" s="321" t="s">
        <v>282</v>
      </c>
      <c r="B3927" s="321" t="s">
        <v>388</v>
      </c>
      <c r="C3927" s="293">
        <v>1652.3396729999999</v>
      </c>
      <c r="D3927" s="293">
        <v>1732.152873</v>
      </c>
      <c r="E3927" s="293">
        <v>79.813199999999995</v>
      </c>
      <c r="F3927" s="294" t="s">
        <v>774</v>
      </c>
    </row>
    <row r="3928" spans="1:6" hidden="1" outlineLevel="1" collapsed="1" x14ac:dyDescent="0.25">
      <c r="A3928" s="321" t="s">
        <v>282</v>
      </c>
      <c r="B3928" s="321" t="s">
        <v>389</v>
      </c>
      <c r="C3928" s="293">
        <v>213.0624</v>
      </c>
      <c r="D3928" s="293">
        <v>211.02</v>
      </c>
      <c r="E3928" s="293">
        <v>-2.0424000000000002</v>
      </c>
      <c r="F3928" s="294" t="s">
        <v>364</v>
      </c>
    </row>
    <row r="3929" spans="1:6" hidden="1" outlineLevel="1" collapsed="1" x14ac:dyDescent="0.25">
      <c r="A3929" s="321" t="s">
        <v>282</v>
      </c>
      <c r="B3929" s="321" t="s">
        <v>390</v>
      </c>
      <c r="C3929" s="293">
        <v>7742.6350000000002</v>
      </c>
      <c r="D3929" s="293">
        <v>7979.64</v>
      </c>
      <c r="E3929" s="293">
        <v>237.005</v>
      </c>
      <c r="F3929" s="294" t="s">
        <v>391</v>
      </c>
    </row>
    <row r="3930" spans="1:6" hidden="1" outlineLevel="1" collapsed="1" x14ac:dyDescent="0.25">
      <c r="A3930" s="321" t="s">
        <v>282</v>
      </c>
      <c r="B3930" s="321" t="s">
        <v>392</v>
      </c>
      <c r="C3930" s="293">
        <v>116.7696</v>
      </c>
      <c r="D3930" s="293">
        <v>91.44</v>
      </c>
      <c r="E3930" s="293">
        <v>-25.329599999999999</v>
      </c>
      <c r="F3930" s="294" t="s">
        <v>368</v>
      </c>
    </row>
    <row r="3931" spans="1:6" hidden="1" outlineLevel="1" collapsed="1" x14ac:dyDescent="0.25">
      <c r="A3931" s="321" t="s">
        <v>282</v>
      </c>
      <c r="B3931" s="321" t="s">
        <v>754</v>
      </c>
      <c r="C3931" s="293">
        <v>15358.56</v>
      </c>
      <c r="D3931" s="293">
        <v>15959.28</v>
      </c>
      <c r="E3931" s="293">
        <v>600.72</v>
      </c>
      <c r="F3931" s="294" t="s">
        <v>366</v>
      </c>
    </row>
    <row r="3932" spans="1:6" hidden="1" outlineLevel="1" collapsed="1" x14ac:dyDescent="0.25">
      <c r="A3932" s="321" t="s">
        <v>282</v>
      </c>
      <c r="B3932" s="321" t="s">
        <v>755</v>
      </c>
      <c r="C3932" s="293">
        <v>426.12479999999999</v>
      </c>
      <c r="D3932" s="293">
        <v>422.04</v>
      </c>
      <c r="E3932" s="293">
        <v>-4.0848000000000004</v>
      </c>
      <c r="F3932" s="294" t="s">
        <v>364</v>
      </c>
    </row>
    <row r="3933" spans="1:6" hidden="1" outlineLevel="1" collapsed="1" x14ac:dyDescent="0.25">
      <c r="A3933" s="321" t="s">
        <v>282</v>
      </c>
      <c r="B3933" s="321" t="s">
        <v>756</v>
      </c>
      <c r="C3933" s="293">
        <v>233.53919999999999</v>
      </c>
      <c r="D3933" s="293">
        <v>182.88</v>
      </c>
      <c r="E3933" s="293">
        <v>-50.659199999999998</v>
      </c>
      <c r="F3933" s="294" t="s">
        <v>368</v>
      </c>
    </row>
    <row r="3934" spans="1:6" hidden="1" outlineLevel="1" collapsed="1" x14ac:dyDescent="0.25">
      <c r="A3934" s="321" t="s">
        <v>282</v>
      </c>
      <c r="B3934" s="321" t="s">
        <v>393</v>
      </c>
      <c r="C3934" s="293">
        <v>10.558386</v>
      </c>
      <c r="D3934" s="293">
        <v>11.420928</v>
      </c>
      <c r="E3934" s="293">
        <v>0.86254200000000003</v>
      </c>
      <c r="F3934" s="294" t="s">
        <v>613</v>
      </c>
    </row>
    <row r="3935" spans="1:6" hidden="1" outlineLevel="1" collapsed="1" x14ac:dyDescent="0.25">
      <c r="A3935" s="321" t="s">
        <v>282</v>
      </c>
      <c r="B3935" s="321" t="s">
        <v>757</v>
      </c>
      <c r="C3935" s="293">
        <v>46.418832000000002</v>
      </c>
      <c r="D3935" s="293">
        <v>0</v>
      </c>
      <c r="E3935" s="293">
        <v>-46.418832000000002</v>
      </c>
      <c r="F3935" s="294" t="s">
        <v>286</v>
      </c>
    </row>
    <row r="3936" spans="1:6" hidden="1" outlineLevel="1" collapsed="1" x14ac:dyDescent="0.25">
      <c r="A3936" s="321" t="s">
        <v>282</v>
      </c>
      <c r="B3936" s="321" t="s">
        <v>758</v>
      </c>
      <c r="C3936" s="293">
        <v>0</v>
      </c>
      <c r="D3936" s="293">
        <v>48.308472000000002</v>
      </c>
      <c r="E3936" s="293">
        <v>48.308472000000002</v>
      </c>
      <c r="F3936" s="294" t="s">
        <v>298</v>
      </c>
    </row>
    <row r="3937" spans="1:6" hidden="1" outlineLevel="1" collapsed="1" x14ac:dyDescent="0.25">
      <c r="A3937" s="321" t="s">
        <v>282</v>
      </c>
      <c r="B3937" s="321" t="s">
        <v>394</v>
      </c>
      <c r="C3937" s="293">
        <v>750</v>
      </c>
      <c r="D3937" s="293">
        <v>0</v>
      </c>
      <c r="E3937" s="293">
        <v>-750</v>
      </c>
      <c r="F3937" s="294" t="s">
        <v>286</v>
      </c>
    </row>
    <row r="3938" spans="1:6" hidden="1" outlineLevel="1" collapsed="1" x14ac:dyDescent="0.25">
      <c r="A3938" s="321" t="s">
        <v>282</v>
      </c>
      <c r="B3938" s="321" t="s">
        <v>395</v>
      </c>
      <c r="C3938" s="293">
        <v>0</v>
      </c>
      <c r="D3938" s="293">
        <v>750</v>
      </c>
      <c r="E3938" s="293">
        <v>750</v>
      </c>
      <c r="F3938" s="294" t="s">
        <v>298</v>
      </c>
    </row>
    <row r="3939" spans="1:6" hidden="1" outlineLevel="1" collapsed="1" x14ac:dyDescent="0.25">
      <c r="A3939" s="321" t="s">
        <v>282</v>
      </c>
      <c r="B3939" s="321" t="s">
        <v>759</v>
      </c>
      <c r="C3939" s="293">
        <v>1500</v>
      </c>
      <c r="D3939" s="293">
        <v>0</v>
      </c>
      <c r="E3939" s="293">
        <v>-1500</v>
      </c>
      <c r="F3939" s="294" t="s">
        <v>286</v>
      </c>
    </row>
    <row r="3940" spans="1:6" hidden="1" outlineLevel="1" collapsed="1" x14ac:dyDescent="0.25">
      <c r="A3940" s="321" t="s">
        <v>282</v>
      </c>
      <c r="B3940" s="321" t="s">
        <v>760</v>
      </c>
      <c r="C3940" s="293">
        <v>0</v>
      </c>
      <c r="D3940" s="293">
        <v>1500</v>
      </c>
      <c r="E3940" s="293">
        <v>1500</v>
      </c>
      <c r="F3940" s="294" t="s">
        <v>298</v>
      </c>
    </row>
    <row r="3941" spans="1:6" hidden="1" outlineLevel="1" collapsed="1" x14ac:dyDescent="0.25">
      <c r="A3941" s="321" t="s">
        <v>282</v>
      </c>
      <c r="B3941" s="321" t="s">
        <v>396</v>
      </c>
      <c r="C3941" s="293">
        <v>24.84</v>
      </c>
      <c r="D3941" s="293">
        <v>0</v>
      </c>
      <c r="E3941" s="293">
        <v>-24.84</v>
      </c>
      <c r="F3941" s="294" t="s">
        <v>286</v>
      </c>
    </row>
    <row r="3942" spans="1:6" hidden="1" outlineLevel="1" collapsed="1" x14ac:dyDescent="0.25">
      <c r="A3942" s="321" t="s">
        <v>282</v>
      </c>
      <c r="B3942" s="321" t="s">
        <v>397</v>
      </c>
      <c r="C3942" s="293">
        <v>0</v>
      </c>
      <c r="D3942" s="293">
        <v>24.24</v>
      </c>
      <c r="E3942" s="293">
        <v>24.24</v>
      </c>
      <c r="F3942" s="294" t="s">
        <v>298</v>
      </c>
    </row>
    <row r="3943" spans="1:6" hidden="1" outlineLevel="1" collapsed="1" x14ac:dyDescent="0.25">
      <c r="A3943" s="321" t="s">
        <v>282</v>
      </c>
      <c r="B3943" s="321" t="s">
        <v>761</v>
      </c>
      <c r="C3943" s="293">
        <v>49.68</v>
      </c>
      <c r="D3943" s="293">
        <v>0</v>
      </c>
      <c r="E3943" s="293">
        <v>-49.68</v>
      </c>
      <c r="F3943" s="294" t="s">
        <v>286</v>
      </c>
    </row>
    <row r="3944" spans="1:6" hidden="1" outlineLevel="1" collapsed="1" x14ac:dyDescent="0.25">
      <c r="A3944" s="321" t="s">
        <v>282</v>
      </c>
      <c r="B3944" s="321" t="s">
        <v>762</v>
      </c>
      <c r="C3944" s="293">
        <v>0</v>
      </c>
      <c r="D3944" s="293">
        <v>48.48</v>
      </c>
      <c r="E3944" s="293">
        <v>48.48</v>
      </c>
      <c r="F3944" s="294" t="s">
        <v>298</v>
      </c>
    </row>
    <row r="3945" spans="1:6" hidden="1" outlineLevel="1" collapsed="1" x14ac:dyDescent="0.25">
      <c r="A3945" s="321" t="s">
        <v>282</v>
      </c>
      <c r="B3945" s="321" t="s">
        <v>398</v>
      </c>
      <c r="C3945" s="293">
        <v>12</v>
      </c>
      <c r="D3945" s="293">
        <v>5.52</v>
      </c>
      <c r="E3945" s="293">
        <v>-6.48</v>
      </c>
      <c r="F3945" s="294" t="s">
        <v>374</v>
      </c>
    </row>
    <row r="3946" spans="1:6" hidden="1" outlineLevel="1" collapsed="1" x14ac:dyDescent="0.25">
      <c r="A3946" s="321" t="s">
        <v>282</v>
      </c>
      <c r="B3946" s="321" t="s">
        <v>763</v>
      </c>
      <c r="C3946" s="293">
        <v>24</v>
      </c>
      <c r="D3946" s="293">
        <v>11.04</v>
      </c>
      <c r="E3946" s="293">
        <v>-12.96</v>
      </c>
      <c r="F3946" s="294" t="s">
        <v>374</v>
      </c>
    </row>
    <row r="3947" spans="1:6" hidden="1" outlineLevel="1" collapsed="1" x14ac:dyDescent="0.25">
      <c r="A3947" s="321" t="s">
        <v>282</v>
      </c>
      <c r="B3947" s="321" t="s">
        <v>376</v>
      </c>
      <c r="C3947" s="293">
        <v>1000</v>
      </c>
      <c r="D3947" s="293">
        <v>1000</v>
      </c>
      <c r="E3947" s="293">
        <v>0</v>
      </c>
      <c r="F3947" s="294" t="s">
        <v>316</v>
      </c>
    </row>
    <row r="3948" spans="1:6" hidden="1" outlineLevel="1" collapsed="1" x14ac:dyDescent="0.25">
      <c r="A3948" s="321" t="s">
        <v>282</v>
      </c>
      <c r="B3948" s="321" t="s">
        <v>662</v>
      </c>
      <c r="C3948" s="293">
        <v>700</v>
      </c>
      <c r="D3948" s="293">
        <v>500</v>
      </c>
      <c r="E3948" s="293">
        <v>-200</v>
      </c>
      <c r="F3948" s="294" t="s">
        <v>706</v>
      </c>
    </row>
    <row r="3949" spans="1:6" hidden="1" outlineLevel="1" collapsed="1" x14ac:dyDescent="0.25">
      <c r="A3949" s="321" t="s">
        <v>282</v>
      </c>
      <c r="B3949" s="321" t="s">
        <v>506</v>
      </c>
      <c r="C3949" s="293">
        <v>2100</v>
      </c>
      <c r="D3949" s="293">
        <v>2000</v>
      </c>
      <c r="E3949" s="293">
        <v>-100</v>
      </c>
      <c r="F3949" s="294" t="s">
        <v>1551</v>
      </c>
    </row>
    <row r="3950" spans="1:6" hidden="1" outlineLevel="1" collapsed="1" x14ac:dyDescent="0.25">
      <c r="A3950" s="321" t="s">
        <v>282</v>
      </c>
      <c r="B3950" s="321" t="s">
        <v>426</v>
      </c>
      <c r="C3950" s="293">
        <v>500</v>
      </c>
      <c r="D3950" s="293">
        <v>2000</v>
      </c>
      <c r="E3950" s="293">
        <v>1500</v>
      </c>
      <c r="F3950" s="294" t="s">
        <v>887</v>
      </c>
    </row>
    <row r="3951" spans="1:6" hidden="1" outlineLevel="1" collapsed="1" x14ac:dyDescent="0.25">
      <c r="A3951" s="321" t="s">
        <v>282</v>
      </c>
      <c r="B3951" s="321" t="s">
        <v>482</v>
      </c>
      <c r="C3951" s="293">
        <v>200</v>
      </c>
      <c r="D3951" s="293">
        <v>0</v>
      </c>
      <c r="E3951" s="293">
        <v>-200</v>
      </c>
      <c r="F3951" s="294" t="s">
        <v>286</v>
      </c>
    </row>
    <row r="3952" spans="1:6" hidden="1" outlineLevel="1" collapsed="1" x14ac:dyDescent="0.25">
      <c r="A3952" s="321" t="s">
        <v>282</v>
      </c>
      <c r="B3952" s="321" t="s">
        <v>401</v>
      </c>
      <c r="C3952" s="293">
        <v>800</v>
      </c>
      <c r="D3952" s="293">
        <v>1000</v>
      </c>
      <c r="E3952" s="293">
        <v>200</v>
      </c>
      <c r="F3952" s="294" t="s">
        <v>1552</v>
      </c>
    </row>
    <row r="3953" spans="1:6" hidden="1" outlineLevel="1" collapsed="1" x14ac:dyDescent="0.25">
      <c r="A3953" s="321" t="s">
        <v>282</v>
      </c>
      <c r="B3953" s="321" t="s">
        <v>405</v>
      </c>
      <c r="C3953" s="293">
        <v>1200</v>
      </c>
      <c r="D3953" s="293">
        <v>0</v>
      </c>
      <c r="E3953" s="293">
        <v>-1200</v>
      </c>
      <c r="F3953" s="294" t="s">
        <v>286</v>
      </c>
    </row>
    <row r="3954" spans="1:6" collapsed="1" x14ac:dyDescent="0.25">
      <c r="A3954" s="560" t="s">
        <v>1553</v>
      </c>
      <c r="B3954" s="561"/>
      <c r="C3954" s="292">
        <v>165362.634984</v>
      </c>
      <c r="D3954" s="293">
        <v>178995.90208900001</v>
      </c>
      <c r="E3954" s="293">
        <v>13633.267105000001</v>
      </c>
      <c r="F3954" s="294" t="s">
        <v>2258</v>
      </c>
    </row>
    <row r="3955" spans="1:6" hidden="1" outlineLevel="1" collapsed="1" x14ac:dyDescent="0.25">
      <c r="A3955" s="321" t="s">
        <v>282</v>
      </c>
      <c r="B3955" s="321" t="s">
        <v>750</v>
      </c>
      <c r="C3955" s="293">
        <v>87007.999991999997</v>
      </c>
      <c r="D3955" s="293">
        <v>90732.879996000003</v>
      </c>
      <c r="E3955" s="293">
        <v>3724.8800040000001</v>
      </c>
      <c r="F3955" s="294" t="s">
        <v>1304</v>
      </c>
    </row>
    <row r="3956" spans="1:6" hidden="1" outlineLevel="1" collapsed="1" x14ac:dyDescent="0.25">
      <c r="A3956" s="321" t="s">
        <v>282</v>
      </c>
      <c r="B3956" s="321" t="s">
        <v>464</v>
      </c>
      <c r="C3956" s="293">
        <v>21116.780874</v>
      </c>
      <c r="D3956" s="293">
        <v>22841.862675</v>
      </c>
      <c r="E3956" s="293">
        <v>1725.081801</v>
      </c>
      <c r="F3956" s="294" t="s">
        <v>613</v>
      </c>
    </row>
    <row r="3957" spans="1:6" hidden="1" outlineLevel="1" collapsed="1" x14ac:dyDescent="0.25">
      <c r="A3957" s="321" t="s">
        <v>282</v>
      </c>
      <c r="B3957" s="321" t="s">
        <v>751</v>
      </c>
      <c r="C3957" s="293">
        <v>11354.543987999999</v>
      </c>
      <c r="D3957" s="293">
        <v>0</v>
      </c>
      <c r="E3957" s="293">
        <v>-11354.543987999999</v>
      </c>
      <c r="F3957" s="294" t="s">
        <v>286</v>
      </c>
    </row>
    <row r="3958" spans="1:6" hidden="1" outlineLevel="1" collapsed="1" x14ac:dyDescent="0.25">
      <c r="A3958" s="321" t="s">
        <v>282</v>
      </c>
      <c r="B3958" s="321" t="s">
        <v>752</v>
      </c>
      <c r="C3958" s="293">
        <v>0</v>
      </c>
      <c r="D3958" s="293">
        <v>13092.754572</v>
      </c>
      <c r="E3958" s="293">
        <v>13092.754572</v>
      </c>
      <c r="F3958" s="294" t="s">
        <v>298</v>
      </c>
    </row>
    <row r="3959" spans="1:6" hidden="1" outlineLevel="1" collapsed="1" x14ac:dyDescent="0.25">
      <c r="A3959" s="321" t="s">
        <v>282</v>
      </c>
      <c r="B3959" s="321" t="s">
        <v>384</v>
      </c>
      <c r="C3959" s="293">
        <v>2656.4910329999998</v>
      </c>
      <c r="D3959" s="293">
        <v>0</v>
      </c>
      <c r="E3959" s="293">
        <v>-2656.4910329999998</v>
      </c>
      <c r="F3959" s="294" t="s">
        <v>286</v>
      </c>
    </row>
    <row r="3960" spans="1:6" hidden="1" outlineLevel="1" collapsed="1" x14ac:dyDescent="0.25">
      <c r="A3960" s="321" t="s">
        <v>282</v>
      </c>
      <c r="B3960" s="321" t="s">
        <v>385</v>
      </c>
      <c r="C3960" s="293">
        <v>0</v>
      </c>
      <c r="D3960" s="293">
        <v>3547.5696899999998</v>
      </c>
      <c r="E3960" s="293">
        <v>3547.5696899999998</v>
      </c>
      <c r="F3960" s="294" t="s">
        <v>298</v>
      </c>
    </row>
    <row r="3961" spans="1:6" hidden="1" outlineLevel="1" collapsed="1" x14ac:dyDescent="0.25">
      <c r="A3961" s="321" t="s">
        <v>282</v>
      </c>
      <c r="B3961" s="321" t="s">
        <v>386</v>
      </c>
      <c r="C3961" s="293">
        <v>1309.2404100000001</v>
      </c>
      <c r="D3961" s="293">
        <v>0</v>
      </c>
      <c r="E3961" s="293">
        <v>-1309.2404100000001</v>
      </c>
      <c r="F3961" s="294" t="s">
        <v>286</v>
      </c>
    </row>
    <row r="3962" spans="1:6" hidden="1" outlineLevel="1" collapsed="1" x14ac:dyDescent="0.25">
      <c r="A3962" s="321" t="s">
        <v>282</v>
      </c>
      <c r="B3962" s="321" t="s">
        <v>387</v>
      </c>
      <c r="C3962" s="293">
        <v>0</v>
      </c>
      <c r="D3962" s="293">
        <v>1416.195483</v>
      </c>
      <c r="E3962" s="293">
        <v>1416.195483</v>
      </c>
      <c r="F3962" s="294" t="s">
        <v>298</v>
      </c>
    </row>
    <row r="3963" spans="1:6" hidden="1" outlineLevel="1" collapsed="1" x14ac:dyDescent="0.25">
      <c r="A3963" s="321" t="s">
        <v>282</v>
      </c>
      <c r="B3963" s="321" t="s">
        <v>753</v>
      </c>
      <c r="C3963" s="293">
        <v>5394.4959959999996</v>
      </c>
      <c r="D3963" s="293">
        <v>5625.4385519999996</v>
      </c>
      <c r="E3963" s="293">
        <v>230.942556</v>
      </c>
      <c r="F3963" s="294" t="s">
        <v>1304</v>
      </c>
    </row>
    <row r="3964" spans="1:6" hidden="1" outlineLevel="1" collapsed="1" x14ac:dyDescent="0.25">
      <c r="A3964" s="321" t="s">
        <v>282</v>
      </c>
      <c r="B3964" s="321" t="s">
        <v>388</v>
      </c>
      <c r="C3964" s="293">
        <v>1567.809309</v>
      </c>
      <c r="D3964" s="293">
        <v>1646.8337610000001</v>
      </c>
      <c r="E3964" s="293">
        <v>79.024451999999997</v>
      </c>
      <c r="F3964" s="294" t="s">
        <v>729</v>
      </c>
    </row>
    <row r="3965" spans="1:6" hidden="1" outlineLevel="1" collapsed="1" x14ac:dyDescent="0.25">
      <c r="A3965" s="321" t="s">
        <v>282</v>
      </c>
      <c r="B3965" s="321" t="s">
        <v>389</v>
      </c>
      <c r="C3965" s="293">
        <v>213.0624</v>
      </c>
      <c r="D3965" s="293">
        <v>211.02</v>
      </c>
      <c r="E3965" s="293">
        <v>-2.0424000000000002</v>
      </c>
      <c r="F3965" s="294" t="s">
        <v>364</v>
      </c>
    </row>
    <row r="3966" spans="1:6" hidden="1" outlineLevel="1" collapsed="1" x14ac:dyDescent="0.25">
      <c r="A3966" s="321" t="s">
        <v>282</v>
      </c>
      <c r="B3966" s="321" t="s">
        <v>390</v>
      </c>
      <c r="C3966" s="293">
        <v>7742.6350000000002</v>
      </c>
      <c r="D3966" s="293">
        <v>7979.64</v>
      </c>
      <c r="E3966" s="293">
        <v>237.005</v>
      </c>
      <c r="F3966" s="294" t="s">
        <v>391</v>
      </c>
    </row>
    <row r="3967" spans="1:6" hidden="1" outlineLevel="1" collapsed="1" x14ac:dyDescent="0.25">
      <c r="A3967" s="321" t="s">
        <v>282</v>
      </c>
      <c r="B3967" s="321" t="s">
        <v>392</v>
      </c>
      <c r="C3967" s="293">
        <v>116.7696</v>
      </c>
      <c r="D3967" s="293">
        <v>91.44</v>
      </c>
      <c r="E3967" s="293">
        <v>-25.329599999999999</v>
      </c>
      <c r="F3967" s="294" t="s">
        <v>368</v>
      </c>
    </row>
    <row r="3968" spans="1:6" hidden="1" outlineLevel="1" collapsed="1" x14ac:dyDescent="0.25">
      <c r="A3968" s="321" t="s">
        <v>282</v>
      </c>
      <c r="B3968" s="321" t="s">
        <v>754</v>
      </c>
      <c r="C3968" s="293">
        <v>15358.56</v>
      </c>
      <c r="D3968" s="293">
        <v>15959.28</v>
      </c>
      <c r="E3968" s="293">
        <v>600.72</v>
      </c>
      <c r="F3968" s="294" t="s">
        <v>366</v>
      </c>
    </row>
    <row r="3969" spans="1:6" hidden="1" outlineLevel="1" collapsed="1" x14ac:dyDescent="0.25">
      <c r="A3969" s="321" t="s">
        <v>282</v>
      </c>
      <c r="B3969" s="321" t="s">
        <v>755</v>
      </c>
      <c r="C3969" s="293">
        <v>426.12479999999999</v>
      </c>
      <c r="D3969" s="293">
        <v>422.04</v>
      </c>
      <c r="E3969" s="293">
        <v>-4.0848000000000004</v>
      </c>
      <c r="F3969" s="294" t="s">
        <v>364</v>
      </c>
    </row>
    <row r="3970" spans="1:6" hidden="1" outlineLevel="1" collapsed="1" x14ac:dyDescent="0.25">
      <c r="A3970" s="321" t="s">
        <v>282</v>
      </c>
      <c r="B3970" s="321" t="s">
        <v>756</v>
      </c>
      <c r="C3970" s="293">
        <v>233.53919999999999</v>
      </c>
      <c r="D3970" s="293">
        <v>182.88</v>
      </c>
      <c r="E3970" s="293">
        <v>-50.659199999999998</v>
      </c>
      <c r="F3970" s="294" t="s">
        <v>368</v>
      </c>
    </row>
    <row r="3971" spans="1:6" hidden="1" outlineLevel="1" collapsed="1" x14ac:dyDescent="0.25">
      <c r="A3971" s="321" t="s">
        <v>282</v>
      </c>
      <c r="B3971" s="321" t="s">
        <v>393</v>
      </c>
      <c r="C3971" s="293">
        <v>10.558386</v>
      </c>
      <c r="D3971" s="293">
        <v>11.420928</v>
      </c>
      <c r="E3971" s="293">
        <v>0.86254200000000003</v>
      </c>
      <c r="F3971" s="294" t="s">
        <v>613</v>
      </c>
    </row>
    <row r="3972" spans="1:6" hidden="1" outlineLevel="1" collapsed="1" x14ac:dyDescent="0.25">
      <c r="A3972" s="321" t="s">
        <v>282</v>
      </c>
      <c r="B3972" s="321" t="s">
        <v>757</v>
      </c>
      <c r="C3972" s="293">
        <v>43.503996000000001</v>
      </c>
      <c r="D3972" s="293">
        <v>0</v>
      </c>
      <c r="E3972" s="293">
        <v>-43.503996000000001</v>
      </c>
      <c r="F3972" s="294" t="s">
        <v>286</v>
      </c>
    </row>
    <row r="3973" spans="1:6" hidden="1" outlineLevel="1" collapsed="1" x14ac:dyDescent="0.25">
      <c r="A3973" s="321" t="s">
        <v>282</v>
      </c>
      <c r="B3973" s="321" t="s">
        <v>758</v>
      </c>
      <c r="C3973" s="293">
        <v>0</v>
      </c>
      <c r="D3973" s="293">
        <v>45.366432000000003</v>
      </c>
      <c r="E3973" s="293">
        <v>45.366432000000003</v>
      </c>
      <c r="F3973" s="294" t="s">
        <v>298</v>
      </c>
    </row>
    <row r="3974" spans="1:6" hidden="1" outlineLevel="1" collapsed="1" x14ac:dyDescent="0.25">
      <c r="A3974" s="321" t="s">
        <v>282</v>
      </c>
      <c r="B3974" s="321" t="s">
        <v>394</v>
      </c>
      <c r="C3974" s="293">
        <v>750</v>
      </c>
      <c r="D3974" s="293">
        <v>0</v>
      </c>
      <c r="E3974" s="293">
        <v>-750</v>
      </c>
      <c r="F3974" s="294" t="s">
        <v>286</v>
      </c>
    </row>
    <row r="3975" spans="1:6" hidden="1" outlineLevel="1" collapsed="1" x14ac:dyDescent="0.25">
      <c r="A3975" s="321" t="s">
        <v>282</v>
      </c>
      <c r="B3975" s="321" t="s">
        <v>395</v>
      </c>
      <c r="C3975" s="293">
        <v>0</v>
      </c>
      <c r="D3975" s="293">
        <v>750</v>
      </c>
      <c r="E3975" s="293">
        <v>750</v>
      </c>
      <c r="F3975" s="294" t="s">
        <v>298</v>
      </c>
    </row>
    <row r="3976" spans="1:6" hidden="1" outlineLevel="1" collapsed="1" x14ac:dyDescent="0.25">
      <c r="A3976" s="321" t="s">
        <v>282</v>
      </c>
      <c r="B3976" s="321" t="s">
        <v>759</v>
      </c>
      <c r="C3976" s="293">
        <v>1500</v>
      </c>
      <c r="D3976" s="293">
        <v>0</v>
      </c>
      <c r="E3976" s="293">
        <v>-1500</v>
      </c>
      <c r="F3976" s="294" t="s">
        <v>286</v>
      </c>
    </row>
    <row r="3977" spans="1:6" hidden="1" outlineLevel="1" collapsed="1" x14ac:dyDescent="0.25">
      <c r="A3977" s="321" t="s">
        <v>282</v>
      </c>
      <c r="B3977" s="321" t="s">
        <v>760</v>
      </c>
      <c r="C3977" s="293">
        <v>0</v>
      </c>
      <c r="D3977" s="293">
        <v>1500</v>
      </c>
      <c r="E3977" s="293">
        <v>1500</v>
      </c>
      <c r="F3977" s="294" t="s">
        <v>298</v>
      </c>
    </row>
    <row r="3978" spans="1:6" hidden="1" outlineLevel="1" collapsed="1" x14ac:dyDescent="0.25">
      <c r="A3978" s="321" t="s">
        <v>282</v>
      </c>
      <c r="B3978" s="321" t="s">
        <v>396</v>
      </c>
      <c r="C3978" s="293">
        <v>24.84</v>
      </c>
      <c r="D3978" s="293">
        <v>0</v>
      </c>
      <c r="E3978" s="293">
        <v>-24.84</v>
      </c>
      <c r="F3978" s="294" t="s">
        <v>286</v>
      </c>
    </row>
    <row r="3979" spans="1:6" hidden="1" outlineLevel="1" collapsed="1" x14ac:dyDescent="0.25">
      <c r="A3979" s="321" t="s">
        <v>282</v>
      </c>
      <c r="B3979" s="321" t="s">
        <v>397</v>
      </c>
      <c r="C3979" s="293">
        <v>0</v>
      </c>
      <c r="D3979" s="293">
        <v>24.24</v>
      </c>
      <c r="E3979" s="293">
        <v>24.24</v>
      </c>
      <c r="F3979" s="294" t="s">
        <v>298</v>
      </c>
    </row>
    <row r="3980" spans="1:6" hidden="1" outlineLevel="1" collapsed="1" x14ac:dyDescent="0.25">
      <c r="A3980" s="321" t="s">
        <v>282</v>
      </c>
      <c r="B3980" s="321" t="s">
        <v>761</v>
      </c>
      <c r="C3980" s="293">
        <v>49.68</v>
      </c>
      <c r="D3980" s="293">
        <v>0</v>
      </c>
      <c r="E3980" s="293">
        <v>-49.68</v>
      </c>
      <c r="F3980" s="294" t="s">
        <v>286</v>
      </c>
    </row>
    <row r="3981" spans="1:6" hidden="1" outlineLevel="1" collapsed="1" x14ac:dyDescent="0.25">
      <c r="A3981" s="321" t="s">
        <v>282</v>
      </c>
      <c r="B3981" s="321" t="s">
        <v>762</v>
      </c>
      <c r="C3981" s="293">
        <v>0</v>
      </c>
      <c r="D3981" s="293">
        <v>48.48</v>
      </c>
      <c r="E3981" s="293">
        <v>48.48</v>
      </c>
      <c r="F3981" s="294" t="s">
        <v>298</v>
      </c>
    </row>
    <row r="3982" spans="1:6" hidden="1" outlineLevel="1" collapsed="1" x14ac:dyDescent="0.25">
      <c r="A3982" s="321" t="s">
        <v>282</v>
      </c>
      <c r="B3982" s="321" t="s">
        <v>398</v>
      </c>
      <c r="C3982" s="293">
        <v>12</v>
      </c>
      <c r="D3982" s="293">
        <v>5.52</v>
      </c>
      <c r="E3982" s="293">
        <v>-6.48</v>
      </c>
      <c r="F3982" s="294" t="s">
        <v>374</v>
      </c>
    </row>
    <row r="3983" spans="1:6" hidden="1" outlineLevel="1" collapsed="1" x14ac:dyDescent="0.25">
      <c r="A3983" s="321" t="s">
        <v>282</v>
      </c>
      <c r="B3983" s="321" t="s">
        <v>763</v>
      </c>
      <c r="C3983" s="293">
        <v>24</v>
      </c>
      <c r="D3983" s="293">
        <v>11.04</v>
      </c>
      <c r="E3983" s="293">
        <v>-12.96</v>
      </c>
      <c r="F3983" s="294" t="s">
        <v>374</v>
      </c>
    </row>
    <row r="3984" spans="1:6" hidden="1" outlineLevel="1" collapsed="1" x14ac:dyDescent="0.25">
      <c r="A3984" s="321" t="s">
        <v>282</v>
      </c>
      <c r="B3984" s="321" t="s">
        <v>375</v>
      </c>
      <c r="C3984" s="293">
        <v>600</v>
      </c>
      <c r="D3984" s="293">
        <v>0</v>
      </c>
      <c r="E3984" s="293">
        <v>-600</v>
      </c>
      <c r="F3984" s="294" t="s">
        <v>286</v>
      </c>
    </row>
    <row r="3985" spans="1:6" hidden="1" outlineLevel="1" collapsed="1" x14ac:dyDescent="0.25">
      <c r="A3985" s="321" t="s">
        <v>282</v>
      </c>
      <c r="B3985" s="321" t="s">
        <v>376</v>
      </c>
      <c r="C3985" s="293">
        <v>1500</v>
      </c>
      <c r="D3985" s="293">
        <v>1000</v>
      </c>
      <c r="E3985" s="293">
        <v>-500</v>
      </c>
      <c r="F3985" s="294" t="s">
        <v>858</v>
      </c>
    </row>
    <row r="3986" spans="1:6" hidden="1" outlineLevel="1" collapsed="1" x14ac:dyDescent="0.25">
      <c r="A3986" s="321" t="s">
        <v>282</v>
      </c>
      <c r="B3986" s="321" t="s">
        <v>506</v>
      </c>
      <c r="C3986" s="293">
        <v>1000</v>
      </c>
      <c r="D3986" s="293">
        <v>1000</v>
      </c>
      <c r="E3986" s="293">
        <v>0</v>
      </c>
      <c r="F3986" s="294" t="s">
        <v>316</v>
      </c>
    </row>
    <row r="3987" spans="1:6" hidden="1" outlineLevel="1" collapsed="1" x14ac:dyDescent="0.25">
      <c r="A3987" s="321" t="s">
        <v>282</v>
      </c>
      <c r="B3987" s="321" t="s">
        <v>426</v>
      </c>
      <c r="C3987" s="293">
        <v>1950</v>
      </c>
      <c r="D3987" s="293">
        <v>1825</v>
      </c>
      <c r="E3987" s="293">
        <v>-125</v>
      </c>
      <c r="F3987" s="294" t="s">
        <v>1554</v>
      </c>
    </row>
    <row r="3988" spans="1:6" hidden="1" outlineLevel="1" collapsed="1" x14ac:dyDescent="0.25">
      <c r="A3988" s="321" t="s">
        <v>282</v>
      </c>
      <c r="B3988" s="321" t="s">
        <v>482</v>
      </c>
      <c r="C3988" s="293">
        <v>0</v>
      </c>
      <c r="D3988" s="293">
        <v>200</v>
      </c>
      <c r="E3988" s="293">
        <v>200</v>
      </c>
      <c r="F3988" s="294" t="s">
        <v>298</v>
      </c>
    </row>
    <row r="3989" spans="1:6" hidden="1" outlineLevel="1" collapsed="1" x14ac:dyDescent="0.25">
      <c r="A3989" s="321" t="s">
        <v>282</v>
      </c>
      <c r="B3989" s="321" t="s">
        <v>597</v>
      </c>
      <c r="C3989" s="293">
        <v>225</v>
      </c>
      <c r="D3989" s="293">
        <v>200</v>
      </c>
      <c r="E3989" s="293">
        <v>-25</v>
      </c>
      <c r="F3989" s="294" t="s">
        <v>1555</v>
      </c>
    </row>
    <row r="3990" spans="1:6" hidden="1" outlineLevel="1" collapsed="1" x14ac:dyDescent="0.25">
      <c r="A3990" s="321" t="s">
        <v>282</v>
      </c>
      <c r="B3990" s="321" t="s">
        <v>448</v>
      </c>
      <c r="C3990" s="293">
        <v>3175</v>
      </c>
      <c r="D3990" s="293">
        <v>4225</v>
      </c>
      <c r="E3990" s="293">
        <v>1050</v>
      </c>
      <c r="F3990" s="294" t="s">
        <v>1556</v>
      </c>
    </row>
    <row r="3991" spans="1:6" hidden="1" outlineLevel="1" collapsed="1" x14ac:dyDescent="0.25">
      <c r="A3991" s="321" t="s">
        <v>282</v>
      </c>
      <c r="B3991" s="321" t="s">
        <v>405</v>
      </c>
      <c r="C3991" s="293">
        <v>0</v>
      </c>
      <c r="D3991" s="293">
        <v>4400</v>
      </c>
      <c r="E3991" s="293">
        <v>4400</v>
      </c>
      <c r="F3991" s="294" t="s">
        <v>298</v>
      </c>
    </row>
    <row r="3992" spans="1:6" collapsed="1" x14ac:dyDescent="0.25">
      <c r="A3992" s="560" t="s">
        <v>1557</v>
      </c>
      <c r="B3992" s="561"/>
      <c r="C3992" s="292">
        <v>177986.9087</v>
      </c>
      <c r="D3992" s="293">
        <v>218049.55681899999</v>
      </c>
      <c r="E3992" s="293">
        <v>40062.648118999998</v>
      </c>
      <c r="F3992" s="294" t="s">
        <v>2259</v>
      </c>
    </row>
    <row r="3993" spans="1:6" hidden="1" outlineLevel="1" collapsed="1" x14ac:dyDescent="0.25">
      <c r="A3993" s="321" t="s">
        <v>282</v>
      </c>
      <c r="B3993" s="321" t="s">
        <v>750</v>
      </c>
      <c r="C3993" s="293">
        <v>84031.999991999997</v>
      </c>
      <c r="D3993" s="293">
        <v>87712.239996000004</v>
      </c>
      <c r="E3993" s="293">
        <v>3680.2400040000002</v>
      </c>
      <c r="F3993" s="294" t="s">
        <v>978</v>
      </c>
    </row>
    <row r="3994" spans="1:6" hidden="1" outlineLevel="1" collapsed="1" x14ac:dyDescent="0.25">
      <c r="A3994" s="321" t="s">
        <v>282</v>
      </c>
      <c r="B3994" s="321" t="s">
        <v>464</v>
      </c>
      <c r="C3994" s="293">
        <v>0</v>
      </c>
      <c r="D3994" s="293">
        <v>60701.776471999998</v>
      </c>
      <c r="E3994" s="293">
        <v>60701.776471999998</v>
      </c>
      <c r="F3994" s="294" t="s">
        <v>298</v>
      </c>
    </row>
    <row r="3995" spans="1:6" hidden="1" outlineLevel="1" collapsed="1" x14ac:dyDescent="0.25">
      <c r="A3995" s="321" t="s">
        <v>282</v>
      </c>
      <c r="B3995" s="321" t="s">
        <v>380</v>
      </c>
      <c r="C3995" s="293">
        <v>39296.243840000003</v>
      </c>
      <c r="D3995" s="293">
        <v>0</v>
      </c>
      <c r="E3995" s="293">
        <v>-39296.243840000003</v>
      </c>
      <c r="F3995" s="294" t="s">
        <v>286</v>
      </c>
    </row>
    <row r="3996" spans="1:6" hidden="1" outlineLevel="1" collapsed="1" x14ac:dyDescent="0.25">
      <c r="A3996" s="321" t="s">
        <v>282</v>
      </c>
      <c r="B3996" s="321" t="s">
        <v>751</v>
      </c>
      <c r="C3996" s="293">
        <v>10966.175988000001</v>
      </c>
      <c r="D3996" s="293">
        <v>0</v>
      </c>
      <c r="E3996" s="293">
        <v>-10966.175988000001</v>
      </c>
      <c r="F3996" s="294" t="s">
        <v>286</v>
      </c>
    </row>
    <row r="3997" spans="1:6" hidden="1" outlineLevel="1" collapsed="1" x14ac:dyDescent="0.25">
      <c r="A3997" s="321" t="s">
        <v>282</v>
      </c>
      <c r="B3997" s="321" t="s">
        <v>752</v>
      </c>
      <c r="C3997" s="293">
        <v>0</v>
      </c>
      <c r="D3997" s="293">
        <v>12656.87622</v>
      </c>
      <c r="E3997" s="293">
        <v>12656.87622</v>
      </c>
      <c r="F3997" s="294" t="s">
        <v>298</v>
      </c>
    </row>
    <row r="3998" spans="1:6" hidden="1" outlineLevel="1" collapsed="1" x14ac:dyDescent="0.25">
      <c r="A3998" s="321" t="s">
        <v>282</v>
      </c>
      <c r="B3998" s="321" t="s">
        <v>384</v>
      </c>
      <c r="C3998" s="293">
        <v>4876.3741360000004</v>
      </c>
      <c r="D3998" s="293">
        <v>0</v>
      </c>
      <c r="E3998" s="293">
        <v>-4876.3741360000004</v>
      </c>
      <c r="F3998" s="294" t="s">
        <v>286</v>
      </c>
    </row>
    <row r="3999" spans="1:6" hidden="1" outlineLevel="1" collapsed="1" x14ac:dyDescent="0.25">
      <c r="A3999" s="321" t="s">
        <v>282</v>
      </c>
      <c r="B3999" s="321" t="s">
        <v>385</v>
      </c>
      <c r="C3999" s="293">
        <v>0</v>
      </c>
      <c r="D3999" s="293">
        <v>9303.3449039999996</v>
      </c>
      <c r="E3999" s="293">
        <v>9303.3449039999996</v>
      </c>
      <c r="F3999" s="294" t="s">
        <v>298</v>
      </c>
    </row>
    <row r="4000" spans="1:6" hidden="1" outlineLevel="1" collapsed="1" x14ac:dyDescent="0.25">
      <c r="A4000" s="321" t="s">
        <v>282</v>
      </c>
      <c r="B4000" s="321" t="s">
        <v>386</v>
      </c>
      <c r="C4000" s="293">
        <v>2436.3671119999999</v>
      </c>
      <c r="D4000" s="293">
        <v>0</v>
      </c>
      <c r="E4000" s="293">
        <v>-2436.3671119999999</v>
      </c>
      <c r="F4000" s="294" t="s">
        <v>286</v>
      </c>
    </row>
    <row r="4001" spans="1:6" hidden="1" outlineLevel="1" collapsed="1" x14ac:dyDescent="0.25">
      <c r="A4001" s="321" t="s">
        <v>282</v>
      </c>
      <c r="B4001" s="321" t="s">
        <v>387</v>
      </c>
      <c r="C4001" s="293">
        <v>0</v>
      </c>
      <c r="D4001" s="293">
        <v>3763.510139</v>
      </c>
      <c r="E4001" s="293">
        <v>3763.510139</v>
      </c>
      <c r="F4001" s="294" t="s">
        <v>298</v>
      </c>
    </row>
    <row r="4002" spans="1:6" hidden="1" outlineLevel="1" collapsed="1" x14ac:dyDescent="0.25">
      <c r="A4002" s="321" t="s">
        <v>282</v>
      </c>
      <c r="B4002" s="321" t="s">
        <v>753</v>
      </c>
      <c r="C4002" s="293">
        <v>5209.9839959999999</v>
      </c>
      <c r="D4002" s="293">
        <v>5438.158872</v>
      </c>
      <c r="E4002" s="293">
        <v>228.17487600000001</v>
      </c>
      <c r="F4002" s="294" t="s">
        <v>978</v>
      </c>
    </row>
    <row r="4003" spans="1:6" hidden="1" outlineLevel="1" collapsed="1" x14ac:dyDescent="0.25">
      <c r="A4003" s="321" t="s">
        <v>282</v>
      </c>
      <c r="B4003" s="321" t="s">
        <v>388</v>
      </c>
      <c r="C4003" s="293">
        <v>1788.2595200000001</v>
      </c>
      <c r="D4003" s="293">
        <v>2152.003224</v>
      </c>
      <c r="E4003" s="293">
        <v>363.74370399999998</v>
      </c>
      <c r="F4003" s="294" t="s">
        <v>1559</v>
      </c>
    </row>
    <row r="4004" spans="1:6" hidden="1" outlineLevel="1" collapsed="1" x14ac:dyDescent="0.25">
      <c r="A4004" s="321" t="s">
        <v>282</v>
      </c>
      <c r="B4004" s="321" t="s">
        <v>389</v>
      </c>
      <c r="C4004" s="293">
        <v>284.08319999999998</v>
      </c>
      <c r="D4004" s="293">
        <v>422.04</v>
      </c>
      <c r="E4004" s="293">
        <v>137.95679999999999</v>
      </c>
      <c r="F4004" s="294" t="s">
        <v>1560</v>
      </c>
    </row>
    <row r="4005" spans="1:6" hidden="1" outlineLevel="1" collapsed="1" x14ac:dyDescent="0.25">
      <c r="A4005" s="321" t="s">
        <v>282</v>
      </c>
      <c r="B4005" s="321" t="s">
        <v>390</v>
      </c>
      <c r="C4005" s="293">
        <v>10239.040000000001</v>
      </c>
      <c r="D4005" s="293">
        <v>15959.28</v>
      </c>
      <c r="E4005" s="293">
        <v>5720.24</v>
      </c>
      <c r="F4005" s="294" t="s">
        <v>1561</v>
      </c>
    </row>
    <row r="4006" spans="1:6" hidden="1" outlineLevel="1" collapsed="1" x14ac:dyDescent="0.25">
      <c r="A4006" s="321" t="s">
        <v>282</v>
      </c>
      <c r="B4006" s="321" t="s">
        <v>392</v>
      </c>
      <c r="C4006" s="293">
        <v>155.69280000000001</v>
      </c>
      <c r="D4006" s="293">
        <v>182.88</v>
      </c>
      <c r="E4006" s="293">
        <v>27.187200000000001</v>
      </c>
      <c r="F4006" s="294" t="s">
        <v>888</v>
      </c>
    </row>
    <row r="4007" spans="1:6" hidden="1" outlineLevel="1" collapsed="1" x14ac:dyDescent="0.25">
      <c r="A4007" s="321" t="s">
        <v>282</v>
      </c>
      <c r="B4007" s="321" t="s">
        <v>754</v>
      </c>
      <c r="C4007" s="293">
        <v>15358.56</v>
      </c>
      <c r="D4007" s="293">
        <v>15959.28</v>
      </c>
      <c r="E4007" s="293">
        <v>600.72</v>
      </c>
      <c r="F4007" s="294" t="s">
        <v>366</v>
      </c>
    </row>
    <row r="4008" spans="1:6" hidden="1" outlineLevel="1" collapsed="1" x14ac:dyDescent="0.25">
      <c r="A4008" s="321" t="s">
        <v>282</v>
      </c>
      <c r="B4008" s="321" t="s">
        <v>755</v>
      </c>
      <c r="C4008" s="293">
        <v>426.12479999999999</v>
      </c>
      <c r="D4008" s="293">
        <v>422.04</v>
      </c>
      <c r="E4008" s="293">
        <v>-4.0848000000000004</v>
      </c>
      <c r="F4008" s="294" t="s">
        <v>364</v>
      </c>
    </row>
    <row r="4009" spans="1:6" hidden="1" outlineLevel="1" collapsed="1" x14ac:dyDescent="0.25">
      <c r="A4009" s="321" t="s">
        <v>282</v>
      </c>
      <c r="B4009" s="321" t="s">
        <v>756</v>
      </c>
      <c r="C4009" s="293">
        <v>233.53919999999999</v>
      </c>
      <c r="D4009" s="293">
        <v>182.88</v>
      </c>
      <c r="E4009" s="293">
        <v>-50.659199999999998</v>
      </c>
      <c r="F4009" s="294" t="s">
        <v>368</v>
      </c>
    </row>
    <row r="4010" spans="1:6" hidden="1" outlineLevel="1" collapsed="1" x14ac:dyDescent="0.25">
      <c r="A4010" s="321" t="s">
        <v>282</v>
      </c>
      <c r="B4010" s="321" t="s">
        <v>393</v>
      </c>
      <c r="C4010" s="293">
        <v>19.648119999999999</v>
      </c>
      <c r="D4010" s="293">
        <v>30.35088</v>
      </c>
      <c r="E4010" s="293">
        <v>10.70276</v>
      </c>
      <c r="F4010" s="294" t="s">
        <v>1562</v>
      </c>
    </row>
    <row r="4011" spans="1:6" hidden="1" outlineLevel="1" collapsed="1" x14ac:dyDescent="0.25">
      <c r="A4011" s="321" t="s">
        <v>282</v>
      </c>
      <c r="B4011" s="321" t="s">
        <v>757</v>
      </c>
      <c r="C4011" s="293">
        <v>42.015996000000001</v>
      </c>
      <c r="D4011" s="293">
        <v>0</v>
      </c>
      <c r="E4011" s="293">
        <v>-42.015996000000001</v>
      </c>
      <c r="F4011" s="294" t="s">
        <v>286</v>
      </c>
    </row>
    <row r="4012" spans="1:6" hidden="1" outlineLevel="1" collapsed="1" x14ac:dyDescent="0.25">
      <c r="A4012" s="321" t="s">
        <v>282</v>
      </c>
      <c r="B4012" s="321" t="s">
        <v>758</v>
      </c>
      <c r="C4012" s="293">
        <v>0</v>
      </c>
      <c r="D4012" s="293">
        <v>43.856112000000003</v>
      </c>
      <c r="E4012" s="293">
        <v>43.856112000000003</v>
      </c>
      <c r="F4012" s="294" t="s">
        <v>298</v>
      </c>
    </row>
    <row r="4013" spans="1:6" hidden="1" outlineLevel="1" collapsed="1" x14ac:dyDescent="0.25">
      <c r="A4013" s="321" t="s">
        <v>282</v>
      </c>
      <c r="B4013" s="321" t="s">
        <v>394</v>
      </c>
      <c r="C4013" s="293">
        <v>1000</v>
      </c>
      <c r="D4013" s="293">
        <v>0</v>
      </c>
      <c r="E4013" s="293">
        <v>-1000</v>
      </c>
      <c r="F4013" s="294" t="s">
        <v>286</v>
      </c>
    </row>
    <row r="4014" spans="1:6" hidden="1" outlineLevel="1" collapsed="1" x14ac:dyDescent="0.25">
      <c r="A4014" s="321" t="s">
        <v>282</v>
      </c>
      <c r="B4014" s="321" t="s">
        <v>395</v>
      </c>
      <c r="C4014" s="293">
        <v>0</v>
      </c>
      <c r="D4014" s="293">
        <v>1500</v>
      </c>
      <c r="E4014" s="293">
        <v>1500</v>
      </c>
      <c r="F4014" s="294" t="s">
        <v>298</v>
      </c>
    </row>
    <row r="4015" spans="1:6" hidden="1" outlineLevel="1" collapsed="1" x14ac:dyDescent="0.25">
      <c r="A4015" s="321" t="s">
        <v>282</v>
      </c>
      <c r="B4015" s="321" t="s">
        <v>759</v>
      </c>
      <c r="C4015" s="293">
        <v>1500</v>
      </c>
      <c r="D4015" s="293">
        <v>0</v>
      </c>
      <c r="E4015" s="293">
        <v>-1500</v>
      </c>
      <c r="F4015" s="294" t="s">
        <v>286</v>
      </c>
    </row>
    <row r="4016" spans="1:6" hidden="1" outlineLevel="1" collapsed="1" x14ac:dyDescent="0.25">
      <c r="A4016" s="321" t="s">
        <v>282</v>
      </c>
      <c r="B4016" s="321" t="s">
        <v>760</v>
      </c>
      <c r="C4016" s="293">
        <v>0</v>
      </c>
      <c r="D4016" s="293">
        <v>1500</v>
      </c>
      <c r="E4016" s="293">
        <v>1500</v>
      </c>
      <c r="F4016" s="294" t="s">
        <v>298</v>
      </c>
    </row>
    <row r="4017" spans="1:6" hidden="1" outlineLevel="1" collapsed="1" x14ac:dyDescent="0.25">
      <c r="A4017" s="321" t="s">
        <v>282</v>
      </c>
      <c r="B4017" s="321" t="s">
        <v>396</v>
      </c>
      <c r="C4017" s="293">
        <v>33.119999999999997</v>
      </c>
      <c r="D4017" s="293">
        <v>0</v>
      </c>
      <c r="E4017" s="293">
        <v>-33.119999999999997</v>
      </c>
      <c r="F4017" s="294" t="s">
        <v>286</v>
      </c>
    </row>
    <row r="4018" spans="1:6" hidden="1" outlineLevel="1" collapsed="1" x14ac:dyDescent="0.25">
      <c r="A4018" s="321" t="s">
        <v>282</v>
      </c>
      <c r="B4018" s="321" t="s">
        <v>397</v>
      </c>
      <c r="C4018" s="293">
        <v>0</v>
      </c>
      <c r="D4018" s="293">
        <v>48.48</v>
      </c>
      <c r="E4018" s="293">
        <v>48.48</v>
      </c>
      <c r="F4018" s="294" t="s">
        <v>298</v>
      </c>
    </row>
    <row r="4019" spans="1:6" hidden="1" outlineLevel="1" collapsed="1" x14ac:dyDescent="0.25">
      <c r="A4019" s="321" t="s">
        <v>282</v>
      </c>
      <c r="B4019" s="321" t="s">
        <v>761</v>
      </c>
      <c r="C4019" s="293">
        <v>49.68</v>
      </c>
      <c r="D4019" s="293">
        <v>0</v>
      </c>
      <c r="E4019" s="293">
        <v>-49.68</v>
      </c>
      <c r="F4019" s="294" t="s">
        <v>286</v>
      </c>
    </row>
    <row r="4020" spans="1:6" hidden="1" outlineLevel="1" collapsed="1" x14ac:dyDescent="0.25">
      <c r="A4020" s="321" t="s">
        <v>282</v>
      </c>
      <c r="B4020" s="321" t="s">
        <v>762</v>
      </c>
      <c r="C4020" s="293">
        <v>0</v>
      </c>
      <c r="D4020" s="293">
        <v>48.48</v>
      </c>
      <c r="E4020" s="293">
        <v>48.48</v>
      </c>
      <c r="F4020" s="294" t="s">
        <v>298</v>
      </c>
    </row>
    <row r="4021" spans="1:6" hidden="1" outlineLevel="1" collapsed="1" x14ac:dyDescent="0.25">
      <c r="A4021" s="321" t="s">
        <v>282</v>
      </c>
      <c r="B4021" s="321" t="s">
        <v>398</v>
      </c>
      <c r="C4021" s="293">
        <v>16</v>
      </c>
      <c r="D4021" s="293">
        <v>11.04</v>
      </c>
      <c r="E4021" s="293">
        <v>-4.96</v>
      </c>
      <c r="F4021" s="294" t="s">
        <v>1563</v>
      </c>
    </row>
    <row r="4022" spans="1:6" hidden="1" outlineLevel="1" collapsed="1" x14ac:dyDescent="0.25">
      <c r="A4022" s="321" t="s">
        <v>282</v>
      </c>
      <c r="B4022" s="321" t="s">
        <v>763</v>
      </c>
      <c r="C4022" s="293">
        <v>24</v>
      </c>
      <c r="D4022" s="293">
        <v>11.04</v>
      </c>
      <c r="E4022" s="293">
        <v>-12.96</v>
      </c>
      <c r="F4022" s="294" t="s">
        <v>374</v>
      </c>
    </row>
    <row r="4023" spans="1:6" collapsed="1" x14ac:dyDescent="0.25">
      <c r="A4023" s="560" t="s">
        <v>1564</v>
      </c>
      <c r="B4023" s="561"/>
      <c r="C4023" s="292">
        <v>150151.42497600001</v>
      </c>
      <c r="D4023" s="293">
        <v>154265.65849199999</v>
      </c>
      <c r="E4023" s="293">
        <v>4114.2335160000002</v>
      </c>
      <c r="F4023" s="294" t="s">
        <v>1358</v>
      </c>
    </row>
    <row r="4024" spans="1:6" hidden="1" outlineLevel="1" collapsed="1" x14ac:dyDescent="0.25">
      <c r="A4024" s="321" t="s">
        <v>282</v>
      </c>
      <c r="B4024" s="321" t="s">
        <v>780</v>
      </c>
      <c r="C4024" s="293">
        <v>116806.358076</v>
      </c>
      <c r="D4024" s="293">
        <v>118541.352636</v>
      </c>
      <c r="E4024" s="293">
        <v>1734.9945600000001</v>
      </c>
      <c r="F4024" s="294" t="s">
        <v>781</v>
      </c>
    </row>
    <row r="4025" spans="1:6" hidden="1" outlineLevel="1" collapsed="1" x14ac:dyDescent="0.25">
      <c r="A4025" s="321" t="s">
        <v>282</v>
      </c>
      <c r="B4025" s="321" t="s">
        <v>751</v>
      </c>
      <c r="C4025" s="293">
        <v>15094.459728</v>
      </c>
      <c r="D4025" s="293">
        <v>0</v>
      </c>
      <c r="E4025" s="293">
        <v>-15094.459728</v>
      </c>
      <c r="F4025" s="294" t="s">
        <v>286</v>
      </c>
    </row>
    <row r="4026" spans="1:6" hidden="1" outlineLevel="1" collapsed="1" x14ac:dyDescent="0.25">
      <c r="A4026" s="321" t="s">
        <v>282</v>
      </c>
      <c r="B4026" s="321" t="s">
        <v>752</v>
      </c>
      <c r="C4026" s="293">
        <v>0</v>
      </c>
      <c r="D4026" s="293">
        <v>16941.015179999999</v>
      </c>
      <c r="E4026" s="293">
        <v>16941.015179999999</v>
      </c>
      <c r="F4026" s="294" t="s">
        <v>298</v>
      </c>
    </row>
    <row r="4027" spans="1:6" hidden="1" outlineLevel="1" collapsed="1" x14ac:dyDescent="0.25">
      <c r="A4027" s="321" t="s">
        <v>282</v>
      </c>
      <c r="B4027" s="321" t="s">
        <v>754</v>
      </c>
      <c r="C4027" s="293">
        <v>15358.56</v>
      </c>
      <c r="D4027" s="293">
        <v>15959.28</v>
      </c>
      <c r="E4027" s="293">
        <v>600.72</v>
      </c>
      <c r="F4027" s="294" t="s">
        <v>366</v>
      </c>
    </row>
    <row r="4028" spans="1:6" hidden="1" outlineLevel="1" collapsed="1" x14ac:dyDescent="0.25">
      <c r="A4028" s="321" t="s">
        <v>282</v>
      </c>
      <c r="B4028" s="321" t="s">
        <v>755</v>
      </c>
      <c r="C4028" s="293">
        <v>426.12479999999999</v>
      </c>
      <c r="D4028" s="293">
        <v>422.04</v>
      </c>
      <c r="E4028" s="293">
        <v>-4.0848000000000004</v>
      </c>
      <c r="F4028" s="294" t="s">
        <v>364</v>
      </c>
    </row>
    <row r="4029" spans="1:6" hidden="1" outlineLevel="1" collapsed="1" x14ac:dyDescent="0.25">
      <c r="A4029" s="321" t="s">
        <v>282</v>
      </c>
      <c r="B4029" s="321" t="s">
        <v>756</v>
      </c>
      <c r="C4029" s="293">
        <v>233.53919999999999</v>
      </c>
      <c r="D4029" s="293">
        <v>182.88</v>
      </c>
      <c r="E4029" s="293">
        <v>-50.659199999999998</v>
      </c>
      <c r="F4029" s="294" t="s">
        <v>368</v>
      </c>
    </row>
    <row r="4030" spans="1:6" hidden="1" outlineLevel="1" collapsed="1" x14ac:dyDescent="0.25">
      <c r="A4030" s="321" t="s">
        <v>282</v>
      </c>
      <c r="B4030" s="321" t="s">
        <v>757</v>
      </c>
      <c r="C4030" s="293">
        <v>58.703172000000002</v>
      </c>
      <c r="D4030" s="293">
        <v>0</v>
      </c>
      <c r="E4030" s="293">
        <v>-58.703172000000002</v>
      </c>
      <c r="F4030" s="294" t="s">
        <v>286</v>
      </c>
    </row>
    <row r="4031" spans="1:6" hidden="1" outlineLevel="1" collapsed="1" x14ac:dyDescent="0.25">
      <c r="A4031" s="321" t="s">
        <v>282</v>
      </c>
      <c r="B4031" s="321" t="s">
        <v>758</v>
      </c>
      <c r="C4031" s="293">
        <v>0</v>
      </c>
      <c r="D4031" s="293">
        <v>59.570675999999999</v>
      </c>
      <c r="E4031" s="293">
        <v>59.570675999999999</v>
      </c>
      <c r="F4031" s="294" t="s">
        <v>298</v>
      </c>
    </row>
    <row r="4032" spans="1:6" hidden="1" outlineLevel="1" collapsed="1" x14ac:dyDescent="0.25">
      <c r="A4032" s="321" t="s">
        <v>282</v>
      </c>
      <c r="B4032" s="321" t="s">
        <v>759</v>
      </c>
      <c r="C4032" s="293">
        <v>1500</v>
      </c>
      <c r="D4032" s="293">
        <v>0</v>
      </c>
      <c r="E4032" s="293">
        <v>-1500</v>
      </c>
      <c r="F4032" s="294" t="s">
        <v>286</v>
      </c>
    </row>
    <row r="4033" spans="1:6" hidden="1" outlineLevel="1" collapsed="1" x14ac:dyDescent="0.25">
      <c r="A4033" s="321" t="s">
        <v>282</v>
      </c>
      <c r="B4033" s="321" t="s">
        <v>760</v>
      </c>
      <c r="C4033" s="293">
        <v>0</v>
      </c>
      <c r="D4033" s="293">
        <v>1500</v>
      </c>
      <c r="E4033" s="293">
        <v>1500</v>
      </c>
      <c r="F4033" s="294" t="s">
        <v>298</v>
      </c>
    </row>
    <row r="4034" spans="1:6" hidden="1" outlineLevel="1" collapsed="1" x14ac:dyDescent="0.25">
      <c r="A4034" s="321" t="s">
        <v>282</v>
      </c>
      <c r="B4034" s="321" t="s">
        <v>761</v>
      </c>
      <c r="C4034" s="293">
        <v>49.68</v>
      </c>
      <c r="D4034" s="293">
        <v>0</v>
      </c>
      <c r="E4034" s="293">
        <v>-49.68</v>
      </c>
      <c r="F4034" s="294" t="s">
        <v>286</v>
      </c>
    </row>
    <row r="4035" spans="1:6" hidden="1" outlineLevel="1" collapsed="1" x14ac:dyDescent="0.25">
      <c r="A4035" s="321" t="s">
        <v>282</v>
      </c>
      <c r="B4035" s="321" t="s">
        <v>762</v>
      </c>
      <c r="C4035" s="293">
        <v>0</v>
      </c>
      <c r="D4035" s="293">
        <v>48.48</v>
      </c>
      <c r="E4035" s="293">
        <v>48.48</v>
      </c>
      <c r="F4035" s="294" t="s">
        <v>298</v>
      </c>
    </row>
    <row r="4036" spans="1:6" hidden="1" outlineLevel="1" collapsed="1" x14ac:dyDescent="0.25">
      <c r="A4036" s="321" t="s">
        <v>282</v>
      </c>
      <c r="B4036" s="321" t="s">
        <v>763</v>
      </c>
      <c r="C4036" s="293">
        <v>24</v>
      </c>
      <c r="D4036" s="293">
        <v>11.04</v>
      </c>
      <c r="E4036" s="293">
        <v>-12.96</v>
      </c>
      <c r="F4036" s="294" t="s">
        <v>374</v>
      </c>
    </row>
    <row r="4037" spans="1:6" hidden="1" outlineLevel="1" collapsed="1" x14ac:dyDescent="0.25">
      <c r="A4037" s="321" t="s">
        <v>282</v>
      </c>
      <c r="B4037" s="321" t="s">
        <v>707</v>
      </c>
      <c r="C4037" s="293">
        <v>600</v>
      </c>
      <c r="D4037" s="293">
        <v>600</v>
      </c>
      <c r="E4037" s="293">
        <v>0</v>
      </c>
      <c r="F4037" s="294" t="s">
        <v>316</v>
      </c>
    </row>
    <row r="4038" spans="1:6" collapsed="1" x14ac:dyDescent="0.25">
      <c r="A4038" s="560" t="s">
        <v>327</v>
      </c>
      <c r="B4038" s="561"/>
      <c r="C4038" s="292">
        <v>97101</v>
      </c>
      <c r="D4038" s="293">
        <v>95901</v>
      </c>
      <c r="E4038" s="293">
        <v>-1200</v>
      </c>
      <c r="F4038" s="294" t="s">
        <v>1565</v>
      </c>
    </row>
    <row r="4039" spans="1:6" hidden="1" outlineLevel="1" collapsed="1" x14ac:dyDescent="0.25">
      <c r="A4039" s="321" t="s">
        <v>282</v>
      </c>
      <c r="B4039" s="321" t="s">
        <v>441</v>
      </c>
      <c r="C4039" s="293">
        <v>63588</v>
      </c>
      <c r="D4039" s="293">
        <v>53000</v>
      </c>
      <c r="E4039" s="293">
        <v>-10588</v>
      </c>
      <c r="F4039" s="294" t="s">
        <v>1566</v>
      </c>
    </row>
    <row r="4040" spans="1:6" hidden="1" outlineLevel="1" collapsed="1" x14ac:dyDescent="0.25">
      <c r="A4040" s="321" t="s">
        <v>282</v>
      </c>
      <c r="B4040" s="321" t="s">
        <v>945</v>
      </c>
      <c r="C4040" s="293">
        <v>16590.59</v>
      </c>
      <c r="D4040" s="293">
        <v>32600</v>
      </c>
      <c r="E4040" s="293">
        <v>16009.41</v>
      </c>
      <c r="F4040" s="294" t="s">
        <v>2260</v>
      </c>
    </row>
    <row r="4041" spans="1:6" hidden="1" outlineLevel="1" collapsed="1" x14ac:dyDescent="0.25">
      <c r="A4041" s="321" t="s">
        <v>282</v>
      </c>
      <c r="B4041" s="321" t="s">
        <v>799</v>
      </c>
      <c r="C4041" s="293">
        <v>2761.5</v>
      </c>
      <c r="D4041" s="293">
        <v>0</v>
      </c>
      <c r="E4041" s="293">
        <v>-2761.5</v>
      </c>
      <c r="F4041" s="294" t="s">
        <v>286</v>
      </c>
    </row>
    <row r="4042" spans="1:6" hidden="1" outlineLevel="1" collapsed="1" x14ac:dyDescent="0.25">
      <c r="A4042" s="321" t="s">
        <v>282</v>
      </c>
      <c r="B4042" s="321" t="s">
        <v>444</v>
      </c>
      <c r="C4042" s="293">
        <v>9060</v>
      </c>
      <c r="D4042" s="293">
        <v>5000</v>
      </c>
      <c r="E4042" s="293">
        <v>-4060</v>
      </c>
      <c r="F4042" s="294" t="s">
        <v>1568</v>
      </c>
    </row>
    <row r="4043" spans="1:6" hidden="1" outlineLevel="1" collapsed="1" x14ac:dyDescent="0.25">
      <c r="A4043" s="321" t="s">
        <v>282</v>
      </c>
      <c r="B4043" s="321" t="s">
        <v>376</v>
      </c>
      <c r="C4043" s="293">
        <v>4559.91</v>
      </c>
      <c r="D4043" s="293">
        <v>5101</v>
      </c>
      <c r="E4043" s="293">
        <v>541.09</v>
      </c>
      <c r="F4043" s="294" t="s">
        <v>2261</v>
      </c>
    </row>
    <row r="4044" spans="1:6" hidden="1" outlineLevel="1" collapsed="1" x14ac:dyDescent="0.25">
      <c r="A4044" s="321" t="s">
        <v>282</v>
      </c>
      <c r="B4044" s="321" t="s">
        <v>662</v>
      </c>
      <c r="C4044" s="293">
        <v>0</v>
      </c>
      <c r="D4044" s="293">
        <v>0</v>
      </c>
      <c r="E4044" s="293">
        <v>0</v>
      </c>
      <c r="F4044" s="294" t="s">
        <v>316</v>
      </c>
    </row>
    <row r="4045" spans="1:6" hidden="1" outlineLevel="1" collapsed="1" x14ac:dyDescent="0.25">
      <c r="A4045" s="321" t="s">
        <v>282</v>
      </c>
      <c r="B4045" s="321" t="s">
        <v>482</v>
      </c>
      <c r="C4045" s="293">
        <v>0</v>
      </c>
      <c r="D4045" s="293">
        <v>200</v>
      </c>
      <c r="E4045" s="293">
        <v>200</v>
      </c>
      <c r="F4045" s="294" t="s">
        <v>298</v>
      </c>
    </row>
    <row r="4046" spans="1:6" hidden="1" outlineLevel="1" collapsed="1" x14ac:dyDescent="0.25">
      <c r="A4046" s="321" t="s">
        <v>282</v>
      </c>
      <c r="B4046" s="321" t="s">
        <v>597</v>
      </c>
      <c r="C4046" s="293">
        <v>281</v>
      </c>
      <c r="D4046" s="293">
        <v>0</v>
      </c>
      <c r="E4046" s="293">
        <v>-281</v>
      </c>
      <c r="F4046" s="294" t="s">
        <v>286</v>
      </c>
    </row>
    <row r="4047" spans="1:6" hidden="1" outlineLevel="1" collapsed="1" x14ac:dyDescent="0.25">
      <c r="A4047" s="321" t="s">
        <v>282</v>
      </c>
      <c r="B4047" s="321" t="s">
        <v>416</v>
      </c>
      <c r="C4047" s="293">
        <v>60</v>
      </c>
      <c r="D4047" s="293">
        <v>0</v>
      </c>
      <c r="E4047" s="293">
        <v>-60</v>
      </c>
      <c r="F4047" s="294" t="s">
        <v>286</v>
      </c>
    </row>
    <row r="4048" spans="1:6" hidden="1" outlineLevel="1" collapsed="1" x14ac:dyDescent="0.25">
      <c r="A4048" s="321" t="s">
        <v>282</v>
      </c>
      <c r="B4048" s="321" t="s">
        <v>403</v>
      </c>
      <c r="C4048" s="293">
        <v>200</v>
      </c>
      <c r="D4048" s="293">
        <v>0</v>
      </c>
      <c r="E4048" s="293">
        <v>-200</v>
      </c>
      <c r="F4048" s="294" t="s">
        <v>286</v>
      </c>
    </row>
    <row r="4049" spans="1:6" collapsed="1" x14ac:dyDescent="0.25">
      <c r="A4049" s="560" t="s">
        <v>1570</v>
      </c>
      <c r="B4049" s="561"/>
      <c r="C4049" s="292">
        <v>677522.08695200004</v>
      </c>
      <c r="D4049" s="293">
        <v>712129.48440399999</v>
      </c>
      <c r="E4049" s="293">
        <v>34607.397451999997</v>
      </c>
      <c r="F4049" s="294" t="s">
        <v>1792</v>
      </c>
    </row>
    <row r="4050" spans="1:6" hidden="1" outlineLevel="1" collapsed="1" x14ac:dyDescent="0.25">
      <c r="A4050" s="321" t="s">
        <v>282</v>
      </c>
      <c r="B4050" s="321" t="s">
        <v>780</v>
      </c>
      <c r="C4050" s="293">
        <v>431689.81630800001</v>
      </c>
      <c r="D4050" s="293">
        <v>438148.06029599998</v>
      </c>
      <c r="E4050" s="293">
        <v>6458.2439880000002</v>
      </c>
      <c r="F4050" s="294" t="s">
        <v>510</v>
      </c>
    </row>
    <row r="4051" spans="1:6" hidden="1" outlineLevel="1" collapsed="1" x14ac:dyDescent="0.25">
      <c r="A4051" s="321" t="s">
        <v>282</v>
      </c>
      <c r="B4051" s="321" t="s">
        <v>464</v>
      </c>
      <c r="C4051" s="293">
        <v>92127.891401999994</v>
      </c>
      <c r="D4051" s="293">
        <v>105332.87193199999</v>
      </c>
      <c r="E4051" s="293">
        <v>13204.980530000001</v>
      </c>
      <c r="F4051" s="294" t="s">
        <v>1572</v>
      </c>
    </row>
    <row r="4052" spans="1:6" hidden="1" outlineLevel="1" collapsed="1" x14ac:dyDescent="0.25">
      <c r="A4052" s="321" t="s">
        <v>282</v>
      </c>
      <c r="B4052" s="321" t="s">
        <v>475</v>
      </c>
      <c r="C4052" s="293">
        <v>300</v>
      </c>
      <c r="D4052" s="293">
        <v>0</v>
      </c>
      <c r="E4052" s="293">
        <v>-300</v>
      </c>
      <c r="F4052" s="294" t="s">
        <v>286</v>
      </c>
    </row>
    <row r="4053" spans="1:6" hidden="1" outlineLevel="1" collapsed="1" x14ac:dyDescent="0.25">
      <c r="A4053" s="321" t="s">
        <v>282</v>
      </c>
      <c r="B4053" s="321" t="s">
        <v>751</v>
      </c>
      <c r="C4053" s="293">
        <v>38712.824639999999</v>
      </c>
      <c r="D4053" s="293">
        <v>0</v>
      </c>
      <c r="E4053" s="293">
        <v>-38712.824639999999</v>
      </c>
      <c r="F4053" s="294" t="s">
        <v>286</v>
      </c>
    </row>
    <row r="4054" spans="1:6" hidden="1" outlineLevel="1" collapsed="1" x14ac:dyDescent="0.25">
      <c r="A4054" s="321" t="s">
        <v>282</v>
      </c>
      <c r="B4054" s="321" t="s">
        <v>752</v>
      </c>
      <c r="C4054" s="293">
        <v>0</v>
      </c>
      <c r="D4054" s="293">
        <v>43448.693255999999</v>
      </c>
      <c r="E4054" s="293">
        <v>43448.693255999999</v>
      </c>
      <c r="F4054" s="294" t="s">
        <v>298</v>
      </c>
    </row>
    <row r="4055" spans="1:6" hidden="1" outlineLevel="1" collapsed="1" x14ac:dyDescent="0.25">
      <c r="A4055" s="321" t="s">
        <v>282</v>
      </c>
      <c r="B4055" s="321" t="s">
        <v>384</v>
      </c>
      <c r="C4055" s="293">
        <v>28295.905962000001</v>
      </c>
      <c r="D4055" s="293">
        <v>0</v>
      </c>
      <c r="E4055" s="293">
        <v>-28295.905962000001</v>
      </c>
      <c r="F4055" s="294" t="s">
        <v>286</v>
      </c>
    </row>
    <row r="4056" spans="1:6" hidden="1" outlineLevel="1" collapsed="1" x14ac:dyDescent="0.25">
      <c r="A4056" s="321" t="s">
        <v>282</v>
      </c>
      <c r="B4056" s="321" t="s">
        <v>385</v>
      </c>
      <c r="C4056" s="293">
        <v>0</v>
      </c>
      <c r="D4056" s="293">
        <v>37296.327716</v>
      </c>
      <c r="E4056" s="293">
        <v>37296.327716</v>
      </c>
      <c r="F4056" s="294" t="s">
        <v>298</v>
      </c>
    </row>
    <row r="4057" spans="1:6" hidden="1" outlineLevel="1" collapsed="1" x14ac:dyDescent="0.25">
      <c r="A4057" s="321" t="s">
        <v>282</v>
      </c>
      <c r="B4057" s="321" t="s">
        <v>386</v>
      </c>
      <c r="C4057" s="293">
        <v>5711.9292539999997</v>
      </c>
      <c r="D4057" s="293">
        <v>0</v>
      </c>
      <c r="E4057" s="293">
        <v>-5711.9292539999997</v>
      </c>
      <c r="F4057" s="294" t="s">
        <v>286</v>
      </c>
    </row>
    <row r="4058" spans="1:6" hidden="1" outlineLevel="1" collapsed="1" x14ac:dyDescent="0.25">
      <c r="A4058" s="321" t="s">
        <v>282</v>
      </c>
      <c r="B4058" s="321" t="s">
        <v>387</v>
      </c>
      <c r="C4058" s="293">
        <v>0</v>
      </c>
      <c r="D4058" s="293">
        <v>6530.6380479999998</v>
      </c>
      <c r="E4058" s="293">
        <v>6530.6380479999998</v>
      </c>
      <c r="F4058" s="294" t="s">
        <v>298</v>
      </c>
    </row>
    <row r="4059" spans="1:6" hidden="1" outlineLevel="1" collapsed="1" x14ac:dyDescent="0.25">
      <c r="A4059" s="321" t="s">
        <v>282</v>
      </c>
      <c r="B4059" s="321" t="s">
        <v>753</v>
      </c>
      <c r="C4059" s="293">
        <v>8338.9887720000006</v>
      </c>
      <c r="D4059" s="293">
        <v>8463.5155200000008</v>
      </c>
      <c r="E4059" s="293">
        <v>124.526748</v>
      </c>
      <c r="F4059" s="294" t="s">
        <v>781</v>
      </c>
    </row>
    <row r="4060" spans="1:6" hidden="1" outlineLevel="1" collapsed="1" x14ac:dyDescent="0.25">
      <c r="A4060" s="321" t="s">
        <v>282</v>
      </c>
      <c r="B4060" s="321" t="s">
        <v>388</v>
      </c>
      <c r="C4060" s="293">
        <v>3286.1017820000002</v>
      </c>
      <c r="D4060" s="293">
        <v>3506.6971880000001</v>
      </c>
      <c r="E4060" s="293">
        <v>220.595406</v>
      </c>
      <c r="F4060" s="294" t="s">
        <v>1573</v>
      </c>
    </row>
    <row r="4061" spans="1:6" hidden="1" outlineLevel="1" collapsed="1" x14ac:dyDescent="0.25">
      <c r="A4061" s="321" t="s">
        <v>282</v>
      </c>
      <c r="B4061" s="321" t="s">
        <v>389</v>
      </c>
      <c r="C4061" s="293">
        <v>852.24959999999999</v>
      </c>
      <c r="D4061" s="293">
        <v>844.08</v>
      </c>
      <c r="E4061" s="293">
        <v>-8.1696000000000009</v>
      </c>
      <c r="F4061" s="294" t="s">
        <v>364</v>
      </c>
    </row>
    <row r="4062" spans="1:6" hidden="1" outlineLevel="1" collapsed="1" x14ac:dyDescent="0.25">
      <c r="A4062" s="321" t="s">
        <v>282</v>
      </c>
      <c r="B4062" s="321" t="s">
        <v>390</v>
      </c>
      <c r="C4062" s="293">
        <v>30970.54</v>
      </c>
      <c r="D4062" s="293">
        <v>31918.560000000001</v>
      </c>
      <c r="E4062" s="293">
        <v>948.02</v>
      </c>
      <c r="F4062" s="294" t="s">
        <v>391</v>
      </c>
    </row>
    <row r="4063" spans="1:6" hidden="1" outlineLevel="1" collapsed="1" x14ac:dyDescent="0.25">
      <c r="A4063" s="321" t="s">
        <v>282</v>
      </c>
      <c r="B4063" s="321" t="s">
        <v>392</v>
      </c>
      <c r="C4063" s="293">
        <v>467.07839999999999</v>
      </c>
      <c r="D4063" s="293">
        <v>365.76</v>
      </c>
      <c r="E4063" s="293">
        <v>-101.3184</v>
      </c>
      <c r="F4063" s="294" t="s">
        <v>368</v>
      </c>
    </row>
    <row r="4064" spans="1:6" hidden="1" outlineLevel="1" collapsed="1" x14ac:dyDescent="0.25">
      <c r="A4064" s="321" t="s">
        <v>282</v>
      </c>
      <c r="B4064" s="321" t="s">
        <v>754</v>
      </c>
      <c r="C4064" s="293">
        <v>15358.56</v>
      </c>
      <c r="D4064" s="293">
        <v>15959.28</v>
      </c>
      <c r="E4064" s="293">
        <v>600.72</v>
      </c>
      <c r="F4064" s="294" t="s">
        <v>366</v>
      </c>
    </row>
    <row r="4065" spans="1:6" hidden="1" outlineLevel="1" collapsed="1" x14ac:dyDescent="0.25">
      <c r="A4065" s="321" t="s">
        <v>282</v>
      </c>
      <c r="B4065" s="321" t="s">
        <v>755</v>
      </c>
      <c r="C4065" s="293">
        <v>1278.3743999999999</v>
      </c>
      <c r="D4065" s="293">
        <v>1266.1199999999999</v>
      </c>
      <c r="E4065" s="293">
        <v>-12.2544</v>
      </c>
      <c r="F4065" s="294" t="s">
        <v>364</v>
      </c>
    </row>
    <row r="4066" spans="1:6" hidden="1" outlineLevel="1" collapsed="1" x14ac:dyDescent="0.25">
      <c r="A4066" s="321" t="s">
        <v>282</v>
      </c>
      <c r="B4066" s="321" t="s">
        <v>756</v>
      </c>
      <c r="C4066" s="293">
        <v>700.61760000000004</v>
      </c>
      <c r="D4066" s="293">
        <v>548.64</v>
      </c>
      <c r="E4066" s="293">
        <v>-151.9776</v>
      </c>
      <c r="F4066" s="294" t="s">
        <v>368</v>
      </c>
    </row>
    <row r="4067" spans="1:6" hidden="1" outlineLevel="1" collapsed="1" x14ac:dyDescent="0.25">
      <c r="A4067" s="321" t="s">
        <v>282</v>
      </c>
      <c r="B4067" s="321" t="s">
        <v>393</v>
      </c>
      <c r="C4067" s="293">
        <v>46.063932000000001</v>
      </c>
      <c r="D4067" s="293">
        <v>52.666432</v>
      </c>
      <c r="E4067" s="293">
        <v>6.6025</v>
      </c>
      <c r="F4067" s="294" t="s">
        <v>1572</v>
      </c>
    </row>
    <row r="4068" spans="1:6" hidden="1" outlineLevel="1" collapsed="1" x14ac:dyDescent="0.25">
      <c r="A4068" s="321" t="s">
        <v>282</v>
      </c>
      <c r="B4068" s="321" t="s">
        <v>757</v>
      </c>
      <c r="C4068" s="293">
        <v>216.7449</v>
      </c>
      <c r="D4068" s="293">
        <v>0</v>
      </c>
      <c r="E4068" s="293">
        <v>-216.7449</v>
      </c>
      <c r="F4068" s="294" t="s">
        <v>286</v>
      </c>
    </row>
    <row r="4069" spans="1:6" hidden="1" outlineLevel="1" collapsed="1" x14ac:dyDescent="0.25">
      <c r="A4069" s="321" t="s">
        <v>282</v>
      </c>
      <c r="B4069" s="321" t="s">
        <v>758</v>
      </c>
      <c r="C4069" s="293">
        <v>0</v>
      </c>
      <c r="D4069" s="293">
        <v>219.97401600000001</v>
      </c>
      <c r="E4069" s="293">
        <v>219.97401600000001</v>
      </c>
      <c r="F4069" s="294" t="s">
        <v>298</v>
      </c>
    </row>
    <row r="4070" spans="1:6" hidden="1" outlineLevel="1" collapsed="1" x14ac:dyDescent="0.25">
      <c r="A4070" s="321" t="s">
        <v>282</v>
      </c>
      <c r="B4070" s="321" t="s">
        <v>394</v>
      </c>
      <c r="C4070" s="293">
        <v>3000</v>
      </c>
      <c r="D4070" s="293">
        <v>0</v>
      </c>
      <c r="E4070" s="293">
        <v>-3000</v>
      </c>
      <c r="F4070" s="294" t="s">
        <v>286</v>
      </c>
    </row>
    <row r="4071" spans="1:6" hidden="1" outlineLevel="1" collapsed="1" x14ac:dyDescent="0.25">
      <c r="A4071" s="321" t="s">
        <v>282</v>
      </c>
      <c r="B4071" s="321" t="s">
        <v>395</v>
      </c>
      <c r="C4071" s="293">
        <v>0</v>
      </c>
      <c r="D4071" s="293">
        <v>3000</v>
      </c>
      <c r="E4071" s="293">
        <v>3000</v>
      </c>
      <c r="F4071" s="294" t="s">
        <v>298</v>
      </c>
    </row>
    <row r="4072" spans="1:6" hidden="1" outlineLevel="1" collapsed="1" x14ac:dyDescent="0.25">
      <c r="A4072" s="321" t="s">
        <v>282</v>
      </c>
      <c r="B4072" s="321" t="s">
        <v>759</v>
      </c>
      <c r="C4072" s="293">
        <v>4500</v>
      </c>
      <c r="D4072" s="293">
        <v>0</v>
      </c>
      <c r="E4072" s="293">
        <v>-4500</v>
      </c>
      <c r="F4072" s="294" t="s">
        <v>286</v>
      </c>
    </row>
    <row r="4073" spans="1:6" hidden="1" outlineLevel="1" collapsed="1" x14ac:dyDescent="0.25">
      <c r="A4073" s="321" t="s">
        <v>282</v>
      </c>
      <c r="B4073" s="321" t="s">
        <v>760</v>
      </c>
      <c r="C4073" s="293">
        <v>0</v>
      </c>
      <c r="D4073" s="293">
        <v>4500</v>
      </c>
      <c r="E4073" s="293">
        <v>4500</v>
      </c>
      <c r="F4073" s="294" t="s">
        <v>298</v>
      </c>
    </row>
    <row r="4074" spans="1:6" hidden="1" outlineLevel="1" collapsed="1" x14ac:dyDescent="0.25">
      <c r="A4074" s="321" t="s">
        <v>282</v>
      </c>
      <c r="B4074" s="321" t="s">
        <v>396</v>
      </c>
      <c r="C4074" s="293">
        <v>99.36</v>
      </c>
      <c r="D4074" s="293">
        <v>0</v>
      </c>
      <c r="E4074" s="293">
        <v>-99.36</v>
      </c>
      <c r="F4074" s="294" t="s">
        <v>286</v>
      </c>
    </row>
    <row r="4075" spans="1:6" hidden="1" outlineLevel="1" collapsed="1" x14ac:dyDescent="0.25">
      <c r="A4075" s="321" t="s">
        <v>282</v>
      </c>
      <c r="B4075" s="321" t="s">
        <v>397</v>
      </c>
      <c r="C4075" s="293">
        <v>0</v>
      </c>
      <c r="D4075" s="293">
        <v>96.96</v>
      </c>
      <c r="E4075" s="293">
        <v>96.96</v>
      </c>
      <c r="F4075" s="294" t="s">
        <v>298</v>
      </c>
    </row>
    <row r="4076" spans="1:6" hidden="1" outlineLevel="1" collapsed="1" x14ac:dyDescent="0.25">
      <c r="A4076" s="321" t="s">
        <v>282</v>
      </c>
      <c r="B4076" s="321" t="s">
        <v>761</v>
      </c>
      <c r="C4076" s="293">
        <v>149.04</v>
      </c>
      <c r="D4076" s="293">
        <v>0</v>
      </c>
      <c r="E4076" s="293">
        <v>-149.04</v>
      </c>
      <c r="F4076" s="294" t="s">
        <v>286</v>
      </c>
    </row>
    <row r="4077" spans="1:6" hidden="1" outlineLevel="1" collapsed="1" x14ac:dyDescent="0.25">
      <c r="A4077" s="321" t="s">
        <v>282</v>
      </c>
      <c r="B4077" s="321" t="s">
        <v>762</v>
      </c>
      <c r="C4077" s="293">
        <v>0</v>
      </c>
      <c r="D4077" s="293">
        <v>145.44</v>
      </c>
      <c r="E4077" s="293">
        <v>145.44</v>
      </c>
      <c r="F4077" s="294" t="s">
        <v>298</v>
      </c>
    </row>
    <row r="4078" spans="1:6" hidden="1" outlineLevel="1" collapsed="1" x14ac:dyDescent="0.25">
      <c r="A4078" s="321" t="s">
        <v>282</v>
      </c>
      <c r="B4078" s="321" t="s">
        <v>398</v>
      </c>
      <c r="C4078" s="293">
        <v>48</v>
      </c>
      <c r="D4078" s="293">
        <v>22.08</v>
      </c>
      <c r="E4078" s="293">
        <v>-25.92</v>
      </c>
      <c r="F4078" s="294" t="s">
        <v>374</v>
      </c>
    </row>
    <row r="4079" spans="1:6" hidden="1" outlineLevel="1" collapsed="1" x14ac:dyDescent="0.25">
      <c r="A4079" s="321" t="s">
        <v>282</v>
      </c>
      <c r="B4079" s="321" t="s">
        <v>763</v>
      </c>
      <c r="C4079" s="293">
        <v>72</v>
      </c>
      <c r="D4079" s="293">
        <v>33.119999999999997</v>
      </c>
      <c r="E4079" s="293">
        <v>-38.880000000000003</v>
      </c>
      <c r="F4079" s="294" t="s">
        <v>374</v>
      </c>
    </row>
    <row r="4080" spans="1:6" hidden="1" outlineLevel="1" collapsed="1" x14ac:dyDescent="0.25">
      <c r="A4080" s="321" t="s">
        <v>282</v>
      </c>
      <c r="B4080" s="321" t="s">
        <v>522</v>
      </c>
      <c r="C4080" s="293">
        <v>6000</v>
      </c>
      <c r="D4080" s="293">
        <v>6000</v>
      </c>
      <c r="E4080" s="293">
        <v>0</v>
      </c>
      <c r="F4080" s="294" t="s">
        <v>316</v>
      </c>
    </row>
    <row r="4081" spans="1:6" hidden="1" outlineLevel="1" collapsed="1" x14ac:dyDescent="0.25">
      <c r="A4081" s="321" t="s">
        <v>282</v>
      </c>
      <c r="B4081" s="321" t="s">
        <v>523</v>
      </c>
      <c r="C4081" s="293">
        <v>195</v>
      </c>
      <c r="D4081" s="293">
        <v>230</v>
      </c>
      <c r="E4081" s="293">
        <v>35</v>
      </c>
      <c r="F4081" s="294" t="s">
        <v>1574</v>
      </c>
    </row>
    <row r="4082" spans="1:6" hidden="1" outlineLevel="1" collapsed="1" x14ac:dyDescent="0.25">
      <c r="A4082" s="321" t="s">
        <v>282</v>
      </c>
      <c r="B4082" s="321" t="s">
        <v>376</v>
      </c>
      <c r="C4082" s="293">
        <v>700</v>
      </c>
      <c r="D4082" s="293">
        <v>500</v>
      </c>
      <c r="E4082" s="293">
        <v>-200</v>
      </c>
      <c r="F4082" s="294" t="s">
        <v>706</v>
      </c>
    </row>
    <row r="4083" spans="1:6" hidden="1" outlineLevel="1" collapsed="1" x14ac:dyDescent="0.25">
      <c r="A4083" s="321" t="s">
        <v>282</v>
      </c>
      <c r="B4083" s="321" t="s">
        <v>506</v>
      </c>
      <c r="C4083" s="293">
        <v>100</v>
      </c>
      <c r="D4083" s="293">
        <v>300</v>
      </c>
      <c r="E4083" s="293">
        <v>200</v>
      </c>
      <c r="F4083" s="294" t="s">
        <v>787</v>
      </c>
    </row>
    <row r="4084" spans="1:6" hidden="1" outlineLevel="1" collapsed="1" x14ac:dyDescent="0.25">
      <c r="A4084" s="321" t="s">
        <v>282</v>
      </c>
      <c r="B4084" s="321" t="s">
        <v>426</v>
      </c>
      <c r="C4084" s="293">
        <v>2205</v>
      </c>
      <c r="D4084" s="293">
        <v>1300</v>
      </c>
      <c r="E4084" s="293">
        <v>-905</v>
      </c>
      <c r="F4084" s="294" t="s">
        <v>1575</v>
      </c>
    </row>
    <row r="4085" spans="1:6" hidden="1" outlineLevel="1" collapsed="1" x14ac:dyDescent="0.25">
      <c r="A4085" s="321" t="s">
        <v>282</v>
      </c>
      <c r="B4085" s="321" t="s">
        <v>707</v>
      </c>
      <c r="C4085" s="293">
        <v>1800</v>
      </c>
      <c r="D4085" s="293">
        <v>1800</v>
      </c>
      <c r="E4085" s="293">
        <v>0</v>
      </c>
      <c r="F4085" s="294" t="s">
        <v>316</v>
      </c>
    </row>
    <row r="4086" spans="1:6" hidden="1" outlineLevel="1" collapsed="1" x14ac:dyDescent="0.25">
      <c r="A4086" s="321" t="s">
        <v>282</v>
      </c>
      <c r="B4086" s="321" t="s">
        <v>597</v>
      </c>
      <c r="C4086" s="293">
        <v>300</v>
      </c>
      <c r="D4086" s="293">
        <v>300</v>
      </c>
      <c r="E4086" s="293">
        <v>0</v>
      </c>
      <c r="F4086" s="294" t="s">
        <v>316</v>
      </c>
    </row>
    <row r="4087" spans="1:6" collapsed="1" x14ac:dyDescent="0.25">
      <c r="A4087" s="560" t="s">
        <v>1576</v>
      </c>
      <c r="B4087" s="561"/>
      <c r="C4087" s="292">
        <v>278299.26243399997</v>
      </c>
      <c r="D4087" s="293">
        <v>302761.63913299999</v>
      </c>
      <c r="E4087" s="293">
        <v>24462.376699</v>
      </c>
      <c r="F4087" s="294" t="s">
        <v>300</v>
      </c>
    </row>
    <row r="4088" spans="1:6" hidden="1" outlineLevel="1" collapsed="1" x14ac:dyDescent="0.25">
      <c r="A4088" s="321" t="s">
        <v>282</v>
      </c>
      <c r="B4088" s="321" t="s">
        <v>942</v>
      </c>
      <c r="C4088" s="293">
        <v>104917.50879599999</v>
      </c>
      <c r="D4088" s="293">
        <v>106491.270072</v>
      </c>
      <c r="E4088" s="293">
        <v>1573.761276</v>
      </c>
      <c r="F4088" s="294" t="s">
        <v>510</v>
      </c>
    </row>
    <row r="4089" spans="1:6" hidden="1" outlineLevel="1" collapsed="1" x14ac:dyDescent="0.25">
      <c r="A4089" s="321" t="s">
        <v>282</v>
      </c>
      <c r="B4089" s="321" t="s">
        <v>464</v>
      </c>
      <c r="C4089" s="293">
        <v>92245.585389</v>
      </c>
      <c r="D4089" s="293">
        <v>105231.112569</v>
      </c>
      <c r="E4089" s="293">
        <v>12985.527179999999</v>
      </c>
      <c r="F4089" s="294" t="s">
        <v>1578</v>
      </c>
    </row>
    <row r="4090" spans="1:6" hidden="1" outlineLevel="1" collapsed="1" x14ac:dyDescent="0.25">
      <c r="A4090" s="321" t="s">
        <v>282</v>
      </c>
      <c r="B4090" s="321" t="s">
        <v>384</v>
      </c>
      <c r="C4090" s="293">
        <v>24637.838050999999</v>
      </c>
      <c r="D4090" s="293">
        <v>0</v>
      </c>
      <c r="E4090" s="293">
        <v>-24637.838050999999</v>
      </c>
      <c r="F4090" s="294" t="s">
        <v>286</v>
      </c>
    </row>
    <row r="4091" spans="1:6" hidden="1" outlineLevel="1" collapsed="1" x14ac:dyDescent="0.25">
      <c r="A4091" s="321" t="s">
        <v>282</v>
      </c>
      <c r="B4091" s="321" t="s">
        <v>385</v>
      </c>
      <c r="C4091" s="293">
        <v>0</v>
      </c>
      <c r="D4091" s="293">
        <v>32678.553081999999</v>
      </c>
      <c r="E4091" s="293">
        <v>32678.553081999999</v>
      </c>
      <c r="F4091" s="294" t="s">
        <v>298</v>
      </c>
    </row>
    <row r="4092" spans="1:6" hidden="1" outlineLevel="1" collapsed="1" x14ac:dyDescent="0.25">
      <c r="A4092" s="321" t="s">
        <v>282</v>
      </c>
      <c r="B4092" s="321" t="s">
        <v>386</v>
      </c>
      <c r="C4092" s="293">
        <v>12261.311825000001</v>
      </c>
      <c r="D4092" s="293">
        <v>0</v>
      </c>
      <c r="E4092" s="293">
        <v>-12261.311825000001</v>
      </c>
      <c r="F4092" s="294" t="s">
        <v>286</v>
      </c>
    </row>
    <row r="4093" spans="1:6" hidden="1" outlineLevel="1" collapsed="1" x14ac:dyDescent="0.25">
      <c r="A4093" s="321" t="s">
        <v>282</v>
      </c>
      <c r="B4093" s="321" t="s">
        <v>387</v>
      </c>
      <c r="C4093" s="293">
        <v>0</v>
      </c>
      <c r="D4093" s="293">
        <v>13163.987703999999</v>
      </c>
      <c r="E4093" s="293">
        <v>13163.987703999999</v>
      </c>
      <c r="F4093" s="294" t="s">
        <v>298</v>
      </c>
    </row>
    <row r="4094" spans="1:6" hidden="1" outlineLevel="1" collapsed="1" x14ac:dyDescent="0.25">
      <c r="A4094" s="321" t="s">
        <v>282</v>
      </c>
      <c r="B4094" s="321" t="s">
        <v>388</v>
      </c>
      <c r="C4094" s="293">
        <v>2867.5648510000001</v>
      </c>
      <c r="D4094" s="293">
        <v>3078.674528</v>
      </c>
      <c r="E4094" s="293">
        <v>211.109677</v>
      </c>
      <c r="F4094" s="294" t="s">
        <v>1579</v>
      </c>
    </row>
    <row r="4095" spans="1:6" hidden="1" outlineLevel="1" collapsed="1" x14ac:dyDescent="0.25">
      <c r="A4095" s="321" t="s">
        <v>282</v>
      </c>
      <c r="B4095" s="321" t="s">
        <v>389</v>
      </c>
      <c r="C4095" s="293">
        <v>1278.3743999999999</v>
      </c>
      <c r="D4095" s="293">
        <v>1266.1199999999999</v>
      </c>
      <c r="E4095" s="293">
        <v>-12.2544</v>
      </c>
      <c r="F4095" s="294" t="s">
        <v>364</v>
      </c>
    </row>
    <row r="4096" spans="1:6" hidden="1" outlineLevel="1" collapsed="1" x14ac:dyDescent="0.25">
      <c r="A4096" s="321" t="s">
        <v>282</v>
      </c>
      <c r="B4096" s="321" t="s">
        <v>390</v>
      </c>
      <c r="C4096" s="293">
        <v>30970.54</v>
      </c>
      <c r="D4096" s="293">
        <v>31918.560000000001</v>
      </c>
      <c r="E4096" s="293">
        <v>948.02</v>
      </c>
      <c r="F4096" s="294" t="s">
        <v>391</v>
      </c>
    </row>
    <row r="4097" spans="1:6" hidden="1" outlineLevel="1" collapsed="1" x14ac:dyDescent="0.25">
      <c r="A4097" s="321" t="s">
        <v>282</v>
      </c>
      <c r="B4097" s="321" t="s">
        <v>392</v>
      </c>
      <c r="C4097" s="293">
        <v>700.61760000000004</v>
      </c>
      <c r="D4097" s="293">
        <v>548.64</v>
      </c>
      <c r="E4097" s="293">
        <v>-151.9776</v>
      </c>
      <c r="F4097" s="294" t="s">
        <v>368</v>
      </c>
    </row>
    <row r="4098" spans="1:6" hidden="1" outlineLevel="1" collapsed="1" x14ac:dyDescent="0.25">
      <c r="A4098" s="321" t="s">
        <v>282</v>
      </c>
      <c r="B4098" s="321" t="s">
        <v>393</v>
      </c>
      <c r="C4098" s="293">
        <v>98.881522000000004</v>
      </c>
      <c r="D4098" s="293">
        <v>106.16117800000001</v>
      </c>
      <c r="E4098" s="293">
        <v>7.2796560000000001</v>
      </c>
      <c r="F4098" s="294" t="s">
        <v>1579</v>
      </c>
    </row>
    <row r="4099" spans="1:6" hidden="1" outlineLevel="1" collapsed="1" x14ac:dyDescent="0.25">
      <c r="A4099" s="321" t="s">
        <v>282</v>
      </c>
      <c r="B4099" s="321" t="s">
        <v>394</v>
      </c>
      <c r="C4099" s="293">
        <v>4500</v>
      </c>
      <c r="D4099" s="293">
        <v>0</v>
      </c>
      <c r="E4099" s="293">
        <v>-4500</v>
      </c>
      <c r="F4099" s="294" t="s">
        <v>286</v>
      </c>
    </row>
    <row r="4100" spans="1:6" hidden="1" outlineLevel="1" collapsed="1" x14ac:dyDescent="0.25">
      <c r="A4100" s="321" t="s">
        <v>282</v>
      </c>
      <c r="B4100" s="321" t="s">
        <v>395</v>
      </c>
      <c r="C4100" s="293">
        <v>0</v>
      </c>
      <c r="D4100" s="293">
        <v>4500</v>
      </c>
      <c r="E4100" s="293">
        <v>4500</v>
      </c>
      <c r="F4100" s="294" t="s">
        <v>298</v>
      </c>
    </row>
    <row r="4101" spans="1:6" hidden="1" outlineLevel="1" collapsed="1" x14ac:dyDescent="0.25">
      <c r="A4101" s="321" t="s">
        <v>282</v>
      </c>
      <c r="B4101" s="321" t="s">
        <v>396</v>
      </c>
      <c r="C4101" s="293">
        <v>149.04</v>
      </c>
      <c r="D4101" s="293">
        <v>0</v>
      </c>
      <c r="E4101" s="293">
        <v>-149.04</v>
      </c>
      <c r="F4101" s="294" t="s">
        <v>286</v>
      </c>
    </row>
    <row r="4102" spans="1:6" hidden="1" outlineLevel="1" collapsed="1" x14ac:dyDescent="0.25">
      <c r="A4102" s="321" t="s">
        <v>282</v>
      </c>
      <c r="B4102" s="321" t="s">
        <v>397</v>
      </c>
      <c r="C4102" s="293">
        <v>0</v>
      </c>
      <c r="D4102" s="293">
        <v>145.44</v>
      </c>
      <c r="E4102" s="293">
        <v>145.44</v>
      </c>
      <c r="F4102" s="294" t="s">
        <v>298</v>
      </c>
    </row>
    <row r="4103" spans="1:6" hidden="1" outlineLevel="1" collapsed="1" x14ac:dyDescent="0.25">
      <c r="A4103" s="321" t="s">
        <v>282</v>
      </c>
      <c r="B4103" s="321" t="s">
        <v>398</v>
      </c>
      <c r="C4103" s="293">
        <v>72</v>
      </c>
      <c r="D4103" s="293">
        <v>33.119999999999997</v>
      </c>
      <c r="E4103" s="293">
        <v>-38.880000000000003</v>
      </c>
      <c r="F4103" s="294" t="s">
        <v>374</v>
      </c>
    </row>
    <row r="4104" spans="1:6" hidden="1" outlineLevel="1" collapsed="1" x14ac:dyDescent="0.25">
      <c r="A4104" s="321" t="s">
        <v>282</v>
      </c>
      <c r="B4104" s="321" t="s">
        <v>522</v>
      </c>
      <c r="C4104" s="293">
        <v>3000</v>
      </c>
      <c r="D4104" s="293">
        <v>3000</v>
      </c>
      <c r="E4104" s="293">
        <v>0</v>
      </c>
      <c r="F4104" s="294" t="s">
        <v>316</v>
      </c>
    </row>
    <row r="4105" spans="1:6" hidden="1" outlineLevel="1" collapsed="1" x14ac:dyDescent="0.25">
      <c r="A4105" s="321" t="s">
        <v>282</v>
      </c>
      <c r="B4105" s="321" t="s">
        <v>952</v>
      </c>
      <c r="C4105" s="293">
        <v>600</v>
      </c>
      <c r="D4105" s="293">
        <v>600</v>
      </c>
      <c r="E4105" s="293">
        <v>0</v>
      </c>
      <c r="F4105" s="294" t="s">
        <v>316</v>
      </c>
    </row>
    <row r="4106" spans="1:6" collapsed="1" x14ac:dyDescent="0.25">
      <c r="A4106" s="560" t="s">
        <v>329</v>
      </c>
      <c r="B4106" s="561"/>
      <c r="C4106" s="292">
        <v>1500</v>
      </c>
      <c r="D4106" s="293">
        <v>1500</v>
      </c>
      <c r="E4106" s="293">
        <v>0</v>
      </c>
      <c r="F4106" s="294" t="s">
        <v>316</v>
      </c>
    </row>
    <row r="4107" spans="1:6" hidden="1" outlineLevel="1" collapsed="1" x14ac:dyDescent="0.25">
      <c r="A4107" s="321" t="s">
        <v>282</v>
      </c>
      <c r="B4107" s="321" t="s">
        <v>376</v>
      </c>
      <c r="C4107" s="293">
        <v>500</v>
      </c>
      <c r="D4107" s="293">
        <v>500</v>
      </c>
      <c r="E4107" s="293">
        <v>0</v>
      </c>
      <c r="F4107" s="294" t="s">
        <v>316</v>
      </c>
    </row>
    <row r="4108" spans="1:6" hidden="1" outlineLevel="1" collapsed="1" x14ac:dyDescent="0.25">
      <c r="A4108" s="321" t="s">
        <v>282</v>
      </c>
      <c r="B4108" s="321" t="s">
        <v>828</v>
      </c>
      <c r="C4108" s="293">
        <v>700</v>
      </c>
      <c r="D4108" s="293">
        <v>0</v>
      </c>
      <c r="E4108" s="293">
        <v>-700</v>
      </c>
      <c r="F4108" s="294" t="s">
        <v>286</v>
      </c>
    </row>
    <row r="4109" spans="1:6" hidden="1" outlineLevel="1" collapsed="1" x14ac:dyDescent="0.25">
      <c r="A4109" s="321" t="s">
        <v>282</v>
      </c>
      <c r="B4109" s="321" t="s">
        <v>426</v>
      </c>
      <c r="C4109" s="293">
        <v>75</v>
      </c>
      <c r="D4109" s="293">
        <v>1000</v>
      </c>
      <c r="E4109" s="293">
        <v>925</v>
      </c>
      <c r="F4109" s="294" t="s">
        <v>1580</v>
      </c>
    </row>
    <row r="4110" spans="1:6" hidden="1" outlineLevel="1" collapsed="1" x14ac:dyDescent="0.25">
      <c r="A4110" s="321" t="s">
        <v>282</v>
      </c>
      <c r="B4110" s="321" t="s">
        <v>482</v>
      </c>
      <c r="C4110" s="293">
        <v>0</v>
      </c>
      <c r="D4110" s="293">
        <v>0</v>
      </c>
      <c r="E4110" s="293">
        <v>0</v>
      </c>
      <c r="F4110" s="294" t="s">
        <v>316</v>
      </c>
    </row>
    <row r="4111" spans="1:6" hidden="1" outlineLevel="1" collapsed="1" x14ac:dyDescent="0.25">
      <c r="A4111" s="321" t="s">
        <v>282</v>
      </c>
      <c r="B4111" s="321" t="s">
        <v>597</v>
      </c>
      <c r="C4111" s="293">
        <v>225</v>
      </c>
      <c r="D4111" s="293">
        <v>0</v>
      </c>
      <c r="E4111" s="293">
        <v>-225</v>
      </c>
      <c r="F4111" s="294" t="s">
        <v>286</v>
      </c>
    </row>
    <row r="4112" spans="1:6" collapsed="1" x14ac:dyDescent="0.25">
      <c r="A4112" s="560" t="s">
        <v>1581</v>
      </c>
      <c r="B4112" s="561"/>
      <c r="C4112" s="292">
        <v>8601</v>
      </c>
      <c r="D4112" s="293">
        <v>11581</v>
      </c>
      <c r="E4112" s="293">
        <v>2980</v>
      </c>
      <c r="F4112" s="294" t="s">
        <v>1582</v>
      </c>
    </row>
    <row r="4113" spans="1:6" hidden="1" outlineLevel="1" collapsed="1" x14ac:dyDescent="0.25">
      <c r="A4113" s="321" t="s">
        <v>282</v>
      </c>
      <c r="B4113" s="321" t="s">
        <v>475</v>
      </c>
      <c r="C4113" s="293">
        <v>0</v>
      </c>
      <c r="D4113" s="293">
        <v>400</v>
      </c>
      <c r="E4113" s="293">
        <v>400</v>
      </c>
      <c r="F4113" s="294" t="s">
        <v>298</v>
      </c>
    </row>
    <row r="4114" spans="1:6" hidden="1" outlineLevel="1" collapsed="1" x14ac:dyDescent="0.25">
      <c r="A4114" s="321" t="s">
        <v>282</v>
      </c>
      <c r="B4114" s="321" t="s">
        <v>387</v>
      </c>
      <c r="C4114" s="293">
        <v>0</v>
      </c>
      <c r="D4114" s="293">
        <v>36</v>
      </c>
      <c r="E4114" s="293">
        <v>36</v>
      </c>
      <c r="F4114" s="294" t="s">
        <v>298</v>
      </c>
    </row>
    <row r="4115" spans="1:6" hidden="1" outlineLevel="1" collapsed="1" x14ac:dyDescent="0.25">
      <c r="A4115" s="321" t="s">
        <v>282</v>
      </c>
      <c r="B4115" s="321" t="s">
        <v>828</v>
      </c>
      <c r="C4115" s="293">
        <v>155</v>
      </c>
      <c r="D4115" s="293">
        <v>0</v>
      </c>
      <c r="E4115" s="293">
        <v>-155</v>
      </c>
      <c r="F4115" s="294" t="s">
        <v>286</v>
      </c>
    </row>
    <row r="4116" spans="1:6" hidden="1" outlineLevel="1" collapsed="1" x14ac:dyDescent="0.25">
      <c r="A4116" s="321" t="s">
        <v>282</v>
      </c>
      <c r="B4116" s="321" t="s">
        <v>567</v>
      </c>
      <c r="C4116" s="293">
        <v>2300</v>
      </c>
      <c r="D4116" s="293">
        <v>2000</v>
      </c>
      <c r="E4116" s="293">
        <v>-300</v>
      </c>
      <c r="F4116" s="294" t="s">
        <v>667</v>
      </c>
    </row>
    <row r="4117" spans="1:6" hidden="1" outlineLevel="1" collapsed="1" x14ac:dyDescent="0.25">
      <c r="A4117" s="321" t="s">
        <v>282</v>
      </c>
      <c r="B4117" s="321" t="s">
        <v>416</v>
      </c>
      <c r="C4117" s="293">
        <v>6146</v>
      </c>
      <c r="D4117" s="293">
        <v>9145</v>
      </c>
      <c r="E4117" s="293">
        <v>2999</v>
      </c>
      <c r="F4117" s="294" t="s">
        <v>1583</v>
      </c>
    </row>
    <row r="4118" spans="1:6" collapsed="1" x14ac:dyDescent="0.25">
      <c r="A4118" s="560" t="s">
        <v>1584</v>
      </c>
      <c r="B4118" s="561"/>
      <c r="C4118" s="292">
        <v>136892.903964</v>
      </c>
      <c r="D4118" s="293">
        <v>145010.85338799999</v>
      </c>
      <c r="E4118" s="293">
        <v>8117.9494240000004</v>
      </c>
      <c r="F4118" s="294" t="s">
        <v>1585</v>
      </c>
    </row>
    <row r="4119" spans="1:6" hidden="1" outlineLevel="1" collapsed="1" x14ac:dyDescent="0.25">
      <c r="A4119" s="321" t="s">
        <v>282</v>
      </c>
      <c r="B4119" s="321" t="s">
        <v>750</v>
      </c>
      <c r="C4119" s="293">
        <v>98799.999995999999</v>
      </c>
      <c r="D4119" s="293">
        <v>101970.959988</v>
      </c>
      <c r="E4119" s="293">
        <v>3170.9599920000001</v>
      </c>
      <c r="F4119" s="294" t="s">
        <v>359</v>
      </c>
    </row>
    <row r="4120" spans="1:6" hidden="1" outlineLevel="1" collapsed="1" x14ac:dyDescent="0.25">
      <c r="A4120" s="321" t="s">
        <v>282</v>
      </c>
      <c r="B4120" s="321" t="s">
        <v>751</v>
      </c>
      <c r="C4120" s="293">
        <v>12893.399987999999</v>
      </c>
      <c r="D4120" s="293">
        <v>0</v>
      </c>
      <c r="E4120" s="293">
        <v>-12893.399987999999</v>
      </c>
      <c r="F4120" s="294" t="s">
        <v>286</v>
      </c>
    </row>
    <row r="4121" spans="1:6" hidden="1" outlineLevel="1" collapsed="1" x14ac:dyDescent="0.25">
      <c r="A4121" s="321" t="s">
        <v>282</v>
      </c>
      <c r="B4121" s="321" t="s">
        <v>752</v>
      </c>
      <c r="C4121" s="293">
        <v>0</v>
      </c>
      <c r="D4121" s="293">
        <v>14714.409516</v>
      </c>
      <c r="E4121" s="293">
        <v>14714.409516</v>
      </c>
      <c r="F4121" s="294" t="s">
        <v>298</v>
      </c>
    </row>
    <row r="4122" spans="1:6" hidden="1" outlineLevel="1" collapsed="1" x14ac:dyDescent="0.25">
      <c r="A4122" s="321" t="s">
        <v>282</v>
      </c>
      <c r="B4122" s="321" t="s">
        <v>753</v>
      </c>
      <c r="C4122" s="293">
        <v>6125.5999920000004</v>
      </c>
      <c r="D4122" s="293">
        <v>6322.1995079999997</v>
      </c>
      <c r="E4122" s="293">
        <v>196.59951599999999</v>
      </c>
      <c r="F4122" s="294" t="s">
        <v>359</v>
      </c>
    </row>
    <row r="4123" spans="1:6" hidden="1" outlineLevel="1" collapsed="1" x14ac:dyDescent="0.25">
      <c r="A4123" s="321" t="s">
        <v>282</v>
      </c>
      <c r="B4123" s="321" t="s">
        <v>388</v>
      </c>
      <c r="C4123" s="293">
        <v>1432.5999959999999</v>
      </c>
      <c r="D4123" s="293">
        <v>1478.578908</v>
      </c>
      <c r="E4123" s="293">
        <v>45.978912000000001</v>
      </c>
      <c r="F4123" s="294" t="s">
        <v>359</v>
      </c>
    </row>
    <row r="4124" spans="1:6" hidden="1" outlineLevel="1" collapsed="1" x14ac:dyDescent="0.25">
      <c r="A4124" s="321" t="s">
        <v>282</v>
      </c>
      <c r="B4124" s="321" t="s">
        <v>754</v>
      </c>
      <c r="C4124" s="293">
        <v>15358.56</v>
      </c>
      <c r="D4124" s="293">
        <v>15959.28</v>
      </c>
      <c r="E4124" s="293">
        <v>600.72</v>
      </c>
      <c r="F4124" s="294" t="s">
        <v>366</v>
      </c>
    </row>
    <row r="4125" spans="1:6" hidden="1" outlineLevel="1" collapsed="1" x14ac:dyDescent="0.25">
      <c r="A4125" s="321" t="s">
        <v>282</v>
      </c>
      <c r="B4125" s="321" t="s">
        <v>755</v>
      </c>
      <c r="C4125" s="293">
        <v>426.12479999999999</v>
      </c>
      <c r="D4125" s="293">
        <v>422.04</v>
      </c>
      <c r="E4125" s="293">
        <v>-4.0848000000000004</v>
      </c>
      <c r="F4125" s="294" t="s">
        <v>364</v>
      </c>
    </row>
    <row r="4126" spans="1:6" hidden="1" outlineLevel="1" collapsed="1" x14ac:dyDescent="0.25">
      <c r="A4126" s="321" t="s">
        <v>282</v>
      </c>
      <c r="B4126" s="321" t="s">
        <v>756</v>
      </c>
      <c r="C4126" s="293">
        <v>233.53919999999999</v>
      </c>
      <c r="D4126" s="293">
        <v>182.88</v>
      </c>
      <c r="E4126" s="293">
        <v>-50.659199999999998</v>
      </c>
      <c r="F4126" s="294" t="s">
        <v>368</v>
      </c>
    </row>
    <row r="4127" spans="1:6" hidden="1" outlineLevel="1" collapsed="1" x14ac:dyDescent="0.25">
      <c r="A4127" s="321" t="s">
        <v>282</v>
      </c>
      <c r="B4127" s="321" t="s">
        <v>757</v>
      </c>
      <c r="C4127" s="293">
        <v>49.399991999999997</v>
      </c>
      <c r="D4127" s="293">
        <v>0</v>
      </c>
      <c r="E4127" s="293">
        <v>-49.399991999999997</v>
      </c>
      <c r="F4127" s="294" t="s">
        <v>286</v>
      </c>
    </row>
    <row r="4128" spans="1:6" hidden="1" outlineLevel="1" collapsed="1" x14ac:dyDescent="0.25">
      <c r="A4128" s="321" t="s">
        <v>282</v>
      </c>
      <c r="B4128" s="321" t="s">
        <v>758</v>
      </c>
      <c r="C4128" s="293">
        <v>0</v>
      </c>
      <c r="D4128" s="293">
        <v>50.985467999999997</v>
      </c>
      <c r="E4128" s="293">
        <v>50.985467999999997</v>
      </c>
      <c r="F4128" s="294" t="s">
        <v>298</v>
      </c>
    </row>
    <row r="4129" spans="1:6" hidden="1" outlineLevel="1" collapsed="1" x14ac:dyDescent="0.25">
      <c r="A4129" s="321" t="s">
        <v>282</v>
      </c>
      <c r="B4129" s="321" t="s">
        <v>759</v>
      </c>
      <c r="C4129" s="293">
        <v>1500</v>
      </c>
      <c r="D4129" s="293">
        <v>0</v>
      </c>
      <c r="E4129" s="293">
        <v>-1500</v>
      </c>
      <c r="F4129" s="294" t="s">
        <v>286</v>
      </c>
    </row>
    <row r="4130" spans="1:6" hidden="1" outlineLevel="1" collapsed="1" x14ac:dyDescent="0.25">
      <c r="A4130" s="321" t="s">
        <v>282</v>
      </c>
      <c r="B4130" s="321" t="s">
        <v>760</v>
      </c>
      <c r="C4130" s="293">
        <v>0</v>
      </c>
      <c r="D4130" s="293">
        <v>1500</v>
      </c>
      <c r="E4130" s="293">
        <v>1500</v>
      </c>
      <c r="F4130" s="294" t="s">
        <v>298</v>
      </c>
    </row>
    <row r="4131" spans="1:6" hidden="1" outlineLevel="1" collapsed="1" x14ac:dyDescent="0.25">
      <c r="A4131" s="321" t="s">
        <v>282</v>
      </c>
      <c r="B4131" s="321" t="s">
        <v>761</v>
      </c>
      <c r="C4131" s="293">
        <v>49.68</v>
      </c>
      <c r="D4131" s="293">
        <v>0</v>
      </c>
      <c r="E4131" s="293">
        <v>-49.68</v>
      </c>
      <c r="F4131" s="294" t="s">
        <v>286</v>
      </c>
    </row>
    <row r="4132" spans="1:6" hidden="1" outlineLevel="1" collapsed="1" x14ac:dyDescent="0.25">
      <c r="A4132" s="321" t="s">
        <v>282</v>
      </c>
      <c r="B4132" s="321" t="s">
        <v>762</v>
      </c>
      <c r="C4132" s="293">
        <v>0</v>
      </c>
      <c r="D4132" s="293">
        <v>48.48</v>
      </c>
      <c r="E4132" s="293">
        <v>48.48</v>
      </c>
      <c r="F4132" s="294" t="s">
        <v>298</v>
      </c>
    </row>
    <row r="4133" spans="1:6" hidden="1" outlineLevel="1" collapsed="1" x14ac:dyDescent="0.25">
      <c r="A4133" s="321" t="s">
        <v>282</v>
      </c>
      <c r="B4133" s="321" t="s">
        <v>763</v>
      </c>
      <c r="C4133" s="293">
        <v>24</v>
      </c>
      <c r="D4133" s="293">
        <v>11.04</v>
      </c>
      <c r="E4133" s="293">
        <v>-12.96</v>
      </c>
      <c r="F4133" s="294" t="s">
        <v>374</v>
      </c>
    </row>
    <row r="4134" spans="1:6" hidden="1" outlineLevel="1" collapsed="1" x14ac:dyDescent="0.25">
      <c r="A4134" s="321" t="s">
        <v>282</v>
      </c>
      <c r="B4134" s="321" t="s">
        <v>426</v>
      </c>
      <c r="C4134" s="293">
        <v>0</v>
      </c>
      <c r="D4134" s="293">
        <v>2000</v>
      </c>
      <c r="E4134" s="293">
        <v>2000</v>
      </c>
      <c r="F4134" s="294" t="s">
        <v>298</v>
      </c>
    </row>
    <row r="4135" spans="1:6" hidden="1" outlineLevel="1" collapsed="1" x14ac:dyDescent="0.25">
      <c r="A4135" s="321" t="s">
        <v>282</v>
      </c>
      <c r="B4135" s="321" t="s">
        <v>482</v>
      </c>
      <c r="C4135" s="293">
        <v>0</v>
      </c>
      <c r="D4135" s="293">
        <v>250</v>
      </c>
      <c r="E4135" s="293">
        <v>250</v>
      </c>
      <c r="F4135" s="294" t="s">
        <v>298</v>
      </c>
    </row>
    <row r="4136" spans="1:6" hidden="1" outlineLevel="1" collapsed="1" x14ac:dyDescent="0.25">
      <c r="A4136" s="321" t="s">
        <v>282</v>
      </c>
      <c r="B4136" s="321" t="s">
        <v>597</v>
      </c>
      <c r="C4136" s="293">
        <v>0</v>
      </c>
      <c r="D4136" s="293">
        <v>100</v>
      </c>
      <c r="E4136" s="293">
        <v>100</v>
      </c>
      <c r="F4136" s="294" t="s">
        <v>298</v>
      </c>
    </row>
    <row r="4137" spans="1:6" collapsed="1" x14ac:dyDescent="0.25">
      <c r="A4137" s="560" t="s">
        <v>331</v>
      </c>
      <c r="B4137" s="561"/>
      <c r="C4137" s="292">
        <v>551473.45207899995</v>
      </c>
      <c r="D4137" s="293">
        <v>556526.0625</v>
      </c>
      <c r="E4137" s="293">
        <v>5052.6104210000003</v>
      </c>
      <c r="F4137" s="294" t="s">
        <v>2262</v>
      </c>
    </row>
    <row r="4138" spans="1:6" hidden="1" outlineLevel="1" collapsed="1" x14ac:dyDescent="0.25">
      <c r="A4138" s="321" t="s">
        <v>282</v>
      </c>
      <c r="B4138" s="321" t="s">
        <v>464</v>
      </c>
      <c r="C4138" s="293">
        <v>156501.00893700001</v>
      </c>
      <c r="D4138" s="293">
        <v>161148.43176499999</v>
      </c>
      <c r="E4138" s="293">
        <v>4647.4228279999998</v>
      </c>
      <c r="F4138" s="294" t="s">
        <v>553</v>
      </c>
    </row>
    <row r="4139" spans="1:6" hidden="1" outlineLevel="1" collapsed="1" x14ac:dyDescent="0.25">
      <c r="A4139" s="321" t="s">
        <v>282</v>
      </c>
      <c r="B4139" s="321" t="s">
        <v>384</v>
      </c>
      <c r="C4139" s="293">
        <v>19343.134913999998</v>
      </c>
      <c r="D4139" s="293">
        <v>0</v>
      </c>
      <c r="E4139" s="293">
        <v>-19343.134913999998</v>
      </c>
      <c r="F4139" s="294" t="s">
        <v>286</v>
      </c>
    </row>
    <row r="4140" spans="1:6" hidden="1" outlineLevel="1" collapsed="1" x14ac:dyDescent="0.25">
      <c r="A4140" s="321" t="s">
        <v>282</v>
      </c>
      <c r="B4140" s="321" t="s">
        <v>385</v>
      </c>
      <c r="C4140" s="293">
        <v>0</v>
      </c>
      <c r="D4140" s="293">
        <v>24602.413537</v>
      </c>
      <c r="E4140" s="293">
        <v>24602.413537</v>
      </c>
      <c r="F4140" s="294" t="s">
        <v>298</v>
      </c>
    </row>
    <row r="4141" spans="1:6" hidden="1" outlineLevel="1" collapsed="1" x14ac:dyDescent="0.25">
      <c r="A4141" s="321" t="s">
        <v>282</v>
      </c>
      <c r="B4141" s="321" t="s">
        <v>386</v>
      </c>
      <c r="C4141" s="293">
        <v>9703.0625330000003</v>
      </c>
      <c r="D4141" s="293">
        <v>0</v>
      </c>
      <c r="E4141" s="293">
        <v>-9703.0625330000003</v>
      </c>
      <c r="F4141" s="294" t="s">
        <v>286</v>
      </c>
    </row>
    <row r="4142" spans="1:6" hidden="1" outlineLevel="1" collapsed="1" x14ac:dyDescent="0.25">
      <c r="A4142" s="321" t="s">
        <v>282</v>
      </c>
      <c r="B4142" s="321" t="s">
        <v>387</v>
      </c>
      <c r="C4142" s="293">
        <v>0</v>
      </c>
      <c r="D4142" s="293">
        <v>9991.2027620000008</v>
      </c>
      <c r="E4142" s="293">
        <v>9991.2027620000008</v>
      </c>
      <c r="F4142" s="294" t="s">
        <v>298</v>
      </c>
    </row>
    <row r="4143" spans="1:6" hidden="1" outlineLevel="1" collapsed="1" x14ac:dyDescent="0.25">
      <c r="A4143" s="321" t="s">
        <v>282</v>
      </c>
      <c r="B4143" s="321" t="s">
        <v>388</v>
      </c>
      <c r="C4143" s="293">
        <v>2269.2646030000001</v>
      </c>
      <c r="D4143" s="293">
        <v>2336.6522319999999</v>
      </c>
      <c r="E4143" s="293">
        <v>67.387629000000004</v>
      </c>
      <c r="F4143" s="294" t="s">
        <v>553</v>
      </c>
    </row>
    <row r="4144" spans="1:6" hidden="1" outlineLevel="1" collapsed="1" x14ac:dyDescent="0.25">
      <c r="A4144" s="321" t="s">
        <v>282</v>
      </c>
      <c r="B4144" s="321" t="s">
        <v>389</v>
      </c>
      <c r="C4144" s="293">
        <v>1235.7619199999999</v>
      </c>
      <c r="D4144" s="293">
        <v>1223.9159999999999</v>
      </c>
      <c r="E4144" s="293">
        <v>-11.84592</v>
      </c>
      <c r="F4144" s="294" t="s">
        <v>364</v>
      </c>
    </row>
    <row r="4145" spans="1:6" hidden="1" outlineLevel="1" collapsed="1" x14ac:dyDescent="0.25">
      <c r="A4145" s="321" t="s">
        <v>282</v>
      </c>
      <c r="B4145" s="321" t="s">
        <v>390</v>
      </c>
      <c r="C4145" s="293">
        <v>44907.283000000003</v>
      </c>
      <c r="D4145" s="293">
        <v>46281.911999999997</v>
      </c>
      <c r="E4145" s="293">
        <v>1374.6289999999999</v>
      </c>
      <c r="F4145" s="294" t="s">
        <v>391</v>
      </c>
    </row>
    <row r="4146" spans="1:6" hidden="1" outlineLevel="1" collapsed="1" x14ac:dyDescent="0.25">
      <c r="A4146" s="321" t="s">
        <v>282</v>
      </c>
      <c r="B4146" s="321" t="s">
        <v>392</v>
      </c>
      <c r="C4146" s="293">
        <v>677.26368000000002</v>
      </c>
      <c r="D4146" s="293">
        <v>530.35199999999998</v>
      </c>
      <c r="E4146" s="293">
        <v>-146.91167999999999</v>
      </c>
      <c r="F4146" s="294" t="s">
        <v>368</v>
      </c>
    </row>
    <row r="4147" spans="1:6" hidden="1" outlineLevel="1" collapsed="1" x14ac:dyDescent="0.25">
      <c r="A4147" s="321" t="s">
        <v>282</v>
      </c>
      <c r="B4147" s="321" t="s">
        <v>393</v>
      </c>
      <c r="C4147" s="293">
        <v>78.250491999999994</v>
      </c>
      <c r="D4147" s="293">
        <v>80.574203999999995</v>
      </c>
      <c r="E4147" s="293">
        <v>2.323712</v>
      </c>
      <c r="F4147" s="294" t="s">
        <v>553</v>
      </c>
    </row>
    <row r="4148" spans="1:6" hidden="1" outlineLevel="1" collapsed="1" x14ac:dyDescent="0.25">
      <c r="A4148" s="321" t="s">
        <v>282</v>
      </c>
      <c r="B4148" s="321" t="s">
        <v>394</v>
      </c>
      <c r="C4148" s="293">
        <v>4350</v>
      </c>
      <c r="D4148" s="293">
        <v>0</v>
      </c>
      <c r="E4148" s="293">
        <v>-4350</v>
      </c>
      <c r="F4148" s="294" t="s">
        <v>286</v>
      </c>
    </row>
    <row r="4149" spans="1:6" hidden="1" outlineLevel="1" collapsed="1" x14ac:dyDescent="0.25">
      <c r="A4149" s="321" t="s">
        <v>282</v>
      </c>
      <c r="B4149" s="321" t="s">
        <v>395</v>
      </c>
      <c r="C4149" s="293">
        <v>0</v>
      </c>
      <c r="D4149" s="293">
        <v>4350</v>
      </c>
      <c r="E4149" s="293">
        <v>4350</v>
      </c>
      <c r="F4149" s="294" t="s">
        <v>298</v>
      </c>
    </row>
    <row r="4150" spans="1:6" hidden="1" outlineLevel="1" collapsed="1" x14ac:dyDescent="0.25">
      <c r="A4150" s="321" t="s">
        <v>282</v>
      </c>
      <c r="B4150" s="321" t="s">
        <v>396</v>
      </c>
      <c r="C4150" s="293">
        <v>144.072</v>
      </c>
      <c r="D4150" s="293">
        <v>0</v>
      </c>
      <c r="E4150" s="293">
        <v>-144.072</v>
      </c>
      <c r="F4150" s="294" t="s">
        <v>286</v>
      </c>
    </row>
    <row r="4151" spans="1:6" hidden="1" outlineLevel="1" collapsed="1" x14ac:dyDescent="0.25">
      <c r="A4151" s="321" t="s">
        <v>282</v>
      </c>
      <c r="B4151" s="321" t="s">
        <v>397</v>
      </c>
      <c r="C4151" s="293">
        <v>0</v>
      </c>
      <c r="D4151" s="293">
        <v>140.59200000000001</v>
      </c>
      <c r="E4151" s="293">
        <v>140.59200000000001</v>
      </c>
      <c r="F4151" s="294" t="s">
        <v>298</v>
      </c>
    </row>
    <row r="4152" spans="1:6" hidden="1" outlineLevel="1" collapsed="1" x14ac:dyDescent="0.25">
      <c r="A4152" s="321" t="s">
        <v>282</v>
      </c>
      <c r="B4152" s="321" t="s">
        <v>398</v>
      </c>
      <c r="C4152" s="293">
        <v>69.599999999999994</v>
      </c>
      <c r="D4152" s="293">
        <v>32.015999999999998</v>
      </c>
      <c r="E4152" s="293">
        <v>-37.584000000000003</v>
      </c>
      <c r="F4152" s="294" t="s">
        <v>374</v>
      </c>
    </row>
    <row r="4153" spans="1:6" hidden="1" outlineLevel="1" collapsed="1" x14ac:dyDescent="0.25">
      <c r="A4153" s="321" t="s">
        <v>282</v>
      </c>
      <c r="B4153" s="321" t="s">
        <v>523</v>
      </c>
      <c r="C4153" s="293">
        <v>464</v>
      </c>
      <c r="D4153" s="293">
        <v>45</v>
      </c>
      <c r="E4153" s="293">
        <v>-419</v>
      </c>
      <c r="F4153" s="294" t="s">
        <v>1587</v>
      </c>
    </row>
    <row r="4154" spans="1:6" hidden="1" outlineLevel="1" collapsed="1" x14ac:dyDescent="0.25">
      <c r="A4154" s="321" t="s">
        <v>282</v>
      </c>
      <c r="B4154" s="321" t="s">
        <v>376</v>
      </c>
      <c r="C4154" s="293">
        <v>400</v>
      </c>
      <c r="D4154" s="293">
        <v>600</v>
      </c>
      <c r="E4154" s="293">
        <v>200</v>
      </c>
      <c r="F4154" s="294" t="s">
        <v>784</v>
      </c>
    </row>
    <row r="4155" spans="1:6" hidden="1" outlineLevel="1" collapsed="1" x14ac:dyDescent="0.25">
      <c r="A4155" s="321" t="s">
        <v>282</v>
      </c>
      <c r="B4155" s="321" t="s">
        <v>1046</v>
      </c>
      <c r="C4155" s="293">
        <v>33070</v>
      </c>
      <c r="D4155" s="293">
        <v>26750</v>
      </c>
      <c r="E4155" s="293">
        <v>-6320</v>
      </c>
      <c r="F4155" s="294" t="s">
        <v>2263</v>
      </c>
    </row>
    <row r="4156" spans="1:6" hidden="1" outlineLevel="1" collapsed="1" x14ac:dyDescent="0.25">
      <c r="A4156" s="321" t="s">
        <v>282</v>
      </c>
      <c r="B4156" s="321" t="s">
        <v>567</v>
      </c>
      <c r="C4156" s="293">
        <v>2100</v>
      </c>
      <c r="D4156" s="293">
        <v>6600</v>
      </c>
      <c r="E4156" s="293">
        <v>4500</v>
      </c>
      <c r="F4156" s="294" t="s">
        <v>1589</v>
      </c>
    </row>
    <row r="4157" spans="1:6" hidden="1" outlineLevel="1" collapsed="1" x14ac:dyDescent="0.25">
      <c r="A4157" s="321" t="s">
        <v>282</v>
      </c>
      <c r="B4157" s="321" t="s">
        <v>426</v>
      </c>
      <c r="C4157" s="293">
        <v>1280</v>
      </c>
      <c r="D4157" s="293">
        <v>1300</v>
      </c>
      <c r="E4157" s="293">
        <v>20</v>
      </c>
      <c r="F4157" s="294" t="s">
        <v>1590</v>
      </c>
    </row>
    <row r="4158" spans="1:6" hidden="1" outlineLevel="1" collapsed="1" x14ac:dyDescent="0.25">
      <c r="A4158" s="321" t="s">
        <v>282</v>
      </c>
      <c r="B4158" s="321" t="s">
        <v>597</v>
      </c>
      <c r="C4158" s="293">
        <v>270</v>
      </c>
      <c r="D4158" s="293">
        <v>400</v>
      </c>
      <c r="E4158" s="293">
        <v>130</v>
      </c>
      <c r="F4158" s="294" t="s">
        <v>1591</v>
      </c>
    </row>
    <row r="4159" spans="1:6" hidden="1" outlineLevel="1" collapsed="1" x14ac:dyDescent="0.25">
      <c r="A4159" s="321" t="s">
        <v>282</v>
      </c>
      <c r="B4159" s="321" t="s">
        <v>483</v>
      </c>
      <c r="C4159" s="293">
        <v>1700</v>
      </c>
      <c r="D4159" s="293">
        <v>1700</v>
      </c>
      <c r="E4159" s="293">
        <v>0</v>
      </c>
      <c r="F4159" s="294" t="s">
        <v>316</v>
      </c>
    </row>
    <row r="4160" spans="1:6" hidden="1" outlineLevel="1" collapsed="1" x14ac:dyDescent="0.25">
      <c r="A4160" s="321" t="s">
        <v>282</v>
      </c>
      <c r="B4160" s="321" t="s">
        <v>1167</v>
      </c>
      <c r="C4160" s="293">
        <v>2000</v>
      </c>
      <c r="D4160" s="293">
        <v>2000</v>
      </c>
      <c r="E4160" s="293">
        <v>0</v>
      </c>
      <c r="F4160" s="294" t="s">
        <v>316</v>
      </c>
    </row>
    <row r="4161" spans="1:6" hidden="1" outlineLevel="1" collapsed="1" x14ac:dyDescent="0.25">
      <c r="A4161" s="321" t="s">
        <v>282</v>
      </c>
      <c r="B4161" s="321" t="s">
        <v>416</v>
      </c>
      <c r="C4161" s="293">
        <v>7500</v>
      </c>
      <c r="D4161" s="293">
        <v>2500</v>
      </c>
      <c r="E4161" s="293">
        <v>-5000</v>
      </c>
      <c r="F4161" s="294" t="s">
        <v>1513</v>
      </c>
    </row>
    <row r="4162" spans="1:6" hidden="1" outlineLevel="1" collapsed="1" x14ac:dyDescent="0.25">
      <c r="A4162" s="321" t="s">
        <v>282</v>
      </c>
      <c r="B4162" s="321" t="s">
        <v>448</v>
      </c>
      <c r="C4162" s="293">
        <v>1431</v>
      </c>
      <c r="D4162" s="293">
        <v>600</v>
      </c>
      <c r="E4162" s="293">
        <v>-831</v>
      </c>
      <c r="F4162" s="294" t="s">
        <v>1592</v>
      </c>
    </row>
    <row r="4163" spans="1:6" hidden="1" outlineLevel="1" collapsed="1" x14ac:dyDescent="0.25">
      <c r="A4163" s="321" t="s">
        <v>282</v>
      </c>
      <c r="B4163" s="321" t="s">
        <v>884</v>
      </c>
      <c r="C4163" s="293">
        <v>32830</v>
      </c>
      <c r="D4163" s="293">
        <v>72787</v>
      </c>
      <c r="E4163" s="293">
        <v>39957</v>
      </c>
      <c r="F4163" s="294" t="s">
        <v>2264</v>
      </c>
    </row>
    <row r="4164" spans="1:6" hidden="1" outlineLevel="1" collapsed="1" x14ac:dyDescent="0.25">
      <c r="A4164" s="321" t="s">
        <v>282</v>
      </c>
      <c r="B4164" s="321" t="s">
        <v>1172</v>
      </c>
      <c r="C4164" s="293">
        <v>50265.32</v>
      </c>
      <c r="D4164" s="293">
        <v>67314</v>
      </c>
      <c r="E4164" s="293">
        <v>17048.68</v>
      </c>
      <c r="F4164" s="294" t="s">
        <v>2265</v>
      </c>
    </row>
    <row r="4165" spans="1:6" hidden="1" outlineLevel="1" collapsed="1" x14ac:dyDescent="0.25">
      <c r="A4165" s="321" t="s">
        <v>282</v>
      </c>
      <c r="B4165" s="321" t="s">
        <v>1595</v>
      </c>
      <c r="C4165" s="293">
        <v>41642</v>
      </c>
      <c r="D4165" s="293">
        <v>61387</v>
      </c>
      <c r="E4165" s="293">
        <v>19745</v>
      </c>
      <c r="F4165" s="294" t="s">
        <v>1596</v>
      </c>
    </row>
    <row r="4166" spans="1:6" hidden="1" outlineLevel="1" collapsed="1" x14ac:dyDescent="0.25">
      <c r="A4166" s="321" t="s">
        <v>282</v>
      </c>
      <c r="B4166" s="321" t="s">
        <v>403</v>
      </c>
      <c r="C4166" s="293">
        <v>120697</v>
      </c>
      <c r="D4166" s="293">
        <v>41800</v>
      </c>
      <c r="E4166" s="293">
        <v>-78897</v>
      </c>
      <c r="F4166" s="294" t="s">
        <v>2266</v>
      </c>
    </row>
    <row r="4167" spans="1:6" hidden="1" outlineLevel="1" collapsed="1" x14ac:dyDescent="0.25">
      <c r="A4167" s="321" t="s">
        <v>282</v>
      </c>
      <c r="B4167" s="321" t="s">
        <v>1054</v>
      </c>
      <c r="C4167" s="293">
        <v>0</v>
      </c>
      <c r="D4167" s="293">
        <v>7500</v>
      </c>
      <c r="E4167" s="293">
        <v>7500</v>
      </c>
      <c r="F4167" s="294" t="s">
        <v>298</v>
      </c>
    </row>
    <row r="4168" spans="1:6" hidden="1" outlineLevel="1" collapsed="1" x14ac:dyDescent="0.25">
      <c r="A4168" s="321" t="s">
        <v>282</v>
      </c>
      <c r="B4168" s="321" t="s">
        <v>405</v>
      </c>
      <c r="C4168" s="293">
        <v>4606.43</v>
      </c>
      <c r="D4168" s="293">
        <v>8025</v>
      </c>
      <c r="E4168" s="293">
        <v>3418.57</v>
      </c>
      <c r="F4168" s="294" t="s">
        <v>1598</v>
      </c>
    </row>
    <row r="4169" spans="1:6" hidden="1" outlineLevel="1" collapsed="1" x14ac:dyDescent="0.25">
      <c r="A4169" s="321" t="s">
        <v>282</v>
      </c>
      <c r="B4169" s="321" t="s">
        <v>831</v>
      </c>
      <c r="C4169" s="293">
        <v>11939</v>
      </c>
      <c r="D4169" s="293">
        <v>2000</v>
      </c>
      <c r="E4169" s="293">
        <v>-9939</v>
      </c>
      <c r="F4169" s="294" t="s">
        <v>1599</v>
      </c>
    </row>
    <row r="4170" spans="1:6" hidden="1" outlineLevel="1" collapsed="1" x14ac:dyDescent="0.25">
      <c r="A4170" s="321" t="s">
        <v>282</v>
      </c>
      <c r="B4170" s="321" t="s">
        <v>422</v>
      </c>
      <c r="C4170" s="293">
        <v>0</v>
      </c>
      <c r="D4170" s="293">
        <v>2500</v>
      </c>
      <c r="E4170" s="293">
        <v>2500</v>
      </c>
      <c r="F4170" s="294" t="s">
        <v>298</v>
      </c>
    </row>
    <row r="4171" spans="1:6" collapsed="1" x14ac:dyDescent="0.25">
      <c r="A4171" s="560" t="s">
        <v>1600</v>
      </c>
      <c r="B4171" s="561"/>
      <c r="C4171" s="292">
        <v>1163725.7610490001</v>
      </c>
      <c r="D4171" s="293">
        <v>1359389.4009710001</v>
      </c>
      <c r="E4171" s="293">
        <v>195663.639922</v>
      </c>
      <c r="F4171" s="294" t="s">
        <v>2267</v>
      </c>
    </row>
    <row r="4172" spans="1:6" hidden="1" outlineLevel="1" collapsed="1" x14ac:dyDescent="0.25">
      <c r="A4172" s="321" t="s">
        <v>282</v>
      </c>
      <c r="B4172" s="321" t="s">
        <v>874</v>
      </c>
      <c r="C4172" s="293">
        <v>57243.993780999997</v>
      </c>
      <c r="D4172" s="293">
        <v>58102.653473999999</v>
      </c>
      <c r="E4172" s="293">
        <v>858.65969299999995</v>
      </c>
      <c r="F4172" s="294" t="s">
        <v>510</v>
      </c>
    </row>
    <row r="4173" spans="1:6" hidden="1" outlineLevel="1" collapsed="1" x14ac:dyDescent="0.25">
      <c r="A4173" s="321" t="s">
        <v>282</v>
      </c>
      <c r="B4173" s="321" t="s">
        <v>464</v>
      </c>
      <c r="C4173" s="293">
        <v>566220.10774500004</v>
      </c>
      <c r="D4173" s="293">
        <v>683480.85828000004</v>
      </c>
      <c r="E4173" s="293">
        <v>117260.750535</v>
      </c>
      <c r="F4173" s="294" t="s">
        <v>2268</v>
      </c>
    </row>
    <row r="4174" spans="1:6" hidden="1" outlineLevel="1" collapsed="1" x14ac:dyDescent="0.25">
      <c r="A4174" s="321" t="s">
        <v>282</v>
      </c>
      <c r="B4174" s="321" t="s">
        <v>475</v>
      </c>
      <c r="C4174" s="293">
        <v>3850</v>
      </c>
      <c r="D4174" s="293">
        <v>3900</v>
      </c>
      <c r="E4174" s="293">
        <v>50</v>
      </c>
      <c r="F4174" s="294" t="s">
        <v>1601</v>
      </c>
    </row>
    <row r="4175" spans="1:6" hidden="1" outlineLevel="1" collapsed="1" x14ac:dyDescent="0.25">
      <c r="A4175" s="321" t="s">
        <v>282</v>
      </c>
      <c r="B4175" s="321" t="s">
        <v>799</v>
      </c>
      <c r="C4175" s="293">
        <v>5000</v>
      </c>
      <c r="D4175" s="293">
        <v>0</v>
      </c>
      <c r="E4175" s="293">
        <v>-5000</v>
      </c>
      <c r="F4175" s="294" t="s">
        <v>286</v>
      </c>
    </row>
    <row r="4176" spans="1:6" hidden="1" outlineLevel="1" collapsed="1" x14ac:dyDescent="0.25">
      <c r="A4176" s="321" t="s">
        <v>282</v>
      </c>
      <c r="B4176" s="321" t="s">
        <v>384</v>
      </c>
      <c r="C4176" s="293">
        <v>76669.099466999993</v>
      </c>
      <c r="D4176" s="293">
        <v>0</v>
      </c>
      <c r="E4176" s="293">
        <v>-76669.099466999993</v>
      </c>
      <c r="F4176" s="294" t="s">
        <v>286</v>
      </c>
    </row>
    <row r="4177" spans="1:6" hidden="1" outlineLevel="1" collapsed="1" x14ac:dyDescent="0.25">
      <c r="A4177" s="321" t="s">
        <v>282</v>
      </c>
      <c r="B4177" s="321" t="s">
        <v>385</v>
      </c>
      <c r="C4177" s="293">
        <v>0</v>
      </c>
      <c r="D4177" s="293">
        <v>113138.94149</v>
      </c>
      <c r="E4177" s="293">
        <v>113138.94149</v>
      </c>
      <c r="F4177" s="294" t="s">
        <v>298</v>
      </c>
    </row>
    <row r="4178" spans="1:6" hidden="1" outlineLevel="1" collapsed="1" x14ac:dyDescent="0.25">
      <c r="A4178" s="321" t="s">
        <v>282</v>
      </c>
      <c r="B4178" s="321" t="s">
        <v>386</v>
      </c>
      <c r="C4178" s="293">
        <v>38598.974217000003</v>
      </c>
      <c r="D4178" s="293">
        <v>0</v>
      </c>
      <c r="E4178" s="293">
        <v>-38598.974217000003</v>
      </c>
      <c r="F4178" s="294" t="s">
        <v>286</v>
      </c>
    </row>
    <row r="4179" spans="1:6" hidden="1" outlineLevel="1" collapsed="1" x14ac:dyDescent="0.25">
      <c r="A4179" s="321" t="s">
        <v>282</v>
      </c>
      <c r="B4179" s="321" t="s">
        <v>387</v>
      </c>
      <c r="C4179" s="293">
        <v>0</v>
      </c>
      <c r="D4179" s="293">
        <v>45978.177649999998</v>
      </c>
      <c r="E4179" s="293">
        <v>45978.177649999998</v>
      </c>
      <c r="F4179" s="294" t="s">
        <v>298</v>
      </c>
    </row>
    <row r="4180" spans="1:6" hidden="1" outlineLevel="1" collapsed="1" x14ac:dyDescent="0.25">
      <c r="A4180" s="321" t="s">
        <v>282</v>
      </c>
      <c r="B4180" s="321" t="s">
        <v>388</v>
      </c>
      <c r="C4180" s="293">
        <v>9027.1793629999993</v>
      </c>
      <c r="D4180" s="293">
        <v>10752.960848999999</v>
      </c>
      <c r="E4180" s="293">
        <v>1725.7814860000001</v>
      </c>
      <c r="F4180" s="294" t="s">
        <v>2269</v>
      </c>
    </row>
    <row r="4181" spans="1:6" hidden="1" outlineLevel="1" collapsed="1" x14ac:dyDescent="0.25">
      <c r="A4181" s="321" t="s">
        <v>282</v>
      </c>
      <c r="B4181" s="321" t="s">
        <v>444</v>
      </c>
      <c r="C4181" s="293">
        <v>0</v>
      </c>
      <c r="D4181" s="293">
        <v>351</v>
      </c>
      <c r="E4181" s="293">
        <v>351</v>
      </c>
      <c r="F4181" s="294" t="s">
        <v>298</v>
      </c>
    </row>
    <row r="4182" spans="1:6" hidden="1" outlineLevel="1" collapsed="1" x14ac:dyDescent="0.25">
      <c r="A4182" s="321" t="s">
        <v>282</v>
      </c>
      <c r="B4182" s="321" t="s">
        <v>389</v>
      </c>
      <c r="C4182" s="293">
        <v>6681.6368640000001</v>
      </c>
      <c r="D4182" s="293">
        <v>7461.6671999999999</v>
      </c>
      <c r="E4182" s="293">
        <v>780.03033600000003</v>
      </c>
      <c r="F4182" s="294" t="s">
        <v>2270</v>
      </c>
    </row>
    <row r="4183" spans="1:6" hidden="1" outlineLevel="1" collapsed="1" x14ac:dyDescent="0.25">
      <c r="A4183" s="321" t="s">
        <v>282</v>
      </c>
      <c r="B4183" s="321" t="s">
        <v>390</v>
      </c>
      <c r="C4183" s="293">
        <v>228872.29060000001</v>
      </c>
      <c r="D4183" s="293">
        <v>267796.71840000001</v>
      </c>
      <c r="E4183" s="293">
        <v>38924.427799999998</v>
      </c>
      <c r="F4183" s="294" t="s">
        <v>2271</v>
      </c>
    </row>
    <row r="4184" spans="1:6" hidden="1" outlineLevel="1" collapsed="1" x14ac:dyDescent="0.25">
      <c r="A4184" s="321" t="s">
        <v>282</v>
      </c>
      <c r="B4184" s="321" t="s">
        <v>392</v>
      </c>
      <c r="C4184" s="293">
        <v>3661.8946559999999</v>
      </c>
      <c r="D4184" s="293">
        <v>3233.3184000000001</v>
      </c>
      <c r="E4184" s="293">
        <v>-428.576256</v>
      </c>
      <c r="F4184" s="294" t="s">
        <v>2272</v>
      </c>
    </row>
    <row r="4185" spans="1:6" hidden="1" outlineLevel="1" collapsed="1" x14ac:dyDescent="0.25">
      <c r="A4185" s="321" t="s">
        <v>282</v>
      </c>
      <c r="B4185" s="321" t="s">
        <v>393</v>
      </c>
      <c r="C4185" s="293">
        <v>311.28195599999998</v>
      </c>
      <c r="D4185" s="293">
        <v>370.791628</v>
      </c>
      <c r="E4185" s="293">
        <v>59.509672000000002</v>
      </c>
      <c r="F4185" s="294" t="s">
        <v>2269</v>
      </c>
    </row>
    <row r="4186" spans="1:6" hidden="1" outlineLevel="1" collapsed="1" x14ac:dyDescent="0.25">
      <c r="A4186" s="321" t="s">
        <v>282</v>
      </c>
      <c r="B4186" s="321" t="s">
        <v>394</v>
      </c>
      <c r="C4186" s="293">
        <v>23520</v>
      </c>
      <c r="D4186" s="293">
        <v>0</v>
      </c>
      <c r="E4186" s="293">
        <v>-23520</v>
      </c>
      <c r="F4186" s="294" t="s">
        <v>286</v>
      </c>
    </row>
    <row r="4187" spans="1:6" hidden="1" outlineLevel="1" collapsed="1" x14ac:dyDescent="0.25">
      <c r="A4187" s="321" t="s">
        <v>282</v>
      </c>
      <c r="B4187" s="321" t="s">
        <v>395</v>
      </c>
      <c r="C4187" s="293">
        <v>0</v>
      </c>
      <c r="D4187" s="293">
        <v>26520</v>
      </c>
      <c r="E4187" s="293">
        <v>26520</v>
      </c>
      <c r="F4187" s="294" t="s">
        <v>298</v>
      </c>
    </row>
    <row r="4188" spans="1:6" hidden="1" outlineLevel="1" collapsed="1" x14ac:dyDescent="0.25">
      <c r="A4188" s="321" t="s">
        <v>282</v>
      </c>
      <c r="B4188" s="321" t="s">
        <v>396</v>
      </c>
      <c r="C4188" s="293">
        <v>778.98239999999998</v>
      </c>
      <c r="D4188" s="293">
        <v>0</v>
      </c>
      <c r="E4188" s="293">
        <v>-778.98239999999998</v>
      </c>
      <c r="F4188" s="294" t="s">
        <v>286</v>
      </c>
    </row>
    <row r="4189" spans="1:6" hidden="1" outlineLevel="1" collapsed="1" x14ac:dyDescent="0.25">
      <c r="A4189" s="321" t="s">
        <v>282</v>
      </c>
      <c r="B4189" s="321" t="s">
        <v>397</v>
      </c>
      <c r="C4189" s="293">
        <v>0</v>
      </c>
      <c r="D4189" s="293">
        <v>857.12639999999999</v>
      </c>
      <c r="E4189" s="293">
        <v>857.12639999999999</v>
      </c>
      <c r="F4189" s="294" t="s">
        <v>298</v>
      </c>
    </row>
    <row r="4190" spans="1:6" hidden="1" outlineLevel="1" collapsed="1" x14ac:dyDescent="0.25">
      <c r="A4190" s="321" t="s">
        <v>282</v>
      </c>
      <c r="B4190" s="321" t="s">
        <v>398</v>
      </c>
      <c r="C4190" s="293">
        <v>376.32</v>
      </c>
      <c r="D4190" s="293">
        <v>195.18719999999999</v>
      </c>
      <c r="E4190" s="293">
        <v>-181.1328</v>
      </c>
      <c r="F4190" s="294" t="s">
        <v>2273</v>
      </c>
    </row>
    <row r="4191" spans="1:6" hidden="1" outlineLevel="1" collapsed="1" x14ac:dyDescent="0.25">
      <c r="A4191" s="321" t="s">
        <v>282</v>
      </c>
      <c r="B4191" s="321" t="s">
        <v>522</v>
      </c>
      <c r="C4191" s="293">
        <v>2700</v>
      </c>
      <c r="D4191" s="293">
        <v>2700</v>
      </c>
      <c r="E4191" s="293">
        <v>0</v>
      </c>
      <c r="F4191" s="294" t="s">
        <v>316</v>
      </c>
    </row>
    <row r="4192" spans="1:6" hidden="1" outlineLevel="1" collapsed="1" x14ac:dyDescent="0.25">
      <c r="A4192" s="321" t="s">
        <v>282</v>
      </c>
      <c r="B4192" s="321" t="s">
        <v>1067</v>
      </c>
      <c r="C4192" s="293">
        <v>73675</v>
      </c>
      <c r="D4192" s="293">
        <v>62000</v>
      </c>
      <c r="E4192" s="293">
        <v>-11675</v>
      </c>
      <c r="F4192" s="294" t="s">
        <v>2274</v>
      </c>
    </row>
    <row r="4193" spans="1:6" hidden="1" outlineLevel="1" collapsed="1" x14ac:dyDescent="0.25">
      <c r="A4193" s="321" t="s">
        <v>282</v>
      </c>
      <c r="B4193" s="321" t="s">
        <v>426</v>
      </c>
      <c r="C4193" s="293">
        <v>481</v>
      </c>
      <c r="D4193" s="293">
        <v>0</v>
      </c>
      <c r="E4193" s="293">
        <v>-481</v>
      </c>
      <c r="F4193" s="294" t="s">
        <v>286</v>
      </c>
    </row>
    <row r="4194" spans="1:6" hidden="1" outlineLevel="1" collapsed="1" x14ac:dyDescent="0.25">
      <c r="A4194" s="321" t="s">
        <v>282</v>
      </c>
      <c r="B4194" s="321" t="s">
        <v>952</v>
      </c>
      <c r="C4194" s="293">
        <v>400</v>
      </c>
      <c r="D4194" s="293">
        <v>1200</v>
      </c>
      <c r="E4194" s="293">
        <v>800</v>
      </c>
      <c r="F4194" s="294" t="s">
        <v>787</v>
      </c>
    </row>
    <row r="4195" spans="1:6" hidden="1" outlineLevel="1" collapsed="1" x14ac:dyDescent="0.25">
      <c r="A4195" s="321" t="s">
        <v>282</v>
      </c>
      <c r="B4195" s="321" t="s">
        <v>597</v>
      </c>
      <c r="C4195" s="293">
        <v>270</v>
      </c>
      <c r="D4195" s="293">
        <v>400</v>
      </c>
      <c r="E4195" s="293">
        <v>130</v>
      </c>
      <c r="F4195" s="294" t="s">
        <v>1591</v>
      </c>
    </row>
    <row r="4196" spans="1:6" hidden="1" outlineLevel="1" collapsed="1" x14ac:dyDescent="0.25">
      <c r="A4196" s="321" t="s">
        <v>282</v>
      </c>
      <c r="B4196" s="321" t="s">
        <v>1163</v>
      </c>
      <c r="C4196" s="293">
        <v>30000</v>
      </c>
      <c r="D4196" s="293">
        <v>35000</v>
      </c>
      <c r="E4196" s="293">
        <v>5000</v>
      </c>
      <c r="F4196" s="294" t="s">
        <v>1449</v>
      </c>
    </row>
    <row r="4197" spans="1:6" hidden="1" outlineLevel="1" collapsed="1" x14ac:dyDescent="0.25">
      <c r="A4197" s="321" t="s">
        <v>282</v>
      </c>
      <c r="B4197" s="321" t="s">
        <v>604</v>
      </c>
      <c r="C4197" s="293">
        <v>15200</v>
      </c>
      <c r="D4197" s="293">
        <v>15200</v>
      </c>
      <c r="E4197" s="293">
        <v>0</v>
      </c>
      <c r="F4197" s="294" t="s">
        <v>316</v>
      </c>
    </row>
    <row r="4198" spans="1:6" hidden="1" outlineLevel="1" collapsed="1" x14ac:dyDescent="0.25">
      <c r="A4198" s="321" t="s">
        <v>282</v>
      </c>
      <c r="B4198" s="321" t="s">
        <v>483</v>
      </c>
      <c r="C4198" s="293">
        <v>7500</v>
      </c>
      <c r="D4198" s="293">
        <v>8250</v>
      </c>
      <c r="E4198" s="293">
        <v>750</v>
      </c>
      <c r="F4198" s="294" t="s">
        <v>1603</v>
      </c>
    </row>
    <row r="4199" spans="1:6" hidden="1" outlineLevel="1" collapsed="1" x14ac:dyDescent="0.25">
      <c r="A4199" s="321" t="s">
        <v>282</v>
      </c>
      <c r="B4199" s="321" t="s">
        <v>543</v>
      </c>
      <c r="C4199" s="293">
        <v>8000</v>
      </c>
      <c r="D4199" s="293">
        <v>8000</v>
      </c>
      <c r="E4199" s="293">
        <v>0</v>
      </c>
      <c r="F4199" s="294" t="s">
        <v>316</v>
      </c>
    </row>
    <row r="4200" spans="1:6" hidden="1" outlineLevel="1" collapsed="1" x14ac:dyDescent="0.25">
      <c r="A4200" s="321" t="s">
        <v>282</v>
      </c>
      <c r="B4200" s="321" t="s">
        <v>403</v>
      </c>
      <c r="C4200" s="293">
        <v>1688</v>
      </c>
      <c r="D4200" s="293">
        <v>4500</v>
      </c>
      <c r="E4200" s="293">
        <v>2812</v>
      </c>
      <c r="F4200" s="294" t="s">
        <v>2275</v>
      </c>
    </row>
    <row r="4201" spans="1:6" hidden="1" outlineLevel="1" collapsed="1" x14ac:dyDescent="0.25">
      <c r="A4201" s="321" t="s">
        <v>282</v>
      </c>
      <c r="B4201" s="321" t="s">
        <v>422</v>
      </c>
      <c r="C4201" s="293">
        <v>0</v>
      </c>
      <c r="D4201" s="293">
        <v>0</v>
      </c>
      <c r="E4201" s="293">
        <v>0</v>
      </c>
      <c r="F4201" s="294" t="s">
        <v>316</v>
      </c>
    </row>
    <row r="4202" spans="1:6" hidden="1" outlineLevel="1" collapsed="1" x14ac:dyDescent="0.25">
      <c r="A4202" s="321" t="s">
        <v>282</v>
      </c>
      <c r="B4202" s="321" t="s">
        <v>770</v>
      </c>
      <c r="C4202" s="293">
        <v>3000</v>
      </c>
      <c r="D4202" s="293">
        <v>0</v>
      </c>
      <c r="E4202" s="293">
        <v>-3000</v>
      </c>
      <c r="F4202" s="294" t="s">
        <v>286</v>
      </c>
    </row>
    <row r="4203" spans="1:6" collapsed="1" x14ac:dyDescent="0.25">
      <c r="A4203" s="560" t="s">
        <v>1605</v>
      </c>
      <c r="B4203" s="561"/>
      <c r="C4203" s="292">
        <v>5421.5720069999998</v>
      </c>
      <c r="D4203" s="293">
        <v>5682.6527669999996</v>
      </c>
      <c r="E4203" s="293">
        <v>261.08076</v>
      </c>
      <c r="F4203" s="294" t="s">
        <v>1676</v>
      </c>
    </row>
    <row r="4204" spans="1:6" hidden="1" outlineLevel="1" collapsed="1" x14ac:dyDescent="0.25">
      <c r="A4204" s="321" t="s">
        <v>282</v>
      </c>
      <c r="B4204" s="321" t="s">
        <v>464</v>
      </c>
      <c r="C4204" s="293">
        <v>4079.1607990000002</v>
      </c>
      <c r="D4204" s="293">
        <v>4200.4884480000001</v>
      </c>
      <c r="E4204" s="293">
        <v>121.32764899999999</v>
      </c>
      <c r="F4204" s="294" t="s">
        <v>553</v>
      </c>
    </row>
    <row r="4205" spans="1:6" hidden="1" outlineLevel="1" collapsed="1" x14ac:dyDescent="0.25">
      <c r="A4205" s="321" t="s">
        <v>282</v>
      </c>
      <c r="B4205" s="321" t="s">
        <v>384</v>
      </c>
      <c r="C4205" s="293">
        <v>504.98142799999999</v>
      </c>
      <c r="D4205" s="293">
        <v>0</v>
      </c>
      <c r="E4205" s="293">
        <v>-504.98142799999999</v>
      </c>
      <c r="F4205" s="294" t="s">
        <v>286</v>
      </c>
    </row>
    <row r="4206" spans="1:6" hidden="1" outlineLevel="1" collapsed="1" x14ac:dyDescent="0.25">
      <c r="A4206" s="321" t="s">
        <v>282</v>
      </c>
      <c r="B4206" s="321" t="s">
        <v>385</v>
      </c>
      <c r="C4206" s="293">
        <v>0</v>
      </c>
      <c r="D4206" s="293">
        <v>642.28270999999995</v>
      </c>
      <c r="E4206" s="293">
        <v>642.28270999999995</v>
      </c>
      <c r="F4206" s="294" t="s">
        <v>298</v>
      </c>
    </row>
    <row r="4207" spans="1:6" hidden="1" outlineLevel="1" collapsed="1" x14ac:dyDescent="0.25">
      <c r="A4207" s="321" t="s">
        <v>282</v>
      </c>
      <c r="B4207" s="321" t="s">
        <v>386</v>
      </c>
      <c r="C4207" s="293">
        <v>252.90796900000001</v>
      </c>
      <c r="D4207" s="293">
        <v>0</v>
      </c>
      <c r="E4207" s="293">
        <v>-252.90796900000001</v>
      </c>
      <c r="F4207" s="294" t="s">
        <v>286</v>
      </c>
    </row>
    <row r="4208" spans="1:6" hidden="1" outlineLevel="1" collapsed="1" x14ac:dyDescent="0.25">
      <c r="A4208" s="321" t="s">
        <v>282</v>
      </c>
      <c r="B4208" s="321" t="s">
        <v>387</v>
      </c>
      <c r="C4208" s="293">
        <v>0</v>
      </c>
      <c r="D4208" s="293">
        <v>260.43028299999997</v>
      </c>
      <c r="E4208" s="293">
        <v>260.43028299999997</v>
      </c>
      <c r="F4208" s="294" t="s">
        <v>298</v>
      </c>
    </row>
    <row r="4209" spans="1:6" hidden="1" outlineLevel="1" collapsed="1" x14ac:dyDescent="0.25">
      <c r="A4209" s="321" t="s">
        <v>282</v>
      </c>
      <c r="B4209" s="321" t="s">
        <v>388</v>
      </c>
      <c r="C4209" s="293">
        <v>59.147830999999996</v>
      </c>
      <c r="D4209" s="293">
        <v>60.907082000000003</v>
      </c>
      <c r="E4209" s="293">
        <v>1.7592509999999999</v>
      </c>
      <c r="F4209" s="294" t="s">
        <v>553</v>
      </c>
    </row>
    <row r="4210" spans="1:6" hidden="1" outlineLevel="1" collapsed="1" x14ac:dyDescent="0.25">
      <c r="A4210" s="321" t="s">
        <v>282</v>
      </c>
      <c r="B4210" s="321" t="s">
        <v>389</v>
      </c>
      <c r="C4210" s="293">
        <v>42.612479999999998</v>
      </c>
      <c r="D4210" s="293">
        <v>42.204000000000001</v>
      </c>
      <c r="E4210" s="293">
        <v>-0.40848000000000001</v>
      </c>
      <c r="F4210" s="294" t="s">
        <v>364</v>
      </c>
    </row>
    <row r="4211" spans="1:6" hidden="1" outlineLevel="1" collapsed="1" x14ac:dyDescent="0.25">
      <c r="A4211" s="321" t="s">
        <v>282</v>
      </c>
      <c r="B4211" s="321" t="s">
        <v>392</v>
      </c>
      <c r="C4211" s="293">
        <v>23.353919999999999</v>
      </c>
      <c r="D4211" s="293">
        <v>18.288</v>
      </c>
      <c r="E4211" s="293">
        <v>-5.0659200000000002</v>
      </c>
      <c r="F4211" s="294" t="s">
        <v>368</v>
      </c>
    </row>
    <row r="4212" spans="1:6" hidden="1" outlineLevel="1" collapsed="1" x14ac:dyDescent="0.25">
      <c r="A4212" s="321" t="s">
        <v>282</v>
      </c>
      <c r="B4212" s="321" t="s">
        <v>393</v>
      </c>
      <c r="C4212" s="293">
        <v>2.0395799999999999</v>
      </c>
      <c r="D4212" s="293">
        <v>2.100244</v>
      </c>
      <c r="E4212" s="293">
        <v>6.0664000000000003E-2</v>
      </c>
      <c r="F4212" s="294" t="s">
        <v>553</v>
      </c>
    </row>
    <row r="4213" spans="1:6" hidden="1" outlineLevel="1" collapsed="1" x14ac:dyDescent="0.25">
      <c r="A4213" s="321" t="s">
        <v>282</v>
      </c>
      <c r="B4213" s="321" t="s">
        <v>394</v>
      </c>
      <c r="C4213" s="293">
        <v>150</v>
      </c>
      <c r="D4213" s="293">
        <v>0</v>
      </c>
      <c r="E4213" s="293">
        <v>-150</v>
      </c>
      <c r="F4213" s="294" t="s">
        <v>286</v>
      </c>
    </row>
    <row r="4214" spans="1:6" hidden="1" outlineLevel="1" collapsed="1" x14ac:dyDescent="0.25">
      <c r="A4214" s="321" t="s">
        <v>282</v>
      </c>
      <c r="B4214" s="321" t="s">
        <v>395</v>
      </c>
      <c r="C4214" s="293">
        <v>0</v>
      </c>
      <c r="D4214" s="293">
        <v>150</v>
      </c>
      <c r="E4214" s="293">
        <v>150</v>
      </c>
      <c r="F4214" s="294" t="s">
        <v>298</v>
      </c>
    </row>
    <row r="4215" spans="1:6" hidden="1" outlineLevel="1" collapsed="1" x14ac:dyDescent="0.25">
      <c r="A4215" s="321" t="s">
        <v>282</v>
      </c>
      <c r="B4215" s="321" t="s">
        <v>396</v>
      </c>
      <c r="C4215" s="293">
        <v>4.968</v>
      </c>
      <c r="D4215" s="293">
        <v>0</v>
      </c>
      <c r="E4215" s="293">
        <v>-4.968</v>
      </c>
      <c r="F4215" s="294" t="s">
        <v>286</v>
      </c>
    </row>
    <row r="4216" spans="1:6" hidden="1" outlineLevel="1" collapsed="1" x14ac:dyDescent="0.25">
      <c r="A4216" s="321" t="s">
        <v>282</v>
      </c>
      <c r="B4216" s="321" t="s">
        <v>397</v>
      </c>
      <c r="C4216" s="293">
        <v>0</v>
      </c>
      <c r="D4216" s="293">
        <v>4.8479999999999999</v>
      </c>
      <c r="E4216" s="293">
        <v>4.8479999999999999</v>
      </c>
      <c r="F4216" s="294" t="s">
        <v>298</v>
      </c>
    </row>
    <row r="4217" spans="1:6" hidden="1" outlineLevel="1" collapsed="1" x14ac:dyDescent="0.25">
      <c r="A4217" s="321" t="s">
        <v>282</v>
      </c>
      <c r="B4217" s="321" t="s">
        <v>398</v>
      </c>
      <c r="C4217" s="293">
        <v>2.4</v>
      </c>
      <c r="D4217" s="293">
        <v>1.1040000000000001</v>
      </c>
      <c r="E4217" s="293">
        <v>-1.296</v>
      </c>
      <c r="F4217" s="294" t="s">
        <v>374</v>
      </c>
    </row>
    <row r="4218" spans="1:6" hidden="1" outlineLevel="1" collapsed="1" x14ac:dyDescent="0.25">
      <c r="A4218" s="321" t="s">
        <v>282</v>
      </c>
      <c r="B4218" s="321" t="s">
        <v>522</v>
      </c>
      <c r="C4218" s="293">
        <v>300</v>
      </c>
      <c r="D4218" s="293">
        <v>300</v>
      </c>
      <c r="E4218" s="293">
        <v>0</v>
      </c>
      <c r="F4218" s="294" t="s">
        <v>316</v>
      </c>
    </row>
    <row r="4219" spans="1:6" collapsed="1" x14ac:dyDescent="0.25">
      <c r="A4219" s="560" t="s">
        <v>1606</v>
      </c>
      <c r="B4219" s="561"/>
      <c r="C4219" s="292">
        <v>3343.1270030000001</v>
      </c>
      <c r="D4219" s="293">
        <v>3497.3678839999998</v>
      </c>
      <c r="E4219" s="293">
        <v>154.240881</v>
      </c>
      <c r="F4219" s="294" t="s">
        <v>2276</v>
      </c>
    </row>
    <row r="4220" spans="1:6" hidden="1" outlineLevel="1" collapsed="1" x14ac:dyDescent="0.25">
      <c r="A4220" s="321" t="s">
        <v>282</v>
      </c>
      <c r="B4220" s="321" t="s">
        <v>464</v>
      </c>
      <c r="C4220" s="293">
        <v>2047.0803989999999</v>
      </c>
      <c r="D4220" s="293">
        <v>2107.744224</v>
      </c>
      <c r="E4220" s="293">
        <v>60.663825000000003</v>
      </c>
      <c r="F4220" s="294" t="s">
        <v>564</v>
      </c>
    </row>
    <row r="4221" spans="1:6" hidden="1" outlineLevel="1" collapsed="1" x14ac:dyDescent="0.25">
      <c r="A4221" s="321" t="s">
        <v>282</v>
      </c>
      <c r="B4221" s="321" t="s">
        <v>384</v>
      </c>
      <c r="C4221" s="293">
        <v>252.490714</v>
      </c>
      <c r="D4221" s="293">
        <v>0</v>
      </c>
      <c r="E4221" s="293">
        <v>-252.490714</v>
      </c>
      <c r="F4221" s="294" t="s">
        <v>286</v>
      </c>
    </row>
    <row r="4222" spans="1:6" hidden="1" outlineLevel="1" collapsed="1" x14ac:dyDescent="0.25">
      <c r="A4222" s="321" t="s">
        <v>282</v>
      </c>
      <c r="B4222" s="321" t="s">
        <v>385</v>
      </c>
      <c r="C4222" s="293">
        <v>0</v>
      </c>
      <c r="D4222" s="293">
        <v>321.14135499999998</v>
      </c>
      <c r="E4222" s="293">
        <v>321.14135499999998</v>
      </c>
      <c r="F4222" s="294" t="s">
        <v>298</v>
      </c>
    </row>
    <row r="4223" spans="1:6" hidden="1" outlineLevel="1" collapsed="1" x14ac:dyDescent="0.25">
      <c r="A4223" s="321" t="s">
        <v>282</v>
      </c>
      <c r="B4223" s="321" t="s">
        <v>386</v>
      </c>
      <c r="C4223" s="293">
        <v>126.91898500000001</v>
      </c>
      <c r="D4223" s="293">
        <v>0</v>
      </c>
      <c r="E4223" s="293">
        <v>-126.91898500000001</v>
      </c>
      <c r="F4223" s="294" t="s">
        <v>286</v>
      </c>
    </row>
    <row r="4224" spans="1:6" hidden="1" outlineLevel="1" collapsed="1" x14ac:dyDescent="0.25">
      <c r="A4224" s="321" t="s">
        <v>282</v>
      </c>
      <c r="B4224" s="321" t="s">
        <v>387</v>
      </c>
      <c r="C4224" s="293">
        <v>0</v>
      </c>
      <c r="D4224" s="293">
        <v>130.68014199999999</v>
      </c>
      <c r="E4224" s="293">
        <v>130.68014199999999</v>
      </c>
      <c r="F4224" s="294" t="s">
        <v>298</v>
      </c>
    </row>
    <row r="4225" spans="1:6" hidden="1" outlineLevel="1" collapsed="1" x14ac:dyDescent="0.25">
      <c r="A4225" s="321" t="s">
        <v>282</v>
      </c>
      <c r="B4225" s="321" t="s">
        <v>388</v>
      </c>
      <c r="C4225" s="293">
        <v>29.682665</v>
      </c>
      <c r="D4225" s="293">
        <v>30.562290999999998</v>
      </c>
      <c r="E4225" s="293">
        <v>0.87962600000000002</v>
      </c>
      <c r="F4225" s="294" t="s">
        <v>564</v>
      </c>
    </row>
    <row r="4226" spans="1:6" hidden="1" outlineLevel="1" collapsed="1" x14ac:dyDescent="0.25">
      <c r="A4226" s="321" t="s">
        <v>282</v>
      </c>
      <c r="B4226" s="321" t="s">
        <v>389</v>
      </c>
      <c r="C4226" s="293">
        <v>21.306239999999999</v>
      </c>
      <c r="D4226" s="293">
        <v>21.102</v>
      </c>
      <c r="E4226" s="293">
        <v>-0.20424</v>
      </c>
      <c r="F4226" s="294" t="s">
        <v>364</v>
      </c>
    </row>
    <row r="4227" spans="1:6" hidden="1" outlineLevel="1" collapsed="1" x14ac:dyDescent="0.25">
      <c r="A4227" s="321" t="s">
        <v>282</v>
      </c>
      <c r="B4227" s="321" t="s">
        <v>390</v>
      </c>
      <c r="C4227" s="293">
        <v>774.26350000000002</v>
      </c>
      <c r="D4227" s="293">
        <v>797.96400000000006</v>
      </c>
      <c r="E4227" s="293">
        <v>23.700500000000002</v>
      </c>
      <c r="F4227" s="294" t="s">
        <v>391</v>
      </c>
    </row>
    <row r="4228" spans="1:6" hidden="1" outlineLevel="1" collapsed="1" x14ac:dyDescent="0.25">
      <c r="A4228" s="321" t="s">
        <v>282</v>
      </c>
      <c r="B4228" s="321" t="s">
        <v>392</v>
      </c>
      <c r="C4228" s="293">
        <v>11.676959999999999</v>
      </c>
      <c r="D4228" s="293">
        <v>9.1440000000000001</v>
      </c>
      <c r="E4228" s="293">
        <v>-2.5329600000000001</v>
      </c>
      <c r="F4228" s="294" t="s">
        <v>368</v>
      </c>
    </row>
    <row r="4229" spans="1:6" hidden="1" outlineLevel="1" collapsed="1" x14ac:dyDescent="0.25">
      <c r="A4229" s="321" t="s">
        <v>282</v>
      </c>
      <c r="B4229" s="321" t="s">
        <v>393</v>
      </c>
      <c r="C4229" s="293">
        <v>1.0235399999999999</v>
      </c>
      <c r="D4229" s="293">
        <v>1.0538719999999999</v>
      </c>
      <c r="E4229" s="293">
        <v>3.0332000000000001E-2</v>
      </c>
      <c r="F4229" s="294" t="s">
        <v>564</v>
      </c>
    </row>
    <row r="4230" spans="1:6" hidden="1" outlineLevel="1" collapsed="1" x14ac:dyDescent="0.25">
      <c r="A4230" s="321" t="s">
        <v>282</v>
      </c>
      <c r="B4230" s="321" t="s">
        <v>394</v>
      </c>
      <c r="C4230" s="293">
        <v>75</v>
      </c>
      <c r="D4230" s="293">
        <v>0</v>
      </c>
      <c r="E4230" s="293">
        <v>-75</v>
      </c>
      <c r="F4230" s="294" t="s">
        <v>286</v>
      </c>
    </row>
    <row r="4231" spans="1:6" hidden="1" outlineLevel="1" collapsed="1" x14ac:dyDescent="0.25">
      <c r="A4231" s="321" t="s">
        <v>282</v>
      </c>
      <c r="B4231" s="321" t="s">
        <v>395</v>
      </c>
      <c r="C4231" s="293">
        <v>0</v>
      </c>
      <c r="D4231" s="293">
        <v>75</v>
      </c>
      <c r="E4231" s="293">
        <v>75</v>
      </c>
      <c r="F4231" s="294" t="s">
        <v>298</v>
      </c>
    </row>
    <row r="4232" spans="1:6" hidden="1" outlineLevel="1" collapsed="1" x14ac:dyDescent="0.25">
      <c r="A4232" s="321" t="s">
        <v>282</v>
      </c>
      <c r="B4232" s="321" t="s">
        <v>396</v>
      </c>
      <c r="C4232" s="293">
        <v>2.484</v>
      </c>
      <c r="D4232" s="293">
        <v>0</v>
      </c>
      <c r="E4232" s="293">
        <v>-2.484</v>
      </c>
      <c r="F4232" s="294" t="s">
        <v>286</v>
      </c>
    </row>
    <row r="4233" spans="1:6" hidden="1" outlineLevel="1" collapsed="1" x14ac:dyDescent="0.25">
      <c r="A4233" s="321" t="s">
        <v>282</v>
      </c>
      <c r="B4233" s="321" t="s">
        <v>397</v>
      </c>
      <c r="C4233" s="293">
        <v>0</v>
      </c>
      <c r="D4233" s="293">
        <v>2.4239999999999999</v>
      </c>
      <c r="E4233" s="293">
        <v>2.4239999999999999</v>
      </c>
      <c r="F4233" s="294" t="s">
        <v>298</v>
      </c>
    </row>
    <row r="4234" spans="1:6" hidden="1" outlineLevel="1" collapsed="1" x14ac:dyDescent="0.25">
      <c r="A4234" s="321" t="s">
        <v>282</v>
      </c>
      <c r="B4234" s="321" t="s">
        <v>398</v>
      </c>
      <c r="C4234" s="293">
        <v>1.2</v>
      </c>
      <c r="D4234" s="293">
        <v>0.55200000000000005</v>
      </c>
      <c r="E4234" s="293">
        <v>-0.64800000000000002</v>
      </c>
      <c r="F4234" s="294" t="s">
        <v>374</v>
      </c>
    </row>
    <row r="4235" spans="1:6" collapsed="1" x14ac:dyDescent="0.25">
      <c r="A4235" s="560" t="s">
        <v>1607</v>
      </c>
      <c r="B4235" s="561"/>
      <c r="C4235" s="292">
        <v>221039.93440100001</v>
      </c>
      <c r="D4235" s="293">
        <v>204150.26318800001</v>
      </c>
      <c r="E4235" s="293">
        <v>-16889.671213000001</v>
      </c>
      <c r="F4235" s="294" t="s">
        <v>2277</v>
      </c>
    </row>
    <row r="4236" spans="1:6" hidden="1" outlineLevel="1" collapsed="1" x14ac:dyDescent="0.25">
      <c r="A4236" s="321" t="s">
        <v>282</v>
      </c>
      <c r="B4236" s="321" t="s">
        <v>464</v>
      </c>
      <c r="C4236" s="293">
        <v>123179.66316900001</v>
      </c>
      <c r="D4236" s="293">
        <v>105033.885135</v>
      </c>
      <c r="E4236" s="293">
        <v>-18145.778033999999</v>
      </c>
      <c r="F4236" s="294" t="s">
        <v>2278</v>
      </c>
    </row>
    <row r="4237" spans="1:6" hidden="1" outlineLevel="1" collapsed="1" x14ac:dyDescent="0.25">
      <c r="A4237" s="321" t="s">
        <v>282</v>
      </c>
      <c r="B4237" s="321" t="s">
        <v>475</v>
      </c>
      <c r="C4237" s="293">
        <v>1000</v>
      </c>
      <c r="D4237" s="293">
        <v>1000</v>
      </c>
      <c r="E4237" s="293">
        <v>0</v>
      </c>
      <c r="F4237" s="294" t="s">
        <v>316</v>
      </c>
    </row>
    <row r="4238" spans="1:6" hidden="1" outlineLevel="1" collapsed="1" x14ac:dyDescent="0.25">
      <c r="A4238" s="321" t="s">
        <v>282</v>
      </c>
      <c r="B4238" s="321" t="s">
        <v>384</v>
      </c>
      <c r="C4238" s="293">
        <v>15115.456615999999</v>
      </c>
      <c r="D4238" s="293">
        <v>0</v>
      </c>
      <c r="E4238" s="293">
        <v>-15115.456615999999</v>
      </c>
      <c r="F4238" s="294" t="s">
        <v>286</v>
      </c>
    </row>
    <row r="4239" spans="1:6" hidden="1" outlineLevel="1" collapsed="1" x14ac:dyDescent="0.25">
      <c r="A4239" s="321" t="s">
        <v>282</v>
      </c>
      <c r="B4239" s="321" t="s">
        <v>385</v>
      </c>
      <c r="C4239" s="293">
        <v>0</v>
      </c>
      <c r="D4239" s="293">
        <v>16013.84094</v>
      </c>
      <c r="E4239" s="293">
        <v>16013.84094</v>
      </c>
      <c r="F4239" s="294" t="s">
        <v>298</v>
      </c>
    </row>
    <row r="4240" spans="1:6" hidden="1" outlineLevel="1" collapsed="1" x14ac:dyDescent="0.25">
      <c r="A4240" s="321" t="s">
        <v>282</v>
      </c>
      <c r="B4240" s="321" t="s">
        <v>386</v>
      </c>
      <c r="C4240" s="293">
        <v>7637.1391030000004</v>
      </c>
      <c r="D4240" s="293">
        <v>0</v>
      </c>
      <c r="E4240" s="293">
        <v>-7637.1391030000004</v>
      </c>
      <c r="F4240" s="294" t="s">
        <v>286</v>
      </c>
    </row>
    <row r="4241" spans="1:6" hidden="1" outlineLevel="1" collapsed="1" x14ac:dyDescent="0.25">
      <c r="A4241" s="321" t="s">
        <v>282</v>
      </c>
      <c r="B4241" s="321" t="s">
        <v>387</v>
      </c>
      <c r="C4241" s="293">
        <v>0</v>
      </c>
      <c r="D4241" s="293">
        <v>6512.100864</v>
      </c>
      <c r="E4241" s="293">
        <v>6512.100864</v>
      </c>
      <c r="F4241" s="294" t="s">
        <v>298</v>
      </c>
    </row>
    <row r="4242" spans="1:6" hidden="1" outlineLevel="1" collapsed="1" x14ac:dyDescent="0.25">
      <c r="A4242" s="321" t="s">
        <v>282</v>
      </c>
      <c r="B4242" s="321" t="s">
        <v>388</v>
      </c>
      <c r="C4242" s="293">
        <v>1786.1050969999999</v>
      </c>
      <c r="D4242" s="293">
        <v>1522.991323</v>
      </c>
      <c r="E4242" s="293">
        <v>-263.11377399999998</v>
      </c>
      <c r="F4242" s="294" t="s">
        <v>2278</v>
      </c>
    </row>
    <row r="4243" spans="1:6" hidden="1" outlineLevel="1" collapsed="1" x14ac:dyDescent="0.25">
      <c r="A4243" s="321" t="s">
        <v>282</v>
      </c>
      <c r="B4243" s="321" t="s">
        <v>444</v>
      </c>
      <c r="C4243" s="293">
        <v>0</v>
      </c>
      <c r="D4243" s="293">
        <v>28</v>
      </c>
      <c r="E4243" s="293">
        <v>28</v>
      </c>
      <c r="F4243" s="294" t="s">
        <v>298</v>
      </c>
    </row>
    <row r="4244" spans="1:6" hidden="1" outlineLevel="1" collapsed="1" x14ac:dyDescent="0.25">
      <c r="A4244" s="321" t="s">
        <v>282</v>
      </c>
      <c r="B4244" s="321" t="s">
        <v>389</v>
      </c>
      <c r="C4244" s="293">
        <v>1235.7619199999999</v>
      </c>
      <c r="D4244" s="293">
        <v>1012.896</v>
      </c>
      <c r="E4244" s="293">
        <v>-222.86591999999999</v>
      </c>
      <c r="F4244" s="294" t="s">
        <v>2279</v>
      </c>
    </row>
    <row r="4245" spans="1:6" hidden="1" outlineLevel="1" collapsed="1" x14ac:dyDescent="0.25">
      <c r="A4245" s="321" t="s">
        <v>282</v>
      </c>
      <c r="B4245" s="321" t="s">
        <v>390</v>
      </c>
      <c r="C4245" s="293">
        <v>44907.283000000003</v>
      </c>
      <c r="D4245" s="293">
        <v>38302.271999999997</v>
      </c>
      <c r="E4245" s="293">
        <v>-6605.0110000000004</v>
      </c>
      <c r="F4245" s="294" t="s">
        <v>1137</v>
      </c>
    </row>
    <row r="4246" spans="1:6" hidden="1" outlineLevel="1" collapsed="1" x14ac:dyDescent="0.25">
      <c r="A4246" s="321" t="s">
        <v>282</v>
      </c>
      <c r="B4246" s="321" t="s">
        <v>392</v>
      </c>
      <c r="C4246" s="293">
        <v>677.26368000000002</v>
      </c>
      <c r="D4246" s="293">
        <v>438.91199999999998</v>
      </c>
      <c r="E4246" s="293">
        <v>-238.35167999999999</v>
      </c>
      <c r="F4246" s="294" t="s">
        <v>2280</v>
      </c>
    </row>
    <row r="4247" spans="1:6" hidden="1" outlineLevel="1" collapsed="1" x14ac:dyDescent="0.25">
      <c r="A4247" s="321" t="s">
        <v>282</v>
      </c>
      <c r="B4247" s="321" t="s">
        <v>393</v>
      </c>
      <c r="C4247" s="293">
        <v>61.589815999999999</v>
      </c>
      <c r="D4247" s="293">
        <v>52.516925999999998</v>
      </c>
      <c r="E4247" s="293">
        <v>-9.0728899999999992</v>
      </c>
      <c r="F4247" s="294" t="s">
        <v>2278</v>
      </c>
    </row>
    <row r="4248" spans="1:6" hidden="1" outlineLevel="1" collapsed="1" x14ac:dyDescent="0.25">
      <c r="A4248" s="321" t="s">
        <v>282</v>
      </c>
      <c r="B4248" s="321" t="s">
        <v>394</v>
      </c>
      <c r="C4248" s="293">
        <v>4350</v>
      </c>
      <c r="D4248" s="293">
        <v>0</v>
      </c>
      <c r="E4248" s="293">
        <v>-4350</v>
      </c>
      <c r="F4248" s="294" t="s">
        <v>286</v>
      </c>
    </row>
    <row r="4249" spans="1:6" hidden="1" outlineLevel="1" collapsed="1" x14ac:dyDescent="0.25">
      <c r="A4249" s="321" t="s">
        <v>282</v>
      </c>
      <c r="B4249" s="321" t="s">
        <v>395</v>
      </c>
      <c r="C4249" s="293">
        <v>0</v>
      </c>
      <c r="D4249" s="293">
        <v>3600</v>
      </c>
      <c r="E4249" s="293">
        <v>3600</v>
      </c>
      <c r="F4249" s="294" t="s">
        <v>298</v>
      </c>
    </row>
    <row r="4250" spans="1:6" hidden="1" outlineLevel="1" collapsed="1" x14ac:dyDescent="0.25">
      <c r="A4250" s="321" t="s">
        <v>282</v>
      </c>
      <c r="B4250" s="321" t="s">
        <v>396</v>
      </c>
      <c r="C4250" s="293">
        <v>144.072</v>
      </c>
      <c r="D4250" s="293">
        <v>0</v>
      </c>
      <c r="E4250" s="293">
        <v>-144.072</v>
      </c>
      <c r="F4250" s="294" t="s">
        <v>286</v>
      </c>
    </row>
    <row r="4251" spans="1:6" hidden="1" outlineLevel="1" collapsed="1" x14ac:dyDescent="0.25">
      <c r="A4251" s="321" t="s">
        <v>282</v>
      </c>
      <c r="B4251" s="321" t="s">
        <v>397</v>
      </c>
      <c r="C4251" s="293">
        <v>0</v>
      </c>
      <c r="D4251" s="293">
        <v>116.352</v>
      </c>
      <c r="E4251" s="293">
        <v>116.352</v>
      </c>
      <c r="F4251" s="294" t="s">
        <v>298</v>
      </c>
    </row>
    <row r="4252" spans="1:6" hidden="1" outlineLevel="1" collapsed="1" x14ac:dyDescent="0.25">
      <c r="A4252" s="321" t="s">
        <v>282</v>
      </c>
      <c r="B4252" s="321" t="s">
        <v>398</v>
      </c>
      <c r="C4252" s="293">
        <v>69.599999999999994</v>
      </c>
      <c r="D4252" s="293">
        <v>26.495999999999999</v>
      </c>
      <c r="E4252" s="293">
        <v>-43.103999999999999</v>
      </c>
      <c r="F4252" s="294" t="s">
        <v>1499</v>
      </c>
    </row>
    <row r="4253" spans="1:6" hidden="1" outlineLevel="1" collapsed="1" x14ac:dyDescent="0.25">
      <c r="A4253" s="321" t="s">
        <v>282</v>
      </c>
      <c r="B4253" s="321" t="s">
        <v>1075</v>
      </c>
      <c r="C4253" s="293">
        <v>8500</v>
      </c>
      <c r="D4253" s="293">
        <v>8500</v>
      </c>
      <c r="E4253" s="293">
        <v>0</v>
      </c>
      <c r="F4253" s="294" t="s">
        <v>316</v>
      </c>
    </row>
    <row r="4254" spans="1:6" hidden="1" outlineLevel="1" collapsed="1" x14ac:dyDescent="0.25">
      <c r="A4254" s="321" t="s">
        <v>282</v>
      </c>
      <c r="B4254" s="321" t="s">
        <v>426</v>
      </c>
      <c r="C4254" s="293">
        <v>960</v>
      </c>
      <c r="D4254" s="293">
        <v>1000</v>
      </c>
      <c r="E4254" s="293">
        <v>40</v>
      </c>
      <c r="F4254" s="294" t="s">
        <v>733</v>
      </c>
    </row>
    <row r="4255" spans="1:6" hidden="1" outlineLevel="1" collapsed="1" x14ac:dyDescent="0.25">
      <c r="A4255" s="321" t="s">
        <v>282</v>
      </c>
      <c r="B4255" s="321" t="s">
        <v>597</v>
      </c>
      <c r="C4255" s="293">
        <v>270</v>
      </c>
      <c r="D4255" s="293">
        <v>270</v>
      </c>
      <c r="E4255" s="293">
        <v>0</v>
      </c>
      <c r="F4255" s="294" t="s">
        <v>316</v>
      </c>
    </row>
    <row r="4256" spans="1:6" hidden="1" outlineLevel="1" collapsed="1" x14ac:dyDescent="0.25">
      <c r="A4256" s="321" t="s">
        <v>282</v>
      </c>
      <c r="B4256" s="321" t="s">
        <v>483</v>
      </c>
      <c r="C4256" s="293">
        <v>1800</v>
      </c>
      <c r="D4256" s="293">
        <v>1800</v>
      </c>
      <c r="E4256" s="293">
        <v>0</v>
      </c>
      <c r="F4256" s="294" t="s">
        <v>316</v>
      </c>
    </row>
    <row r="4257" spans="1:6" hidden="1" outlineLevel="1" collapsed="1" x14ac:dyDescent="0.25">
      <c r="A4257" s="321" t="s">
        <v>282</v>
      </c>
      <c r="B4257" s="321" t="s">
        <v>1165</v>
      </c>
      <c r="C4257" s="293">
        <v>4475</v>
      </c>
      <c r="D4257" s="293">
        <v>4350</v>
      </c>
      <c r="E4257" s="293">
        <v>-125</v>
      </c>
      <c r="F4257" s="294" t="s">
        <v>2281</v>
      </c>
    </row>
    <row r="4258" spans="1:6" hidden="1" outlineLevel="1" collapsed="1" x14ac:dyDescent="0.25">
      <c r="A4258" s="321" t="s">
        <v>282</v>
      </c>
      <c r="B4258" s="321" t="s">
        <v>403</v>
      </c>
      <c r="C4258" s="293">
        <v>4331</v>
      </c>
      <c r="D4258" s="293">
        <v>12450</v>
      </c>
      <c r="E4258" s="293">
        <v>8119</v>
      </c>
      <c r="F4258" s="294" t="s">
        <v>2282</v>
      </c>
    </row>
    <row r="4259" spans="1:6" hidden="1" outlineLevel="1" collapsed="1" x14ac:dyDescent="0.25">
      <c r="A4259" s="321" t="s">
        <v>282</v>
      </c>
      <c r="B4259" s="321" t="s">
        <v>405</v>
      </c>
      <c r="C4259" s="293">
        <v>540</v>
      </c>
      <c r="D4259" s="293">
        <v>420</v>
      </c>
      <c r="E4259" s="293">
        <v>-120</v>
      </c>
      <c r="F4259" s="294" t="s">
        <v>1610</v>
      </c>
    </row>
    <row r="4260" spans="1:6" hidden="1" outlineLevel="1" collapsed="1" x14ac:dyDescent="0.25">
      <c r="A4260" s="321" t="s">
        <v>282</v>
      </c>
      <c r="B4260" s="321" t="s">
        <v>422</v>
      </c>
      <c r="C4260" s="293">
        <v>0</v>
      </c>
      <c r="D4260" s="293">
        <v>1700</v>
      </c>
      <c r="E4260" s="293">
        <v>1700</v>
      </c>
      <c r="F4260" s="294" t="s">
        <v>298</v>
      </c>
    </row>
    <row r="4261" spans="1:6" collapsed="1" x14ac:dyDescent="0.25">
      <c r="A4261" s="560" t="s">
        <v>1611</v>
      </c>
      <c r="B4261" s="561"/>
      <c r="C4261" s="292">
        <v>64386.084842999997</v>
      </c>
      <c r="D4261" s="293">
        <v>67342.425008000006</v>
      </c>
      <c r="E4261" s="293">
        <v>2956.3401650000001</v>
      </c>
      <c r="F4261" s="294" t="s">
        <v>1663</v>
      </c>
    </row>
    <row r="4262" spans="1:6" hidden="1" outlineLevel="1" collapsed="1" x14ac:dyDescent="0.25">
      <c r="A4262" s="321" t="s">
        <v>282</v>
      </c>
      <c r="B4262" s="321" t="s">
        <v>464</v>
      </c>
      <c r="C4262" s="293">
        <v>38867.011028000001</v>
      </c>
      <c r="D4262" s="293">
        <v>40022.118236000002</v>
      </c>
      <c r="E4262" s="293">
        <v>1155.1072079999999</v>
      </c>
      <c r="F4262" s="294" t="s">
        <v>553</v>
      </c>
    </row>
    <row r="4263" spans="1:6" hidden="1" outlineLevel="1" collapsed="1" x14ac:dyDescent="0.25">
      <c r="A4263" s="321" t="s">
        <v>282</v>
      </c>
      <c r="B4263" s="321" t="s">
        <v>384</v>
      </c>
      <c r="C4263" s="293">
        <v>4807.6999800000003</v>
      </c>
      <c r="D4263" s="293">
        <v>0</v>
      </c>
      <c r="E4263" s="293">
        <v>-4807.6999800000003</v>
      </c>
      <c r="F4263" s="294" t="s">
        <v>286</v>
      </c>
    </row>
    <row r="4264" spans="1:6" hidden="1" outlineLevel="1" collapsed="1" x14ac:dyDescent="0.25">
      <c r="A4264" s="321" t="s">
        <v>282</v>
      </c>
      <c r="B4264" s="321" t="s">
        <v>385</v>
      </c>
      <c r="C4264" s="293">
        <v>0</v>
      </c>
      <c r="D4264" s="293">
        <v>6114.8836799999999</v>
      </c>
      <c r="E4264" s="293">
        <v>6114.8836799999999</v>
      </c>
      <c r="F4264" s="294" t="s">
        <v>298</v>
      </c>
    </row>
    <row r="4265" spans="1:6" hidden="1" outlineLevel="1" collapsed="1" x14ac:dyDescent="0.25">
      <c r="A4265" s="321" t="s">
        <v>282</v>
      </c>
      <c r="B4265" s="321" t="s">
        <v>386</v>
      </c>
      <c r="C4265" s="293">
        <v>2409.75468</v>
      </c>
      <c r="D4265" s="293">
        <v>0</v>
      </c>
      <c r="E4265" s="293">
        <v>-2409.75468</v>
      </c>
      <c r="F4265" s="294" t="s">
        <v>286</v>
      </c>
    </row>
    <row r="4266" spans="1:6" hidden="1" outlineLevel="1" collapsed="1" x14ac:dyDescent="0.25">
      <c r="A4266" s="321" t="s">
        <v>282</v>
      </c>
      <c r="B4266" s="321" t="s">
        <v>387</v>
      </c>
      <c r="C4266" s="293">
        <v>0</v>
      </c>
      <c r="D4266" s="293">
        <v>2481.3713280000002</v>
      </c>
      <c r="E4266" s="293">
        <v>2481.3713280000002</v>
      </c>
      <c r="F4266" s="294" t="s">
        <v>298</v>
      </c>
    </row>
    <row r="4267" spans="1:6" hidden="1" outlineLevel="1" collapsed="1" x14ac:dyDescent="0.25">
      <c r="A4267" s="321" t="s">
        <v>282</v>
      </c>
      <c r="B4267" s="321" t="s">
        <v>388</v>
      </c>
      <c r="C4267" s="293">
        <v>563.57165899999995</v>
      </c>
      <c r="D4267" s="293">
        <v>580.32070799999997</v>
      </c>
      <c r="E4267" s="293">
        <v>16.749048999999999</v>
      </c>
      <c r="F4267" s="294" t="s">
        <v>553</v>
      </c>
    </row>
    <row r="4268" spans="1:6" hidden="1" outlineLevel="1" collapsed="1" x14ac:dyDescent="0.25">
      <c r="A4268" s="321" t="s">
        <v>282</v>
      </c>
      <c r="B4268" s="321" t="s">
        <v>389</v>
      </c>
      <c r="C4268" s="293">
        <v>426.12479999999999</v>
      </c>
      <c r="D4268" s="293">
        <v>422.04</v>
      </c>
      <c r="E4268" s="293">
        <v>-4.0848000000000004</v>
      </c>
      <c r="F4268" s="294" t="s">
        <v>364</v>
      </c>
    </row>
    <row r="4269" spans="1:6" hidden="1" outlineLevel="1" collapsed="1" x14ac:dyDescent="0.25">
      <c r="A4269" s="321" t="s">
        <v>282</v>
      </c>
      <c r="B4269" s="321" t="s">
        <v>390</v>
      </c>
      <c r="C4269" s="293">
        <v>15485.27</v>
      </c>
      <c r="D4269" s="293">
        <v>15959.28</v>
      </c>
      <c r="E4269" s="293">
        <v>474.01</v>
      </c>
      <c r="F4269" s="294" t="s">
        <v>391</v>
      </c>
    </row>
    <row r="4270" spans="1:6" hidden="1" outlineLevel="1" collapsed="1" x14ac:dyDescent="0.25">
      <c r="A4270" s="321" t="s">
        <v>282</v>
      </c>
      <c r="B4270" s="321" t="s">
        <v>392</v>
      </c>
      <c r="C4270" s="293">
        <v>233.53919999999999</v>
      </c>
      <c r="D4270" s="293">
        <v>182.88</v>
      </c>
      <c r="E4270" s="293">
        <v>-50.659199999999998</v>
      </c>
      <c r="F4270" s="294" t="s">
        <v>368</v>
      </c>
    </row>
    <row r="4271" spans="1:6" hidden="1" outlineLevel="1" collapsed="1" x14ac:dyDescent="0.25">
      <c r="A4271" s="321" t="s">
        <v>282</v>
      </c>
      <c r="B4271" s="321" t="s">
        <v>393</v>
      </c>
      <c r="C4271" s="293">
        <v>19.433496000000002</v>
      </c>
      <c r="D4271" s="293">
        <v>20.011056</v>
      </c>
      <c r="E4271" s="293">
        <v>0.57755999999999996</v>
      </c>
      <c r="F4271" s="294" t="s">
        <v>553</v>
      </c>
    </row>
    <row r="4272" spans="1:6" hidden="1" outlineLevel="1" collapsed="1" x14ac:dyDescent="0.25">
      <c r="A4272" s="321" t="s">
        <v>282</v>
      </c>
      <c r="B4272" s="321" t="s">
        <v>394</v>
      </c>
      <c r="C4272" s="293">
        <v>1500</v>
      </c>
      <c r="D4272" s="293">
        <v>0</v>
      </c>
      <c r="E4272" s="293">
        <v>-1500</v>
      </c>
      <c r="F4272" s="294" t="s">
        <v>286</v>
      </c>
    </row>
    <row r="4273" spans="1:6" hidden="1" outlineLevel="1" collapsed="1" x14ac:dyDescent="0.25">
      <c r="A4273" s="321" t="s">
        <v>282</v>
      </c>
      <c r="B4273" s="321" t="s">
        <v>395</v>
      </c>
      <c r="C4273" s="293">
        <v>0</v>
      </c>
      <c r="D4273" s="293">
        <v>1500</v>
      </c>
      <c r="E4273" s="293">
        <v>1500</v>
      </c>
      <c r="F4273" s="294" t="s">
        <v>298</v>
      </c>
    </row>
    <row r="4274" spans="1:6" hidden="1" outlineLevel="1" collapsed="1" x14ac:dyDescent="0.25">
      <c r="A4274" s="321" t="s">
        <v>282</v>
      </c>
      <c r="B4274" s="321" t="s">
        <v>396</v>
      </c>
      <c r="C4274" s="293">
        <v>49.68</v>
      </c>
      <c r="D4274" s="293">
        <v>0</v>
      </c>
      <c r="E4274" s="293">
        <v>-49.68</v>
      </c>
      <c r="F4274" s="294" t="s">
        <v>286</v>
      </c>
    </row>
    <row r="4275" spans="1:6" hidden="1" outlineLevel="1" collapsed="1" x14ac:dyDescent="0.25">
      <c r="A4275" s="321" t="s">
        <v>282</v>
      </c>
      <c r="B4275" s="321" t="s">
        <v>397</v>
      </c>
      <c r="C4275" s="293">
        <v>0</v>
      </c>
      <c r="D4275" s="293">
        <v>48.48</v>
      </c>
      <c r="E4275" s="293">
        <v>48.48</v>
      </c>
      <c r="F4275" s="294" t="s">
        <v>298</v>
      </c>
    </row>
    <row r="4276" spans="1:6" hidden="1" outlineLevel="1" collapsed="1" x14ac:dyDescent="0.25">
      <c r="A4276" s="321" t="s">
        <v>282</v>
      </c>
      <c r="B4276" s="321" t="s">
        <v>398</v>
      </c>
      <c r="C4276" s="293">
        <v>24</v>
      </c>
      <c r="D4276" s="293">
        <v>11.04</v>
      </c>
      <c r="E4276" s="293">
        <v>-12.96</v>
      </c>
      <c r="F4276" s="294" t="s">
        <v>374</v>
      </c>
    </row>
    <row r="4277" spans="1:6" collapsed="1" x14ac:dyDescent="0.25">
      <c r="A4277" s="560" t="s">
        <v>1613</v>
      </c>
      <c r="B4277" s="561"/>
      <c r="C4277" s="292">
        <v>1925</v>
      </c>
      <c r="D4277" s="293">
        <v>15000</v>
      </c>
      <c r="E4277" s="293">
        <v>13075</v>
      </c>
      <c r="F4277" s="294" t="s">
        <v>1614</v>
      </c>
    </row>
    <row r="4278" spans="1:6" hidden="1" outlineLevel="1" collapsed="1" x14ac:dyDescent="0.25">
      <c r="A4278" s="321" t="s">
        <v>282</v>
      </c>
      <c r="B4278" s="321" t="s">
        <v>843</v>
      </c>
      <c r="C4278" s="293">
        <v>1925</v>
      </c>
      <c r="D4278" s="293">
        <v>15000</v>
      </c>
      <c r="E4278" s="293">
        <v>13075</v>
      </c>
      <c r="F4278" s="294" t="s">
        <v>1614</v>
      </c>
    </row>
    <row r="4279" spans="1:6" collapsed="1" x14ac:dyDescent="0.25">
      <c r="A4279" s="560" t="s">
        <v>1615</v>
      </c>
      <c r="B4279" s="561"/>
      <c r="C4279" s="292">
        <v>10154</v>
      </c>
      <c r="D4279" s="293">
        <v>34331</v>
      </c>
      <c r="E4279" s="293">
        <v>24177</v>
      </c>
      <c r="F4279" s="294" t="s">
        <v>1616</v>
      </c>
    </row>
    <row r="4280" spans="1:6" hidden="1" outlineLevel="1" collapsed="1" x14ac:dyDescent="0.25">
      <c r="A4280" s="321" t="s">
        <v>282</v>
      </c>
      <c r="B4280" s="321" t="s">
        <v>1090</v>
      </c>
      <c r="C4280" s="293">
        <v>0</v>
      </c>
      <c r="D4280" s="293">
        <v>23073</v>
      </c>
      <c r="E4280" s="293">
        <v>23073</v>
      </c>
      <c r="F4280" s="294" t="s">
        <v>298</v>
      </c>
    </row>
    <row r="4281" spans="1:6" hidden="1" outlineLevel="1" collapsed="1" x14ac:dyDescent="0.25">
      <c r="A4281" s="321" t="s">
        <v>282</v>
      </c>
      <c r="B4281" s="321" t="s">
        <v>1083</v>
      </c>
      <c r="C4281" s="293">
        <v>9654</v>
      </c>
      <c r="D4281" s="293">
        <v>11258</v>
      </c>
      <c r="E4281" s="293">
        <v>1604</v>
      </c>
      <c r="F4281" s="294" t="s">
        <v>1617</v>
      </c>
    </row>
    <row r="4282" spans="1:6" hidden="1" outlineLevel="1" collapsed="1" x14ac:dyDescent="0.25">
      <c r="A4282" s="321" t="s">
        <v>282</v>
      </c>
      <c r="B4282" s="321" t="s">
        <v>405</v>
      </c>
      <c r="C4282" s="293">
        <v>500</v>
      </c>
      <c r="D4282" s="293">
        <v>0</v>
      </c>
      <c r="E4282" s="293">
        <v>-500</v>
      </c>
      <c r="F4282" s="294" t="s">
        <v>286</v>
      </c>
    </row>
    <row r="4283" spans="1:6" collapsed="1" x14ac:dyDescent="0.25">
      <c r="A4283" s="560" t="s">
        <v>332</v>
      </c>
      <c r="B4283" s="561"/>
      <c r="C4283" s="292">
        <v>0</v>
      </c>
      <c r="D4283" s="293">
        <v>69639</v>
      </c>
      <c r="E4283" s="293">
        <v>69639</v>
      </c>
      <c r="F4283" s="294" t="s">
        <v>298</v>
      </c>
    </row>
    <row r="4284" spans="1:6" hidden="1" outlineLevel="1" collapsed="1" x14ac:dyDescent="0.25">
      <c r="A4284" s="321" t="s">
        <v>282</v>
      </c>
      <c r="B4284" s="321" t="s">
        <v>1090</v>
      </c>
      <c r="C4284" s="293">
        <v>0</v>
      </c>
      <c r="D4284" s="293">
        <v>69639</v>
      </c>
      <c r="E4284" s="293">
        <v>69639</v>
      </c>
      <c r="F4284" s="294" t="s">
        <v>298</v>
      </c>
    </row>
    <row r="4285" spans="1:6" collapsed="1" x14ac:dyDescent="0.25">
      <c r="A4285" s="560" t="s">
        <v>1618</v>
      </c>
      <c r="B4285" s="561"/>
      <c r="C4285" s="292">
        <v>10000</v>
      </c>
      <c r="D4285" s="293">
        <v>10000</v>
      </c>
      <c r="E4285" s="293">
        <v>0</v>
      </c>
      <c r="F4285" s="294" t="s">
        <v>316</v>
      </c>
    </row>
    <row r="4286" spans="1:6" hidden="1" outlineLevel="1" collapsed="1" x14ac:dyDescent="0.25">
      <c r="A4286" s="321" t="s">
        <v>282</v>
      </c>
      <c r="B4286" s="321" t="s">
        <v>376</v>
      </c>
      <c r="C4286" s="293">
        <v>10000</v>
      </c>
      <c r="D4286" s="293">
        <v>10000</v>
      </c>
      <c r="E4286" s="293">
        <v>0</v>
      </c>
      <c r="F4286" s="294" t="s">
        <v>316</v>
      </c>
    </row>
    <row r="4287" spans="1:6" collapsed="1" x14ac:dyDescent="0.25">
      <c r="A4287" s="560" t="s">
        <v>334</v>
      </c>
      <c r="B4287" s="561"/>
      <c r="C4287" s="292">
        <v>709883</v>
      </c>
      <c r="D4287" s="293">
        <v>703215</v>
      </c>
      <c r="E4287" s="293">
        <v>-6668</v>
      </c>
      <c r="F4287" s="294" t="s">
        <v>1619</v>
      </c>
    </row>
    <row r="4288" spans="1:6" hidden="1" outlineLevel="1" collapsed="1" x14ac:dyDescent="0.25">
      <c r="A4288" s="321" t="s">
        <v>282</v>
      </c>
      <c r="B4288" s="321" t="s">
        <v>1087</v>
      </c>
      <c r="C4288" s="293">
        <v>70031</v>
      </c>
      <c r="D4288" s="293">
        <v>71803</v>
      </c>
      <c r="E4288" s="293">
        <v>1772</v>
      </c>
      <c r="F4288" s="294" t="s">
        <v>1620</v>
      </c>
    </row>
    <row r="4289" spans="1:6" hidden="1" outlineLevel="1" collapsed="1" x14ac:dyDescent="0.25">
      <c r="A4289" s="321" t="s">
        <v>282</v>
      </c>
      <c r="B4289" s="321" t="s">
        <v>1090</v>
      </c>
      <c r="C4289" s="293">
        <v>371301</v>
      </c>
      <c r="D4289" s="293">
        <v>422589</v>
      </c>
      <c r="E4289" s="293">
        <v>51288</v>
      </c>
      <c r="F4289" s="294" t="s">
        <v>2283</v>
      </c>
    </row>
    <row r="4290" spans="1:6" hidden="1" outlineLevel="1" collapsed="1" x14ac:dyDescent="0.25">
      <c r="A4290" s="321" t="s">
        <v>282</v>
      </c>
      <c r="B4290" s="321" t="s">
        <v>1083</v>
      </c>
      <c r="C4290" s="293">
        <v>198944</v>
      </c>
      <c r="D4290" s="293">
        <v>163898</v>
      </c>
      <c r="E4290" s="293">
        <v>-35046</v>
      </c>
      <c r="F4290" s="294" t="s">
        <v>1622</v>
      </c>
    </row>
    <row r="4291" spans="1:6" hidden="1" outlineLevel="1" collapsed="1" x14ac:dyDescent="0.25">
      <c r="A4291" s="321" t="s">
        <v>282</v>
      </c>
      <c r="B4291" s="321" t="s">
        <v>843</v>
      </c>
      <c r="C4291" s="293">
        <v>69607</v>
      </c>
      <c r="D4291" s="293">
        <v>44925</v>
      </c>
      <c r="E4291" s="293">
        <v>-24682</v>
      </c>
      <c r="F4291" s="294" t="s">
        <v>2284</v>
      </c>
    </row>
    <row r="4292" spans="1:6" collapsed="1" x14ac:dyDescent="0.25">
      <c r="A4292" s="560" t="s">
        <v>1624</v>
      </c>
      <c r="B4292" s="561"/>
      <c r="C4292" s="292">
        <v>264013.24408700003</v>
      </c>
      <c r="D4292" s="293">
        <v>276273.43592000002</v>
      </c>
      <c r="E4292" s="293">
        <v>12260.191833000001</v>
      </c>
      <c r="F4292" s="294" t="s">
        <v>2285</v>
      </c>
    </row>
    <row r="4293" spans="1:6" hidden="1" outlineLevel="1" collapsed="1" x14ac:dyDescent="0.25">
      <c r="A4293" s="321" t="s">
        <v>282</v>
      </c>
      <c r="B4293" s="321" t="s">
        <v>942</v>
      </c>
      <c r="C4293" s="293">
        <v>118807.630112</v>
      </c>
      <c r="D4293" s="293">
        <v>120589.744303</v>
      </c>
      <c r="E4293" s="293">
        <v>1782.1141909999999</v>
      </c>
      <c r="F4293" s="294" t="s">
        <v>510</v>
      </c>
    </row>
    <row r="4294" spans="1:6" hidden="1" outlineLevel="1" collapsed="1" x14ac:dyDescent="0.25">
      <c r="A4294" s="321" t="s">
        <v>282</v>
      </c>
      <c r="B4294" s="321" t="s">
        <v>464</v>
      </c>
      <c r="C4294" s="293">
        <v>62011.147676000001</v>
      </c>
      <c r="D4294" s="293">
        <v>63856.717111999998</v>
      </c>
      <c r="E4294" s="293">
        <v>1845.569436</v>
      </c>
      <c r="F4294" s="294" t="s">
        <v>381</v>
      </c>
    </row>
    <row r="4295" spans="1:6" hidden="1" outlineLevel="1" collapsed="1" x14ac:dyDescent="0.25">
      <c r="A4295" s="321" t="s">
        <v>282</v>
      </c>
      <c r="B4295" s="321" t="s">
        <v>384</v>
      </c>
      <c r="C4295" s="293">
        <v>22627.492232000001</v>
      </c>
      <c r="D4295" s="293">
        <v>0</v>
      </c>
      <c r="E4295" s="293">
        <v>-22627.492232000001</v>
      </c>
      <c r="F4295" s="294" t="s">
        <v>286</v>
      </c>
    </row>
    <row r="4296" spans="1:6" hidden="1" outlineLevel="1" collapsed="1" x14ac:dyDescent="0.25">
      <c r="A4296" s="321" t="s">
        <v>282</v>
      </c>
      <c r="B4296" s="321" t="s">
        <v>385</v>
      </c>
      <c r="C4296" s="293">
        <v>0</v>
      </c>
      <c r="D4296" s="293">
        <v>28498.835419999999</v>
      </c>
      <c r="E4296" s="293">
        <v>28498.835419999999</v>
      </c>
      <c r="F4296" s="294" t="s">
        <v>298</v>
      </c>
    </row>
    <row r="4297" spans="1:6" hidden="1" outlineLevel="1" collapsed="1" x14ac:dyDescent="0.25">
      <c r="A4297" s="321" t="s">
        <v>282</v>
      </c>
      <c r="B4297" s="321" t="s">
        <v>386</v>
      </c>
      <c r="C4297" s="293">
        <v>11237.920206999999</v>
      </c>
      <c r="D4297" s="293">
        <v>0</v>
      </c>
      <c r="E4297" s="293">
        <v>-11237.920206999999</v>
      </c>
      <c r="F4297" s="294" t="s">
        <v>286</v>
      </c>
    </row>
    <row r="4298" spans="1:6" hidden="1" outlineLevel="1" collapsed="1" x14ac:dyDescent="0.25">
      <c r="A4298" s="321" t="s">
        <v>282</v>
      </c>
      <c r="B4298" s="321" t="s">
        <v>387</v>
      </c>
      <c r="C4298" s="293">
        <v>0</v>
      </c>
      <c r="D4298" s="293">
        <v>11462.836590999999</v>
      </c>
      <c r="E4298" s="293">
        <v>11462.836590999999</v>
      </c>
      <c r="F4298" s="294" t="s">
        <v>298</v>
      </c>
    </row>
    <row r="4299" spans="1:6" hidden="1" outlineLevel="1" collapsed="1" x14ac:dyDescent="0.25">
      <c r="A4299" s="321" t="s">
        <v>282</v>
      </c>
      <c r="B4299" s="321" t="s">
        <v>388</v>
      </c>
      <c r="C4299" s="293">
        <v>2628.2232650000001</v>
      </c>
      <c r="D4299" s="293">
        <v>2680.8246720000002</v>
      </c>
      <c r="E4299" s="293">
        <v>52.601407000000002</v>
      </c>
      <c r="F4299" s="294" t="s">
        <v>1625</v>
      </c>
    </row>
    <row r="4300" spans="1:6" hidden="1" outlineLevel="1" collapsed="1" x14ac:dyDescent="0.25">
      <c r="A4300" s="321" t="s">
        <v>282</v>
      </c>
      <c r="B4300" s="321" t="s">
        <v>389</v>
      </c>
      <c r="C4300" s="293">
        <v>737.19590400000004</v>
      </c>
      <c r="D4300" s="293">
        <v>730.12919999999997</v>
      </c>
      <c r="E4300" s="293">
        <v>-7.0667039999999997</v>
      </c>
      <c r="F4300" s="294" t="s">
        <v>364</v>
      </c>
    </row>
    <row r="4301" spans="1:6" hidden="1" outlineLevel="1" collapsed="1" x14ac:dyDescent="0.25">
      <c r="A4301" s="321" t="s">
        <v>282</v>
      </c>
      <c r="B4301" s="321" t="s">
        <v>390</v>
      </c>
      <c r="C4301" s="293">
        <v>26789.517100000001</v>
      </c>
      <c r="D4301" s="293">
        <v>27609.554400000001</v>
      </c>
      <c r="E4301" s="293">
        <v>820.03729999999996</v>
      </c>
      <c r="F4301" s="294" t="s">
        <v>391</v>
      </c>
    </row>
    <row r="4302" spans="1:6" hidden="1" outlineLevel="1" collapsed="1" x14ac:dyDescent="0.25">
      <c r="A4302" s="321" t="s">
        <v>282</v>
      </c>
      <c r="B4302" s="321" t="s">
        <v>392</v>
      </c>
      <c r="C4302" s="293">
        <v>404.02281599999998</v>
      </c>
      <c r="D4302" s="293">
        <v>316.38240000000002</v>
      </c>
      <c r="E4302" s="293">
        <v>-87.640416000000002</v>
      </c>
      <c r="F4302" s="294" t="s">
        <v>368</v>
      </c>
    </row>
    <row r="4303" spans="1:6" hidden="1" outlineLevel="1" collapsed="1" x14ac:dyDescent="0.25">
      <c r="A4303" s="321" t="s">
        <v>282</v>
      </c>
      <c r="B4303" s="321" t="s">
        <v>393</v>
      </c>
      <c r="C4303" s="293">
        <v>90.628375000000005</v>
      </c>
      <c r="D4303" s="293">
        <v>92.442222000000001</v>
      </c>
      <c r="E4303" s="293">
        <v>1.813847</v>
      </c>
      <c r="F4303" s="294" t="s">
        <v>1625</v>
      </c>
    </row>
    <row r="4304" spans="1:6" hidden="1" outlineLevel="1" collapsed="1" x14ac:dyDescent="0.25">
      <c r="A4304" s="321" t="s">
        <v>282</v>
      </c>
      <c r="B4304" s="321" t="s">
        <v>394</v>
      </c>
      <c r="C4304" s="293">
        <v>2595</v>
      </c>
      <c r="D4304" s="293">
        <v>0</v>
      </c>
      <c r="E4304" s="293">
        <v>-2595</v>
      </c>
      <c r="F4304" s="294" t="s">
        <v>286</v>
      </c>
    </row>
    <row r="4305" spans="1:6" hidden="1" outlineLevel="1" collapsed="1" x14ac:dyDescent="0.25">
      <c r="A4305" s="321" t="s">
        <v>282</v>
      </c>
      <c r="B4305" s="321" t="s">
        <v>395</v>
      </c>
      <c r="C4305" s="293">
        <v>0</v>
      </c>
      <c r="D4305" s="293">
        <v>2595</v>
      </c>
      <c r="E4305" s="293">
        <v>2595</v>
      </c>
      <c r="F4305" s="294" t="s">
        <v>298</v>
      </c>
    </row>
    <row r="4306" spans="1:6" hidden="1" outlineLevel="1" collapsed="1" x14ac:dyDescent="0.25">
      <c r="A4306" s="321" t="s">
        <v>282</v>
      </c>
      <c r="B4306" s="321" t="s">
        <v>396</v>
      </c>
      <c r="C4306" s="293">
        <v>85.946399999999997</v>
      </c>
      <c r="D4306" s="293">
        <v>0</v>
      </c>
      <c r="E4306" s="293">
        <v>-85.946399999999997</v>
      </c>
      <c r="F4306" s="294" t="s">
        <v>286</v>
      </c>
    </row>
    <row r="4307" spans="1:6" hidden="1" outlineLevel="1" collapsed="1" x14ac:dyDescent="0.25">
      <c r="A4307" s="321" t="s">
        <v>282</v>
      </c>
      <c r="B4307" s="321" t="s">
        <v>397</v>
      </c>
      <c r="C4307" s="293">
        <v>0</v>
      </c>
      <c r="D4307" s="293">
        <v>83.870400000000004</v>
      </c>
      <c r="E4307" s="293">
        <v>83.870400000000004</v>
      </c>
      <c r="F4307" s="294" t="s">
        <v>298</v>
      </c>
    </row>
    <row r="4308" spans="1:6" hidden="1" outlineLevel="1" collapsed="1" x14ac:dyDescent="0.25">
      <c r="A4308" s="321" t="s">
        <v>282</v>
      </c>
      <c r="B4308" s="321" t="s">
        <v>398</v>
      </c>
      <c r="C4308" s="293">
        <v>41.52</v>
      </c>
      <c r="D4308" s="293">
        <v>19.0992</v>
      </c>
      <c r="E4308" s="293">
        <v>-22.4208</v>
      </c>
      <c r="F4308" s="294" t="s">
        <v>374</v>
      </c>
    </row>
    <row r="4309" spans="1:6" hidden="1" outlineLevel="1" collapsed="1" x14ac:dyDescent="0.25">
      <c r="A4309" s="321" t="s">
        <v>282</v>
      </c>
      <c r="B4309" s="321" t="s">
        <v>399</v>
      </c>
      <c r="C4309" s="293">
        <v>0</v>
      </c>
      <c r="D4309" s="293">
        <v>0</v>
      </c>
      <c r="E4309" s="293">
        <v>0</v>
      </c>
      <c r="F4309" s="294" t="s">
        <v>316</v>
      </c>
    </row>
    <row r="4310" spans="1:6" hidden="1" outlineLevel="1" collapsed="1" x14ac:dyDescent="0.25">
      <c r="A4310" s="321" t="s">
        <v>282</v>
      </c>
      <c r="B4310" s="321" t="s">
        <v>376</v>
      </c>
      <c r="C4310" s="293">
        <v>2700</v>
      </c>
      <c r="D4310" s="293">
        <v>2700</v>
      </c>
      <c r="E4310" s="293">
        <v>0</v>
      </c>
      <c r="F4310" s="294" t="s">
        <v>316</v>
      </c>
    </row>
    <row r="4311" spans="1:6" hidden="1" outlineLevel="1" collapsed="1" x14ac:dyDescent="0.25">
      <c r="A4311" s="321" t="s">
        <v>282</v>
      </c>
      <c r="B4311" s="321" t="s">
        <v>567</v>
      </c>
      <c r="C4311" s="293">
        <v>5219</v>
      </c>
      <c r="D4311" s="293">
        <v>5500</v>
      </c>
      <c r="E4311" s="293">
        <v>281</v>
      </c>
      <c r="F4311" s="294" t="s">
        <v>1626</v>
      </c>
    </row>
    <row r="4312" spans="1:6" hidden="1" outlineLevel="1" collapsed="1" x14ac:dyDescent="0.25">
      <c r="A4312" s="321" t="s">
        <v>282</v>
      </c>
      <c r="B4312" s="321" t="s">
        <v>426</v>
      </c>
      <c r="C4312" s="293">
        <v>2600</v>
      </c>
      <c r="D4312" s="293">
        <v>2100</v>
      </c>
      <c r="E4312" s="293">
        <v>-500</v>
      </c>
      <c r="F4312" s="294" t="s">
        <v>1627</v>
      </c>
    </row>
    <row r="4313" spans="1:6" hidden="1" outlineLevel="1" collapsed="1" x14ac:dyDescent="0.25">
      <c r="A4313" s="321" t="s">
        <v>282</v>
      </c>
      <c r="B4313" s="321" t="s">
        <v>952</v>
      </c>
      <c r="C4313" s="293">
        <v>438</v>
      </c>
      <c r="D4313" s="293">
        <v>438</v>
      </c>
      <c r="E4313" s="293">
        <v>0</v>
      </c>
      <c r="F4313" s="294" t="s">
        <v>316</v>
      </c>
    </row>
    <row r="4314" spans="1:6" hidden="1" outlineLevel="1" collapsed="1" x14ac:dyDescent="0.25">
      <c r="A4314" s="321" t="s">
        <v>282</v>
      </c>
      <c r="B4314" s="321" t="s">
        <v>405</v>
      </c>
      <c r="C4314" s="293">
        <v>5000</v>
      </c>
      <c r="D4314" s="293">
        <v>7000</v>
      </c>
      <c r="E4314" s="293">
        <v>2000</v>
      </c>
      <c r="F4314" s="294" t="s">
        <v>1380</v>
      </c>
    </row>
    <row r="4315" spans="1:6" collapsed="1" x14ac:dyDescent="0.25">
      <c r="A4315" s="560" t="s">
        <v>1628</v>
      </c>
      <c r="B4315" s="561"/>
      <c r="C4315" s="292">
        <v>98062.403265000001</v>
      </c>
      <c r="D4315" s="293">
        <v>101762.32885999999</v>
      </c>
      <c r="E4315" s="293">
        <v>3699.9255950000002</v>
      </c>
      <c r="F4315" s="294" t="s">
        <v>1329</v>
      </c>
    </row>
    <row r="4316" spans="1:6" hidden="1" outlineLevel="1" collapsed="1" x14ac:dyDescent="0.25">
      <c r="A4316" s="321" t="s">
        <v>282</v>
      </c>
      <c r="B4316" s="321" t="s">
        <v>942</v>
      </c>
      <c r="C4316" s="293">
        <v>71603.985851000005</v>
      </c>
      <c r="D4316" s="293">
        <v>72678.044391999996</v>
      </c>
      <c r="E4316" s="293">
        <v>1074.0585410000001</v>
      </c>
      <c r="F4316" s="294" t="s">
        <v>510</v>
      </c>
    </row>
    <row r="4317" spans="1:6" hidden="1" outlineLevel="1" collapsed="1" x14ac:dyDescent="0.25">
      <c r="A4317" s="321" t="s">
        <v>282</v>
      </c>
      <c r="B4317" s="321" t="s">
        <v>384</v>
      </c>
      <c r="C4317" s="293">
        <v>9007.7814139999991</v>
      </c>
      <c r="D4317" s="293">
        <v>0</v>
      </c>
      <c r="E4317" s="293">
        <v>-9007.7814139999991</v>
      </c>
      <c r="F4317" s="294" t="s">
        <v>286</v>
      </c>
    </row>
    <row r="4318" spans="1:6" hidden="1" outlineLevel="1" collapsed="1" x14ac:dyDescent="0.25">
      <c r="A4318" s="321" t="s">
        <v>282</v>
      </c>
      <c r="B4318" s="321" t="s">
        <v>385</v>
      </c>
      <c r="C4318" s="293">
        <v>0</v>
      </c>
      <c r="D4318" s="293">
        <v>11287.627073</v>
      </c>
      <c r="E4318" s="293">
        <v>11287.627073</v>
      </c>
      <c r="F4318" s="294" t="s">
        <v>298</v>
      </c>
    </row>
    <row r="4319" spans="1:6" hidden="1" outlineLevel="1" collapsed="1" x14ac:dyDescent="0.25">
      <c r="A4319" s="321" t="s">
        <v>282</v>
      </c>
      <c r="B4319" s="321" t="s">
        <v>386</v>
      </c>
      <c r="C4319" s="293">
        <v>4463.6271189999998</v>
      </c>
      <c r="D4319" s="293">
        <v>0</v>
      </c>
      <c r="E4319" s="293">
        <v>-4463.6271189999998</v>
      </c>
      <c r="F4319" s="294" t="s">
        <v>286</v>
      </c>
    </row>
    <row r="4320" spans="1:6" hidden="1" outlineLevel="1" collapsed="1" x14ac:dyDescent="0.25">
      <c r="A4320" s="321" t="s">
        <v>282</v>
      </c>
      <c r="B4320" s="321" t="s">
        <v>387</v>
      </c>
      <c r="C4320" s="293">
        <v>0</v>
      </c>
      <c r="D4320" s="293">
        <v>4530.2187450000001</v>
      </c>
      <c r="E4320" s="293">
        <v>4530.2187450000001</v>
      </c>
      <c r="F4320" s="294" t="s">
        <v>298</v>
      </c>
    </row>
    <row r="4321" spans="1:6" hidden="1" outlineLevel="1" collapsed="1" x14ac:dyDescent="0.25">
      <c r="A4321" s="321" t="s">
        <v>282</v>
      </c>
      <c r="B4321" s="321" t="s">
        <v>388</v>
      </c>
      <c r="C4321" s="293">
        <v>1043.912789</v>
      </c>
      <c r="D4321" s="293">
        <v>1059.4866360000001</v>
      </c>
      <c r="E4321" s="293">
        <v>15.573847000000001</v>
      </c>
      <c r="F4321" s="294" t="s">
        <v>781</v>
      </c>
    </row>
    <row r="4322" spans="1:6" hidden="1" outlineLevel="1" collapsed="1" x14ac:dyDescent="0.25">
      <c r="A4322" s="321" t="s">
        <v>282</v>
      </c>
      <c r="B4322" s="321" t="s">
        <v>389</v>
      </c>
      <c r="C4322" s="293">
        <v>276.98111999999998</v>
      </c>
      <c r="D4322" s="293">
        <v>274.32600000000002</v>
      </c>
      <c r="E4322" s="293">
        <v>-2.6551200000000001</v>
      </c>
      <c r="F4322" s="294" t="s">
        <v>364</v>
      </c>
    </row>
    <row r="4323" spans="1:6" hidden="1" outlineLevel="1" collapsed="1" x14ac:dyDescent="0.25">
      <c r="A4323" s="321" t="s">
        <v>282</v>
      </c>
      <c r="B4323" s="321" t="s">
        <v>390</v>
      </c>
      <c r="C4323" s="293">
        <v>10065.425499999999</v>
      </c>
      <c r="D4323" s="293">
        <v>10373.531999999999</v>
      </c>
      <c r="E4323" s="293">
        <v>308.10649999999998</v>
      </c>
      <c r="F4323" s="294" t="s">
        <v>391</v>
      </c>
    </row>
    <row r="4324" spans="1:6" hidden="1" outlineLevel="1" collapsed="1" x14ac:dyDescent="0.25">
      <c r="A4324" s="321" t="s">
        <v>282</v>
      </c>
      <c r="B4324" s="321" t="s">
        <v>392</v>
      </c>
      <c r="C4324" s="293">
        <v>151.80047999999999</v>
      </c>
      <c r="D4324" s="293">
        <v>118.872</v>
      </c>
      <c r="E4324" s="293">
        <v>-32.92848</v>
      </c>
      <c r="F4324" s="294" t="s">
        <v>368</v>
      </c>
    </row>
    <row r="4325" spans="1:6" hidden="1" outlineLevel="1" collapsed="1" x14ac:dyDescent="0.25">
      <c r="A4325" s="321" t="s">
        <v>282</v>
      </c>
      <c r="B4325" s="321" t="s">
        <v>393</v>
      </c>
      <c r="C4325" s="293">
        <v>35.996991999999999</v>
      </c>
      <c r="D4325" s="293">
        <v>36.534013999999999</v>
      </c>
      <c r="E4325" s="293">
        <v>0.537022</v>
      </c>
      <c r="F4325" s="294" t="s">
        <v>781</v>
      </c>
    </row>
    <row r="4326" spans="1:6" hidden="1" outlineLevel="1" collapsed="1" x14ac:dyDescent="0.25">
      <c r="A4326" s="321" t="s">
        <v>282</v>
      </c>
      <c r="B4326" s="321" t="s">
        <v>394</v>
      </c>
      <c r="C4326" s="293">
        <v>975</v>
      </c>
      <c r="D4326" s="293">
        <v>0</v>
      </c>
      <c r="E4326" s="293">
        <v>-975</v>
      </c>
      <c r="F4326" s="294" t="s">
        <v>286</v>
      </c>
    </row>
    <row r="4327" spans="1:6" hidden="1" outlineLevel="1" collapsed="1" x14ac:dyDescent="0.25">
      <c r="A4327" s="321" t="s">
        <v>282</v>
      </c>
      <c r="B4327" s="321" t="s">
        <v>395</v>
      </c>
      <c r="C4327" s="293">
        <v>0</v>
      </c>
      <c r="D4327" s="293">
        <v>975</v>
      </c>
      <c r="E4327" s="293">
        <v>975</v>
      </c>
      <c r="F4327" s="294" t="s">
        <v>298</v>
      </c>
    </row>
    <row r="4328" spans="1:6" hidden="1" outlineLevel="1" collapsed="1" x14ac:dyDescent="0.25">
      <c r="A4328" s="321" t="s">
        <v>282</v>
      </c>
      <c r="B4328" s="321" t="s">
        <v>396</v>
      </c>
      <c r="C4328" s="293">
        <v>32.292000000000002</v>
      </c>
      <c r="D4328" s="293">
        <v>0</v>
      </c>
      <c r="E4328" s="293">
        <v>-32.292000000000002</v>
      </c>
      <c r="F4328" s="294" t="s">
        <v>286</v>
      </c>
    </row>
    <row r="4329" spans="1:6" hidden="1" outlineLevel="1" collapsed="1" x14ac:dyDescent="0.25">
      <c r="A4329" s="321" t="s">
        <v>282</v>
      </c>
      <c r="B4329" s="321" t="s">
        <v>397</v>
      </c>
      <c r="C4329" s="293">
        <v>0</v>
      </c>
      <c r="D4329" s="293">
        <v>31.512</v>
      </c>
      <c r="E4329" s="293">
        <v>31.512</v>
      </c>
      <c r="F4329" s="294" t="s">
        <v>298</v>
      </c>
    </row>
    <row r="4330" spans="1:6" hidden="1" outlineLevel="1" collapsed="1" x14ac:dyDescent="0.25">
      <c r="A4330" s="321" t="s">
        <v>282</v>
      </c>
      <c r="B4330" s="321" t="s">
        <v>398</v>
      </c>
      <c r="C4330" s="293">
        <v>15.6</v>
      </c>
      <c r="D4330" s="293">
        <v>7.1760000000000002</v>
      </c>
      <c r="E4330" s="293">
        <v>-8.4239999999999995</v>
      </c>
      <c r="F4330" s="294" t="s">
        <v>374</v>
      </c>
    </row>
    <row r="4331" spans="1:6" hidden="1" outlineLevel="1" collapsed="1" x14ac:dyDescent="0.25">
      <c r="A4331" s="321" t="s">
        <v>282</v>
      </c>
      <c r="B4331" s="321" t="s">
        <v>952</v>
      </c>
      <c r="C4331" s="293">
        <v>390</v>
      </c>
      <c r="D4331" s="293">
        <v>390</v>
      </c>
      <c r="E4331" s="293">
        <v>0</v>
      </c>
      <c r="F4331" s="294" t="s">
        <v>316</v>
      </c>
    </row>
    <row r="4332" spans="1:6" collapsed="1" x14ac:dyDescent="0.25">
      <c r="A4332" s="560" t="s">
        <v>1629</v>
      </c>
      <c r="B4332" s="561"/>
      <c r="C4332" s="292">
        <v>449768.522963</v>
      </c>
      <c r="D4332" s="293">
        <v>573384.27608800004</v>
      </c>
      <c r="E4332" s="293">
        <v>123615.753125</v>
      </c>
      <c r="F4332" s="294" t="s">
        <v>2286</v>
      </c>
    </row>
    <row r="4333" spans="1:6" hidden="1" outlineLevel="1" collapsed="1" x14ac:dyDescent="0.25">
      <c r="A4333" s="321" t="s">
        <v>282</v>
      </c>
      <c r="B4333" s="321" t="s">
        <v>1096</v>
      </c>
      <c r="C4333" s="293">
        <v>189553.438716</v>
      </c>
      <c r="D4333" s="293">
        <v>191239.63870800001</v>
      </c>
      <c r="E4333" s="293">
        <v>1686.1999920000001</v>
      </c>
      <c r="F4333" s="294" t="s">
        <v>1225</v>
      </c>
    </row>
    <row r="4334" spans="1:6" hidden="1" outlineLevel="1" collapsed="1" x14ac:dyDescent="0.25">
      <c r="A4334" s="321" t="s">
        <v>282</v>
      </c>
      <c r="B4334" s="321" t="s">
        <v>1097</v>
      </c>
      <c r="C4334" s="293">
        <v>73761.212018999999</v>
      </c>
      <c r="D4334" s="293">
        <v>78469.782552000004</v>
      </c>
      <c r="E4334" s="293">
        <v>4708.5705330000001</v>
      </c>
      <c r="F4334" s="294" t="s">
        <v>1631</v>
      </c>
    </row>
    <row r="4335" spans="1:6" hidden="1" outlineLevel="1" collapsed="1" x14ac:dyDescent="0.25">
      <c r="A4335" s="321" t="s">
        <v>282</v>
      </c>
      <c r="B4335" s="321" t="s">
        <v>475</v>
      </c>
      <c r="C4335" s="293">
        <v>2500</v>
      </c>
      <c r="D4335" s="293">
        <v>1000</v>
      </c>
      <c r="E4335" s="293">
        <v>-1500</v>
      </c>
      <c r="F4335" s="294" t="s">
        <v>1545</v>
      </c>
    </row>
    <row r="4336" spans="1:6" hidden="1" outlineLevel="1" collapsed="1" x14ac:dyDescent="0.25">
      <c r="A4336" s="321" t="s">
        <v>282</v>
      </c>
      <c r="B4336" s="321" t="s">
        <v>751</v>
      </c>
      <c r="C4336" s="293">
        <v>24587.953752000001</v>
      </c>
      <c r="D4336" s="293">
        <v>0</v>
      </c>
      <c r="E4336" s="293">
        <v>-24587.953752000001</v>
      </c>
      <c r="F4336" s="294" t="s">
        <v>286</v>
      </c>
    </row>
    <row r="4337" spans="1:6" hidden="1" outlineLevel="1" collapsed="1" x14ac:dyDescent="0.25">
      <c r="A4337" s="321" t="s">
        <v>282</v>
      </c>
      <c r="B4337" s="321" t="s">
        <v>752</v>
      </c>
      <c r="C4337" s="293">
        <v>0</v>
      </c>
      <c r="D4337" s="293">
        <v>27595.879860000001</v>
      </c>
      <c r="E4337" s="293">
        <v>27595.879860000001</v>
      </c>
      <c r="F4337" s="294" t="s">
        <v>298</v>
      </c>
    </row>
    <row r="4338" spans="1:6" hidden="1" outlineLevel="1" collapsed="1" x14ac:dyDescent="0.25">
      <c r="A4338" s="321" t="s">
        <v>282</v>
      </c>
      <c r="B4338" s="321" t="s">
        <v>384</v>
      </c>
      <c r="C4338" s="293">
        <v>9279.1604630000002</v>
      </c>
      <c r="D4338" s="293">
        <v>0</v>
      </c>
      <c r="E4338" s="293">
        <v>-9279.1604630000002</v>
      </c>
      <c r="F4338" s="294" t="s">
        <v>286</v>
      </c>
    </row>
    <row r="4339" spans="1:6" hidden="1" outlineLevel="1" collapsed="1" x14ac:dyDescent="0.25">
      <c r="A4339" s="321" t="s">
        <v>282</v>
      </c>
      <c r="B4339" s="321" t="s">
        <v>385</v>
      </c>
      <c r="C4339" s="293">
        <v>0</v>
      </c>
      <c r="D4339" s="293">
        <v>12187.14192</v>
      </c>
      <c r="E4339" s="293">
        <v>12187.14192</v>
      </c>
      <c r="F4339" s="294" t="s">
        <v>298</v>
      </c>
    </row>
    <row r="4340" spans="1:6" hidden="1" outlineLevel="1" collapsed="1" x14ac:dyDescent="0.25">
      <c r="A4340" s="321" t="s">
        <v>282</v>
      </c>
      <c r="B4340" s="321" t="s">
        <v>386</v>
      </c>
      <c r="C4340" s="293">
        <v>4573.1951429999999</v>
      </c>
      <c r="D4340" s="293">
        <v>0</v>
      </c>
      <c r="E4340" s="293">
        <v>-4573.1951429999999</v>
      </c>
      <c r="F4340" s="294" t="s">
        <v>286</v>
      </c>
    </row>
    <row r="4341" spans="1:6" hidden="1" outlineLevel="1" collapsed="1" x14ac:dyDescent="0.25">
      <c r="A4341" s="321" t="s">
        <v>282</v>
      </c>
      <c r="B4341" s="321" t="s">
        <v>387</v>
      </c>
      <c r="C4341" s="293">
        <v>0</v>
      </c>
      <c r="D4341" s="293">
        <v>4865.1265080000003</v>
      </c>
      <c r="E4341" s="293">
        <v>4865.1265080000003</v>
      </c>
      <c r="F4341" s="294" t="s">
        <v>298</v>
      </c>
    </row>
    <row r="4342" spans="1:6" hidden="1" outlineLevel="1" collapsed="1" x14ac:dyDescent="0.25">
      <c r="A4342" s="321" t="s">
        <v>282</v>
      </c>
      <c r="B4342" s="321" t="s">
        <v>388</v>
      </c>
      <c r="C4342" s="293">
        <v>1069.5375670000001</v>
      </c>
      <c r="D4342" s="293">
        <v>1137.8118360000001</v>
      </c>
      <c r="E4342" s="293">
        <v>68.274269000000004</v>
      </c>
      <c r="F4342" s="294" t="s">
        <v>1631</v>
      </c>
    </row>
    <row r="4343" spans="1:6" hidden="1" outlineLevel="1" collapsed="1" x14ac:dyDescent="0.25">
      <c r="A4343" s="321" t="s">
        <v>282</v>
      </c>
      <c r="B4343" s="321" t="s">
        <v>444</v>
      </c>
      <c r="C4343" s="293">
        <v>225</v>
      </c>
      <c r="D4343" s="293">
        <v>90</v>
      </c>
      <c r="E4343" s="293">
        <v>-135</v>
      </c>
      <c r="F4343" s="294" t="s">
        <v>1545</v>
      </c>
    </row>
    <row r="4344" spans="1:6" hidden="1" outlineLevel="1" collapsed="1" x14ac:dyDescent="0.25">
      <c r="A4344" s="321" t="s">
        <v>282</v>
      </c>
      <c r="B4344" s="321" t="s">
        <v>389</v>
      </c>
      <c r="C4344" s="293">
        <v>426.12479999999999</v>
      </c>
      <c r="D4344" s="293">
        <v>422.04</v>
      </c>
      <c r="E4344" s="293">
        <v>-4.0848000000000004</v>
      </c>
      <c r="F4344" s="294" t="s">
        <v>364</v>
      </c>
    </row>
    <row r="4345" spans="1:6" hidden="1" outlineLevel="1" collapsed="1" x14ac:dyDescent="0.25">
      <c r="A4345" s="321" t="s">
        <v>282</v>
      </c>
      <c r="B4345" s="321" t="s">
        <v>390</v>
      </c>
      <c r="C4345" s="293">
        <v>15485.27</v>
      </c>
      <c r="D4345" s="293">
        <v>15959.28</v>
      </c>
      <c r="E4345" s="293">
        <v>474.01</v>
      </c>
      <c r="F4345" s="294" t="s">
        <v>391</v>
      </c>
    </row>
    <row r="4346" spans="1:6" hidden="1" outlineLevel="1" collapsed="1" x14ac:dyDescent="0.25">
      <c r="A4346" s="321" t="s">
        <v>282</v>
      </c>
      <c r="B4346" s="321" t="s">
        <v>392</v>
      </c>
      <c r="C4346" s="293">
        <v>233.53919999999999</v>
      </c>
      <c r="D4346" s="293">
        <v>182.88</v>
      </c>
      <c r="E4346" s="293">
        <v>-50.659199999999998</v>
      </c>
      <c r="F4346" s="294" t="s">
        <v>368</v>
      </c>
    </row>
    <row r="4347" spans="1:6" hidden="1" outlineLevel="1" collapsed="1" x14ac:dyDescent="0.25">
      <c r="A4347" s="321" t="s">
        <v>282</v>
      </c>
      <c r="B4347" s="321" t="s">
        <v>754</v>
      </c>
      <c r="C4347" s="293">
        <v>15358.56</v>
      </c>
      <c r="D4347" s="293">
        <v>15959.28</v>
      </c>
      <c r="E4347" s="293">
        <v>600.72</v>
      </c>
      <c r="F4347" s="294" t="s">
        <v>366</v>
      </c>
    </row>
    <row r="4348" spans="1:6" hidden="1" outlineLevel="1" collapsed="1" x14ac:dyDescent="0.25">
      <c r="A4348" s="321" t="s">
        <v>282</v>
      </c>
      <c r="B4348" s="321" t="s">
        <v>755</v>
      </c>
      <c r="C4348" s="293">
        <v>426.12479999999999</v>
      </c>
      <c r="D4348" s="293">
        <v>422.04</v>
      </c>
      <c r="E4348" s="293">
        <v>-4.0848000000000004</v>
      </c>
      <c r="F4348" s="294" t="s">
        <v>364</v>
      </c>
    </row>
    <row r="4349" spans="1:6" hidden="1" outlineLevel="1" collapsed="1" x14ac:dyDescent="0.25">
      <c r="A4349" s="321" t="s">
        <v>282</v>
      </c>
      <c r="B4349" s="321" t="s">
        <v>756</v>
      </c>
      <c r="C4349" s="293">
        <v>233.53919999999999</v>
      </c>
      <c r="D4349" s="293">
        <v>182.88</v>
      </c>
      <c r="E4349" s="293">
        <v>-50.659199999999998</v>
      </c>
      <c r="F4349" s="294" t="s">
        <v>368</v>
      </c>
    </row>
    <row r="4350" spans="1:6" hidden="1" outlineLevel="1" collapsed="1" x14ac:dyDescent="0.25">
      <c r="A4350" s="321" t="s">
        <v>282</v>
      </c>
      <c r="B4350" s="321" t="s">
        <v>393</v>
      </c>
      <c r="C4350" s="293">
        <v>36.880595</v>
      </c>
      <c r="D4350" s="293">
        <v>39.234887999999998</v>
      </c>
      <c r="E4350" s="293">
        <v>2.3542930000000002</v>
      </c>
      <c r="F4350" s="294" t="s">
        <v>1631</v>
      </c>
    </row>
    <row r="4351" spans="1:6" hidden="1" outlineLevel="1" collapsed="1" x14ac:dyDescent="0.25">
      <c r="A4351" s="321" t="s">
        <v>282</v>
      </c>
      <c r="B4351" s="321" t="s">
        <v>757</v>
      </c>
      <c r="C4351" s="293">
        <v>100.806708</v>
      </c>
      <c r="D4351" s="293">
        <v>0</v>
      </c>
      <c r="E4351" s="293">
        <v>-100.806708</v>
      </c>
      <c r="F4351" s="294" t="s">
        <v>286</v>
      </c>
    </row>
    <row r="4352" spans="1:6" hidden="1" outlineLevel="1" collapsed="1" x14ac:dyDescent="0.25">
      <c r="A4352" s="321" t="s">
        <v>282</v>
      </c>
      <c r="B4352" s="321" t="s">
        <v>758</v>
      </c>
      <c r="C4352" s="293">
        <v>0</v>
      </c>
      <c r="D4352" s="293">
        <v>102.21981599999999</v>
      </c>
      <c r="E4352" s="293">
        <v>102.21981599999999</v>
      </c>
      <c r="F4352" s="294" t="s">
        <v>298</v>
      </c>
    </row>
    <row r="4353" spans="1:6" hidden="1" outlineLevel="1" collapsed="1" x14ac:dyDescent="0.25">
      <c r="A4353" s="321" t="s">
        <v>282</v>
      </c>
      <c r="B4353" s="321" t="s">
        <v>394</v>
      </c>
      <c r="C4353" s="293">
        <v>1500</v>
      </c>
      <c r="D4353" s="293">
        <v>0</v>
      </c>
      <c r="E4353" s="293">
        <v>-1500</v>
      </c>
      <c r="F4353" s="294" t="s">
        <v>286</v>
      </c>
    </row>
    <row r="4354" spans="1:6" hidden="1" outlineLevel="1" collapsed="1" x14ac:dyDescent="0.25">
      <c r="A4354" s="321" t="s">
        <v>282</v>
      </c>
      <c r="B4354" s="321" t="s">
        <v>395</v>
      </c>
      <c r="C4354" s="293">
        <v>0</v>
      </c>
      <c r="D4354" s="293">
        <v>1500</v>
      </c>
      <c r="E4354" s="293">
        <v>1500</v>
      </c>
      <c r="F4354" s="294" t="s">
        <v>298</v>
      </c>
    </row>
    <row r="4355" spans="1:6" hidden="1" outlineLevel="1" collapsed="1" x14ac:dyDescent="0.25">
      <c r="A4355" s="321" t="s">
        <v>282</v>
      </c>
      <c r="B4355" s="321" t="s">
        <v>759</v>
      </c>
      <c r="C4355" s="293">
        <v>1500</v>
      </c>
      <c r="D4355" s="293">
        <v>0</v>
      </c>
      <c r="E4355" s="293">
        <v>-1500</v>
      </c>
      <c r="F4355" s="294" t="s">
        <v>286</v>
      </c>
    </row>
    <row r="4356" spans="1:6" hidden="1" outlineLevel="1" collapsed="1" x14ac:dyDescent="0.25">
      <c r="A4356" s="321" t="s">
        <v>282</v>
      </c>
      <c r="B4356" s="321" t="s">
        <v>760</v>
      </c>
      <c r="C4356" s="293">
        <v>0</v>
      </c>
      <c r="D4356" s="293">
        <v>1500</v>
      </c>
      <c r="E4356" s="293">
        <v>1500</v>
      </c>
      <c r="F4356" s="294" t="s">
        <v>298</v>
      </c>
    </row>
    <row r="4357" spans="1:6" hidden="1" outlineLevel="1" collapsed="1" x14ac:dyDescent="0.25">
      <c r="A4357" s="321" t="s">
        <v>282</v>
      </c>
      <c r="B4357" s="321" t="s">
        <v>396</v>
      </c>
      <c r="C4357" s="293">
        <v>49.68</v>
      </c>
      <c r="D4357" s="293">
        <v>0</v>
      </c>
      <c r="E4357" s="293">
        <v>-49.68</v>
      </c>
      <c r="F4357" s="294" t="s">
        <v>286</v>
      </c>
    </row>
    <row r="4358" spans="1:6" hidden="1" outlineLevel="1" collapsed="1" x14ac:dyDescent="0.25">
      <c r="A4358" s="321" t="s">
        <v>282</v>
      </c>
      <c r="B4358" s="321" t="s">
        <v>397</v>
      </c>
      <c r="C4358" s="293">
        <v>0</v>
      </c>
      <c r="D4358" s="293">
        <v>48.48</v>
      </c>
      <c r="E4358" s="293">
        <v>48.48</v>
      </c>
      <c r="F4358" s="294" t="s">
        <v>298</v>
      </c>
    </row>
    <row r="4359" spans="1:6" hidden="1" outlineLevel="1" collapsed="1" x14ac:dyDescent="0.25">
      <c r="A4359" s="321" t="s">
        <v>282</v>
      </c>
      <c r="B4359" s="321" t="s">
        <v>761</v>
      </c>
      <c r="C4359" s="293">
        <v>49.68</v>
      </c>
      <c r="D4359" s="293">
        <v>0</v>
      </c>
      <c r="E4359" s="293">
        <v>-49.68</v>
      </c>
      <c r="F4359" s="294" t="s">
        <v>286</v>
      </c>
    </row>
    <row r="4360" spans="1:6" hidden="1" outlineLevel="1" collapsed="1" x14ac:dyDescent="0.25">
      <c r="A4360" s="321" t="s">
        <v>282</v>
      </c>
      <c r="B4360" s="321" t="s">
        <v>762</v>
      </c>
      <c r="C4360" s="293">
        <v>0</v>
      </c>
      <c r="D4360" s="293">
        <v>48.48</v>
      </c>
      <c r="E4360" s="293">
        <v>48.48</v>
      </c>
      <c r="F4360" s="294" t="s">
        <v>298</v>
      </c>
    </row>
    <row r="4361" spans="1:6" hidden="1" outlineLevel="1" collapsed="1" x14ac:dyDescent="0.25">
      <c r="A4361" s="321" t="s">
        <v>282</v>
      </c>
      <c r="B4361" s="321" t="s">
        <v>398</v>
      </c>
      <c r="C4361" s="293">
        <v>24</v>
      </c>
      <c r="D4361" s="293">
        <v>11.04</v>
      </c>
      <c r="E4361" s="293">
        <v>-12.96</v>
      </c>
      <c r="F4361" s="294" t="s">
        <v>374</v>
      </c>
    </row>
    <row r="4362" spans="1:6" hidden="1" outlineLevel="1" collapsed="1" x14ac:dyDescent="0.25">
      <c r="A4362" s="321" t="s">
        <v>282</v>
      </c>
      <c r="B4362" s="321" t="s">
        <v>763</v>
      </c>
      <c r="C4362" s="293">
        <v>24</v>
      </c>
      <c r="D4362" s="293">
        <v>11.04</v>
      </c>
      <c r="E4362" s="293">
        <v>-12.96</v>
      </c>
      <c r="F4362" s="294" t="s">
        <v>374</v>
      </c>
    </row>
    <row r="4363" spans="1:6" hidden="1" outlineLevel="1" collapsed="1" x14ac:dyDescent="0.25">
      <c r="A4363" s="321" t="s">
        <v>282</v>
      </c>
      <c r="B4363" s="321" t="s">
        <v>431</v>
      </c>
      <c r="C4363" s="293">
        <v>100</v>
      </c>
      <c r="D4363" s="293">
        <v>0</v>
      </c>
      <c r="E4363" s="293">
        <v>-100</v>
      </c>
      <c r="F4363" s="294" t="s">
        <v>286</v>
      </c>
    </row>
    <row r="4364" spans="1:6" hidden="1" outlineLevel="1" collapsed="1" x14ac:dyDescent="0.25">
      <c r="A4364" s="321" t="s">
        <v>282</v>
      </c>
      <c r="B4364" s="321" t="s">
        <v>376</v>
      </c>
      <c r="C4364" s="293">
        <v>2000</v>
      </c>
      <c r="D4364" s="293">
        <v>2000</v>
      </c>
      <c r="E4364" s="293">
        <v>0</v>
      </c>
      <c r="F4364" s="294" t="s">
        <v>316</v>
      </c>
    </row>
    <row r="4365" spans="1:6" hidden="1" outlineLevel="1" collapsed="1" x14ac:dyDescent="0.25">
      <c r="A4365" s="321" t="s">
        <v>282</v>
      </c>
      <c r="B4365" s="321" t="s">
        <v>662</v>
      </c>
      <c r="C4365" s="293">
        <v>2000</v>
      </c>
      <c r="D4365" s="293">
        <v>2000</v>
      </c>
      <c r="E4365" s="293">
        <v>0</v>
      </c>
      <c r="F4365" s="294" t="s">
        <v>316</v>
      </c>
    </row>
    <row r="4366" spans="1:6" hidden="1" outlineLevel="1" collapsed="1" x14ac:dyDescent="0.25">
      <c r="A4366" s="321" t="s">
        <v>282</v>
      </c>
      <c r="B4366" s="321" t="s">
        <v>506</v>
      </c>
      <c r="C4366" s="293">
        <v>1350</v>
      </c>
      <c r="D4366" s="293">
        <v>600</v>
      </c>
      <c r="E4366" s="293">
        <v>-750</v>
      </c>
      <c r="F4366" s="294" t="s">
        <v>1632</v>
      </c>
    </row>
    <row r="4367" spans="1:6" hidden="1" outlineLevel="1" collapsed="1" x14ac:dyDescent="0.25">
      <c r="A4367" s="321" t="s">
        <v>282</v>
      </c>
      <c r="B4367" s="321" t="s">
        <v>426</v>
      </c>
      <c r="C4367" s="293">
        <v>25000</v>
      </c>
      <c r="D4367" s="293">
        <v>25000</v>
      </c>
      <c r="E4367" s="293">
        <v>0</v>
      </c>
      <c r="F4367" s="294" t="s">
        <v>316</v>
      </c>
    </row>
    <row r="4368" spans="1:6" hidden="1" outlineLevel="1" collapsed="1" x14ac:dyDescent="0.25">
      <c r="A4368" s="321" t="s">
        <v>282</v>
      </c>
      <c r="B4368" s="321" t="s">
        <v>1103</v>
      </c>
      <c r="C4368" s="293">
        <v>12000</v>
      </c>
      <c r="D4368" s="293">
        <v>12000</v>
      </c>
      <c r="E4368" s="293">
        <v>0</v>
      </c>
      <c r="F4368" s="294" t="s">
        <v>316</v>
      </c>
    </row>
    <row r="4369" spans="1:6" hidden="1" outlineLevel="1" collapsed="1" x14ac:dyDescent="0.25">
      <c r="A4369" s="321" t="s">
        <v>282</v>
      </c>
      <c r="B4369" s="321" t="s">
        <v>707</v>
      </c>
      <c r="C4369" s="293">
        <v>1200</v>
      </c>
      <c r="D4369" s="293">
        <v>1200</v>
      </c>
      <c r="E4369" s="293">
        <v>0</v>
      </c>
      <c r="F4369" s="294" t="s">
        <v>316</v>
      </c>
    </row>
    <row r="4370" spans="1:6" hidden="1" outlineLevel="1" collapsed="1" x14ac:dyDescent="0.25">
      <c r="A4370" s="321" t="s">
        <v>282</v>
      </c>
      <c r="B4370" s="321" t="s">
        <v>482</v>
      </c>
      <c r="C4370" s="293">
        <v>650</v>
      </c>
      <c r="D4370" s="293">
        <v>600</v>
      </c>
      <c r="E4370" s="293">
        <v>-50</v>
      </c>
      <c r="F4370" s="294" t="s">
        <v>1633</v>
      </c>
    </row>
    <row r="4371" spans="1:6" hidden="1" outlineLevel="1" collapsed="1" x14ac:dyDescent="0.25">
      <c r="A4371" s="321" t="s">
        <v>282</v>
      </c>
      <c r="B4371" s="321" t="s">
        <v>597</v>
      </c>
      <c r="C4371" s="293">
        <v>30310</v>
      </c>
      <c r="D4371" s="293">
        <v>30310</v>
      </c>
      <c r="E4371" s="293">
        <v>0</v>
      </c>
      <c r="F4371" s="294" t="s">
        <v>316</v>
      </c>
    </row>
    <row r="4372" spans="1:6" hidden="1" outlineLevel="1" collapsed="1" x14ac:dyDescent="0.25">
      <c r="A4372" s="321" t="s">
        <v>282</v>
      </c>
      <c r="B4372" s="321" t="s">
        <v>416</v>
      </c>
      <c r="C4372" s="293">
        <v>1000</v>
      </c>
      <c r="D4372" s="293">
        <v>1000</v>
      </c>
      <c r="E4372" s="293">
        <v>0</v>
      </c>
      <c r="F4372" s="294" t="s">
        <v>316</v>
      </c>
    </row>
    <row r="4373" spans="1:6" hidden="1" outlineLevel="1" collapsed="1" x14ac:dyDescent="0.25">
      <c r="A4373" s="321" t="s">
        <v>282</v>
      </c>
      <c r="B4373" s="321" t="s">
        <v>626</v>
      </c>
      <c r="C4373" s="293">
        <v>1500</v>
      </c>
      <c r="D4373" s="293">
        <v>1500</v>
      </c>
      <c r="E4373" s="293">
        <v>0</v>
      </c>
      <c r="F4373" s="294" t="s">
        <v>316</v>
      </c>
    </row>
    <row r="4374" spans="1:6" hidden="1" outlineLevel="1" collapsed="1" x14ac:dyDescent="0.25">
      <c r="A4374" s="321" t="s">
        <v>282</v>
      </c>
      <c r="B4374" s="321" t="s">
        <v>405</v>
      </c>
      <c r="C4374" s="293">
        <v>30810.82</v>
      </c>
      <c r="D4374" s="293">
        <v>143700</v>
      </c>
      <c r="E4374" s="293">
        <v>112889.18</v>
      </c>
      <c r="F4374" s="294" t="s">
        <v>1634</v>
      </c>
    </row>
    <row r="4375" spans="1:6" hidden="1" outlineLevel="1" collapsed="1" x14ac:dyDescent="0.25">
      <c r="A4375" s="321" t="s">
        <v>282</v>
      </c>
      <c r="B4375" s="321" t="s">
        <v>557</v>
      </c>
      <c r="C4375" s="293">
        <v>850</v>
      </c>
      <c r="D4375" s="293">
        <v>500</v>
      </c>
      <c r="E4375" s="293">
        <v>-350</v>
      </c>
      <c r="F4375" s="294" t="s">
        <v>1635</v>
      </c>
    </row>
    <row r="4376" spans="1:6" collapsed="1" x14ac:dyDescent="0.25">
      <c r="A4376" s="560" t="s">
        <v>1636</v>
      </c>
      <c r="B4376" s="561"/>
      <c r="C4376" s="292">
        <v>283526.18497399997</v>
      </c>
      <c r="D4376" s="293">
        <v>333482.37827500002</v>
      </c>
      <c r="E4376" s="293">
        <v>49956.193300999999</v>
      </c>
      <c r="F4376" s="294" t="s">
        <v>2287</v>
      </c>
    </row>
    <row r="4377" spans="1:6" hidden="1" outlineLevel="1" collapsed="1" x14ac:dyDescent="0.25">
      <c r="A4377" s="321" t="s">
        <v>282</v>
      </c>
      <c r="B4377" s="321" t="s">
        <v>780</v>
      </c>
      <c r="C4377" s="293">
        <v>135039.819036</v>
      </c>
      <c r="D4377" s="293">
        <v>137048.31487199999</v>
      </c>
      <c r="E4377" s="293">
        <v>2008.4958360000001</v>
      </c>
      <c r="F4377" s="294" t="s">
        <v>781</v>
      </c>
    </row>
    <row r="4378" spans="1:6" hidden="1" outlineLevel="1" collapsed="1" x14ac:dyDescent="0.25">
      <c r="A4378" s="321" t="s">
        <v>282</v>
      </c>
      <c r="B4378" s="321" t="s">
        <v>464</v>
      </c>
      <c r="C4378" s="293">
        <v>75880.588153000004</v>
      </c>
      <c r="D4378" s="293">
        <v>93584.580428000001</v>
      </c>
      <c r="E4378" s="293">
        <v>17703.992275000001</v>
      </c>
      <c r="F4378" s="294" t="s">
        <v>1638</v>
      </c>
    </row>
    <row r="4379" spans="1:6" hidden="1" outlineLevel="1" collapsed="1" x14ac:dyDescent="0.25">
      <c r="A4379" s="321" t="s">
        <v>282</v>
      </c>
      <c r="B4379" s="321" t="s">
        <v>424</v>
      </c>
      <c r="C4379" s="293">
        <v>2000</v>
      </c>
      <c r="D4379" s="293">
        <v>1000</v>
      </c>
      <c r="E4379" s="293">
        <v>-1000</v>
      </c>
      <c r="F4379" s="294" t="s">
        <v>722</v>
      </c>
    </row>
    <row r="4380" spans="1:6" hidden="1" outlineLevel="1" collapsed="1" x14ac:dyDescent="0.25">
      <c r="A4380" s="321" t="s">
        <v>282</v>
      </c>
      <c r="B4380" s="321" t="s">
        <v>384</v>
      </c>
      <c r="C4380" s="293">
        <v>26318.826464000002</v>
      </c>
      <c r="D4380" s="293">
        <v>0</v>
      </c>
      <c r="E4380" s="293">
        <v>-26318.826464000002</v>
      </c>
      <c r="F4380" s="294" t="s">
        <v>286</v>
      </c>
    </row>
    <row r="4381" spans="1:6" hidden="1" outlineLevel="1" collapsed="1" x14ac:dyDescent="0.25">
      <c r="A4381" s="321" t="s">
        <v>282</v>
      </c>
      <c r="B4381" s="321" t="s">
        <v>385</v>
      </c>
      <c r="C4381" s="293">
        <v>0</v>
      </c>
      <c r="D4381" s="293">
        <v>54002.590061000003</v>
      </c>
      <c r="E4381" s="293">
        <v>54002.590061000003</v>
      </c>
      <c r="F4381" s="294" t="s">
        <v>298</v>
      </c>
    </row>
    <row r="4382" spans="1:6" hidden="1" outlineLevel="1" collapsed="1" x14ac:dyDescent="0.25">
      <c r="A4382" s="321" t="s">
        <v>282</v>
      </c>
      <c r="B4382" s="321" t="s">
        <v>386</v>
      </c>
      <c r="C4382" s="293">
        <v>4704.5964599999998</v>
      </c>
      <c r="D4382" s="293">
        <v>0</v>
      </c>
      <c r="E4382" s="293">
        <v>-4704.5964599999998</v>
      </c>
      <c r="F4382" s="294" t="s">
        <v>286</v>
      </c>
    </row>
    <row r="4383" spans="1:6" hidden="1" outlineLevel="1" collapsed="1" x14ac:dyDescent="0.25">
      <c r="A4383" s="321" t="s">
        <v>282</v>
      </c>
      <c r="B4383" s="321" t="s">
        <v>387</v>
      </c>
      <c r="C4383" s="293">
        <v>0</v>
      </c>
      <c r="D4383" s="293">
        <v>5802.2439780000004</v>
      </c>
      <c r="E4383" s="293">
        <v>5802.2439780000004</v>
      </c>
      <c r="F4383" s="294" t="s">
        <v>298</v>
      </c>
    </row>
    <row r="4384" spans="1:6" hidden="1" outlineLevel="1" collapsed="1" x14ac:dyDescent="0.25">
      <c r="A4384" s="321" t="s">
        <v>282</v>
      </c>
      <c r="B4384" s="321" t="s">
        <v>753</v>
      </c>
      <c r="C4384" s="293">
        <v>8372.4687720000002</v>
      </c>
      <c r="D4384" s="293">
        <v>8496.9955200000004</v>
      </c>
      <c r="E4384" s="293">
        <v>124.526748</v>
      </c>
      <c r="F4384" s="294" t="s">
        <v>781</v>
      </c>
    </row>
    <row r="4385" spans="1:6" hidden="1" outlineLevel="1" collapsed="1" x14ac:dyDescent="0.25">
      <c r="A4385" s="321" t="s">
        <v>282</v>
      </c>
      <c r="B4385" s="321" t="s">
        <v>388</v>
      </c>
      <c r="C4385" s="293">
        <v>3058.3458930000002</v>
      </c>
      <c r="D4385" s="293">
        <v>3344.1769770000001</v>
      </c>
      <c r="E4385" s="293">
        <v>285.83108399999998</v>
      </c>
      <c r="F4385" s="294" t="s">
        <v>1639</v>
      </c>
    </row>
    <row r="4386" spans="1:6" hidden="1" outlineLevel="1" collapsed="1" x14ac:dyDescent="0.25">
      <c r="A4386" s="321" t="s">
        <v>282</v>
      </c>
      <c r="B4386" s="321" t="s">
        <v>389</v>
      </c>
      <c r="C4386" s="293">
        <v>372.85919999999999</v>
      </c>
      <c r="D4386" s="293">
        <v>422.04</v>
      </c>
      <c r="E4386" s="293">
        <v>49.180799999999998</v>
      </c>
      <c r="F4386" s="294" t="s">
        <v>1506</v>
      </c>
    </row>
    <row r="4387" spans="1:6" hidden="1" outlineLevel="1" collapsed="1" x14ac:dyDescent="0.25">
      <c r="A4387" s="321" t="s">
        <v>282</v>
      </c>
      <c r="B4387" s="321" t="s">
        <v>392</v>
      </c>
      <c r="C4387" s="293">
        <v>204.3468</v>
      </c>
      <c r="D4387" s="293">
        <v>182.88</v>
      </c>
      <c r="E4387" s="293">
        <v>-21.466799999999999</v>
      </c>
      <c r="F4387" s="294" t="s">
        <v>1507</v>
      </c>
    </row>
    <row r="4388" spans="1:6" hidden="1" outlineLevel="1" collapsed="1" x14ac:dyDescent="0.25">
      <c r="A4388" s="321" t="s">
        <v>282</v>
      </c>
      <c r="B4388" s="321" t="s">
        <v>754</v>
      </c>
      <c r="C4388" s="293">
        <v>15358.56</v>
      </c>
      <c r="D4388" s="293">
        <v>15959.28</v>
      </c>
      <c r="E4388" s="293">
        <v>600.72</v>
      </c>
      <c r="F4388" s="294" t="s">
        <v>366</v>
      </c>
    </row>
    <row r="4389" spans="1:6" hidden="1" outlineLevel="1" collapsed="1" x14ac:dyDescent="0.25">
      <c r="A4389" s="321" t="s">
        <v>282</v>
      </c>
      <c r="B4389" s="321" t="s">
        <v>755</v>
      </c>
      <c r="C4389" s="293">
        <v>426.12479999999999</v>
      </c>
      <c r="D4389" s="293">
        <v>422.04</v>
      </c>
      <c r="E4389" s="293">
        <v>-4.0848000000000004</v>
      </c>
      <c r="F4389" s="294" t="s">
        <v>364</v>
      </c>
    </row>
    <row r="4390" spans="1:6" hidden="1" outlineLevel="1" collapsed="1" x14ac:dyDescent="0.25">
      <c r="A4390" s="321" t="s">
        <v>282</v>
      </c>
      <c r="B4390" s="321" t="s">
        <v>756</v>
      </c>
      <c r="C4390" s="293">
        <v>233.53919999999999</v>
      </c>
      <c r="D4390" s="293">
        <v>182.88</v>
      </c>
      <c r="E4390" s="293">
        <v>-50.659199999999998</v>
      </c>
      <c r="F4390" s="294" t="s">
        <v>368</v>
      </c>
    </row>
    <row r="4391" spans="1:6" hidden="1" outlineLevel="1" collapsed="1" x14ac:dyDescent="0.25">
      <c r="A4391" s="321" t="s">
        <v>282</v>
      </c>
      <c r="B4391" s="321" t="s">
        <v>393</v>
      </c>
      <c r="C4391" s="293">
        <v>37.940288000000002</v>
      </c>
      <c r="D4391" s="293">
        <v>46.792287000000002</v>
      </c>
      <c r="E4391" s="293">
        <v>8.8519989999999993</v>
      </c>
      <c r="F4391" s="294" t="s">
        <v>1638</v>
      </c>
    </row>
    <row r="4392" spans="1:6" hidden="1" outlineLevel="1" collapsed="1" x14ac:dyDescent="0.25">
      <c r="A4392" s="321" t="s">
        <v>282</v>
      </c>
      <c r="B4392" s="321" t="s">
        <v>757</v>
      </c>
      <c r="C4392" s="293">
        <v>67.519908000000001</v>
      </c>
      <c r="D4392" s="293">
        <v>0</v>
      </c>
      <c r="E4392" s="293">
        <v>-67.519908000000001</v>
      </c>
      <c r="F4392" s="294" t="s">
        <v>286</v>
      </c>
    </row>
    <row r="4393" spans="1:6" hidden="1" outlineLevel="1" collapsed="1" x14ac:dyDescent="0.25">
      <c r="A4393" s="321" t="s">
        <v>282</v>
      </c>
      <c r="B4393" s="321" t="s">
        <v>758</v>
      </c>
      <c r="C4393" s="293">
        <v>0</v>
      </c>
      <c r="D4393" s="293">
        <v>68.524152000000001</v>
      </c>
      <c r="E4393" s="293">
        <v>68.524152000000001</v>
      </c>
      <c r="F4393" s="294" t="s">
        <v>298</v>
      </c>
    </row>
    <row r="4394" spans="1:6" hidden="1" outlineLevel="1" collapsed="1" x14ac:dyDescent="0.25">
      <c r="A4394" s="321" t="s">
        <v>282</v>
      </c>
      <c r="B4394" s="321" t="s">
        <v>394</v>
      </c>
      <c r="C4394" s="293">
        <v>1312.5</v>
      </c>
      <c r="D4394" s="293">
        <v>0</v>
      </c>
      <c r="E4394" s="293">
        <v>-1312.5</v>
      </c>
      <c r="F4394" s="294" t="s">
        <v>286</v>
      </c>
    </row>
    <row r="4395" spans="1:6" hidden="1" outlineLevel="1" collapsed="1" x14ac:dyDescent="0.25">
      <c r="A4395" s="321" t="s">
        <v>282</v>
      </c>
      <c r="B4395" s="321" t="s">
        <v>395</v>
      </c>
      <c r="C4395" s="293">
        <v>0</v>
      </c>
      <c r="D4395" s="293">
        <v>1500</v>
      </c>
      <c r="E4395" s="293">
        <v>1500</v>
      </c>
      <c r="F4395" s="294" t="s">
        <v>298</v>
      </c>
    </row>
    <row r="4396" spans="1:6" hidden="1" outlineLevel="1" collapsed="1" x14ac:dyDescent="0.25">
      <c r="A4396" s="321" t="s">
        <v>282</v>
      </c>
      <c r="B4396" s="321" t="s">
        <v>759</v>
      </c>
      <c r="C4396" s="293">
        <v>1500</v>
      </c>
      <c r="D4396" s="293">
        <v>0</v>
      </c>
      <c r="E4396" s="293">
        <v>-1500</v>
      </c>
      <c r="F4396" s="294" t="s">
        <v>286</v>
      </c>
    </row>
    <row r="4397" spans="1:6" hidden="1" outlineLevel="1" collapsed="1" x14ac:dyDescent="0.25">
      <c r="A4397" s="321" t="s">
        <v>282</v>
      </c>
      <c r="B4397" s="321" t="s">
        <v>760</v>
      </c>
      <c r="C4397" s="293">
        <v>0</v>
      </c>
      <c r="D4397" s="293">
        <v>1500</v>
      </c>
      <c r="E4397" s="293">
        <v>1500</v>
      </c>
      <c r="F4397" s="294" t="s">
        <v>298</v>
      </c>
    </row>
    <row r="4398" spans="1:6" hidden="1" outlineLevel="1" collapsed="1" x14ac:dyDescent="0.25">
      <c r="A4398" s="321" t="s">
        <v>282</v>
      </c>
      <c r="B4398" s="321" t="s">
        <v>396</v>
      </c>
      <c r="C4398" s="293">
        <v>43.47</v>
      </c>
      <c r="D4398" s="293">
        <v>0</v>
      </c>
      <c r="E4398" s="293">
        <v>-43.47</v>
      </c>
      <c r="F4398" s="294" t="s">
        <v>286</v>
      </c>
    </row>
    <row r="4399" spans="1:6" hidden="1" outlineLevel="1" collapsed="1" x14ac:dyDescent="0.25">
      <c r="A4399" s="321" t="s">
        <v>282</v>
      </c>
      <c r="B4399" s="321" t="s">
        <v>397</v>
      </c>
      <c r="C4399" s="293">
        <v>0</v>
      </c>
      <c r="D4399" s="293">
        <v>48.48</v>
      </c>
      <c r="E4399" s="293">
        <v>48.48</v>
      </c>
      <c r="F4399" s="294" t="s">
        <v>298</v>
      </c>
    </row>
    <row r="4400" spans="1:6" hidden="1" outlineLevel="1" collapsed="1" x14ac:dyDescent="0.25">
      <c r="A4400" s="321" t="s">
        <v>282</v>
      </c>
      <c r="B4400" s="321" t="s">
        <v>761</v>
      </c>
      <c r="C4400" s="293">
        <v>49.68</v>
      </c>
      <c r="D4400" s="293">
        <v>0</v>
      </c>
      <c r="E4400" s="293">
        <v>-49.68</v>
      </c>
      <c r="F4400" s="294" t="s">
        <v>286</v>
      </c>
    </row>
    <row r="4401" spans="1:6" hidden="1" outlineLevel="1" collapsed="1" x14ac:dyDescent="0.25">
      <c r="A4401" s="321" t="s">
        <v>282</v>
      </c>
      <c r="B4401" s="321" t="s">
        <v>762</v>
      </c>
      <c r="C4401" s="293">
        <v>0</v>
      </c>
      <c r="D4401" s="293">
        <v>48.48</v>
      </c>
      <c r="E4401" s="293">
        <v>48.48</v>
      </c>
      <c r="F4401" s="294" t="s">
        <v>298</v>
      </c>
    </row>
    <row r="4402" spans="1:6" hidden="1" outlineLevel="1" collapsed="1" x14ac:dyDescent="0.25">
      <c r="A4402" s="321" t="s">
        <v>282</v>
      </c>
      <c r="B4402" s="321" t="s">
        <v>398</v>
      </c>
      <c r="C4402" s="293">
        <v>21</v>
      </c>
      <c r="D4402" s="293">
        <v>11.04</v>
      </c>
      <c r="E4402" s="293">
        <v>-9.9600000000000009</v>
      </c>
      <c r="F4402" s="294" t="s">
        <v>1508</v>
      </c>
    </row>
    <row r="4403" spans="1:6" hidden="1" outlineLevel="1" collapsed="1" x14ac:dyDescent="0.25">
      <c r="A4403" s="321" t="s">
        <v>282</v>
      </c>
      <c r="B4403" s="321" t="s">
        <v>763</v>
      </c>
      <c r="C4403" s="293">
        <v>24</v>
      </c>
      <c r="D4403" s="293">
        <v>11.04</v>
      </c>
      <c r="E4403" s="293">
        <v>-12.96</v>
      </c>
      <c r="F4403" s="294" t="s">
        <v>374</v>
      </c>
    </row>
    <row r="4404" spans="1:6" hidden="1" outlineLevel="1" collapsed="1" x14ac:dyDescent="0.25">
      <c r="A4404" s="321" t="s">
        <v>282</v>
      </c>
      <c r="B4404" s="321" t="s">
        <v>522</v>
      </c>
      <c r="C4404" s="293">
        <v>1500</v>
      </c>
      <c r="D4404" s="293">
        <v>3000</v>
      </c>
      <c r="E4404" s="293">
        <v>1500</v>
      </c>
      <c r="F4404" s="294" t="s">
        <v>298</v>
      </c>
    </row>
    <row r="4405" spans="1:6" hidden="1" outlineLevel="1" collapsed="1" x14ac:dyDescent="0.25">
      <c r="A4405" s="321" t="s">
        <v>282</v>
      </c>
      <c r="B4405" s="321" t="s">
        <v>376</v>
      </c>
      <c r="C4405" s="293">
        <v>1000</v>
      </c>
      <c r="D4405" s="293">
        <v>500</v>
      </c>
      <c r="E4405" s="293">
        <v>-500</v>
      </c>
      <c r="F4405" s="294" t="s">
        <v>722</v>
      </c>
    </row>
    <row r="4406" spans="1:6" hidden="1" outlineLevel="1" collapsed="1" x14ac:dyDescent="0.25">
      <c r="A4406" s="321" t="s">
        <v>282</v>
      </c>
      <c r="B4406" s="321" t="s">
        <v>426</v>
      </c>
      <c r="C4406" s="293">
        <v>2200</v>
      </c>
      <c r="D4406" s="293">
        <v>1100</v>
      </c>
      <c r="E4406" s="293">
        <v>-1100</v>
      </c>
      <c r="F4406" s="294" t="s">
        <v>722</v>
      </c>
    </row>
    <row r="4407" spans="1:6" hidden="1" outlineLevel="1" collapsed="1" x14ac:dyDescent="0.25">
      <c r="A4407" s="321" t="s">
        <v>282</v>
      </c>
      <c r="B4407" s="321" t="s">
        <v>482</v>
      </c>
      <c r="C4407" s="293">
        <v>1000</v>
      </c>
      <c r="D4407" s="293">
        <v>400</v>
      </c>
      <c r="E4407" s="293">
        <v>-600</v>
      </c>
      <c r="F4407" s="294" t="s">
        <v>1545</v>
      </c>
    </row>
    <row r="4408" spans="1:6" hidden="1" outlineLevel="1" collapsed="1" x14ac:dyDescent="0.25">
      <c r="A4408" s="321" t="s">
        <v>282</v>
      </c>
      <c r="B4408" s="321" t="s">
        <v>597</v>
      </c>
      <c r="C4408" s="293">
        <v>550</v>
      </c>
      <c r="D4408" s="293">
        <v>550</v>
      </c>
      <c r="E4408" s="293">
        <v>0</v>
      </c>
      <c r="F4408" s="294" t="s">
        <v>316</v>
      </c>
    </row>
    <row r="4409" spans="1:6" hidden="1" outlineLevel="1" collapsed="1" x14ac:dyDescent="0.25">
      <c r="A4409" s="321" t="s">
        <v>282</v>
      </c>
      <c r="B4409" s="321" t="s">
        <v>448</v>
      </c>
      <c r="C4409" s="293">
        <v>2250</v>
      </c>
      <c r="D4409" s="293">
        <v>4250</v>
      </c>
      <c r="E4409" s="293">
        <v>2000</v>
      </c>
      <c r="F4409" s="294" t="s">
        <v>2288</v>
      </c>
    </row>
    <row r="4410" spans="1:6" collapsed="1" x14ac:dyDescent="0.25">
      <c r="A4410" s="560" t="s">
        <v>1641</v>
      </c>
      <c r="B4410" s="561"/>
      <c r="C4410" s="292">
        <v>337083.39356</v>
      </c>
      <c r="D4410" s="293">
        <v>319128.97701199999</v>
      </c>
      <c r="E4410" s="293">
        <v>-17954.416548000001</v>
      </c>
      <c r="F4410" s="294" t="s">
        <v>1315</v>
      </c>
    </row>
    <row r="4411" spans="1:6" hidden="1" outlineLevel="1" collapsed="1" x14ac:dyDescent="0.25">
      <c r="A4411" s="321" t="s">
        <v>282</v>
      </c>
      <c r="B4411" s="321" t="s">
        <v>942</v>
      </c>
      <c r="C4411" s="293">
        <v>104917.50879599999</v>
      </c>
      <c r="D4411" s="293">
        <v>106491.270072</v>
      </c>
      <c r="E4411" s="293">
        <v>1573.761276</v>
      </c>
      <c r="F4411" s="294" t="s">
        <v>510</v>
      </c>
    </row>
    <row r="4412" spans="1:6" hidden="1" outlineLevel="1" collapsed="1" x14ac:dyDescent="0.25">
      <c r="A4412" s="321" t="s">
        <v>282</v>
      </c>
      <c r="B4412" s="321" t="s">
        <v>935</v>
      </c>
      <c r="C4412" s="293">
        <v>33800</v>
      </c>
      <c r="D4412" s="293">
        <v>35000</v>
      </c>
      <c r="E4412" s="293">
        <v>1200</v>
      </c>
      <c r="F4412" s="294" t="s">
        <v>1300</v>
      </c>
    </row>
    <row r="4413" spans="1:6" hidden="1" outlineLevel="1" collapsed="1" x14ac:dyDescent="0.25">
      <c r="A4413" s="321" t="s">
        <v>282</v>
      </c>
      <c r="B4413" s="321" t="s">
        <v>475</v>
      </c>
      <c r="C4413" s="293">
        <v>500</v>
      </c>
      <c r="D4413" s="293">
        <v>0</v>
      </c>
      <c r="E4413" s="293">
        <v>-500</v>
      </c>
      <c r="F4413" s="294" t="s">
        <v>286</v>
      </c>
    </row>
    <row r="4414" spans="1:6" hidden="1" outlineLevel="1" collapsed="1" x14ac:dyDescent="0.25">
      <c r="A4414" s="321" t="s">
        <v>282</v>
      </c>
      <c r="B4414" s="321" t="s">
        <v>425</v>
      </c>
      <c r="C4414" s="293">
        <v>6000</v>
      </c>
      <c r="D4414" s="293">
        <v>7500</v>
      </c>
      <c r="E4414" s="293">
        <v>1500</v>
      </c>
      <c r="F4414" s="294" t="s">
        <v>1552</v>
      </c>
    </row>
    <row r="4415" spans="1:6" hidden="1" outlineLevel="1" collapsed="1" x14ac:dyDescent="0.25">
      <c r="A4415" s="321" t="s">
        <v>282</v>
      </c>
      <c r="B4415" s="321" t="s">
        <v>384</v>
      </c>
      <c r="C4415" s="293">
        <v>13198.622604</v>
      </c>
      <c r="D4415" s="293">
        <v>0</v>
      </c>
      <c r="E4415" s="293">
        <v>-13198.622604</v>
      </c>
      <c r="F4415" s="294" t="s">
        <v>286</v>
      </c>
    </row>
    <row r="4416" spans="1:6" hidden="1" outlineLevel="1" collapsed="1" x14ac:dyDescent="0.25">
      <c r="A4416" s="321" t="s">
        <v>282</v>
      </c>
      <c r="B4416" s="321" t="s">
        <v>385</v>
      </c>
      <c r="C4416" s="293">
        <v>0</v>
      </c>
      <c r="D4416" s="293">
        <v>16539.159156000002</v>
      </c>
      <c r="E4416" s="293">
        <v>16539.159156000002</v>
      </c>
      <c r="F4416" s="294" t="s">
        <v>298</v>
      </c>
    </row>
    <row r="4417" spans="1:6" hidden="1" outlineLevel="1" collapsed="1" x14ac:dyDescent="0.25">
      <c r="A4417" s="321" t="s">
        <v>282</v>
      </c>
      <c r="B4417" s="321" t="s">
        <v>386</v>
      </c>
      <c r="C4417" s="293">
        <v>6504.8855400000002</v>
      </c>
      <c r="D4417" s="293">
        <v>0</v>
      </c>
      <c r="E4417" s="293">
        <v>-6504.8855400000002</v>
      </c>
      <c r="F4417" s="294" t="s">
        <v>286</v>
      </c>
    </row>
    <row r="4418" spans="1:6" hidden="1" outlineLevel="1" collapsed="1" x14ac:dyDescent="0.25">
      <c r="A4418" s="321" t="s">
        <v>282</v>
      </c>
      <c r="B4418" s="321" t="s">
        <v>387</v>
      </c>
      <c r="C4418" s="293">
        <v>0</v>
      </c>
      <c r="D4418" s="293">
        <v>6602.45874</v>
      </c>
      <c r="E4418" s="293">
        <v>6602.45874</v>
      </c>
      <c r="F4418" s="294" t="s">
        <v>298</v>
      </c>
    </row>
    <row r="4419" spans="1:6" hidden="1" outlineLevel="1" collapsed="1" x14ac:dyDescent="0.25">
      <c r="A4419" s="321" t="s">
        <v>282</v>
      </c>
      <c r="B4419" s="321" t="s">
        <v>388</v>
      </c>
      <c r="C4419" s="293">
        <v>1521.3038759999999</v>
      </c>
      <c r="D4419" s="293">
        <v>1544.1234119999999</v>
      </c>
      <c r="E4419" s="293">
        <v>22.819535999999999</v>
      </c>
      <c r="F4419" s="294" t="s">
        <v>510</v>
      </c>
    </row>
    <row r="4420" spans="1:6" hidden="1" outlineLevel="1" collapsed="1" x14ac:dyDescent="0.25">
      <c r="A4420" s="321" t="s">
        <v>282</v>
      </c>
      <c r="B4420" s="321" t="s">
        <v>444</v>
      </c>
      <c r="C4420" s="293">
        <v>3420</v>
      </c>
      <c r="D4420" s="293">
        <v>3150</v>
      </c>
      <c r="E4420" s="293">
        <v>-270</v>
      </c>
      <c r="F4420" s="294" t="s">
        <v>1643</v>
      </c>
    </row>
    <row r="4421" spans="1:6" hidden="1" outlineLevel="1" collapsed="1" x14ac:dyDescent="0.25">
      <c r="A4421" s="321" t="s">
        <v>282</v>
      </c>
      <c r="B4421" s="321" t="s">
        <v>389</v>
      </c>
      <c r="C4421" s="293">
        <v>426.12479999999999</v>
      </c>
      <c r="D4421" s="293">
        <v>422.04</v>
      </c>
      <c r="E4421" s="293">
        <v>-4.0848000000000004</v>
      </c>
      <c r="F4421" s="294" t="s">
        <v>364</v>
      </c>
    </row>
    <row r="4422" spans="1:6" hidden="1" outlineLevel="1" collapsed="1" x14ac:dyDescent="0.25">
      <c r="A4422" s="321" t="s">
        <v>282</v>
      </c>
      <c r="B4422" s="321" t="s">
        <v>390</v>
      </c>
      <c r="C4422" s="293">
        <v>15485.27</v>
      </c>
      <c r="D4422" s="293">
        <v>15959.28</v>
      </c>
      <c r="E4422" s="293">
        <v>474.01</v>
      </c>
      <c r="F4422" s="294" t="s">
        <v>391</v>
      </c>
    </row>
    <row r="4423" spans="1:6" hidden="1" outlineLevel="1" collapsed="1" x14ac:dyDescent="0.25">
      <c r="A4423" s="321" t="s">
        <v>282</v>
      </c>
      <c r="B4423" s="321" t="s">
        <v>392</v>
      </c>
      <c r="C4423" s="293">
        <v>233.53919999999999</v>
      </c>
      <c r="D4423" s="293">
        <v>182.88</v>
      </c>
      <c r="E4423" s="293">
        <v>-50.659199999999998</v>
      </c>
      <c r="F4423" s="294" t="s">
        <v>368</v>
      </c>
    </row>
    <row r="4424" spans="1:6" hidden="1" outlineLevel="1" collapsed="1" x14ac:dyDescent="0.25">
      <c r="A4424" s="321" t="s">
        <v>282</v>
      </c>
      <c r="B4424" s="321" t="s">
        <v>393</v>
      </c>
      <c r="C4424" s="293">
        <v>52.458744000000003</v>
      </c>
      <c r="D4424" s="293">
        <v>53.245632000000001</v>
      </c>
      <c r="E4424" s="293">
        <v>0.78688800000000003</v>
      </c>
      <c r="F4424" s="294" t="s">
        <v>510</v>
      </c>
    </row>
    <row r="4425" spans="1:6" hidden="1" outlineLevel="1" collapsed="1" x14ac:dyDescent="0.25">
      <c r="A4425" s="321" t="s">
        <v>282</v>
      </c>
      <c r="B4425" s="321" t="s">
        <v>394</v>
      </c>
      <c r="C4425" s="293">
        <v>1500</v>
      </c>
      <c r="D4425" s="293">
        <v>0</v>
      </c>
      <c r="E4425" s="293">
        <v>-1500</v>
      </c>
      <c r="F4425" s="294" t="s">
        <v>286</v>
      </c>
    </row>
    <row r="4426" spans="1:6" hidden="1" outlineLevel="1" collapsed="1" x14ac:dyDescent="0.25">
      <c r="A4426" s="321" t="s">
        <v>282</v>
      </c>
      <c r="B4426" s="321" t="s">
        <v>395</v>
      </c>
      <c r="C4426" s="293">
        <v>0</v>
      </c>
      <c r="D4426" s="293">
        <v>1500</v>
      </c>
      <c r="E4426" s="293">
        <v>1500</v>
      </c>
      <c r="F4426" s="294" t="s">
        <v>298</v>
      </c>
    </row>
    <row r="4427" spans="1:6" hidden="1" outlineLevel="1" collapsed="1" x14ac:dyDescent="0.25">
      <c r="A4427" s="321" t="s">
        <v>282</v>
      </c>
      <c r="B4427" s="321" t="s">
        <v>396</v>
      </c>
      <c r="C4427" s="293">
        <v>49.68</v>
      </c>
      <c r="D4427" s="293">
        <v>0</v>
      </c>
      <c r="E4427" s="293">
        <v>-49.68</v>
      </c>
      <c r="F4427" s="294" t="s">
        <v>286</v>
      </c>
    </row>
    <row r="4428" spans="1:6" hidden="1" outlineLevel="1" collapsed="1" x14ac:dyDescent="0.25">
      <c r="A4428" s="321" t="s">
        <v>282</v>
      </c>
      <c r="B4428" s="321" t="s">
        <v>397</v>
      </c>
      <c r="C4428" s="293">
        <v>0</v>
      </c>
      <c r="D4428" s="293">
        <v>48.48</v>
      </c>
      <c r="E4428" s="293">
        <v>48.48</v>
      </c>
      <c r="F4428" s="294" t="s">
        <v>298</v>
      </c>
    </row>
    <row r="4429" spans="1:6" hidden="1" outlineLevel="1" collapsed="1" x14ac:dyDescent="0.25">
      <c r="A4429" s="321" t="s">
        <v>282</v>
      </c>
      <c r="B4429" s="321" t="s">
        <v>398</v>
      </c>
      <c r="C4429" s="293">
        <v>24</v>
      </c>
      <c r="D4429" s="293">
        <v>11.04</v>
      </c>
      <c r="E4429" s="293">
        <v>-12.96</v>
      </c>
      <c r="F4429" s="294" t="s">
        <v>374</v>
      </c>
    </row>
    <row r="4430" spans="1:6" hidden="1" outlineLevel="1" collapsed="1" x14ac:dyDescent="0.25">
      <c r="A4430" s="321" t="s">
        <v>282</v>
      </c>
      <c r="B4430" s="321" t="s">
        <v>376</v>
      </c>
      <c r="C4430" s="293">
        <v>1000</v>
      </c>
      <c r="D4430" s="293">
        <v>2400</v>
      </c>
      <c r="E4430" s="293">
        <v>1400</v>
      </c>
      <c r="F4430" s="294" t="s">
        <v>1644</v>
      </c>
    </row>
    <row r="4431" spans="1:6" hidden="1" outlineLevel="1" collapsed="1" x14ac:dyDescent="0.25">
      <c r="A4431" s="321" t="s">
        <v>282</v>
      </c>
      <c r="B4431" s="321" t="s">
        <v>506</v>
      </c>
      <c r="C4431" s="293">
        <v>0</v>
      </c>
      <c r="D4431" s="293">
        <v>325</v>
      </c>
      <c r="E4431" s="293">
        <v>325</v>
      </c>
      <c r="F4431" s="294" t="s">
        <v>298</v>
      </c>
    </row>
    <row r="4432" spans="1:6" hidden="1" outlineLevel="1" collapsed="1" x14ac:dyDescent="0.25">
      <c r="A4432" s="321" t="s">
        <v>282</v>
      </c>
      <c r="B4432" s="321" t="s">
        <v>567</v>
      </c>
      <c r="C4432" s="293">
        <v>54500</v>
      </c>
      <c r="D4432" s="293">
        <v>45000</v>
      </c>
      <c r="E4432" s="293">
        <v>-9500</v>
      </c>
      <c r="F4432" s="294" t="s">
        <v>1645</v>
      </c>
    </row>
    <row r="4433" spans="1:6" hidden="1" outlineLevel="1" collapsed="1" x14ac:dyDescent="0.25">
      <c r="A4433" s="321" t="s">
        <v>282</v>
      </c>
      <c r="B4433" s="321" t="s">
        <v>426</v>
      </c>
      <c r="C4433" s="293">
        <v>4250</v>
      </c>
      <c r="D4433" s="293">
        <v>3000</v>
      </c>
      <c r="E4433" s="293">
        <v>-1250</v>
      </c>
      <c r="F4433" s="294" t="s">
        <v>1646</v>
      </c>
    </row>
    <row r="4434" spans="1:6" hidden="1" outlineLevel="1" collapsed="1" x14ac:dyDescent="0.25">
      <c r="A4434" s="321" t="s">
        <v>282</v>
      </c>
      <c r="B4434" s="321" t="s">
        <v>482</v>
      </c>
      <c r="C4434" s="293">
        <v>1000</v>
      </c>
      <c r="D4434" s="293">
        <v>500</v>
      </c>
      <c r="E4434" s="293">
        <v>-500</v>
      </c>
      <c r="F4434" s="294" t="s">
        <v>722</v>
      </c>
    </row>
    <row r="4435" spans="1:6" hidden="1" outlineLevel="1" collapsed="1" x14ac:dyDescent="0.25">
      <c r="A4435" s="321" t="s">
        <v>282</v>
      </c>
      <c r="B4435" s="321" t="s">
        <v>597</v>
      </c>
      <c r="C4435" s="293">
        <v>500</v>
      </c>
      <c r="D4435" s="293">
        <v>650</v>
      </c>
      <c r="E4435" s="293">
        <v>150</v>
      </c>
      <c r="F4435" s="294" t="s">
        <v>1647</v>
      </c>
    </row>
    <row r="4436" spans="1:6" hidden="1" outlineLevel="1" collapsed="1" x14ac:dyDescent="0.25">
      <c r="A4436" s="321" t="s">
        <v>282</v>
      </c>
      <c r="B4436" s="321" t="s">
        <v>842</v>
      </c>
      <c r="C4436" s="293">
        <v>6000</v>
      </c>
      <c r="D4436" s="293">
        <v>12500</v>
      </c>
      <c r="E4436" s="293">
        <v>6500</v>
      </c>
      <c r="F4436" s="294" t="s">
        <v>1648</v>
      </c>
    </row>
    <row r="4437" spans="1:6" hidden="1" outlineLevel="1" collapsed="1" x14ac:dyDescent="0.25">
      <c r="A4437" s="321" t="s">
        <v>282</v>
      </c>
      <c r="B4437" s="321" t="s">
        <v>416</v>
      </c>
      <c r="C4437" s="293">
        <v>1200</v>
      </c>
      <c r="D4437" s="293">
        <v>1000</v>
      </c>
      <c r="E4437" s="293">
        <v>-200</v>
      </c>
      <c r="F4437" s="294" t="s">
        <v>852</v>
      </c>
    </row>
    <row r="4438" spans="1:6" hidden="1" outlineLevel="1" collapsed="1" x14ac:dyDescent="0.25">
      <c r="A4438" s="321" t="s">
        <v>282</v>
      </c>
      <c r="B4438" s="321" t="s">
        <v>448</v>
      </c>
      <c r="C4438" s="293">
        <v>6500</v>
      </c>
      <c r="D4438" s="293">
        <v>10000</v>
      </c>
      <c r="E4438" s="293">
        <v>3500</v>
      </c>
      <c r="F4438" s="294" t="s">
        <v>1649</v>
      </c>
    </row>
    <row r="4439" spans="1:6" hidden="1" outlineLevel="1" collapsed="1" x14ac:dyDescent="0.25">
      <c r="A4439" s="321" t="s">
        <v>282</v>
      </c>
      <c r="B4439" s="321" t="s">
        <v>626</v>
      </c>
      <c r="C4439" s="293">
        <v>64000</v>
      </c>
      <c r="D4439" s="293">
        <v>40000</v>
      </c>
      <c r="E4439" s="293">
        <v>-24000</v>
      </c>
      <c r="F4439" s="294" t="s">
        <v>1650</v>
      </c>
    </row>
    <row r="4440" spans="1:6" hidden="1" outlineLevel="1" collapsed="1" x14ac:dyDescent="0.25">
      <c r="A4440" s="321" t="s">
        <v>282</v>
      </c>
      <c r="B4440" s="321" t="s">
        <v>405</v>
      </c>
      <c r="C4440" s="293">
        <v>1000</v>
      </c>
      <c r="D4440" s="293">
        <v>750</v>
      </c>
      <c r="E4440" s="293">
        <v>-250</v>
      </c>
      <c r="F4440" s="294" t="s">
        <v>1321</v>
      </c>
    </row>
    <row r="4441" spans="1:6" hidden="1" outlineLevel="1" collapsed="1" x14ac:dyDescent="0.25">
      <c r="A4441" s="321" t="s">
        <v>282</v>
      </c>
      <c r="B4441" s="321" t="s">
        <v>557</v>
      </c>
      <c r="C4441" s="293">
        <v>8000</v>
      </c>
      <c r="D4441" s="293">
        <v>5000</v>
      </c>
      <c r="E4441" s="293">
        <v>-3000</v>
      </c>
      <c r="F4441" s="294" t="s">
        <v>1650</v>
      </c>
    </row>
    <row r="4442" spans="1:6" hidden="1" outlineLevel="1" collapsed="1" x14ac:dyDescent="0.25">
      <c r="A4442" s="321" t="s">
        <v>282</v>
      </c>
      <c r="B4442" s="321" t="s">
        <v>770</v>
      </c>
      <c r="C4442" s="293">
        <v>1500</v>
      </c>
      <c r="D4442" s="293">
        <v>3000</v>
      </c>
      <c r="E4442" s="293">
        <v>1500</v>
      </c>
      <c r="F4442" s="294" t="s">
        <v>298</v>
      </c>
    </row>
    <row r="4443" spans="1:6" collapsed="1" x14ac:dyDescent="0.25">
      <c r="A4443" s="560" t="s">
        <v>1651</v>
      </c>
      <c r="B4443" s="561"/>
      <c r="C4443" s="292">
        <v>149869.98866900001</v>
      </c>
      <c r="D4443" s="293">
        <v>151552.60739799999</v>
      </c>
      <c r="E4443" s="293">
        <v>1682.618729</v>
      </c>
      <c r="F4443" s="294" t="s">
        <v>2289</v>
      </c>
    </row>
    <row r="4444" spans="1:6" hidden="1" outlineLevel="1" collapsed="1" x14ac:dyDescent="0.25">
      <c r="A4444" s="321" t="s">
        <v>282</v>
      </c>
      <c r="B4444" s="321" t="s">
        <v>464</v>
      </c>
      <c r="C4444" s="293">
        <v>96006.866118999998</v>
      </c>
      <c r="D4444" s="293">
        <v>96186.675426000002</v>
      </c>
      <c r="E4444" s="293">
        <v>179.80930699999999</v>
      </c>
      <c r="F4444" s="294" t="s">
        <v>2290</v>
      </c>
    </row>
    <row r="4445" spans="1:6" hidden="1" outlineLevel="1" collapsed="1" x14ac:dyDescent="0.25">
      <c r="A4445" s="321" t="s">
        <v>282</v>
      </c>
      <c r="B4445" s="321" t="s">
        <v>475</v>
      </c>
      <c r="C4445" s="293">
        <v>400</v>
      </c>
      <c r="D4445" s="293">
        <v>400</v>
      </c>
      <c r="E4445" s="293">
        <v>0</v>
      </c>
      <c r="F4445" s="294" t="s">
        <v>316</v>
      </c>
    </row>
    <row r="4446" spans="1:6" hidden="1" outlineLevel="1" collapsed="1" x14ac:dyDescent="0.25">
      <c r="A4446" s="321" t="s">
        <v>282</v>
      </c>
      <c r="B4446" s="321" t="s">
        <v>384</v>
      </c>
      <c r="C4446" s="293">
        <v>9434.3805990000001</v>
      </c>
      <c r="D4446" s="293">
        <v>0</v>
      </c>
      <c r="E4446" s="293">
        <v>-9434.3805990000001</v>
      </c>
      <c r="F4446" s="294" t="s">
        <v>286</v>
      </c>
    </row>
    <row r="4447" spans="1:6" hidden="1" outlineLevel="1" collapsed="1" x14ac:dyDescent="0.25">
      <c r="A4447" s="321" t="s">
        <v>282</v>
      </c>
      <c r="B4447" s="321" t="s">
        <v>385</v>
      </c>
      <c r="C4447" s="293">
        <v>0</v>
      </c>
      <c r="D4447" s="293">
        <v>12267.051959</v>
      </c>
      <c r="E4447" s="293">
        <v>12267.051959</v>
      </c>
      <c r="F4447" s="294" t="s">
        <v>298</v>
      </c>
    </row>
    <row r="4448" spans="1:6" hidden="1" outlineLevel="1" collapsed="1" x14ac:dyDescent="0.25">
      <c r="A4448" s="321" t="s">
        <v>282</v>
      </c>
      <c r="B4448" s="321" t="s">
        <v>386</v>
      </c>
      <c r="C4448" s="293">
        <v>5687.0322020000003</v>
      </c>
      <c r="D4448" s="293">
        <v>0</v>
      </c>
      <c r="E4448" s="293">
        <v>-5687.0322020000003</v>
      </c>
      <c r="F4448" s="294" t="s">
        <v>286</v>
      </c>
    </row>
    <row r="4449" spans="1:6" hidden="1" outlineLevel="1" collapsed="1" x14ac:dyDescent="0.25">
      <c r="A4449" s="321" t="s">
        <v>282</v>
      </c>
      <c r="B4449" s="321" t="s">
        <v>387</v>
      </c>
      <c r="C4449" s="293">
        <v>0</v>
      </c>
      <c r="D4449" s="293">
        <v>5963.5738600000004</v>
      </c>
      <c r="E4449" s="293">
        <v>5963.5738600000004</v>
      </c>
      <c r="F4449" s="294" t="s">
        <v>298</v>
      </c>
    </row>
    <row r="4450" spans="1:6" hidden="1" outlineLevel="1" collapsed="1" x14ac:dyDescent="0.25">
      <c r="A4450" s="321" t="s">
        <v>282</v>
      </c>
      <c r="B4450" s="321" t="s">
        <v>388</v>
      </c>
      <c r="C4450" s="293">
        <v>1330.0317150000001</v>
      </c>
      <c r="D4450" s="293">
        <v>1394.7067750000001</v>
      </c>
      <c r="E4450" s="293">
        <v>64.675060000000002</v>
      </c>
      <c r="F4450" s="294" t="s">
        <v>2291</v>
      </c>
    </row>
    <row r="4451" spans="1:6" hidden="1" outlineLevel="1" collapsed="1" x14ac:dyDescent="0.25">
      <c r="A4451" s="321" t="s">
        <v>282</v>
      </c>
      <c r="B4451" s="321" t="s">
        <v>480</v>
      </c>
      <c r="C4451" s="293">
        <v>202.63424499999999</v>
      </c>
      <c r="D4451" s="293">
        <v>208.758847</v>
      </c>
      <c r="E4451" s="293">
        <v>6.1246020000000003</v>
      </c>
      <c r="F4451" s="294" t="s">
        <v>520</v>
      </c>
    </row>
    <row r="4452" spans="1:6" hidden="1" outlineLevel="1" collapsed="1" x14ac:dyDescent="0.25">
      <c r="A4452" s="321" t="s">
        <v>282</v>
      </c>
      <c r="B4452" s="321" t="s">
        <v>444</v>
      </c>
      <c r="C4452" s="293">
        <v>2428.42</v>
      </c>
      <c r="D4452" s="293">
        <v>36</v>
      </c>
      <c r="E4452" s="293">
        <v>-2392.42</v>
      </c>
      <c r="F4452" s="294" t="s">
        <v>1654</v>
      </c>
    </row>
    <row r="4453" spans="1:6" hidden="1" outlineLevel="1" collapsed="1" x14ac:dyDescent="0.25">
      <c r="A4453" s="321" t="s">
        <v>282</v>
      </c>
      <c r="B4453" s="321" t="s">
        <v>389</v>
      </c>
      <c r="C4453" s="293">
        <v>749.979648</v>
      </c>
      <c r="D4453" s="293">
        <v>742.79039999999998</v>
      </c>
      <c r="E4453" s="293">
        <v>-7.1892480000000001</v>
      </c>
      <c r="F4453" s="294" t="s">
        <v>364</v>
      </c>
    </row>
    <row r="4454" spans="1:6" hidden="1" outlineLevel="1" collapsed="1" x14ac:dyDescent="0.25">
      <c r="A4454" s="321" t="s">
        <v>282</v>
      </c>
      <c r="B4454" s="321" t="s">
        <v>390</v>
      </c>
      <c r="C4454" s="293">
        <v>27254.075199999999</v>
      </c>
      <c r="D4454" s="293">
        <v>28088.3328</v>
      </c>
      <c r="E4454" s="293">
        <v>834.25760000000002</v>
      </c>
      <c r="F4454" s="294" t="s">
        <v>391</v>
      </c>
    </row>
    <row r="4455" spans="1:6" hidden="1" outlineLevel="1" collapsed="1" x14ac:dyDescent="0.25">
      <c r="A4455" s="321" t="s">
        <v>282</v>
      </c>
      <c r="B4455" s="321" t="s">
        <v>392</v>
      </c>
      <c r="C4455" s="293">
        <v>411.02899200000002</v>
      </c>
      <c r="D4455" s="293">
        <v>321.86880000000002</v>
      </c>
      <c r="E4455" s="293">
        <v>-89.160191999999995</v>
      </c>
      <c r="F4455" s="294" t="s">
        <v>368</v>
      </c>
    </row>
    <row r="4456" spans="1:6" hidden="1" outlineLevel="1" collapsed="1" x14ac:dyDescent="0.25">
      <c r="A4456" s="321" t="s">
        <v>282</v>
      </c>
      <c r="B4456" s="321" t="s">
        <v>393</v>
      </c>
      <c r="C4456" s="293">
        <v>45.863149</v>
      </c>
      <c r="D4456" s="293">
        <v>48.093330999999999</v>
      </c>
      <c r="E4456" s="293">
        <v>2.2301820000000001</v>
      </c>
      <c r="F4456" s="294" t="s">
        <v>2291</v>
      </c>
    </row>
    <row r="4457" spans="1:6" hidden="1" outlineLevel="1" collapsed="1" x14ac:dyDescent="0.25">
      <c r="A4457" s="321" t="s">
        <v>282</v>
      </c>
      <c r="B4457" s="321" t="s">
        <v>394</v>
      </c>
      <c r="C4457" s="293">
        <v>2640</v>
      </c>
      <c r="D4457" s="293">
        <v>0</v>
      </c>
      <c r="E4457" s="293">
        <v>-2640</v>
      </c>
      <c r="F4457" s="294" t="s">
        <v>286</v>
      </c>
    </row>
    <row r="4458" spans="1:6" hidden="1" outlineLevel="1" collapsed="1" x14ac:dyDescent="0.25">
      <c r="A4458" s="321" t="s">
        <v>282</v>
      </c>
      <c r="B4458" s="321" t="s">
        <v>395</v>
      </c>
      <c r="C4458" s="293">
        <v>0</v>
      </c>
      <c r="D4458" s="293">
        <v>2640</v>
      </c>
      <c r="E4458" s="293">
        <v>2640</v>
      </c>
      <c r="F4458" s="294" t="s">
        <v>298</v>
      </c>
    </row>
    <row r="4459" spans="1:6" hidden="1" outlineLevel="1" collapsed="1" x14ac:dyDescent="0.25">
      <c r="A4459" s="321" t="s">
        <v>282</v>
      </c>
      <c r="B4459" s="321" t="s">
        <v>396</v>
      </c>
      <c r="C4459" s="293">
        <v>87.436800000000005</v>
      </c>
      <c r="D4459" s="293">
        <v>0</v>
      </c>
      <c r="E4459" s="293">
        <v>-87.436800000000005</v>
      </c>
      <c r="F4459" s="294" t="s">
        <v>286</v>
      </c>
    </row>
    <row r="4460" spans="1:6" hidden="1" outlineLevel="1" collapsed="1" x14ac:dyDescent="0.25">
      <c r="A4460" s="321" t="s">
        <v>282</v>
      </c>
      <c r="B4460" s="321" t="s">
        <v>397</v>
      </c>
      <c r="C4460" s="293">
        <v>0</v>
      </c>
      <c r="D4460" s="293">
        <v>85.324799999999996</v>
      </c>
      <c r="E4460" s="293">
        <v>85.324799999999996</v>
      </c>
      <c r="F4460" s="294" t="s">
        <v>298</v>
      </c>
    </row>
    <row r="4461" spans="1:6" hidden="1" outlineLevel="1" collapsed="1" x14ac:dyDescent="0.25">
      <c r="A4461" s="321" t="s">
        <v>282</v>
      </c>
      <c r="B4461" s="321" t="s">
        <v>398</v>
      </c>
      <c r="C4461" s="293">
        <v>42.24</v>
      </c>
      <c r="D4461" s="293">
        <v>19.430399999999999</v>
      </c>
      <c r="E4461" s="293">
        <v>-22.8096</v>
      </c>
      <c r="F4461" s="294" t="s">
        <v>374</v>
      </c>
    </row>
    <row r="4462" spans="1:6" hidden="1" outlineLevel="1" collapsed="1" x14ac:dyDescent="0.25">
      <c r="A4462" s="321" t="s">
        <v>282</v>
      </c>
      <c r="B4462" s="321" t="s">
        <v>416</v>
      </c>
      <c r="C4462" s="293">
        <v>3150</v>
      </c>
      <c r="D4462" s="293">
        <v>3150</v>
      </c>
      <c r="E4462" s="293">
        <v>0</v>
      </c>
      <c r="F4462" s="294" t="s">
        <v>316</v>
      </c>
    </row>
    <row r="4463" spans="1:6" collapsed="1" x14ac:dyDescent="0.25">
      <c r="A4463" s="560" t="s">
        <v>1655</v>
      </c>
      <c r="B4463" s="561"/>
      <c r="C4463" s="292">
        <v>11925</v>
      </c>
      <c r="D4463" s="293">
        <v>11983</v>
      </c>
      <c r="E4463" s="293">
        <v>58</v>
      </c>
      <c r="F4463" s="294" t="s">
        <v>1656</v>
      </c>
    </row>
    <row r="4464" spans="1:6" hidden="1" outlineLevel="1" collapsed="1" x14ac:dyDescent="0.25">
      <c r="A4464" s="321" t="s">
        <v>282</v>
      </c>
      <c r="B4464" s="321" t="s">
        <v>441</v>
      </c>
      <c r="C4464" s="293">
        <v>6400</v>
      </c>
      <c r="D4464" s="293">
        <v>6400</v>
      </c>
      <c r="E4464" s="293">
        <v>0</v>
      </c>
      <c r="F4464" s="294" t="s">
        <v>316</v>
      </c>
    </row>
    <row r="4465" spans="1:6" hidden="1" outlineLevel="1" collapsed="1" x14ac:dyDescent="0.25">
      <c r="A4465" s="321" t="s">
        <v>282</v>
      </c>
      <c r="B4465" s="321" t="s">
        <v>444</v>
      </c>
      <c r="C4465" s="293">
        <v>0</v>
      </c>
      <c r="D4465" s="293">
        <v>783</v>
      </c>
      <c r="E4465" s="293">
        <v>783</v>
      </c>
      <c r="F4465" s="294" t="s">
        <v>298</v>
      </c>
    </row>
    <row r="4466" spans="1:6" hidden="1" outlineLevel="1" collapsed="1" x14ac:dyDescent="0.25">
      <c r="A4466" s="321" t="s">
        <v>282</v>
      </c>
      <c r="B4466" s="321" t="s">
        <v>399</v>
      </c>
      <c r="C4466" s="293">
        <v>500</v>
      </c>
      <c r="D4466" s="293">
        <v>500</v>
      </c>
      <c r="E4466" s="293">
        <v>0</v>
      </c>
      <c r="F4466" s="294" t="s">
        <v>316</v>
      </c>
    </row>
    <row r="4467" spans="1:6" hidden="1" outlineLevel="1" collapsed="1" x14ac:dyDescent="0.25">
      <c r="A4467" s="321" t="s">
        <v>282</v>
      </c>
      <c r="B4467" s="321" t="s">
        <v>567</v>
      </c>
      <c r="C4467" s="293">
        <v>1000</v>
      </c>
      <c r="D4467" s="293">
        <v>600</v>
      </c>
      <c r="E4467" s="293">
        <v>-400</v>
      </c>
      <c r="F4467" s="294" t="s">
        <v>1107</v>
      </c>
    </row>
    <row r="4468" spans="1:6" hidden="1" outlineLevel="1" collapsed="1" x14ac:dyDescent="0.25">
      <c r="A4468" s="321" t="s">
        <v>282</v>
      </c>
      <c r="B4468" s="321" t="s">
        <v>426</v>
      </c>
      <c r="C4468" s="293">
        <v>3825</v>
      </c>
      <c r="D4468" s="293">
        <v>3500</v>
      </c>
      <c r="E4468" s="293">
        <v>-325</v>
      </c>
      <c r="F4468" s="294" t="s">
        <v>1657</v>
      </c>
    </row>
    <row r="4469" spans="1:6" hidden="1" outlineLevel="1" collapsed="1" x14ac:dyDescent="0.25">
      <c r="A4469" s="321" t="s">
        <v>282</v>
      </c>
      <c r="B4469" s="321" t="s">
        <v>597</v>
      </c>
      <c r="C4469" s="293">
        <v>200</v>
      </c>
      <c r="D4469" s="293">
        <v>200</v>
      </c>
      <c r="E4469" s="293">
        <v>0</v>
      </c>
      <c r="F4469" s="294" t="s">
        <v>316</v>
      </c>
    </row>
    <row r="4470" spans="1:6" collapsed="1" x14ac:dyDescent="0.25">
      <c r="A4470" s="560" t="s">
        <v>1658</v>
      </c>
      <c r="B4470" s="561"/>
      <c r="C4470" s="292">
        <v>59721.755884999999</v>
      </c>
      <c r="D4470" s="293">
        <v>62493.279126000001</v>
      </c>
      <c r="E4470" s="293">
        <v>2771.5232409999999</v>
      </c>
      <c r="F4470" s="294" t="s">
        <v>2285</v>
      </c>
    </row>
    <row r="4471" spans="1:6" hidden="1" outlineLevel="1" collapsed="1" x14ac:dyDescent="0.25">
      <c r="A4471" s="321" t="s">
        <v>282</v>
      </c>
      <c r="B4471" s="321" t="s">
        <v>464</v>
      </c>
      <c r="C4471" s="293">
        <v>36748.697353000003</v>
      </c>
      <c r="D4471" s="293">
        <v>37842.136207000003</v>
      </c>
      <c r="E4471" s="293">
        <v>1093.438854</v>
      </c>
      <c r="F4471" s="294" t="s">
        <v>381</v>
      </c>
    </row>
    <row r="4472" spans="1:6" hidden="1" outlineLevel="1" collapsed="1" x14ac:dyDescent="0.25">
      <c r="A4472" s="321" t="s">
        <v>282</v>
      </c>
      <c r="B4472" s="321" t="s">
        <v>384</v>
      </c>
      <c r="C4472" s="293">
        <v>4551.0285219999996</v>
      </c>
      <c r="D4472" s="293">
        <v>0</v>
      </c>
      <c r="E4472" s="293">
        <v>-4551.0285219999996</v>
      </c>
      <c r="F4472" s="294" t="s">
        <v>286</v>
      </c>
    </row>
    <row r="4473" spans="1:6" hidden="1" outlineLevel="1" collapsed="1" x14ac:dyDescent="0.25">
      <c r="A4473" s="321" t="s">
        <v>282</v>
      </c>
      <c r="B4473" s="321" t="s">
        <v>385</v>
      </c>
      <c r="C4473" s="293">
        <v>0</v>
      </c>
      <c r="D4473" s="293">
        <v>5788.4248539999999</v>
      </c>
      <c r="E4473" s="293">
        <v>5788.4248539999999</v>
      </c>
      <c r="F4473" s="294" t="s">
        <v>298</v>
      </c>
    </row>
    <row r="4474" spans="1:6" hidden="1" outlineLevel="1" collapsed="1" x14ac:dyDescent="0.25">
      <c r="A4474" s="321" t="s">
        <v>282</v>
      </c>
      <c r="B4474" s="321" t="s">
        <v>386</v>
      </c>
      <c r="C4474" s="293">
        <v>2278.4192320000002</v>
      </c>
      <c r="D4474" s="293">
        <v>0</v>
      </c>
      <c r="E4474" s="293">
        <v>-2278.4192320000002</v>
      </c>
      <c r="F4474" s="294" t="s">
        <v>286</v>
      </c>
    </row>
    <row r="4475" spans="1:6" hidden="1" outlineLevel="1" collapsed="1" x14ac:dyDescent="0.25">
      <c r="A4475" s="321" t="s">
        <v>282</v>
      </c>
      <c r="B4475" s="321" t="s">
        <v>387</v>
      </c>
      <c r="C4475" s="293">
        <v>0</v>
      </c>
      <c r="D4475" s="293">
        <v>2346.2124359999998</v>
      </c>
      <c r="E4475" s="293">
        <v>2346.2124359999998</v>
      </c>
      <c r="F4475" s="294" t="s">
        <v>298</v>
      </c>
    </row>
    <row r="4476" spans="1:6" hidden="1" outlineLevel="1" collapsed="1" x14ac:dyDescent="0.25">
      <c r="A4476" s="321" t="s">
        <v>282</v>
      </c>
      <c r="B4476" s="321" t="s">
        <v>388</v>
      </c>
      <c r="C4476" s="293">
        <v>532.85611100000006</v>
      </c>
      <c r="D4476" s="293">
        <v>548.71096899999998</v>
      </c>
      <c r="E4476" s="293">
        <v>15.854858</v>
      </c>
      <c r="F4476" s="294" t="s">
        <v>381</v>
      </c>
    </row>
    <row r="4477" spans="1:6" hidden="1" outlineLevel="1" collapsed="1" x14ac:dyDescent="0.25">
      <c r="A4477" s="321" t="s">
        <v>282</v>
      </c>
      <c r="B4477" s="321" t="s">
        <v>389</v>
      </c>
      <c r="C4477" s="293">
        <v>374.989824</v>
      </c>
      <c r="D4477" s="293">
        <v>371.39519999999999</v>
      </c>
      <c r="E4477" s="293">
        <v>-3.594624</v>
      </c>
      <c r="F4477" s="294" t="s">
        <v>364</v>
      </c>
    </row>
    <row r="4478" spans="1:6" hidden="1" outlineLevel="1" collapsed="1" x14ac:dyDescent="0.25">
      <c r="A4478" s="321" t="s">
        <v>282</v>
      </c>
      <c r="B4478" s="321" t="s">
        <v>390</v>
      </c>
      <c r="C4478" s="293">
        <v>13627.0376</v>
      </c>
      <c r="D4478" s="293">
        <v>14044.1664</v>
      </c>
      <c r="E4478" s="293">
        <v>417.12880000000001</v>
      </c>
      <c r="F4478" s="294" t="s">
        <v>391</v>
      </c>
    </row>
    <row r="4479" spans="1:6" hidden="1" outlineLevel="1" collapsed="1" x14ac:dyDescent="0.25">
      <c r="A4479" s="321" t="s">
        <v>282</v>
      </c>
      <c r="B4479" s="321" t="s">
        <v>392</v>
      </c>
      <c r="C4479" s="293">
        <v>205.51449600000001</v>
      </c>
      <c r="D4479" s="293">
        <v>160.93440000000001</v>
      </c>
      <c r="E4479" s="293">
        <v>-44.580095999999998</v>
      </c>
      <c r="F4479" s="294" t="s">
        <v>368</v>
      </c>
    </row>
    <row r="4480" spans="1:6" hidden="1" outlineLevel="1" collapsed="1" x14ac:dyDescent="0.25">
      <c r="A4480" s="321" t="s">
        <v>282</v>
      </c>
      <c r="B4480" s="321" t="s">
        <v>393</v>
      </c>
      <c r="C4480" s="293">
        <v>18.374347</v>
      </c>
      <c r="D4480" s="293">
        <v>18.921060000000001</v>
      </c>
      <c r="E4480" s="293">
        <v>0.546713</v>
      </c>
      <c r="F4480" s="294" t="s">
        <v>381</v>
      </c>
    </row>
    <row r="4481" spans="1:6" hidden="1" outlineLevel="1" collapsed="1" x14ac:dyDescent="0.25">
      <c r="A4481" s="321" t="s">
        <v>282</v>
      </c>
      <c r="B4481" s="321" t="s">
        <v>394</v>
      </c>
      <c r="C4481" s="293">
        <v>1320</v>
      </c>
      <c r="D4481" s="293">
        <v>0</v>
      </c>
      <c r="E4481" s="293">
        <v>-1320</v>
      </c>
      <c r="F4481" s="294" t="s">
        <v>286</v>
      </c>
    </row>
    <row r="4482" spans="1:6" hidden="1" outlineLevel="1" collapsed="1" x14ac:dyDescent="0.25">
      <c r="A4482" s="321" t="s">
        <v>282</v>
      </c>
      <c r="B4482" s="321" t="s">
        <v>395</v>
      </c>
      <c r="C4482" s="293">
        <v>0</v>
      </c>
      <c r="D4482" s="293">
        <v>1320</v>
      </c>
      <c r="E4482" s="293">
        <v>1320</v>
      </c>
      <c r="F4482" s="294" t="s">
        <v>298</v>
      </c>
    </row>
    <row r="4483" spans="1:6" hidden="1" outlineLevel="1" collapsed="1" x14ac:dyDescent="0.25">
      <c r="A4483" s="321" t="s">
        <v>282</v>
      </c>
      <c r="B4483" s="321" t="s">
        <v>396</v>
      </c>
      <c r="C4483" s="293">
        <v>43.718400000000003</v>
      </c>
      <c r="D4483" s="293">
        <v>0</v>
      </c>
      <c r="E4483" s="293">
        <v>-43.718400000000003</v>
      </c>
      <c r="F4483" s="294" t="s">
        <v>286</v>
      </c>
    </row>
    <row r="4484" spans="1:6" hidden="1" outlineLevel="1" collapsed="1" x14ac:dyDescent="0.25">
      <c r="A4484" s="321" t="s">
        <v>282</v>
      </c>
      <c r="B4484" s="321" t="s">
        <v>397</v>
      </c>
      <c r="C4484" s="293">
        <v>0</v>
      </c>
      <c r="D4484" s="293">
        <v>42.662399999999998</v>
      </c>
      <c r="E4484" s="293">
        <v>42.662399999999998</v>
      </c>
      <c r="F4484" s="294" t="s">
        <v>298</v>
      </c>
    </row>
    <row r="4485" spans="1:6" hidden="1" outlineLevel="1" collapsed="1" x14ac:dyDescent="0.25">
      <c r="A4485" s="321" t="s">
        <v>282</v>
      </c>
      <c r="B4485" s="321" t="s">
        <v>398</v>
      </c>
      <c r="C4485" s="293">
        <v>21.12</v>
      </c>
      <c r="D4485" s="293">
        <v>9.7151999999999994</v>
      </c>
      <c r="E4485" s="293">
        <v>-11.4048</v>
      </c>
      <c r="F4485" s="294" t="s">
        <v>374</v>
      </c>
    </row>
    <row r="4486" spans="1:6" collapsed="1" x14ac:dyDescent="0.25">
      <c r="A4486" s="560" t="s">
        <v>1660</v>
      </c>
      <c r="B4486" s="561"/>
      <c r="C4486" s="292">
        <v>13500</v>
      </c>
      <c r="D4486" s="293">
        <v>13500</v>
      </c>
      <c r="E4486" s="293">
        <v>0</v>
      </c>
      <c r="F4486" s="294" t="s">
        <v>316</v>
      </c>
    </row>
    <row r="4487" spans="1:6" hidden="1" outlineLevel="1" collapsed="1" x14ac:dyDescent="0.25">
      <c r="A4487" s="321" t="s">
        <v>282</v>
      </c>
      <c r="B4487" s="321" t="s">
        <v>842</v>
      </c>
      <c r="C4487" s="293">
        <v>13500</v>
      </c>
      <c r="D4487" s="293">
        <v>13500</v>
      </c>
      <c r="E4487" s="293">
        <v>0</v>
      </c>
      <c r="F4487" s="294" t="s">
        <v>316</v>
      </c>
    </row>
    <row r="4488" spans="1:6" collapsed="1" x14ac:dyDescent="0.25">
      <c r="A4488" s="560" t="s">
        <v>1661</v>
      </c>
      <c r="B4488" s="561"/>
      <c r="C4488" s="292">
        <v>3500</v>
      </c>
      <c r="D4488" s="293">
        <v>3500</v>
      </c>
      <c r="E4488" s="293">
        <v>0</v>
      </c>
      <c r="F4488" s="294" t="s">
        <v>316</v>
      </c>
    </row>
    <row r="4489" spans="1:6" hidden="1" outlineLevel="1" collapsed="1" x14ac:dyDescent="0.25">
      <c r="A4489" s="321" t="s">
        <v>282</v>
      </c>
      <c r="B4489" s="321" t="s">
        <v>543</v>
      </c>
      <c r="C4489" s="293">
        <v>3500</v>
      </c>
      <c r="D4489" s="293">
        <v>3500</v>
      </c>
      <c r="E4489" s="293">
        <v>0</v>
      </c>
      <c r="F4489" s="294" t="s">
        <v>316</v>
      </c>
    </row>
    <row r="4490" spans="1:6" hidden="1" outlineLevel="1" collapsed="1" x14ac:dyDescent="0.25">
      <c r="A4490" s="321" t="s">
        <v>282</v>
      </c>
      <c r="B4490" s="321" t="s">
        <v>901</v>
      </c>
      <c r="C4490" s="293">
        <v>0</v>
      </c>
      <c r="D4490" s="293">
        <v>0</v>
      </c>
      <c r="E4490" s="293">
        <v>0</v>
      </c>
      <c r="F4490" s="294" t="s">
        <v>316</v>
      </c>
    </row>
    <row r="4491" spans="1:6" collapsed="1" x14ac:dyDescent="0.25">
      <c r="A4491" s="560" t="s">
        <v>1662</v>
      </c>
      <c r="B4491" s="561"/>
      <c r="C4491" s="292">
        <v>725827.77223</v>
      </c>
      <c r="D4491" s="293">
        <v>758118.21303800005</v>
      </c>
      <c r="E4491" s="293">
        <v>32290.440807999999</v>
      </c>
      <c r="F4491" s="294" t="s">
        <v>2292</v>
      </c>
    </row>
    <row r="4492" spans="1:6" hidden="1" outlineLevel="1" collapsed="1" x14ac:dyDescent="0.25">
      <c r="A4492" s="321" t="s">
        <v>282</v>
      </c>
      <c r="B4492" s="321" t="s">
        <v>942</v>
      </c>
      <c r="C4492" s="293">
        <v>94927.524109000005</v>
      </c>
      <c r="D4492" s="293">
        <v>96351.435637000002</v>
      </c>
      <c r="E4492" s="293">
        <v>1423.9115280000001</v>
      </c>
      <c r="F4492" s="294" t="s">
        <v>510</v>
      </c>
    </row>
    <row r="4493" spans="1:6" hidden="1" outlineLevel="1" collapsed="1" x14ac:dyDescent="0.25">
      <c r="A4493" s="321" t="s">
        <v>282</v>
      </c>
      <c r="B4493" s="321" t="s">
        <v>464</v>
      </c>
      <c r="C4493" s="293">
        <v>343837.73566599999</v>
      </c>
      <c r="D4493" s="293">
        <v>362432.71419700002</v>
      </c>
      <c r="E4493" s="293">
        <v>18594.978531000001</v>
      </c>
      <c r="F4493" s="294" t="s">
        <v>1664</v>
      </c>
    </row>
    <row r="4494" spans="1:6" hidden="1" outlineLevel="1" collapsed="1" x14ac:dyDescent="0.25">
      <c r="A4494" s="321" t="s">
        <v>282</v>
      </c>
      <c r="B4494" s="321" t="s">
        <v>475</v>
      </c>
      <c r="C4494" s="293">
        <v>0</v>
      </c>
      <c r="D4494" s="293">
        <v>500</v>
      </c>
      <c r="E4494" s="293">
        <v>500</v>
      </c>
      <c r="F4494" s="294" t="s">
        <v>298</v>
      </c>
    </row>
    <row r="4495" spans="1:6" hidden="1" outlineLevel="1" collapsed="1" x14ac:dyDescent="0.25">
      <c r="A4495" s="321" t="s">
        <v>282</v>
      </c>
      <c r="B4495" s="321" t="s">
        <v>384</v>
      </c>
      <c r="C4495" s="293">
        <v>45187.997306999998</v>
      </c>
      <c r="D4495" s="293">
        <v>0</v>
      </c>
      <c r="E4495" s="293">
        <v>-45187.997306999998</v>
      </c>
      <c r="F4495" s="294" t="s">
        <v>286</v>
      </c>
    </row>
    <row r="4496" spans="1:6" hidden="1" outlineLevel="1" collapsed="1" x14ac:dyDescent="0.25">
      <c r="A4496" s="321" t="s">
        <v>282</v>
      </c>
      <c r="B4496" s="321" t="s">
        <v>385</v>
      </c>
      <c r="C4496" s="293">
        <v>0</v>
      </c>
      <c r="D4496" s="293">
        <v>58113.450086999997</v>
      </c>
      <c r="E4496" s="293">
        <v>58113.450086999997</v>
      </c>
      <c r="F4496" s="294" t="s">
        <v>298</v>
      </c>
    </row>
    <row r="4497" spans="1:6" hidden="1" outlineLevel="1" collapsed="1" x14ac:dyDescent="0.25">
      <c r="A4497" s="321" t="s">
        <v>282</v>
      </c>
      <c r="B4497" s="321" t="s">
        <v>386</v>
      </c>
      <c r="C4497" s="293">
        <v>27238.786079000001</v>
      </c>
      <c r="D4497" s="293">
        <v>0</v>
      </c>
      <c r="E4497" s="293">
        <v>-27238.786079000001</v>
      </c>
      <c r="F4497" s="294" t="s">
        <v>286</v>
      </c>
    </row>
    <row r="4498" spans="1:6" hidden="1" outlineLevel="1" collapsed="1" x14ac:dyDescent="0.25">
      <c r="A4498" s="321" t="s">
        <v>282</v>
      </c>
      <c r="B4498" s="321" t="s">
        <v>387</v>
      </c>
      <c r="C4498" s="293">
        <v>0</v>
      </c>
      <c r="D4498" s="293">
        <v>28479.957246000002</v>
      </c>
      <c r="E4498" s="293">
        <v>28479.957246000002</v>
      </c>
      <c r="F4498" s="294" t="s">
        <v>298</v>
      </c>
    </row>
    <row r="4499" spans="1:6" hidden="1" outlineLevel="1" collapsed="1" x14ac:dyDescent="0.25">
      <c r="A4499" s="321" t="s">
        <v>282</v>
      </c>
      <c r="B4499" s="321" t="s">
        <v>388</v>
      </c>
      <c r="C4499" s="293">
        <v>6370.361226</v>
      </c>
      <c r="D4499" s="293">
        <v>6660.6351359999999</v>
      </c>
      <c r="E4499" s="293">
        <v>290.27391</v>
      </c>
      <c r="F4499" s="294" t="s">
        <v>1665</v>
      </c>
    </row>
    <row r="4500" spans="1:6" hidden="1" outlineLevel="1" collapsed="1" x14ac:dyDescent="0.25">
      <c r="A4500" s="321" t="s">
        <v>282</v>
      </c>
      <c r="B4500" s="321" t="s">
        <v>480</v>
      </c>
      <c r="C4500" s="293">
        <v>989.190969</v>
      </c>
      <c r="D4500" s="293">
        <v>1054.799708</v>
      </c>
      <c r="E4500" s="293">
        <v>65.608739</v>
      </c>
      <c r="F4500" s="294" t="s">
        <v>1666</v>
      </c>
    </row>
    <row r="4501" spans="1:6" hidden="1" outlineLevel="1" collapsed="1" x14ac:dyDescent="0.25">
      <c r="A4501" s="321" t="s">
        <v>282</v>
      </c>
      <c r="B4501" s="321" t="s">
        <v>444</v>
      </c>
      <c r="C4501" s="293">
        <v>0</v>
      </c>
      <c r="D4501" s="293">
        <v>90</v>
      </c>
      <c r="E4501" s="293">
        <v>90</v>
      </c>
      <c r="F4501" s="294" t="s">
        <v>298</v>
      </c>
    </row>
    <row r="4502" spans="1:6" hidden="1" outlineLevel="1" collapsed="1" x14ac:dyDescent="0.25">
      <c r="A4502" s="321" t="s">
        <v>282</v>
      </c>
      <c r="B4502" s="321" t="s">
        <v>389</v>
      </c>
      <c r="C4502" s="293">
        <v>2109.3177599999999</v>
      </c>
      <c r="D4502" s="293">
        <v>2089.098</v>
      </c>
      <c r="E4502" s="293">
        <v>-20.219760000000001</v>
      </c>
      <c r="F4502" s="294" t="s">
        <v>364</v>
      </c>
    </row>
    <row r="4503" spans="1:6" hidden="1" outlineLevel="1" collapsed="1" x14ac:dyDescent="0.25">
      <c r="A4503" s="321" t="s">
        <v>282</v>
      </c>
      <c r="B4503" s="321" t="s">
        <v>390</v>
      </c>
      <c r="C4503" s="293">
        <v>61166.816500000001</v>
      </c>
      <c r="D4503" s="293">
        <v>63039.156000000003</v>
      </c>
      <c r="E4503" s="293">
        <v>1872.3395</v>
      </c>
      <c r="F4503" s="294" t="s">
        <v>391</v>
      </c>
    </row>
    <row r="4504" spans="1:6" hidden="1" outlineLevel="1" collapsed="1" x14ac:dyDescent="0.25">
      <c r="A4504" s="321" t="s">
        <v>282</v>
      </c>
      <c r="B4504" s="321" t="s">
        <v>392</v>
      </c>
      <c r="C4504" s="293">
        <v>1156.0190399999999</v>
      </c>
      <c r="D4504" s="293">
        <v>905.25599999999997</v>
      </c>
      <c r="E4504" s="293">
        <v>-250.76303999999999</v>
      </c>
      <c r="F4504" s="294" t="s">
        <v>368</v>
      </c>
    </row>
    <row r="4505" spans="1:6" hidden="1" outlineLevel="1" collapsed="1" x14ac:dyDescent="0.25">
      <c r="A4505" s="321" t="s">
        <v>282</v>
      </c>
      <c r="B4505" s="321" t="s">
        <v>393</v>
      </c>
      <c r="C4505" s="293">
        <v>219.667574</v>
      </c>
      <c r="D4505" s="293">
        <v>229.67702700000001</v>
      </c>
      <c r="E4505" s="293">
        <v>10.009453000000001</v>
      </c>
      <c r="F4505" s="294" t="s">
        <v>1665</v>
      </c>
    </row>
    <row r="4506" spans="1:6" hidden="1" outlineLevel="1" collapsed="1" x14ac:dyDescent="0.25">
      <c r="A4506" s="321" t="s">
        <v>282</v>
      </c>
      <c r="B4506" s="321" t="s">
        <v>394</v>
      </c>
      <c r="C4506" s="293">
        <v>7425</v>
      </c>
      <c r="D4506" s="293">
        <v>0</v>
      </c>
      <c r="E4506" s="293">
        <v>-7425</v>
      </c>
      <c r="F4506" s="294" t="s">
        <v>286</v>
      </c>
    </row>
    <row r="4507" spans="1:6" hidden="1" outlineLevel="1" collapsed="1" x14ac:dyDescent="0.25">
      <c r="A4507" s="321" t="s">
        <v>282</v>
      </c>
      <c r="B4507" s="321" t="s">
        <v>395</v>
      </c>
      <c r="C4507" s="293">
        <v>0</v>
      </c>
      <c r="D4507" s="293">
        <v>7425</v>
      </c>
      <c r="E4507" s="293">
        <v>7425</v>
      </c>
      <c r="F4507" s="294" t="s">
        <v>298</v>
      </c>
    </row>
    <row r="4508" spans="1:6" hidden="1" outlineLevel="1" collapsed="1" x14ac:dyDescent="0.25">
      <c r="A4508" s="321" t="s">
        <v>282</v>
      </c>
      <c r="B4508" s="321" t="s">
        <v>396</v>
      </c>
      <c r="C4508" s="293">
        <v>245.916</v>
      </c>
      <c r="D4508" s="293">
        <v>0</v>
      </c>
      <c r="E4508" s="293">
        <v>-245.916</v>
      </c>
      <c r="F4508" s="294" t="s">
        <v>286</v>
      </c>
    </row>
    <row r="4509" spans="1:6" hidden="1" outlineLevel="1" collapsed="1" x14ac:dyDescent="0.25">
      <c r="A4509" s="321" t="s">
        <v>282</v>
      </c>
      <c r="B4509" s="321" t="s">
        <v>397</v>
      </c>
      <c r="C4509" s="293">
        <v>0</v>
      </c>
      <c r="D4509" s="293">
        <v>239.976</v>
      </c>
      <c r="E4509" s="293">
        <v>239.976</v>
      </c>
      <c r="F4509" s="294" t="s">
        <v>298</v>
      </c>
    </row>
    <row r="4510" spans="1:6" hidden="1" outlineLevel="1" collapsed="1" x14ac:dyDescent="0.25">
      <c r="A4510" s="321" t="s">
        <v>282</v>
      </c>
      <c r="B4510" s="321" t="s">
        <v>398</v>
      </c>
      <c r="C4510" s="293">
        <v>118.8</v>
      </c>
      <c r="D4510" s="293">
        <v>54.648000000000003</v>
      </c>
      <c r="E4510" s="293">
        <v>-64.152000000000001</v>
      </c>
      <c r="F4510" s="294" t="s">
        <v>374</v>
      </c>
    </row>
    <row r="4511" spans="1:6" hidden="1" outlineLevel="1" collapsed="1" x14ac:dyDescent="0.25">
      <c r="A4511" s="321" t="s">
        <v>282</v>
      </c>
      <c r="B4511" s="321" t="s">
        <v>522</v>
      </c>
      <c r="C4511" s="293">
        <v>3000</v>
      </c>
      <c r="D4511" s="293">
        <v>3000</v>
      </c>
      <c r="E4511" s="293">
        <v>0</v>
      </c>
      <c r="F4511" s="294" t="s">
        <v>316</v>
      </c>
    </row>
    <row r="4512" spans="1:6" hidden="1" outlineLevel="1" collapsed="1" x14ac:dyDescent="0.25">
      <c r="A4512" s="321" t="s">
        <v>282</v>
      </c>
      <c r="B4512" s="321" t="s">
        <v>431</v>
      </c>
      <c r="C4512" s="293">
        <v>1000</v>
      </c>
      <c r="D4512" s="293">
        <v>2500</v>
      </c>
      <c r="E4512" s="293">
        <v>1500</v>
      </c>
      <c r="F4512" s="294" t="s">
        <v>1293</v>
      </c>
    </row>
    <row r="4513" spans="1:6" hidden="1" outlineLevel="1" collapsed="1" x14ac:dyDescent="0.25">
      <c r="A4513" s="321" t="s">
        <v>282</v>
      </c>
      <c r="B4513" s="321" t="s">
        <v>376</v>
      </c>
      <c r="C4513" s="293">
        <v>11500</v>
      </c>
      <c r="D4513" s="293">
        <v>11500</v>
      </c>
      <c r="E4513" s="293">
        <v>0</v>
      </c>
      <c r="F4513" s="294" t="s">
        <v>316</v>
      </c>
    </row>
    <row r="4514" spans="1:6" hidden="1" outlineLevel="1" collapsed="1" x14ac:dyDescent="0.25">
      <c r="A4514" s="321" t="s">
        <v>282</v>
      </c>
      <c r="B4514" s="321" t="s">
        <v>426</v>
      </c>
      <c r="C4514" s="293">
        <v>99</v>
      </c>
      <c r="D4514" s="293">
        <v>0</v>
      </c>
      <c r="E4514" s="293">
        <v>-99</v>
      </c>
      <c r="F4514" s="294" t="s">
        <v>286</v>
      </c>
    </row>
    <row r="4515" spans="1:6" hidden="1" outlineLevel="1" collapsed="1" x14ac:dyDescent="0.25">
      <c r="A4515" s="321" t="s">
        <v>282</v>
      </c>
      <c r="B4515" s="321" t="s">
        <v>952</v>
      </c>
      <c r="C4515" s="293">
        <v>570</v>
      </c>
      <c r="D4515" s="293">
        <v>570</v>
      </c>
      <c r="E4515" s="293">
        <v>0</v>
      </c>
      <c r="F4515" s="294" t="s">
        <v>316</v>
      </c>
    </row>
    <row r="4516" spans="1:6" hidden="1" outlineLevel="1" collapsed="1" x14ac:dyDescent="0.25">
      <c r="A4516" s="321" t="s">
        <v>282</v>
      </c>
      <c r="B4516" s="321" t="s">
        <v>543</v>
      </c>
      <c r="C4516" s="293">
        <v>62783</v>
      </c>
      <c r="D4516" s="293">
        <v>62782.41</v>
      </c>
      <c r="E4516" s="293">
        <v>-0.59</v>
      </c>
      <c r="F4516" s="294" t="s">
        <v>316</v>
      </c>
    </row>
    <row r="4517" spans="1:6" hidden="1" outlineLevel="1" collapsed="1" x14ac:dyDescent="0.25">
      <c r="A4517" s="321" t="s">
        <v>282</v>
      </c>
      <c r="B4517" s="321" t="s">
        <v>448</v>
      </c>
      <c r="C4517" s="293">
        <v>3200</v>
      </c>
      <c r="D4517" s="293">
        <v>2000</v>
      </c>
      <c r="E4517" s="293">
        <v>-1200</v>
      </c>
      <c r="F4517" s="294" t="s">
        <v>1650</v>
      </c>
    </row>
    <row r="4518" spans="1:6" hidden="1" outlineLevel="1" collapsed="1" x14ac:dyDescent="0.25">
      <c r="A4518" s="321" t="s">
        <v>282</v>
      </c>
      <c r="B4518" s="321" t="s">
        <v>901</v>
      </c>
      <c r="C4518" s="293">
        <v>27150</v>
      </c>
      <c r="D4518" s="293">
        <v>25500</v>
      </c>
      <c r="E4518" s="293">
        <v>-1650</v>
      </c>
      <c r="F4518" s="294" t="s">
        <v>1667</v>
      </c>
    </row>
    <row r="4519" spans="1:6" hidden="1" outlineLevel="1" collapsed="1" x14ac:dyDescent="0.25">
      <c r="A4519" s="321" t="s">
        <v>282</v>
      </c>
      <c r="B4519" s="321" t="s">
        <v>616</v>
      </c>
      <c r="C4519" s="293">
        <v>2917</v>
      </c>
      <c r="D4519" s="293">
        <v>0</v>
      </c>
      <c r="E4519" s="293">
        <v>-2917</v>
      </c>
      <c r="F4519" s="294" t="s">
        <v>286</v>
      </c>
    </row>
    <row r="4520" spans="1:6" hidden="1" outlineLevel="1" collapsed="1" x14ac:dyDescent="0.25">
      <c r="A4520" s="321" t="s">
        <v>282</v>
      </c>
      <c r="B4520" s="321" t="s">
        <v>403</v>
      </c>
      <c r="C4520" s="293">
        <v>2000</v>
      </c>
      <c r="D4520" s="293">
        <v>2500</v>
      </c>
      <c r="E4520" s="293">
        <v>500</v>
      </c>
      <c r="F4520" s="294" t="s">
        <v>1552</v>
      </c>
    </row>
    <row r="4521" spans="1:6" hidden="1" outlineLevel="1" collapsed="1" x14ac:dyDescent="0.25">
      <c r="A4521" s="321" t="s">
        <v>282</v>
      </c>
      <c r="B4521" s="321" t="s">
        <v>405</v>
      </c>
      <c r="C4521" s="293">
        <v>0</v>
      </c>
      <c r="D4521" s="293">
        <v>0</v>
      </c>
      <c r="E4521" s="293">
        <v>0</v>
      </c>
      <c r="F4521" s="294" t="s">
        <v>316</v>
      </c>
    </row>
    <row r="4522" spans="1:6" hidden="1" outlineLevel="1" collapsed="1" x14ac:dyDescent="0.25">
      <c r="A4522" s="321" t="s">
        <v>282</v>
      </c>
      <c r="B4522" s="321" t="s">
        <v>770</v>
      </c>
      <c r="C4522" s="293">
        <v>20615.64</v>
      </c>
      <c r="D4522" s="293">
        <v>20100</v>
      </c>
      <c r="E4522" s="293">
        <v>-515.64</v>
      </c>
      <c r="F4522" s="294" t="s">
        <v>1668</v>
      </c>
    </row>
    <row r="4523" spans="1:6" collapsed="1" x14ac:dyDescent="0.25">
      <c r="A4523" s="560" t="s">
        <v>1669</v>
      </c>
      <c r="B4523" s="561"/>
      <c r="C4523" s="292">
        <v>13756.689496000001</v>
      </c>
      <c r="D4523" s="293">
        <v>14927.433660000001</v>
      </c>
      <c r="E4523" s="293">
        <v>1170.744164</v>
      </c>
      <c r="F4523" s="294" t="s">
        <v>1071</v>
      </c>
    </row>
    <row r="4524" spans="1:6" hidden="1" outlineLevel="1" collapsed="1" x14ac:dyDescent="0.25">
      <c r="A4524" s="321" t="s">
        <v>282</v>
      </c>
      <c r="B4524" s="321" t="s">
        <v>464</v>
      </c>
      <c r="C4524" s="293">
        <v>8504.589876</v>
      </c>
      <c r="D4524" s="293">
        <v>9188.3373210000009</v>
      </c>
      <c r="E4524" s="293">
        <v>683.74744499999997</v>
      </c>
      <c r="F4524" s="294" t="s">
        <v>795</v>
      </c>
    </row>
    <row r="4525" spans="1:6" hidden="1" outlineLevel="1" collapsed="1" x14ac:dyDescent="0.25">
      <c r="A4525" s="321" t="s">
        <v>282</v>
      </c>
      <c r="B4525" s="321" t="s">
        <v>384</v>
      </c>
      <c r="C4525" s="293">
        <v>1053.523406</v>
      </c>
      <c r="D4525" s="293">
        <v>0</v>
      </c>
      <c r="E4525" s="293">
        <v>-1053.523406</v>
      </c>
      <c r="F4525" s="294" t="s">
        <v>286</v>
      </c>
    </row>
    <row r="4526" spans="1:6" hidden="1" outlineLevel="1" collapsed="1" x14ac:dyDescent="0.25">
      <c r="A4526" s="321" t="s">
        <v>282</v>
      </c>
      <c r="B4526" s="321" t="s">
        <v>385</v>
      </c>
      <c r="C4526" s="293">
        <v>0</v>
      </c>
      <c r="D4526" s="293">
        <v>1406.850369</v>
      </c>
      <c r="E4526" s="293">
        <v>1406.850369</v>
      </c>
      <c r="F4526" s="294" t="s">
        <v>298</v>
      </c>
    </row>
    <row r="4527" spans="1:6" hidden="1" outlineLevel="1" collapsed="1" x14ac:dyDescent="0.25">
      <c r="A4527" s="321" t="s">
        <v>282</v>
      </c>
      <c r="B4527" s="321" t="s">
        <v>386</v>
      </c>
      <c r="C4527" s="293">
        <v>527.28457000000003</v>
      </c>
      <c r="D4527" s="293">
        <v>0</v>
      </c>
      <c r="E4527" s="293">
        <v>-527.28457000000003</v>
      </c>
      <c r="F4527" s="294" t="s">
        <v>286</v>
      </c>
    </row>
    <row r="4528" spans="1:6" hidden="1" outlineLevel="1" collapsed="1" x14ac:dyDescent="0.25">
      <c r="A4528" s="321" t="s">
        <v>282</v>
      </c>
      <c r="B4528" s="321" t="s">
        <v>387</v>
      </c>
      <c r="C4528" s="293">
        <v>0</v>
      </c>
      <c r="D4528" s="293">
        <v>569.67691200000002</v>
      </c>
      <c r="E4528" s="293">
        <v>569.67691200000002</v>
      </c>
      <c r="F4528" s="294" t="s">
        <v>298</v>
      </c>
    </row>
    <row r="4529" spans="1:6" hidden="1" outlineLevel="1" collapsed="1" x14ac:dyDescent="0.25">
      <c r="A4529" s="321" t="s">
        <v>282</v>
      </c>
      <c r="B4529" s="321" t="s">
        <v>388</v>
      </c>
      <c r="C4529" s="293">
        <v>123.316551</v>
      </c>
      <c r="D4529" s="293">
        <v>133.23088999999999</v>
      </c>
      <c r="E4529" s="293">
        <v>9.914339</v>
      </c>
      <c r="F4529" s="294" t="s">
        <v>795</v>
      </c>
    </row>
    <row r="4530" spans="1:6" hidden="1" outlineLevel="1" collapsed="1" x14ac:dyDescent="0.25">
      <c r="A4530" s="321" t="s">
        <v>282</v>
      </c>
      <c r="B4530" s="321" t="s">
        <v>389</v>
      </c>
      <c r="C4530" s="293">
        <v>85.224959999999996</v>
      </c>
      <c r="D4530" s="293">
        <v>84.408000000000001</v>
      </c>
      <c r="E4530" s="293">
        <v>-0.81696000000000002</v>
      </c>
      <c r="F4530" s="294" t="s">
        <v>364</v>
      </c>
    </row>
    <row r="4531" spans="1:6" hidden="1" outlineLevel="1" collapsed="1" x14ac:dyDescent="0.25">
      <c r="A4531" s="321" t="s">
        <v>282</v>
      </c>
      <c r="B4531" s="321" t="s">
        <v>390</v>
      </c>
      <c r="C4531" s="293">
        <v>3097.0540000000001</v>
      </c>
      <c r="D4531" s="293">
        <v>3191.8560000000002</v>
      </c>
      <c r="E4531" s="293">
        <v>94.802000000000007</v>
      </c>
      <c r="F4531" s="294" t="s">
        <v>391</v>
      </c>
    </row>
    <row r="4532" spans="1:6" hidden="1" outlineLevel="1" collapsed="1" x14ac:dyDescent="0.25">
      <c r="A4532" s="321" t="s">
        <v>282</v>
      </c>
      <c r="B4532" s="321" t="s">
        <v>392</v>
      </c>
      <c r="C4532" s="293">
        <v>46.707839999999997</v>
      </c>
      <c r="D4532" s="293">
        <v>36.576000000000001</v>
      </c>
      <c r="E4532" s="293">
        <v>-10.13184</v>
      </c>
      <c r="F4532" s="294" t="s">
        <v>368</v>
      </c>
    </row>
    <row r="4533" spans="1:6" hidden="1" outlineLevel="1" collapsed="1" x14ac:dyDescent="0.25">
      <c r="A4533" s="321" t="s">
        <v>282</v>
      </c>
      <c r="B4533" s="321" t="s">
        <v>393</v>
      </c>
      <c r="C4533" s="293">
        <v>4.2522929999999999</v>
      </c>
      <c r="D4533" s="293">
        <v>4.5941679999999998</v>
      </c>
      <c r="E4533" s="293">
        <v>0.34187499999999998</v>
      </c>
      <c r="F4533" s="294" t="s">
        <v>795</v>
      </c>
    </row>
    <row r="4534" spans="1:6" hidden="1" outlineLevel="1" collapsed="1" x14ac:dyDescent="0.25">
      <c r="A4534" s="321" t="s">
        <v>282</v>
      </c>
      <c r="B4534" s="321" t="s">
        <v>394</v>
      </c>
      <c r="C4534" s="293">
        <v>300</v>
      </c>
      <c r="D4534" s="293">
        <v>0</v>
      </c>
      <c r="E4534" s="293">
        <v>-300</v>
      </c>
      <c r="F4534" s="294" t="s">
        <v>286</v>
      </c>
    </row>
    <row r="4535" spans="1:6" hidden="1" outlineLevel="1" collapsed="1" x14ac:dyDescent="0.25">
      <c r="A4535" s="321" t="s">
        <v>282</v>
      </c>
      <c r="B4535" s="321" t="s">
        <v>395</v>
      </c>
      <c r="C4535" s="293">
        <v>0</v>
      </c>
      <c r="D4535" s="293">
        <v>300</v>
      </c>
      <c r="E4535" s="293">
        <v>300</v>
      </c>
      <c r="F4535" s="294" t="s">
        <v>298</v>
      </c>
    </row>
    <row r="4536" spans="1:6" hidden="1" outlineLevel="1" collapsed="1" x14ac:dyDescent="0.25">
      <c r="A4536" s="321" t="s">
        <v>282</v>
      </c>
      <c r="B4536" s="321" t="s">
        <v>396</v>
      </c>
      <c r="C4536" s="293">
        <v>9.9359999999999999</v>
      </c>
      <c r="D4536" s="293">
        <v>0</v>
      </c>
      <c r="E4536" s="293">
        <v>-9.9359999999999999</v>
      </c>
      <c r="F4536" s="294" t="s">
        <v>286</v>
      </c>
    </row>
    <row r="4537" spans="1:6" hidden="1" outlineLevel="1" collapsed="1" x14ac:dyDescent="0.25">
      <c r="A4537" s="321" t="s">
        <v>282</v>
      </c>
      <c r="B4537" s="321" t="s">
        <v>397</v>
      </c>
      <c r="C4537" s="293">
        <v>0</v>
      </c>
      <c r="D4537" s="293">
        <v>9.6959999999999997</v>
      </c>
      <c r="E4537" s="293">
        <v>9.6959999999999997</v>
      </c>
      <c r="F4537" s="294" t="s">
        <v>298</v>
      </c>
    </row>
    <row r="4538" spans="1:6" hidden="1" outlineLevel="1" collapsed="1" x14ac:dyDescent="0.25">
      <c r="A4538" s="321" t="s">
        <v>282</v>
      </c>
      <c r="B4538" s="321" t="s">
        <v>398</v>
      </c>
      <c r="C4538" s="293">
        <v>4.8</v>
      </c>
      <c r="D4538" s="293">
        <v>2.2080000000000002</v>
      </c>
      <c r="E4538" s="293">
        <v>-2.5920000000000001</v>
      </c>
      <c r="F4538" s="294" t="s">
        <v>374</v>
      </c>
    </row>
    <row r="4539" spans="1:6" collapsed="1" x14ac:dyDescent="0.25">
      <c r="A4539" s="560" t="s">
        <v>1670</v>
      </c>
      <c r="B4539" s="561"/>
      <c r="C4539" s="292">
        <v>8143.8758029999999</v>
      </c>
      <c r="D4539" s="293">
        <v>8521.8107899999995</v>
      </c>
      <c r="E4539" s="293">
        <v>377.93498699999998</v>
      </c>
      <c r="F4539" s="294" t="s">
        <v>2285</v>
      </c>
    </row>
    <row r="4540" spans="1:6" hidden="1" outlineLevel="1" collapsed="1" x14ac:dyDescent="0.25">
      <c r="A4540" s="321" t="s">
        <v>282</v>
      </c>
      <c r="B4540" s="321" t="s">
        <v>464</v>
      </c>
      <c r="C4540" s="293">
        <v>5011.1860029999998</v>
      </c>
      <c r="D4540" s="293">
        <v>5160.2913010000002</v>
      </c>
      <c r="E4540" s="293">
        <v>149.105298</v>
      </c>
      <c r="F4540" s="294" t="s">
        <v>381</v>
      </c>
    </row>
    <row r="4541" spans="1:6" hidden="1" outlineLevel="1" collapsed="1" x14ac:dyDescent="0.25">
      <c r="A4541" s="321" t="s">
        <v>282</v>
      </c>
      <c r="B4541" s="321" t="s">
        <v>384</v>
      </c>
      <c r="C4541" s="293">
        <v>620.59479799999997</v>
      </c>
      <c r="D4541" s="293">
        <v>0</v>
      </c>
      <c r="E4541" s="293">
        <v>-620.59479799999997</v>
      </c>
      <c r="F4541" s="294" t="s">
        <v>286</v>
      </c>
    </row>
    <row r="4542" spans="1:6" hidden="1" outlineLevel="1" collapsed="1" x14ac:dyDescent="0.25">
      <c r="A4542" s="321" t="s">
        <v>282</v>
      </c>
      <c r="B4542" s="321" t="s">
        <v>385</v>
      </c>
      <c r="C4542" s="293">
        <v>0</v>
      </c>
      <c r="D4542" s="293">
        <v>789.33066199999996</v>
      </c>
      <c r="E4542" s="293">
        <v>789.33066199999996</v>
      </c>
      <c r="F4542" s="294" t="s">
        <v>298</v>
      </c>
    </row>
    <row r="4543" spans="1:6" hidden="1" outlineLevel="1" collapsed="1" x14ac:dyDescent="0.25">
      <c r="A4543" s="321" t="s">
        <v>282</v>
      </c>
      <c r="B4543" s="321" t="s">
        <v>386</v>
      </c>
      <c r="C4543" s="293">
        <v>310.693532</v>
      </c>
      <c r="D4543" s="293">
        <v>0</v>
      </c>
      <c r="E4543" s="293">
        <v>-310.693532</v>
      </c>
      <c r="F4543" s="294" t="s">
        <v>286</v>
      </c>
    </row>
    <row r="4544" spans="1:6" hidden="1" outlineLevel="1" collapsed="1" x14ac:dyDescent="0.25">
      <c r="A4544" s="321" t="s">
        <v>282</v>
      </c>
      <c r="B4544" s="321" t="s">
        <v>387</v>
      </c>
      <c r="C4544" s="293">
        <v>0</v>
      </c>
      <c r="D4544" s="293">
        <v>319.93806000000001</v>
      </c>
      <c r="E4544" s="293">
        <v>319.93806000000001</v>
      </c>
      <c r="F4544" s="294" t="s">
        <v>298</v>
      </c>
    </row>
    <row r="4545" spans="1:6" hidden="1" outlineLevel="1" collapsed="1" x14ac:dyDescent="0.25">
      <c r="A4545" s="321" t="s">
        <v>282</v>
      </c>
      <c r="B4545" s="321" t="s">
        <v>388</v>
      </c>
      <c r="C4545" s="293">
        <v>72.662197000000006</v>
      </c>
      <c r="D4545" s="293">
        <v>74.824223000000003</v>
      </c>
      <c r="E4545" s="293">
        <v>2.162026</v>
      </c>
      <c r="F4545" s="294" t="s">
        <v>381</v>
      </c>
    </row>
    <row r="4546" spans="1:6" hidden="1" outlineLevel="1" collapsed="1" x14ac:dyDescent="0.25">
      <c r="A4546" s="321" t="s">
        <v>282</v>
      </c>
      <c r="B4546" s="321" t="s">
        <v>389</v>
      </c>
      <c r="C4546" s="293">
        <v>51.134976000000002</v>
      </c>
      <c r="D4546" s="293">
        <v>50.644799999999996</v>
      </c>
      <c r="E4546" s="293">
        <v>-0.490176</v>
      </c>
      <c r="F4546" s="294" t="s">
        <v>364</v>
      </c>
    </row>
    <row r="4547" spans="1:6" hidden="1" outlineLevel="1" collapsed="1" x14ac:dyDescent="0.25">
      <c r="A4547" s="321" t="s">
        <v>282</v>
      </c>
      <c r="B4547" s="321" t="s">
        <v>390</v>
      </c>
      <c r="C4547" s="293">
        <v>1858.2324000000001</v>
      </c>
      <c r="D4547" s="293">
        <v>1915.1135999999999</v>
      </c>
      <c r="E4547" s="293">
        <v>56.8812</v>
      </c>
      <c r="F4547" s="294" t="s">
        <v>391</v>
      </c>
    </row>
    <row r="4548" spans="1:6" hidden="1" outlineLevel="1" collapsed="1" x14ac:dyDescent="0.25">
      <c r="A4548" s="321" t="s">
        <v>282</v>
      </c>
      <c r="B4548" s="321" t="s">
        <v>392</v>
      </c>
      <c r="C4548" s="293">
        <v>28.024704</v>
      </c>
      <c r="D4548" s="293">
        <v>21.945599999999999</v>
      </c>
      <c r="E4548" s="293">
        <v>-6.0791040000000001</v>
      </c>
      <c r="F4548" s="294" t="s">
        <v>368</v>
      </c>
    </row>
    <row r="4549" spans="1:6" hidden="1" outlineLevel="1" collapsed="1" x14ac:dyDescent="0.25">
      <c r="A4549" s="321" t="s">
        <v>282</v>
      </c>
      <c r="B4549" s="321" t="s">
        <v>393</v>
      </c>
      <c r="C4549" s="293">
        <v>2.5055930000000002</v>
      </c>
      <c r="D4549" s="293">
        <v>2.5801440000000002</v>
      </c>
      <c r="E4549" s="293">
        <v>7.4551000000000006E-2</v>
      </c>
      <c r="F4549" s="294" t="s">
        <v>381</v>
      </c>
    </row>
    <row r="4550" spans="1:6" hidden="1" outlineLevel="1" collapsed="1" x14ac:dyDescent="0.25">
      <c r="A4550" s="321" t="s">
        <v>282</v>
      </c>
      <c r="B4550" s="321" t="s">
        <v>394</v>
      </c>
      <c r="C4550" s="293">
        <v>180</v>
      </c>
      <c r="D4550" s="293">
        <v>0</v>
      </c>
      <c r="E4550" s="293">
        <v>-180</v>
      </c>
      <c r="F4550" s="294" t="s">
        <v>286</v>
      </c>
    </row>
    <row r="4551" spans="1:6" hidden="1" outlineLevel="1" collapsed="1" x14ac:dyDescent="0.25">
      <c r="A4551" s="321" t="s">
        <v>282</v>
      </c>
      <c r="B4551" s="321" t="s">
        <v>395</v>
      </c>
      <c r="C4551" s="293">
        <v>0</v>
      </c>
      <c r="D4551" s="293">
        <v>180</v>
      </c>
      <c r="E4551" s="293">
        <v>180</v>
      </c>
      <c r="F4551" s="294" t="s">
        <v>298</v>
      </c>
    </row>
    <row r="4552" spans="1:6" hidden="1" outlineLevel="1" collapsed="1" x14ac:dyDescent="0.25">
      <c r="A4552" s="321" t="s">
        <v>282</v>
      </c>
      <c r="B4552" s="321" t="s">
        <v>396</v>
      </c>
      <c r="C4552" s="293">
        <v>5.9615999999999998</v>
      </c>
      <c r="D4552" s="293">
        <v>0</v>
      </c>
      <c r="E4552" s="293">
        <v>-5.9615999999999998</v>
      </c>
      <c r="F4552" s="294" t="s">
        <v>286</v>
      </c>
    </row>
    <row r="4553" spans="1:6" hidden="1" outlineLevel="1" collapsed="1" x14ac:dyDescent="0.25">
      <c r="A4553" s="321" t="s">
        <v>282</v>
      </c>
      <c r="B4553" s="321" t="s">
        <v>397</v>
      </c>
      <c r="C4553" s="293">
        <v>0</v>
      </c>
      <c r="D4553" s="293">
        <v>5.8175999999999997</v>
      </c>
      <c r="E4553" s="293">
        <v>5.8175999999999997</v>
      </c>
      <c r="F4553" s="294" t="s">
        <v>298</v>
      </c>
    </row>
    <row r="4554" spans="1:6" hidden="1" outlineLevel="1" collapsed="1" x14ac:dyDescent="0.25">
      <c r="A4554" s="321" t="s">
        <v>282</v>
      </c>
      <c r="B4554" s="321" t="s">
        <v>398</v>
      </c>
      <c r="C4554" s="293">
        <v>2.88</v>
      </c>
      <c r="D4554" s="293">
        <v>1.3248</v>
      </c>
      <c r="E4554" s="293">
        <v>-1.5551999999999999</v>
      </c>
      <c r="F4554" s="294" t="s">
        <v>374</v>
      </c>
    </row>
    <row r="4555" spans="1:6" collapsed="1" x14ac:dyDescent="0.25">
      <c r="A4555" s="560" t="s">
        <v>1671</v>
      </c>
      <c r="B4555" s="561"/>
      <c r="C4555" s="292">
        <v>10909.149556</v>
      </c>
      <c r="D4555" s="293">
        <v>11403.958003</v>
      </c>
      <c r="E4555" s="293">
        <v>494.808447</v>
      </c>
      <c r="F4555" s="294" t="s">
        <v>719</v>
      </c>
    </row>
    <row r="4556" spans="1:6" hidden="1" outlineLevel="1" collapsed="1" x14ac:dyDescent="0.25">
      <c r="A4556" s="321" t="s">
        <v>282</v>
      </c>
      <c r="B4556" s="321" t="s">
        <v>874</v>
      </c>
      <c r="C4556" s="293">
        <v>584.12238600000001</v>
      </c>
      <c r="D4556" s="293">
        <v>592.88421900000003</v>
      </c>
      <c r="E4556" s="293">
        <v>8.7618329999999993</v>
      </c>
      <c r="F4556" s="294" t="s">
        <v>510</v>
      </c>
    </row>
    <row r="4557" spans="1:6" hidden="1" outlineLevel="1" collapsed="1" x14ac:dyDescent="0.25">
      <c r="A4557" s="321" t="s">
        <v>282</v>
      </c>
      <c r="B4557" s="321" t="s">
        <v>464</v>
      </c>
      <c r="C4557" s="293">
        <v>6141.2411979999997</v>
      </c>
      <c r="D4557" s="293">
        <v>6323.2326709999998</v>
      </c>
      <c r="E4557" s="293">
        <v>181.99147300000001</v>
      </c>
      <c r="F4557" s="294" t="s">
        <v>564</v>
      </c>
    </row>
    <row r="4558" spans="1:6" hidden="1" outlineLevel="1" collapsed="1" x14ac:dyDescent="0.25">
      <c r="A4558" s="321" t="s">
        <v>282</v>
      </c>
      <c r="B4558" s="321" t="s">
        <v>384</v>
      </c>
      <c r="C4558" s="293">
        <v>830.95473900000002</v>
      </c>
      <c r="D4558" s="293">
        <v>0</v>
      </c>
      <c r="E4558" s="293">
        <v>-830.95473900000002</v>
      </c>
      <c r="F4558" s="294" t="s">
        <v>286</v>
      </c>
    </row>
    <row r="4559" spans="1:6" hidden="1" outlineLevel="1" collapsed="1" x14ac:dyDescent="0.25">
      <c r="A4559" s="321" t="s">
        <v>282</v>
      </c>
      <c r="B4559" s="321" t="s">
        <v>385</v>
      </c>
      <c r="C4559" s="293">
        <v>0</v>
      </c>
      <c r="D4559" s="293">
        <v>1055.5049140000001</v>
      </c>
      <c r="E4559" s="293">
        <v>1055.5049140000001</v>
      </c>
      <c r="F4559" s="294" t="s">
        <v>298</v>
      </c>
    </row>
    <row r="4560" spans="1:6" hidden="1" outlineLevel="1" collapsed="1" x14ac:dyDescent="0.25">
      <c r="A4560" s="321" t="s">
        <v>282</v>
      </c>
      <c r="B4560" s="321" t="s">
        <v>386</v>
      </c>
      <c r="C4560" s="293">
        <v>416.97254199999998</v>
      </c>
      <c r="D4560" s="293">
        <v>0</v>
      </c>
      <c r="E4560" s="293">
        <v>-416.97254199999998</v>
      </c>
      <c r="F4560" s="294" t="s">
        <v>286</v>
      </c>
    </row>
    <row r="4561" spans="1:6" hidden="1" outlineLevel="1" collapsed="1" x14ac:dyDescent="0.25">
      <c r="A4561" s="321" t="s">
        <v>282</v>
      </c>
      <c r="B4561" s="321" t="s">
        <v>387</v>
      </c>
      <c r="C4561" s="293">
        <v>0</v>
      </c>
      <c r="D4561" s="293">
        <v>428.79924699999998</v>
      </c>
      <c r="E4561" s="293">
        <v>428.79924699999998</v>
      </c>
      <c r="F4561" s="294" t="s">
        <v>298</v>
      </c>
    </row>
    <row r="4562" spans="1:6" hidden="1" outlineLevel="1" collapsed="1" x14ac:dyDescent="0.25">
      <c r="A4562" s="321" t="s">
        <v>282</v>
      </c>
      <c r="B4562" s="321" t="s">
        <v>388</v>
      </c>
      <c r="C4562" s="293">
        <v>97.517769999999999</v>
      </c>
      <c r="D4562" s="293">
        <v>100.28369499999999</v>
      </c>
      <c r="E4562" s="293">
        <v>2.7659250000000002</v>
      </c>
      <c r="F4562" s="294" t="s">
        <v>1673</v>
      </c>
    </row>
    <row r="4563" spans="1:6" hidden="1" outlineLevel="1" collapsed="1" x14ac:dyDescent="0.25">
      <c r="A4563" s="321" t="s">
        <v>282</v>
      </c>
      <c r="B4563" s="321" t="s">
        <v>389</v>
      </c>
      <c r="C4563" s="293">
        <v>68.179968000000002</v>
      </c>
      <c r="D4563" s="293">
        <v>67.526399999999995</v>
      </c>
      <c r="E4563" s="293">
        <v>-0.65356800000000004</v>
      </c>
      <c r="F4563" s="294" t="s">
        <v>364</v>
      </c>
    </row>
    <row r="4564" spans="1:6" hidden="1" outlineLevel="1" collapsed="1" x14ac:dyDescent="0.25">
      <c r="A4564" s="321" t="s">
        <v>282</v>
      </c>
      <c r="B4564" s="321" t="s">
        <v>390</v>
      </c>
      <c r="C4564" s="293">
        <v>2477.6432</v>
      </c>
      <c r="D4564" s="293">
        <v>2553.4848000000002</v>
      </c>
      <c r="E4564" s="293">
        <v>75.8416</v>
      </c>
      <c r="F4564" s="294" t="s">
        <v>391</v>
      </c>
    </row>
    <row r="4565" spans="1:6" hidden="1" outlineLevel="1" collapsed="1" x14ac:dyDescent="0.25">
      <c r="A4565" s="321" t="s">
        <v>282</v>
      </c>
      <c r="B4565" s="321" t="s">
        <v>392</v>
      </c>
      <c r="C4565" s="293">
        <v>37.366272000000002</v>
      </c>
      <c r="D4565" s="293">
        <v>29.2608</v>
      </c>
      <c r="E4565" s="293">
        <v>-8.1054720000000007</v>
      </c>
      <c r="F4565" s="294" t="s">
        <v>368</v>
      </c>
    </row>
    <row r="4566" spans="1:6" hidden="1" outlineLevel="1" collapsed="1" x14ac:dyDescent="0.25">
      <c r="A4566" s="321" t="s">
        <v>282</v>
      </c>
      <c r="B4566" s="321" t="s">
        <v>393</v>
      </c>
      <c r="C4566" s="293">
        <v>3.3626809999999998</v>
      </c>
      <c r="D4566" s="293">
        <v>3.4580570000000002</v>
      </c>
      <c r="E4566" s="293">
        <v>9.5376000000000002E-2</v>
      </c>
      <c r="F4566" s="294" t="s">
        <v>1673</v>
      </c>
    </row>
    <row r="4567" spans="1:6" hidden="1" outlineLevel="1" collapsed="1" x14ac:dyDescent="0.25">
      <c r="A4567" s="321" t="s">
        <v>282</v>
      </c>
      <c r="B4567" s="321" t="s">
        <v>394</v>
      </c>
      <c r="C4567" s="293">
        <v>240</v>
      </c>
      <c r="D4567" s="293">
        <v>0</v>
      </c>
      <c r="E4567" s="293">
        <v>-240</v>
      </c>
      <c r="F4567" s="294" t="s">
        <v>286</v>
      </c>
    </row>
    <row r="4568" spans="1:6" hidden="1" outlineLevel="1" collapsed="1" x14ac:dyDescent="0.25">
      <c r="A4568" s="321" t="s">
        <v>282</v>
      </c>
      <c r="B4568" s="321" t="s">
        <v>395</v>
      </c>
      <c r="C4568" s="293">
        <v>0</v>
      </c>
      <c r="D4568" s="293">
        <v>240</v>
      </c>
      <c r="E4568" s="293">
        <v>240</v>
      </c>
      <c r="F4568" s="294" t="s">
        <v>298</v>
      </c>
    </row>
    <row r="4569" spans="1:6" hidden="1" outlineLevel="1" collapsed="1" x14ac:dyDescent="0.25">
      <c r="A4569" s="321" t="s">
        <v>282</v>
      </c>
      <c r="B4569" s="321" t="s">
        <v>396</v>
      </c>
      <c r="C4569" s="293">
        <v>7.9488000000000003</v>
      </c>
      <c r="D4569" s="293">
        <v>0</v>
      </c>
      <c r="E4569" s="293">
        <v>-7.9488000000000003</v>
      </c>
      <c r="F4569" s="294" t="s">
        <v>286</v>
      </c>
    </row>
    <row r="4570" spans="1:6" hidden="1" outlineLevel="1" collapsed="1" x14ac:dyDescent="0.25">
      <c r="A4570" s="321" t="s">
        <v>282</v>
      </c>
      <c r="B4570" s="321" t="s">
        <v>397</v>
      </c>
      <c r="C4570" s="293">
        <v>0</v>
      </c>
      <c r="D4570" s="293">
        <v>7.7568000000000001</v>
      </c>
      <c r="E4570" s="293">
        <v>7.7568000000000001</v>
      </c>
      <c r="F4570" s="294" t="s">
        <v>298</v>
      </c>
    </row>
    <row r="4571" spans="1:6" hidden="1" outlineLevel="1" collapsed="1" x14ac:dyDescent="0.25">
      <c r="A4571" s="321" t="s">
        <v>282</v>
      </c>
      <c r="B4571" s="321" t="s">
        <v>398</v>
      </c>
      <c r="C4571" s="293">
        <v>3.84</v>
      </c>
      <c r="D4571" s="293">
        <v>1.7664</v>
      </c>
      <c r="E4571" s="293">
        <v>-2.0735999999999999</v>
      </c>
      <c r="F4571" s="294" t="s">
        <v>374</v>
      </c>
    </row>
    <row r="4572" spans="1:6" collapsed="1" x14ac:dyDescent="0.25">
      <c r="A4572" s="560" t="s">
        <v>1674</v>
      </c>
      <c r="B4572" s="561"/>
      <c r="C4572" s="292">
        <v>201406.21495600001</v>
      </c>
      <c r="D4572" s="293">
        <v>209505.28210499999</v>
      </c>
      <c r="E4572" s="293">
        <v>8099.0671490000004</v>
      </c>
      <c r="F4572" s="294" t="s">
        <v>2232</v>
      </c>
    </row>
    <row r="4573" spans="1:6" hidden="1" outlineLevel="1" collapsed="1" x14ac:dyDescent="0.25">
      <c r="A4573" s="321" t="s">
        <v>282</v>
      </c>
      <c r="B4573" s="321" t="s">
        <v>942</v>
      </c>
      <c r="C4573" s="293">
        <v>99923.709587999998</v>
      </c>
      <c r="D4573" s="293">
        <v>101422.563828</v>
      </c>
      <c r="E4573" s="293">
        <v>1498.8542399999999</v>
      </c>
      <c r="F4573" s="294" t="s">
        <v>510</v>
      </c>
    </row>
    <row r="4574" spans="1:6" hidden="1" outlineLevel="1" collapsed="1" x14ac:dyDescent="0.25">
      <c r="A4574" s="321" t="s">
        <v>282</v>
      </c>
      <c r="B4574" s="321" t="s">
        <v>464</v>
      </c>
      <c r="C4574" s="293">
        <v>38145.484792000003</v>
      </c>
      <c r="D4574" s="293">
        <v>39274.249594000001</v>
      </c>
      <c r="E4574" s="293">
        <v>1128.7648019999999</v>
      </c>
      <c r="F4574" s="294" t="s">
        <v>564</v>
      </c>
    </row>
    <row r="4575" spans="1:6" hidden="1" outlineLevel="1" collapsed="1" x14ac:dyDescent="0.25">
      <c r="A4575" s="321" t="s">
        <v>282</v>
      </c>
      <c r="B4575" s="321" t="s">
        <v>384</v>
      </c>
      <c r="C4575" s="293">
        <v>17268.464644</v>
      </c>
      <c r="D4575" s="293">
        <v>0</v>
      </c>
      <c r="E4575" s="293">
        <v>-17268.464644</v>
      </c>
      <c r="F4575" s="294" t="s">
        <v>286</v>
      </c>
    </row>
    <row r="4576" spans="1:6" hidden="1" outlineLevel="1" collapsed="1" x14ac:dyDescent="0.25">
      <c r="A4576" s="321" t="s">
        <v>282</v>
      </c>
      <c r="B4576" s="321" t="s">
        <v>385</v>
      </c>
      <c r="C4576" s="293">
        <v>0</v>
      </c>
      <c r="D4576" s="293">
        <v>21727.374081000002</v>
      </c>
      <c r="E4576" s="293">
        <v>21727.374081000002</v>
      </c>
      <c r="F4576" s="294" t="s">
        <v>298</v>
      </c>
    </row>
    <row r="4577" spans="1:6" hidden="1" outlineLevel="1" collapsed="1" x14ac:dyDescent="0.25">
      <c r="A4577" s="321" t="s">
        <v>282</v>
      </c>
      <c r="B4577" s="321" t="s">
        <v>386</v>
      </c>
      <c r="C4577" s="293">
        <v>8560.2900410000002</v>
      </c>
      <c r="D4577" s="293">
        <v>0</v>
      </c>
      <c r="E4577" s="293">
        <v>-8560.2900410000002</v>
      </c>
      <c r="F4577" s="294" t="s">
        <v>286</v>
      </c>
    </row>
    <row r="4578" spans="1:6" hidden="1" outlineLevel="1" collapsed="1" x14ac:dyDescent="0.25">
      <c r="A4578" s="321" t="s">
        <v>282</v>
      </c>
      <c r="B4578" s="321" t="s">
        <v>387</v>
      </c>
      <c r="C4578" s="293">
        <v>0</v>
      </c>
      <c r="D4578" s="293">
        <v>8723.2024199999996</v>
      </c>
      <c r="E4578" s="293">
        <v>8723.2024199999996</v>
      </c>
      <c r="F4578" s="294" t="s">
        <v>298</v>
      </c>
    </row>
    <row r="4579" spans="1:6" hidden="1" outlineLevel="1" collapsed="1" x14ac:dyDescent="0.25">
      <c r="A4579" s="321" t="s">
        <v>282</v>
      </c>
      <c r="B4579" s="321" t="s">
        <v>388</v>
      </c>
      <c r="C4579" s="293">
        <v>2002.0033120000001</v>
      </c>
      <c r="D4579" s="293">
        <v>2040.103779</v>
      </c>
      <c r="E4579" s="293">
        <v>38.100467000000002</v>
      </c>
      <c r="F4579" s="294" t="s">
        <v>1476</v>
      </c>
    </row>
    <row r="4580" spans="1:6" hidden="1" outlineLevel="1" collapsed="1" x14ac:dyDescent="0.25">
      <c r="A4580" s="321" t="s">
        <v>282</v>
      </c>
      <c r="B4580" s="321" t="s">
        <v>389</v>
      </c>
      <c r="C4580" s="293">
        <v>852.24959999999999</v>
      </c>
      <c r="D4580" s="293">
        <v>844.08</v>
      </c>
      <c r="E4580" s="293">
        <v>-8.1696000000000009</v>
      </c>
      <c r="F4580" s="294" t="s">
        <v>364</v>
      </c>
    </row>
    <row r="4581" spans="1:6" hidden="1" outlineLevel="1" collapsed="1" x14ac:dyDescent="0.25">
      <c r="A4581" s="321" t="s">
        <v>282</v>
      </c>
      <c r="B4581" s="321" t="s">
        <v>390</v>
      </c>
      <c r="C4581" s="293">
        <v>30970.54</v>
      </c>
      <c r="D4581" s="293">
        <v>31918.560000000001</v>
      </c>
      <c r="E4581" s="293">
        <v>948.02</v>
      </c>
      <c r="F4581" s="294" t="s">
        <v>391</v>
      </c>
    </row>
    <row r="4582" spans="1:6" hidden="1" outlineLevel="1" collapsed="1" x14ac:dyDescent="0.25">
      <c r="A4582" s="321" t="s">
        <v>282</v>
      </c>
      <c r="B4582" s="321" t="s">
        <v>392</v>
      </c>
      <c r="C4582" s="293">
        <v>467.07839999999999</v>
      </c>
      <c r="D4582" s="293">
        <v>365.76</v>
      </c>
      <c r="E4582" s="293">
        <v>-101.3184</v>
      </c>
      <c r="F4582" s="294" t="s">
        <v>368</v>
      </c>
    </row>
    <row r="4583" spans="1:6" hidden="1" outlineLevel="1" collapsed="1" x14ac:dyDescent="0.25">
      <c r="A4583" s="321" t="s">
        <v>282</v>
      </c>
      <c r="B4583" s="321" t="s">
        <v>393</v>
      </c>
      <c r="C4583" s="293">
        <v>69.034578999999994</v>
      </c>
      <c r="D4583" s="293">
        <v>70.348403000000005</v>
      </c>
      <c r="E4583" s="293">
        <v>1.3138240000000001</v>
      </c>
      <c r="F4583" s="294" t="s">
        <v>1476</v>
      </c>
    </row>
    <row r="4584" spans="1:6" hidden="1" outlineLevel="1" collapsed="1" x14ac:dyDescent="0.25">
      <c r="A4584" s="321" t="s">
        <v>282</v>
      </c>
      <c r="B4584" s="321" t="s">
        <v>394</v>
      </c>
      <c r="C4584" s="293">
        <v>3000</v>
      </c>
      <c r="D4584" s="293">
        <v>0</v>
      </c>
      <c r="E4584" s="293">
        <v>-3000</v>
      </c>
      <c r="F4584" s="294" t="s">
        <v>286</v>
      </c>
    </row>
    <row r="4585" spans="1:6" hidden="1" outlineLevel="1" collapsed="1" x14ac:dyDescent="0.25">
      <c r="A4585" s="321" t="s">
        <v>282</v>
      </c>
      <c r="B4585" s="321" t="s">
        <v>395</v>
      </c>
      <c r="C4585" s="293">
        <v>0</v>
      </c>
      <c r="D4585" s="293">
        <v>3000</v>
      </c>
      <c r="E4585" s="293">
        <v>3000</v>
      </c>
      <c r="F4585" s="294" t="s">
        <v>298</v>
      </c>
    </row>
    <row r="4586" spans="1:6" hidden="1" outlineLevel="1" collapsed="1" x14ac:dyDescent="0.25">
      <c r="A4586" s="321" t="s">
        <v>282</v>
      </c>
      <c r="B4586" s="321" t="s">
        <v>396</v>
      </c>
      <c r="C4586" s="293">
        <v>99.36</v>
      </c>
      <c r="D4586" s="293">
        <v>0</v>
      </c>
      <c r="E4586" s="293">
        <v>-99.36</v>
      </c>
      <c r="F4586" s="294" t="s">
        <v>286</v>
      </c>
    </row>
    <row r="4587" spans="1:6" hidden="1" outlineLevel="1" collapsed="1" x14ac:dyDescent="0.25">
      <c r="A4587" s="321" t="s">
        <v>282</v>
      </c>
      <c r="B4587" s="321" t="s">
        <v>397</v>
      </c>
      <c r="C4587" s="293">
        <v>0</v>
      </c>
      <c r="D4587" s="293">
        <v>96.96</v>
      </c>
      <c r="E4587" s="293">
        <v>96.96</v>
      </c>
      <c r="F4587" s="294" t="s">
        <v>298</v>
      </c>
    </row>
    <row r="4588" spans="1:6" hidden="1" outlineLevel="1" collapsed="1" x14ac:dyDescent="0.25">
      <c r="A4588" s="321" t="s">
        <v>282</v>
      </c>
      <c r="B4588" s="321" t="s">
        <v>398</v>
      </c>
      <c r="C4588" s="293">
        <v>48</v>
      </c>
      <c r="D4588" s="293">
        <v>22.08</v>
      </c>
      <c r="E4588" s="293">
        <v>-25.92</v>
      </c>
      <c r="F4588" s="294" t="s">
        <v>374</v>
      </c>
    </row>
    <row r="4589" spans="1:6" collapsed="1" x14ac:dyDescent="0.25">
      <c r="A4589" s="560" t="s">
        <v>1675</v>
      </c>
      <c r="B4589" s="561"/>
      <c r="C4589" s="292">
        <v>7235.083807</v>
      </c>
      <c r="D4589" s="293">
        <v>7571.3362980000002</v>
      </c>
      <c r="E4589" s="293">
        <v>336.25249100000002</v>
      </c>
      <c r="F4589" s="294" t="s">
        <v>1478</v>
      </c>
    </row>
    <row r="4590" spans="1:6" hidden="1" outlineLevel="1" collapsed="1" x14ac:dyDescent="0.25">
      <c r="A4590" s="321" t="s">
        <v>282</v>
      </c>
      <c r="B4590" s="321" t="s">
        <v>464</v>
      </c>
      <c r="C4590" s="293">
        <v>4555.1607990000002</v>
      </c>
      <c r="D4590" s="293">
        <v>4689.0620470000003</v>
      </c>
      <c r="E4590" s="293">
        <v>133.90124800000001</v>
      </c>
      <c r="F4590" s="294" t="s">
        <v>1677</v>
      </c>
    </row>
    <row r="4591" spans="1:6" hidden="1" outlineLevel="1" collapsed="1" x14ac:dyDescent="0.25">
      <c r="A4591" s="321" t="s">
        <v>282</v>
      </c>
      <c r="B4591" s="321" t="s">
        <v>384</v>
      </c>
      <c r="C4591" s="293">
        <v>557.31422799999996</v>
      </c>
      <c r="D4591" s="293">
        <v>0</v>
      </c>
      <c r="E4591" s="293">
        <v>-557.31422799999996</v>
      </c>
      <c r="F4591" s="294" t="s">
        <v>286</v>
      </c>
    </row>
    <row r="4592" spans="1:6" hidden="1" outlineLevel="1" collapsed="1" x14ac:dyDescent="0.25">
      <c r="A4592" s="321" t="s">
        <v>282</v>
      </c>
      <c r="B4592" s="321" t="s">
        <v>385</v>
      </c>
      <c r="C4592" s="293">
        <v>0</v>
      </c>
      <c r="D4592" s="293">
        <v>708.84447599999999</v>
      </c>
      <c r="E4592" s="293">
        <v>708.84447599999999</v>
      </c>
      <c r="F4592" s="294" t="s">
        <v>298</v>
      </c>
    </row>
    <row r="4593" spans="1:6" hidden="1" outlineLevel="1" collapsed="1" x14ac:dyDescent="0.25">
      <c r="A4593" s="321" t="s">
        <v>282</v>
      </c>
      <c r="B4593" s="321" t="s">
        <v>386</v>
      </c>
      <c r="C4593" s="293">
        <v>282.41996899999998</v>
      </c>
      <c r="D4593" s="293">
        <v>0</v>
      </c>
      <c r="E4593" s="293">
        <v>-282.41996899999998</v>
      </c>
      <c r="F4593" s="294" t="s">
        <v>286</v>
      </c>
    </row>
    <row r="4594" spans="1:6" hidden="1" outlineLevel="1" collapsed="1" x14ac:dyDescent="0.25">
      <c r="A4594" s="321" t="s">
        <v>282</v>
      </c>
      <c r="B4594" s="321" t="s">
        <v>387</v>
      </c>
      <c r="C4594" s="293">
        <v>0</v>
      </c>
      <c r="D4594" s="293">
        <v>290.72184600000003</v>
      </c>
      <c r="E4594" s="293">
        <v>290.72184600000003</v>
      </c>
      <c r="F4594" s="294" t="s">
        <v>298</v>
      </c>
    </row>
    <row r="4595" spans="1:6" hidden="1" outlineLevel="1" collapsed="1" x14ac:dyDescent="0.25">
      <c r="A4595" s="321" t="s">
        <v>282</v>
      </c>
      <c r="B4595" s="321" t="s">
        <v>388</v>
      </c>
      <c r="C4595" s="293">
        <v>66.049830999999998</v>
      </c>
      <c r="D4595" s="293">
        <v>67.991399000000001</v>
      </c>
      <c r="E4595" s="293">
        <v>1.941568</v>
      </c>
      <c r="F4595" s="294" t="s">
        <v>1677</v>
      </c>
    </row>
    <row r="4596" spans="1:6" hidden="1" outlineLevel="1" collapsed="1" x14ac:dyDescent="0.25">
      <c r="A4596" s="321" t="s">
        <v>282</v>
      </c>
      <c r="B4596" s="321" t="s">
        <v>389</v>
      </c>
      <c r="C4596" s="293">
        <v>42.612479999999998</v>
      </c>
      <c r="D4596" s="293">
        <v>42.204000000000001</v>
      </c>
      <c r="E4596" s="293">
        <v>-0.40848000000000001</v>
      </c>
      <c r="F4596" s="294" t="s">
        <v>364</v>
      </c>
    </row>
    <row r="4597" spans="1:6" hidden="1" outlineLevel="1" collapsed="1" x14ac:dyDescent="0.25">
      <c r="A4597" s="321" t="s">
        <v>282</v>
      </c>
      <c r="B4597" s="321" t="s">
        <v>390</v>
      </c>
      <c r="C4597" s="293">
        <v>1548.527</v>
      </c>
      <c r="D4597" s="293">
        <v>1595.9280000000001</v>
      </c>
      <c r="E4597" s="293">
        <v>47.401000000000003</v>
      </c>
      <c r="F4597" s="294" t="s">
        <v>391</v>
      </c>
    </row>
    <row r="4598" spans="1:6" hidden="1" outlineLevel="1" collapsed="1" x14ac:dyDescent="0.25">
      <c r="A4598" s="321" t="s">
        <v>282</v>
      </c>
      <c r="B4598" s="321" t="s">
        <v>392</v>
      </c>
      <c r="C4598" s="293">
        <v>23.353919999999999</v>
      </c>
      <c r="D4598" s="293">
        <v>18.288</v>
      </c>
      <c r="E4598" s="293">
        <v>-5.0659200000000002</v>
      </c>
      <c r="F4598" s="294" t="s">
        <v>368</v>
      </c>
    </row>
    <row r="4599" spans="1:6" hidden="1" outlineLevel="1" collapsed="1" x14ac:dyDescent="0.25">
      <c r="A4599" s="321" t="s">
        <v>282</v>
      </c>
      <c r="B4599" s="321" t="s">
        <v>393</v>
      </c>
      <c r="C4599" s="293">
        <v>2.2775799999999999</v>
      </c>
      <c r="D4599" s="293">
        <v>2.3445299999999998</v>
      </c>
      <c r="E4599" s="293">
        <v>6.6949999999999996E-2</v>
      </c>
      <c r="F4599" s="294" t="s">
        <v>1677</v>
      </c>
    </row>
    <row r="4600" spans="1:6" hidden="1" outlineLevel="1" collapsed="1" x14ac:dyDescent="0.25">
      <c r="A4600" s="321" t="s">
        <v>282</v>
      </c>
      <c r="B4600" s="321" t="s">
        <v>394</v>
      </c>
      <c r="C4600" s="293">
        <v>150</v>
      </c>
      <c r="D4600" s="293">
        <v>0</v>
      </c>
      <c r="E4600" s="293">
        <v>-150</v>
      </c>
      <c r="F4600" s="294" t="s">
        <v>286</v>
      </c>
    </row>
    <row r="4601" spans="1:6" hidden="1" outlineLevel="1" collapsed="1" x14ac:dyDescent="0.25">
      <c r="A4601" s="321" t="s">
        <v>282</v>
      </c>
      <c r="B4601" s="321" t="s">
        <v>395</v>
      </c>
      <c r="C4601" s="293">
        <v>0</v>
      </c>
      <c r="D4601" s="293">
        <v>150</v>
      </c>
      <c r="E4601" s="293">
        <v>150</v>
      </c>
      <c r="F4601" s="294" t="s">
        <v>298</v>
      </c>
    </row>
    <row r="4602" spans="1:6" hidden="1" outlineLevel="1" collapsed="1" x14ac:dyDescent="0.25">
      <c r="A4602" s="321" t="s">
        <v>282</v>
      </c>
      <c r="B4602" s="321" t="s">
        <v>396</v>
      </c>
      <c r="C4602" s="293">
        <v>4.968</v>
      </c>
      <c r="D4602" s="293">
        <v>0</v>
      </c>
      <c r="E4602" s="293">
        <v>-4.968</v>
      </c>
      <c r="F4602" s="294" t="s">
        <v>286</v>
      </c>
    </row>
    <row r="4603" spans="1:6" hidden="1" outlineLevel="1" collapsed="1" x14ac:dyDescent="0.25">
      <c r="A4603" s="321" t="s">
        <v>282</v>
      </c>
      <c r="B4603" s="321" t="s">
        <v>397</v>
      </c>
      <c r="C4603" s="293">
        <v>0</v>
      </c>
      <c r="D4603" s="293">
        <v>4.8479999999999999</v>
      </c>
      <c r="E4603" s="293">
        <v>4.8479999999999999</v>
      </c>
      <c r="F4603" s="294" t="s">
        <v>298</v>
      </c>
    </row>
    <row r="4604" spans="1:6" hidden="1" outlineLevel="1" collapsed="1" x14ac:dyDescent="0.25">
      <c r="A4604" s="321" t="s">
        <v>282</v>
      </c>
      <c r="B4604" s="321" t="s">
        <v>398</v>
      </c>
      <c r="C4604" s="293">
        <v>2.4</v>
      </c>
      <c r="D4604" s="293">
        <v>1.1040000000000001</v>
      </c>
      <c r="E4604" s="293">
        <v>-1.296</v>
      </c>
      <c r="F4604" s="294" t="s">
        <v>374</v>
      </c>
    </row>
    <row r="4605" spans="1:6" collapsed="1" x14ac:dyDescent="0.25">
      <c r="A4605" s="560" t="s">
        <v>1678</v>
      </c>
      <c r="B4605" s="561"/>
      <c r="C4605" s="292">
        <v>879.76854500000002</v>
      </c>
      <c r="D4605" s="293">
        <v>911.85435199999995</v>
      </c>
      <c r="E4605" s="293">
        <v>32.085807000000003</v>
      </c>
      <c r="F4605" s="294" t="s">
        <v>697</v>
      </c>
    </row>
    <row r="4606" spans="1:6" hidden="1" outlineLevel="1" collapsed="1" x14ac:dyDescent="0.25">
      <c r="A4606" s="321" t="s">
        <v>282</v>
      </c>
      <c r="B4606" s="321" t="s">
        <v>874</v>
      </c>
      <c r="C4606" s="293">
        <v>584.12238600000001</v>
      </c>
      <c r="D4606" s="293">
        <v>592.88421900000003</v>
      </c>
      <c r="E4606" s="293">
        <v>8.7618329999999993</v>
      </c>
      <c r="F4606" s="294" t="s">
        <v>510</v>
      </c>
    </row>
    <row r="4607" spans="1:6" hidden="1" outlineLevel="1" collapsed="1" x14ac:dyDescent="0.25">
      <c r="A4607" s="321" t="s">
        <v>282</v>
      </c>
      <c r="B4607" s="321" t="s">
        <v>384</v>
      </c>
      <c r="C4607" s="293">
        <v>73.482596000000001</v>
      </c>
      <c r="D4607" s="293">
        <v>0</v>
      </c>
      <c r="E4607" s="293">
        <v>-73.482596000000001</v>
      </c>
      <c r="F4607" s="294" t="s">
        <v>286</v>
      </c>
    </row>
    <row r="4608" spans="1:6" hidden="1" outlineLevel="1" collapsed="1" x14ac:dyDescent="0.25">
      <c r="A4608" s="321" t="s">
        <v>282</v>
      </c>
      <c r="B4608" s="321" t="s">
        <v>385</v>
      </c>
      <c r="C4608" s="293">
        <v>0</v>
      </c>
      <c r="D4608" s="293">
        <v>92.080848000000003</v>
      </c>
      <c r="E4608" s="293">
        <v>92.080848000000003</v>
      </c>
      <c r="F4608" s="294" t="s">
        <v>298</v>
      </c>
    </row>
    <row r="4609" spans="1:6" hidden="1" outlineLevel="1" collapsed="1" x14ac:dyDescent="0.25">
      <c r="A4609" s="321" t="s">
        <v>282</v>
      </c>
      <c r="B4609" s="321" t="s">
        <v>386</v>
      </c>
      <c r="C4609" s="293">
        <v>36.215587999999997</v>
      </c>
      <c r="D4609" s="293">
        <v>0</v>
      </c>
      <c r="E4609" s="293">
        <v>-36.215587999999997</v>
      </c>
      <c r="F4609" s="294" t="s">
        <v>286</v>
      </c>
    </row>
    <row r="4610" spans="1:6" hidden="1" outlineLevel="1" collapsed="1" x14ac:dyDescent="0.25">
      <c r="A4610" s="321" t="s">
        <v>282</v>
      </c>
      <c r="B4610" s="321" t="s">
        <v>387</v>
      </c>
      <c r="C4610" s="293">
        <v>0</v>
      </c>
      <c r="D4610" s="293">
        <v>36.758822000000002</v>
      </c>
      <c r="E4610" s="293">
        <v>36.758822000000002</v>
      </c>
      <c r="F4610" s="294" t="s">
        <v>298</v>
      </c>
    </row>
    <row r="4611" spans="1:6" hidden="1" outlineLevel="1" collapsed="1" x14ac:dyDescent="0.25">
      <c r="A4611" s="321" t="s">
        <v>282</v>
      </c>
      <c r="B4611" s="321" t="s">
        <v>388</v>
      </c>
      <c r="C4611" s="293">
        <v>8.4697739999999992</v>
      </c>
      <c r="D4611" s="293">
        <v>8.5968210000000003</v>
      </c>
      <c r="E4611" s="293">
        <v>0.12704699999999999</v>
      </c>
      <c r="F4611" s="294" t="s">
        <v>510</v>
      </c>
    </row>
    <row r="4612" spans="1:6" hidden="1" outlineLevel="1" collapsed="1" x14ac:dyDescent="0.25">
      <c r="A4612" s="321" t="s">
        <v>282</v>
      </c>
      <c r="B4612" s="321" t="s">
        <v>389</v>
      </c>
      <c r="C4612" s="293">
        <v>4.2612480000000001</v>
      </c>
      <c r="D4612" s="293">
        <v>4.2203999999999997</v>
      </c>
      <c r="E4612" s="293">
        <v>-4.0848000000000002E-2</v>
      </c>
      <c r="F4612" s="294" t="s">
        <v>364</v>
      </c>
    </row>
    <row r="4613" spans="1:6" hidden="1" outlineLevel="1" collapsed="1" x14ac:dyDescent="0.25">
      <c r="A4613" s="321" t="s">
        <v>282</v>
      </c>
      <c r="B4613" s="321" t="s">
        <v>390</v>
      </c>
      <c r="C4613" s="293">
        <v>154.8527</v>
      </c>
      <c r="D4613" s="293">
        <v>159.59280000000001</v>
      </c>
      <c r="E4613" s="293">
        <v>4.7401</v>
      </c>
      <c r="F4613" s="294" t="s">
        <v>391</v>
      </c>
    </row>
    <row r="4614" spans="1:6" hidden="1" outlineLevel="1" collapsed="1" x14ac:dyDescent="0.25">
      <c r="A4614" s="321" t="s">
        <v>282</v>
      </c>
      <c r="B4614" s="321" t="s">
        <v>392</v>
      </c>
      <c r="C4614" s="293">
        <v>2.3353920000000001</v>
      </c>
      <c r="D4614" s="293">
        <v>1.8288</v>
      </c>
      <c r="E4614" s="293">
        <v>-0.50659200000000004</v>
      </c>
      <c r="F4614" s="294" t="s">
        <v>368</v>
      </c>
    </row>
    <row r="4615" spans="1:6" hidden="1" outlineLevel="1" collapsed="1" x14ac:dyDescent="0.25">
      <c r="A4615" s="321" t="s">
        <v>282</v>
      </c>
      <c r="B4615" s="321" t="s">
        <v>393</v>
      </c>
      <c r="C4615" s="293">
        <v>0.29206100000000002</v>
      </c>
      <c r="D4615" s="293">
        <v>0.29644199999999998</v>
      </c>
      <c r="E4615" s="293">
        <v>4.3810000000000003E-3</v>
      </c>
      <c r="F4615" s="294" t="s">
        <v>510</v>
      </c>
    </row>
    <row r="4616" spans="1:6" hidden="1" outlineLevel="1" collapsed="1" x14ac:dyDescent="0.25">
      <c r="A4616" s="321" t="s">
        <v>282</v>
      </c>
      <c r="B4616" s="321" t="s">
        <v>394</v>
      </c>
      <c r="C4616" s="293">
        <v>15</v>
      </c>
      <c r="D4616" s="293">
        <v>0</v>
      </c>
      <c r="E4616" s="293">
        <v>-15</v>
      </c>
      <c r="F4616" s="294" t="s">
        <v>286</v>
      </c>
    </row>
    <row r="4617" spans="1:6" hidden="1" outlineLevel="1" collapsed="1" x14ac:dyDescent="0.25">
      <c r="A4617" s="321" t="s">
        <v>282</v>
      </c>
      <c r="B4617" s="321" t="s">
        <v>395</v>
      </c>
      <c r="C4617" s="293">
        <v>0</v>
      </c>
      <c r="D4617" s="293">
        <v>15</v>
      </c>
      <c r="E4617" s="293">
        <v>15</v>
      </c>
      <c r="F4617" s="294" t="s">
        <v>298</v>
      </c>
    </row>
    <row r="4618" spans="1:6" hidden="1" outlineLevel="1" collapsed="1" x14ac:dyDescent="0.25">
      <c r="A4618" s="321" t="s">
        <v>282</v>
      </c>
      <c r="B4618" s="321" t="s">
        <v>396</v>
      </c>
      <c r="C4618" s="293">
        <v>0.49680000000000002</v>
      </c>
      <c r="D4618" s="293">
        <v>0</v>
      </c>
      <c r="E4618" s="293">
        <v>-0.49680000000000002</v>
      </c>
      <c r="F4618" s="294" t="s">
        <v>286</v>
      </c>
    </row>
    <row r="4619" spans="1:6" hidden="1" outlineLevel="1" collapsed="1" x14ac:dyDescent="0.25">
      <c r="A4619" s="321" t="s">
        <v>282</v>
      </c>
      <c r="B4619" s="321" t="s">
        <v>397</v>
      </c>
      <c r="C4619" s="293">
        <v>0</v>
      </c>
      <c r="D4619" s="293">
        <v>0.48480000000000001</v>
      </c>
      <c r="E4619" s="293">
        <v>0.48480000000000001</v>
      </c>
      <c r="F4619" s="294" t="s">
        <v>298</v>
      </c>
    </row>
    <row r="4620" spans="1:6" hidden="1" outlineLevel="1" collapsed="1" x14ac:dyDescent="0.25">
      <c r="A4620" s="321" t="s">
        <v>282</v>
      </c>
      <c r="B4620" s="321" t="s">
        <v>398</v>
      </c>
      <c r="C4620" s="293">
        <v>0.24</v>
      </c>
      <c r="D4620" s="293">
        <v>0.1104</v>
      </c>
      <c r="E4620" s="293">
        <v>-0.12959999999999999</v>
      </c>
      <c r="F4620" s="294" t="s">
        <v>374</v>
      </c>
    </row>
    <row r="4621" spans="1:6" collapsed="1" x14ac:dyDescent="0.25">
      <c r="A4621" s="560" t="s">
        <v>1680</v>
      </c>
      <c r="B4621" s="561"/>
      <c r="C4621" s="292">
        <v>0</v>
      </c>
      <c r="D4621" s="293">
        <v>25200</v>
      </c>
      <c r="E4621" s="293">
        <v>25200</v>
      </c>
      <c r="F4621" s="294" t="s">
        <v>298</v>
      </c>
    </row>
    <row r="4622" spans="1:6" hidden="1" outlineLevel="1" collapsed="1" x14ac:dyDescent="0.25">
      <c r="A4622" s="321" t="s">
        <v>282</v>
      </c>
      <c r="B4622" s="321" t="s">
        <v>376</v>
      </c>
      <c r="C4622" s="293">
        <v>0</v>
      </c>
      <c r="D4622" s="293">
        <v>5000</v>
      </c>
      <c r="E4622" s="293">
        <v>5000</v>
      </c>
      <c r="F4622" s="294" t="s">
        <v>298</v>
      </c>
    </row>
    <row r="4623" spans="1:6" hidden="1" outlineLevel="1" collapsed="1" x14ac:dyDescent="0.25">
      <c r="A4623" s="321" t="s">
        <v>282</v>
      </c>
      <c r="B4623" s="321" t="s">
        <v>1046</v>
      </c>
      <c r="C4623" s="293">
        <v>0</v>
      </c>
      <c r="D4623" s="293">
        <v>3000</v>
      </c>
      <c r="E4623" s="293">
        <v>3000</v>
      </c>
      <c r="F4623" s="294" t="s">
        <v>298</v>
      </c>
    </row>
    <row r="4624" spans="1:6" hidden="1" outlineLevel="1" collapsed="1" x14ac:dyDescent="0.25">
      <c r="A4624" s="321" t="s">
        <v>282</v>
      </c>
      <c r="B4624" s="321" t="s">
        <v>1075</v>
      </c>
      <c r="C4624" s="293">
        <v>0</v>
      </c>
      <c r="D4624" s="293">
        <v>3700</v>
      </c>
      <c r="E4624" s="293">
        <v>3700</v>
      </c>
      <c r="F4624" s="294" t="s">
        <v>298</v>
      </c>
    </row>
    <row r="4625" spans="1:6" hidden="1" outlineLevel="1" collapsed="1" x14ac:dyDescent="0.25">
      <c r="A4625" s="321" t="s">
        <v>282</v>
      </c>
      <c r="B4625" s="321" t="s">
        <v>403</v>
      </c>
      <c r="C4625" s="293">
        <v>0</v>
      </c>
      <c r="D4625" s="293">
        <v>4500</v>
      </c>
      <c r="E4625" s="293">
        <v>4500</v>
      </c>
      <c r="F4625" s="294" t="s">
        <v>298</v>
      </c>
    </row>
    <row r="4626" spans="1:6" hidden="1" outlineLevel="1" collapsed="1" x14ac:dyDescent="0.25">
      <c r="A4626" s="321" t="s">
        <v>282</v>
      </c>
      <c r="B4626" s="321" t="s">
        <v>405</v>
      </c>
      <c r="C4626" s="293">
        <v>0</v>
      </c>
      <c r="D4626" s="293">
        <v>9000</v>
      </c>
      <c r="E4626" s="293">
        <v>9000</v>
      </c>
      <c r="F4626" s="294" t="s">
        <v>298</v>
      </c>
    </row>
    <row r="4627" spans="1:6" collapsed="1" x14ac:dyDescent="0.25">
      <c r="A4627" s="560" t="s">
        <v>1681</v>
      </c>
      <c r="B4627" s="561"/>
      <c r="C4627" s="292">
        <v>138379.965792</v>
      </c>
      <c r="D4627" s="293">
        <v>143598.14901600001</v>
      </c>
      <c r="E4627" s="293">
        <v>5218.1832240000003</v>
      </c>
      <c r="F4627" s="294" t="s">
        <v>1329</v>
      </c>
    </row>
    <row r="4628" spans="1:6" hidden="1" outlineLevel="1" collapsed="1" x14ac:dyDescent="0.25">
      <c r="A4628" s="321" t="s">
        <v>282</v>
      </c>
      <c r="B4628" s="321" t="s">
        <v>780</v>
      </c>
      <c r="C4628" s="293">
        <v>110159.97823199999</v>
      </c>
      <c r="D4628" s="293">
        <v>111812.375988</v>
      </c>
      <c r="E4628" s="293">
        <v>1652.3977560000001</v>
      </c>
      <c r="F4628" s="294" t="s">
        <v>510</v>
      </c>
    </row>
    <row r="4629" spans="1:6" hidden="1" outlineLevel="1" collapsed="1" x14ac:dyDescent="0.25">
      <c r="A4629" s="321" t="s">
        <v>282</v>
      </c>
      <c r="B4629" s="321" t="s">
        <v>384</v>
      </c>
      <c r="C4629" s="293">
        <v>13858.125252</v>
      </c>
      <c r="D4629" s="293">
        <v>0</v>
      </c>
      <c r="E4629" s="293">
        <v>-13858.125252</v>
      </c>
      <c r="F4629" s="294" t="s">
        <v>286</v>
      </c>
    </row>
    <row r="4630" spans="1:6" hidden="1" outlineLevel="1" collapsed="1" x14ac:dyDescent="0.25">
      <c r="A4630" s="321" t="s">
        <v>282</v>
      </c>
      <c r="B4630" s="321" t="s">
        <v>385</v>
      </c>
      <c r="C4630" s="293">
        <v>0</v>
      </c>
      <c r="D4630" s="293">
        <v>17365.580112</v>
      </c>
      <c r="E4630" s="293">
        <v>17365.580112</v>
      </c>
      <c r="F4630" s="294" t="s">
        <v>298</v>
      </c>
    </row>
    <row r="4631" spans="1:6" hidden="1" outlineLevel="1" collapsed="1" x14ac:dyDescent="0.25">
      <c r="A4631" s="321" t="s">
        <v>282</v>
      </c>
      <c r="B4631" s="321" t="s">
        <v>753</v>
      </c>
      <c r="C4631" s="293">
        <v>6867.1186440000001</v>
      </c>
      <c r="D4631" s="293">
        <v>6969.5672999999997</v>
      </c>
      <c r="E4631" s="293">
        <v>102.448656</v>
      </c>
      <c r="F4631" s="294" t="s">
        <v>781</v>
      </c>
    </row>
    <row r="4632" spans="1:6" hidden="1" outlineLevel="1" collapsed="1" x14ac:dyDescent="0.25">
      <c r="A4632" s="321" t="s">
        <v>282</v>
      </c>
      <c r="B4632" s="321" t="s">
        <v>388</v>
      </c>
      <c r="C4632" s="293">
        <v>1606.0196759999999</v>
      </c>
      <c r="D4632" s="293">
        <v>1629.9794400000001</v>
      </c>
      <c r="E4632" s="293">
        <v>23.959764</v>
      </c>
      <c r="F4632" s="294" t="s">
        <v>781</v>
      </c>
    </row>
    <row r="4633" spans="1:6" hidden="1" outlineLevel="1" collapsed="1" x14ac:dyDescent="0.25">
      <c r="A4633" s="321" t="s">
        <v>282</v>
      </c>
      <c r="B4633" s="321" t="s">
        <v>755</v>
      </c>
      <c r="C4633" s="293">
        <v>426.12479999999999</v>
      </c>
      <c r="D4633" s="293">
        <v>422.04</v>
      </c>
      <c r="E4633" s="293">
        <v>-4.0848000000000004</v>
      </c>
      <c r="F4633" s="294" t="s">
        <v>364</v>
      </c>
    </row>
    <row r="4634" spans="1:6" hidden="1" outlineLevel="1" collapsed="1" x14ac:dyDescent="0.25">
      <c r="A4634" s="321" t="s">
        <v>282</v>
      </c>
      <c r="B4634" s="321" t="s">
        <v>756</v>
      </c>
      <c r="C4634" s="293">
        <v>233.53919999999999</v>
      </c>
      <c r="D4634" s="293">
        <v>182.88</v>
      </c>
      <c r="E4634" s="293">
        <v>-50.659199999999998</v>
      </c>
      <c r="F4634" s="294" t="s">
        <v>368</v>
      </c>
    </row>
    <row r="4635" spans="1:6" hidden="1" outlineLevel="1" collapsed="1" x14ac:dyDescent="0.25">
      <c r="A4635" s="321" t="s">
        <v>282</v>
      </c>
      <c r="B4635" s="321" t="s">
        <v>757</v>
      </c>
      <c r="C4635" s="293">
        <v>55.379987999999997</v>
      </c>
      <c r="D4635" s="293">
        <v>0</v>
      </c>
      <c r="E4635" s="293">
        <v>-55.379987999999997</v>
      </c>
      <c r="F4635" s="294" t="s">
        <v>286</v>
      </c>
    </row>
    <row r="4636" spans="1:6" hidden="1" outlineLevel="1" collapsed="1" x14ac:dyDescent="0.25">
      <c r="A4636" s="321" t="s">
        <v>282</v>
      </c>
      <c r="B4636" s="321" t="s">
        <v>758</v>
      </c>
      <c r="C4636" s="293">
        <v>0</v>
      </c>
      <c r="D4636" s="293">
        <v>56.206175999999999</v>
      </c>
      <c r="E4636" s="293">
        <v>56.206175999999999</v>
      </c>
      <c r="F4636" s="294" t="s">
        <v>298</v>
      </c>
    </row>
    <row r="4637" spans="1:6" hidden="1" outlineLevel="1" collapsed="1" x14ac:dyDescent="0.25">
      <c r="A4637" s="321" t="s">
        <v>282</v>
      </c>
      <c r="B4637" s="321" t="s">
        <v>759</v>
      </c>
      <c r="C4637" s="293">
        <v>1500</v>
      </c>
      <c r="D4637" s="293">
        <v>0</v>
      </c>
      <c r="E4637" s="293">
        <v>-1500</v>
      </c>
      <c r="F4637" s="294" t="s">
        <v>286</v>
      </c>
    </row>
    <row r="4638" spans="1:6" hidden="1" outlineLevel="1" collapsed="1" x14ac:dyDescent="0.25">
      <c r="A4638" s="321" t="s">
        <v>282</v>
      </c>
      <c r="B4638" s="321" t="s">
        <v>760</v>
      </c>
      <c r="C4638" s="293">
        <v>0</v>
      </c>
      <c r="D4638" s="293">
        <v>1500</v>
      </c>
      <c r="E4638" s="293">
        <v>1500</v>
      </c>
      <c r="F4638" s="294" t="s">
        <v>298</v>
      </c>
    </row>
    <row r="4639" spans="1:6" hidden="1" outlineLevel="1" collapsed="1" x14ac:dyDescent="0.25">
      <c r="A4639" s="321" t="s">
        <v>282</v>
      </c>
      <c r="B4639" s="321" t="s">
        <v>761</v>
      </c>
      <c r="C4639" s="293">
        <v>49.68</v>
      </c>
      <c r="D4639" s="293">
        <v>0</v>
      </c>
      <c r="E4639" s="293">
        <v>-49.68</v>
      </c>
      <c r="F4639" s="294" t="s">
        <v>286</v>
      </c>
    </row>
    <row r="4640" spans="1:6" hidden="1" outlineLevel="1" collapsed="1" x14ac:dyDescent="0.25">
      <c r="A4640" s="321" t="s">
        <v>282</v>
      </c>
      <c r="B4640" s="321" t="s">
        <v>762</v>
      </c>
      <c r="C4640" s="293">
        <v>0</v>
      </c>
      <c r="D4640" s="293">
        <v>48.48</v>
      </c>
      <c r="E4640" s="293">
        <v>48.48</v>
      </c>
      <c r="F4640" s="294" t="s">
        <v>298</v>
      </c>
    </row>
    <row r="4641" spans="1:6" hidden="1" outlineLevel="1" collapsed="1" x14ac:dyDescent="0.25">
      <c r="A4641" s="321" t="s">
        <v>282</v>
      </c>
      <c r="B4641" s="321" t="s">
        <v>763</v>
      </c>
      <c r="C4641" s="293">
        <v>24</v>
      </c>
      <c r="D4641" s="293">
        <v>11.04</v>
      </c>
      <c r="E4641" s="293">
        <v>-12.96</v>
      </c>
      <c r="F4641" s="294" t="s">
        <v>374</v>
      </c>
    </row>
    <row r="4642" spans="1:6" hidden="1" outlineLevel="1" collapsed="1" x14ac:dyDescent="0.25">
      <c r="A4642" s="321" t="s">
        <v>282</v>
      </c>
      <c r="B4642" s="321" t="s">
        <v>522</v>
      </c>
      <c r="C4642" s="293">
        <v>3000</v>
      </c>
      <c r="D4642" s="293">
        <v>3000</v>
      </c>
      <c r="E4642" s="293">
        <v>0</v>
      </c>
      <c r="F4642" s="294" t="s">
        <v>316</v>
      </c>
    </row>
    <row r="4643" spans="1:6" hidden="1" outlineLevel="1" collapsed="1" x14ac:dyDescent="0.25">
      <c r="A4643" s="321" t="s">
        <v>282</v>
      </c>
      <c r="B4643" s="321" t="s">
        <v>376</v>
      </c>
      <c r="C4643" s="293">
        <v>0</v>
      </c>
      <c r="D4643" s="293">
        <v>0</v>
      </c>
      <c r="E4643" s="293">
        <v>0</v>
      </c>
      <c r="F4643" s="294" t="s">
        <v>316</v>
      </c>
    </row>
    <row r="4644" spans="1:6" hidden="1" outlineLevel="1" collapsed="1" x14ac:dyDescent="0.25">
      <c r="A4644" s="321" t="s">
        <v>282</v>
      </c>
      <c r="B4644" s="321" t="s">
        <v>707</v>
      </c>
      <c r="C4644" s="293">
        <v>600</v>
      </c>
      <c r="D4644" s="293">
        <v>600</v>
      </c>
      <c r="E4644" s="293">
        <v>0</v>
      </c>
      <c r="F4644" s="294" t="s">
        <v>316</v>
      </c>
    </row>
    <row r="4645" spans="1:6" collapsed="1" x14ac:dyDescent="0.25">
      <c r="A4645" s="560" t="s">
        <v>1683</v>
      </c>
      <c r="B4645" s="561"/>
      <c r="C4645" s="292">
        <v>704.10592099999997</v>
      </c>
      <c r="D4645" s="293">
        <v>737.01297799999998</v>
      </c>
      <c r="E4645" s="293">
        <v>32.907057000000002</v>
      </c>
      <c r="F4645" s="294" t="s">
        <v>1435</v>
      </c>
    </row>
    <row r="4646" spans="1:6" hidden="1" outlineLevel="1" collapsed="1" x14ac:dyDescent="0.25">
      <c r="A4646" s="321" t="s">
        <v>282</v>
      </c>
      <c r="B4646" s="321" t="s">
        <v>464</v>
      </c>
      <c r="C4646" s="293">
        <v>438.75746700000002</v>
      </c>
      <c r="D4646" s="293">
        <v>451.82242600000001</v>
      </c>
      <c r="E4646" s="293">
        <v>13.064959</v>
      </c>
      <c r="F4646" s="294" t="s">
        <v>381</v>
      </c>
    </row>
    <row r="4647" spans="1:6" hidden="1" outlineLevel="1" collapsed="1" x14ac:dyDescent="0.25">
      <c r="A4647" s="321" t="s">
        <v>282</v>
      </c>
      <c r="B4647" s="321" t="s">
        <v>384</v>
      </c>
      <c r="C4647" s="293">
        <v>54.377988999999999</v>
      </c>
      <c r="D4647" s="293">
        <v>0</v>
      </c>
      <c r="E4647" s="293">
        <v>-54.377988999999999</v>
      </c>
      <c r="F4647" s="294" t="s">
        <v>286</v>
      </c>
    </row>
    <row r="4648" spans="1:6" hidden="1" outlineLevel="1" collapsed="1" x14ac:dyDescent="0.25">
      <c r="A4648" s="321" t="s">
        <v>282</v>
      </c>
      <c r="B4648" s="321" t="s">
        <v>385</v>
      </c>
      <c r="C4648" s="293">
        <v>0</v>
      </c>
      <c r="D4648" s="293">
        <v>69.163026000000002</v>
      </c>
      <c r="E4648" s="293">
        <v>69.163026000000002</v>
      </c>
      <c r="F4648" s="294" t="s">
        <v>298</v>
      </c>
    </row>
    <row r="4649" spans="1:6" hidden="1" outlineLevel="1" collapsed="1" x14ac:dyDescent="0.25">
      <c r="A4649" s="321" t="s">
        <v>282</v>
      </c>
      <c r="B4649" s="321" t="s">
        <v>386</v>
      </c>
      <c r="C4649" s="293">
        <v>27.202963</v>
      </c>
      <c r="D4649" s="293">
        <v>0</v>
      </c>
      <c r="E4649" s="293">
        <v>-27.202963</v>
      </c>
      <c r="F4649" s="294" t="s">
        <v>286</v>
      </c>
    </row>
    <row r="4650" spans="1:6" hidden="1" outlineLevel="1" collapsed="1" x14ac:dyDescent="0.25">
      <c r="A4650" s="321" t="s">
        <v>282</v>
      </c>
      <c r="B4650" s="321" t="s">
        <v>387</v>
      </c>
      <c r="C4650" s="293">
        <v>0</v>
      </c>
      <c r="D4650" s="293">
        <v>28.012989999999999</v>
      </c>
      <c r="E4650" s="293">
        <v>28.012989999999999</v>
      </c>
      <c r="F4650" s="294" t="s">
        <v>298</v>
      </c>
    </row>
    <row r="4651" spans="1:6" hidden="1" outlineLevel="1" collapsed="1" x14ac:dyDescent="0.25">
      <c r="A4651" s="321" t="s">
        <v>282</v>
      </c>
      <c r="B4651" s="321" t="s">
        <v>388</v>
      </c>
      <c r="C4651" s="293">
        <v>6.3619830000000004</v>
      </c>
      <c r="D4651" s="293">
        <v>6.5514250000000001</v>
      </c>
      <c r="E4651" s="293">
        <v>0.189442</v>
      </c>
      <c r="F4651" s="294" t="s">
        <v>381</v>
      </c>
    </row>
    <row r="4652" spans="1:6" hidden="1" outlineLevel="1" collapsed="1" x14ac:dyDescent="0.25">
      <c r="A4652" s="321" t="s">
        <v>282</v>
      </c>
      <c r="B4652" s="321" t="s">
        <v>389</v>
      </c>
      <c r="C4652" s="293">
        <v>4.2612480000000001</v>
      </c>
      <c r="D4652" s="293">
        <v>4.2203999999999997</v>
      </c>
      <c r="E4652" s="293">
        <v>-4.0848000000000002E-2</v>
      </c>
      <c r="F4652" s="294" t="s">
        <v>364</v>
      </c>
    </row>
    <row r="4653" spans="1:6" hidden="1" outlineLevel="1" collapsed="1" x14ac:dyDescent="0.25">
      <c r="A4653" s="321" t="s">
        <v>282</v>
      </c>
      <c r="B4653" s="321" t="s">
        <v>390</v>
      </c>
      <c r="C4653" s="293">
        <v>154.8527</v>
      </c>
      <c r="D4653" s="293">
        <v>159.59280000000001</v>
      </c>
      <c r="E4653" s="293">
        <v>4.7401</v>
      </c>
      <c r="F4653" s="294" t="s">
        <v>391</v>
      </c>
    </row>
    <row r="4654" spans="1:6" hidden="1" outlineLevel="1" collapsed="1" x14ac:dyDescent="0.25">
      <c r="A4654" s="321" t="s">
        <v>282</v>
      </c>
      <c r="B4654" s="321" t="s">
        <v>392</v>
      </c>
      <c r="C4654" s="293">
        <v>2.3353920000000001</v>
      </c>
      <c r="D4654" s="293">
        <v>1.8288</v>
      </c>
      <c r="E4654" s="293">
        <v>-0.50659200000000004</v>
      </c>
      <c r="F4654" s="294" t="s">
        <v>368</v>
      </c>
    </row>
    <row r="4655" spans="1:6" hidden="1" outlineLevel="1" collapsed="1" x14ac:dyDescent="0.25">
      <c r="A4655" s="321" t="s">
        <v>282</v>
      </c>
      <c r="B4655" s="321" t="s">
        <v>393</v>
      </c>
      <c r="C4655" s="293">
        <v>0.21937899999999999</v>
      </c>
      <c r="D4655" s="293">
        <v>0.225911</v>
      </c>
      <c r="E4655" s="293">
        <v>6.5319999999999996E-3</v>
      </c>
      <c r="F4655" s="294" t="s">
        <v>381</v>
      </c>
    </row>
    <row r="4656" spans="1:6" hidden="1" outlineLevel="1" collapsed="1" x14ac:dyDescent="0.25">
      <c r="A4656" s="321" t="s">
        <v>282</v>
      </c>
      <c r="B4656" s="321" t="s">
        <v>394</v>
      </c>
      <c r="C4656" s="293">
        <v>15</v>
      </c>
      <c r="D4656" s="293">
        <v>0</v>
      </c>
      <c r="E4656" s="293">
        <v>-15</v>
      </c>
      <c r="F4656" s="294" t="s">
        <v>286</v>
      </c>
    </row>
    <row r="4657" spans="1:6" hidden="1" outlineLevel="1" collapsed="1" x14ac:dyDescent="0.25">
      <c r="A4657" s="321" t="s">
        <v>282</v>
      </c>
      <c r="B4657" s="321" t="s">
        <v>395</v>
      </c>
      <c r="C4657" s="293">
        <v>0</v>
      </c>
      <c r="D4657" s="293">
        <v>15</v>
      </c>
      <c r="E4657" s="293">
        <v>15</v>
      </c>
      <c r="F4657" s="294" t="s">
        <v>298</v>
      </c>
    </row>
    <row r="4658" spans="1:6" hidden="1" outlineLevel="1" collapsed="1" x14ac:dyDescent="0.25">
      <c r="A4658" s="321" t="s">
        <v>282</v>
      </c>
      <c r="B4658" s="321" t="s">
        <v>396</v>
      </c>
      <c r="C4658" s="293">
        <v>0.49680000000000002</v>
      </c>
      <c r="D4658" s="293">
        <v>0</v>
      </c>
      <c r="E4658" s="293">
        <v>-0.49680000000000002</v>
      </c>
      <c r="F4658" s="294" t="s">
        <v>286</v>
      </c>
    </row>
    <row r="4659" spans="1:6" hidden="1" outlineLevel="1" collapsed="1" x14ac:dyDescent="0.25">
      <c r="A4659" s="321" t="s">
        <v>282</v>
      </c>
      <c r="B4659" s="321" t="s">
        <v>397</v>
      </c>
      <c r="C4659" s="293">
        <v>0</v>
      </c>
      <c r="D4659" s="293">
        <v>0.48480000000000001</v>
      </c>
      <c r="E4659" s="293">
        <v>0.48480000000000001</v>
      </c>
      <c r="F4659" s="294" t="s">
        <v>298</v>
      </c>
    </row>
    <row r="4660" spans="1:6" hidden="1" outlineLevel="1" collapsed="1" x14ac:dyDescent="0.25">
      <c r="A4660" s="321" t="s">
        <v>282</v>
      </c>
      <c r="B4660" s="321" t="s">
        <v>398</v>
      </c>
      <c r="C4660" s="293">
        <v>0.24</v>
      </c>
      <c r="D4660" s="293">
        <v>0.1104</v>
      </c>
      <c r="E4660" s="293">
        <v>-0.12959999999999999</v>
      </c>
      <c r="F4660" s="294" t="s">
        <v>374</v>
      </c>
    </row>
    <row r="4661" spans="1:6" collapsed="1" x14ac:dyDescent="0.25">
      <c r="A4661" s="560" t="s">
        <v>1685</v>
      </c>
      <c r="B4661" s="561"/>
      <c r="C4661" s="292">
        <v>9509</v>
      </c>
      <c r="D4661" s="293">
        <v>24216</v>
      </c>
      <c r="E4661" s="293">
        <v>14707</v>
      </c>
      <c r="F4661" s="294" t="s">
        <v>2293</v>
      </c>
    </row>
    <row r="4662" spans="1:6" hidden="1" outlineLevel="1" collapsed="1" x14ac:dyDescent="0.25">
      <c r="A4662" s="321" t="s">
        <v>282</v>
      </c>
      <c r="B4662" s="321" t="s">
        <v>735</v>
      </c>
      <c r="C4662" s="293">
        <v>0</v>
      </c>
      <c r="D4662" s="293">
        <v>7200</v>
      </c>
      <c r="E4662" s="293">
        <v>7200</v>
      </c>
      <c r="F4662" s="294" t="s">
        <v>298</v>
      </c>
    </row>
    <row r="4663" spans="1:6" hidden="1" outlineLevel="1" collapsed="1" x14ac:dyDescent="0.25">
      <c r="A4663" s="321" t="s">
        <v>282</v>
      </c>
      <c r="B4663" s="321" t="s">
        <v>470</v>
      </c>
      <c r="C4663" s="293">
        <v>0</v>
      </c>
      <c r="D4663" s="293">
        <v>3500</v>
      </c>
      <c r="E4663" s="293">
        <v>3500</v>
      </c>
      <c r="F4663" s="294" t="s">
        <v>298</v>
      </c>
    </row>
    <row r="4664" spans="1:6" hidden="1" outlineLevel="1" collapsed="1" x14ac:dyDescent="0.25">
      <c r="A4664" s="321" t="s">
        <v>282</v>
      </c>
      <c r="B4664" s="321" t="s">
        <v>471</v>
      </c>
      <c r="C4664" s="293">
        <v>2081</v>
      </c>
      <c r="D4664" s="293">
        <v>2500</v>
      </c>
      <c r="E4664" s="293">
        <v>419</v>
      </c>
      <c r="F4664" s="294" t="s">
        <v>1687</v>
      </c>
    </row>
    <row r="4665" spans="1:6" hidden="1" outlineLevel="1" collapsed="1" x14ac:dyDescent="0.25">
      <c r="A4665" s="321" t="s">
        <v>282</v>
      </c>
      <c r="B4665" s="321" t="s">
        <v>441</v>
      </c>
      <c r="C4665" s="293">
        <v>735</v>
      </c>
      <c r="D4665" s="293">
        <v>0</v>
      </c>
      <c r="E4665" s="293">
        <v>-735</v>
      </c>
      <c r="F4665" s="294" t="s">
        <v>286</v>
      </c>
    </row>
    <row r="4666" spans="1:6" hidden="1" outlineLevel="1" collapsed="1" x14ac:dyDescent="0.25">
      <c r="A4666" s="321" t="s">
        <v>282</v>
      </c>
      <c r="B4666" s="321" t="s">
        <v>935</v>
      </c>
      <c r="C4666" s="293">
        <v>336</v>
      </c>
      <c r="D4666" s="293">
        <v>0</v>
      </c>
      <c r="E4666" s="293">
        <v>-336</v>
      </c>
      <c r="F4666" s="294" t="s">
        <v>286</v>
      </c>
    </row>
    <row r="4667" spans="1:6" hidden="1" outlineLevel="1" collapsed="1" x14ac:dyDescent="0.25">
      <c r="A4667" s="321" t="s">
        <v>282</v>
      </c>
      <c r="B4667" s="321" t="s">
        <v>453</v>
      </c>
      <c r="C4667" s="293">
        <v>0</v>
      </c>
      <c r="D4667" s="293">
        <v>1999</v>
      </c>
      <c r="E4667" s="293">
        <v>1999</v>
      </c>
      <c r="F4667" s="294" t="s">
        <v>298</v>
      </c>
    </row>
    <row r="4668" spans="1:6" hidden="1" outlineLevel="1" collapsed="1" x14ac:dyDescent="0.25">
      <c r="A4668" s="321" t="s">
        <v>282</v>
      </c>
      <c r="B4668" s="321" t="s">
        <v>444</v>
      </c>
      <c r="C4668" s="293">
        <v>1726</v>
      </c>
      <c r="D4668" s="293">
        <v>1548</v>
      </c>
      <c r="E4668" s="293">
        <v>-178</v>
      </c>
      <c r="F4668" s="294" t="s">
        <v>1688</v>
      </c>
    </row>
    <row r="4669" spans="1:6" hidden="1" outlineLevel="1" collapsed="1" x14ac:dyDescent="0.25">
      <c r="A4669" s="321" t="s">
        <v>282</v>
      </c>
      <c r="B4669" s="321" t="s">
        <v>375</v>
      </c>
      <c r="C4669" s="293">
        <v>250</v>
      </c>
      <c r="D4669" s="293">
        <v>400</v>
      </c>
      <c r="E4669" s="293">
        <v>150</v>
      </c>
      <c r="F4669" s="294" t="s">
        <v>1689</v>
      </c>
    </row>
    <row r="4670" spans="1:6" hidden="1" outlineLevel="1" collapsed="1" x14ac:dyDescent="0.25">
      <c r="A4670" s="321" t="s">
        <v>282</v>
      </c>
      <c r="B4670" s="321" t="s">
        <v>431</v>
      </c>
      <c r="C4670" s="293">
        <v>450</v>
      </c>
      <c r="D4670" s="293">
        <v>0</v>
      </c>
      <c r="E4670" s="293">
        <v>-450</v>
      </c>
      <c r="F4670" s="294" t="s">
        <v>286</v>
      </c>
    </row>
    <row r="4671" spans="1:6" hidden="1" outlineLevel="1" collapsed="1" x14ac:dyDescent="0.25">
      <c r="A4671" s="321" t="s">
        <v>282</v>
      </c>
      <c r="B4671" s="321" t="s">
        <v>376</v>
      </c>
      <c r="C4671" s="293">
        <v>200</v>
      </c>
      <c r="D4671" s="293">
        <v>200</v>
      </c>
      <c r="E4671" s="293">
        <v>0</v>
      </c>
      <c r="F4671" s="294" t="s">
        <v>316</v>
      </c>
    </row>
    <row r="4672" spans="1:6" hidden="1" outlineLevel="1" collapsed="1" x14ac:dyDescent="0.25">
      <c r="A4672" s="321" t="s">
        <v>282</v>
      </c>
      <c r="B4672" s="321" t="s">
        <v>1202</v>
      </c>
      <c r="C4672" s="293">
        <v>500</v>
      </c>
      <c r="D4672" s="293">
        <v>375</v>
      </c>
      <c r="E4672" s="293">
        <v>-125</v>
      </c>
      <c r="F4672" s="294" t="s">
        <v>1321</v>
      </c>
    </row>
    <row r="4673" spans="1:6" hidden="1" outlineLevel="1" collapsed="1" x14ac:dyDescent="0.25">
      <c r="A4673" s="321" t="s">
        <v>282</v>
      </c>
      <c r="B4673" s="321" t="s">
        <v>426</v>
      </c>
      <c r="C4673" s="293">
        <v>76</v>
      </c>
      <c r="D4673" s="293">
        <v>0</v>
      </c>
      <c r="E4673" s="293">
        <v>-76</v>
      </c>
      <c r="F4673" s="294" t="s">
        <v>286</v>
      </c>
    </row>
    <row r="4674" spans="1:6" hidden="1" outlineLevel="1" collapsed="1" x14ac:dyDescent="0.25">
      <c r="A4674" s="321" t="s">
        <v>282</v>
      </c>
      <c r="B4674" s="321" t="s">
        <v>597</v>
      </c>
      <c r="C4674" s="293">
        <v>0</v>
      </c>
      <c r="D4674" s="293">
        <v>2900</v>
      </c>
      <c r="E4674" s="293">
        <v>2900</v>
      </c>
      <c r="F4674" s="294" t="s">
        <v>298</v>
      </c>
    </row>
    <row r="4675" spans="1:6" hidden="1" outlineLevel="1" collapsed="1" x14ac:dyDescent="0.25">
      <c r="A4675" s="321" t="s">
        <v>282</v>
      </c>
      <c r="B4675" s="321" t="s">
        <v>401</v>
      </c>
      <c r="C4675" s="293">
        <v>1455</v>
      </c>
      <c r="D4675" s="293">
        <v>1170</v>
      </c>
      <c r="E4675" s="293">
        <v>-285</v>
      </c>
      <c r="F4675" s="294" t="s">
        <v>1690</v>
      </c>
    </row>
    <row r="4676" spans="1:6" hidden="1" outlineLevel="1" collapsed="1" x14ac:dyDescent="0.25">
      <c r="A4676" s="321" t="s">
        <v>282</v>
      </c>
      <c r="B4676" s="321" t="s">
        <v>448</v>
      </c>
      <c r="C4676" s="293">
        <v>100</v>
      </c>
      <c r="D4676" s="293">
        <v>100</v>
      </c>
      <c r="E4676" s="293">
        <v>0</v>
      </c>
      <c r="F4676" s="294" t="s">
        <v>316</v>
      </c>
    </row>
    <row r="4677" spans="1:6" hidden="1" outlineLevel="1" collapsed="1" x14ac:dyDescent="0.25">
      <c r="A4677" s="321" t="s">
        <v>282</v>
      </c>
      <c r="B4677" s="321" t="s">
        <v>405</v>
      </c>
      <c r="C4677" s="293">
        <v>500</v>
      </c>
      <c r="D4677" s="293">
        <v>504</v>
      </c>
      <c r="E4677" s="293">
        <v>4</v>
      </c>
      <c r="F4677" s="294" t="s">
        <v>2294</v>
      </c>
    </row>
    <row r="4678" spans="1:6" hidden="1" outlineLevel="1" collapsed="1" x14ac:dyDescent="0.25">
      <c r="A4678" s="321" t="s">
        <v>282</v>
      </c>
      <c r="B4678" s="321" t="s">
        <v>1206</v>
      </c>
      <c r="C4678" s="293">
        <v>500</v>
      </c>
      <c r="D4678" s="293">
        <v>500</v>
      </c>
      <c r="E4678" s="293">
        <v>0</v>
      </c>
      <c r="F4678" s="294" t="s">
        <v>316</v>
      </c>
    </row>
    <row r="4679" spans="1:6" hidden="1" outlineLevel="1" collapsed="1" x14ac:dyDescent="0.25">
      <c r="A4679" s="321" t="s">
        <v>282</v>
      </c>
      <c r="B4679" s="321" t="s">
        <v>557</v>
      </c>
      <c r="C4679" s="293">
        <v>600</v>
      </c>
      <c r="D4679" s="293">
        <v>1320</v>
      </c>
      <c r="E4679" s="293">
        <v>720</v>
      </c>
      <c r="F4679" s="294" t="s">
        <v>1692</v>
      </c>
    </row>
    <row r="4680" spans="1:6" collapsed="1" x14ac:dyDescent="0.25">
      <c r="A4680" s="560" t="s">
        <v>1693</v>
      </c>
      <c r="B4680" s="561"/>
      <c r="C4680" s="292">
        <v>12188</v>
      </c>
      <c r="D4680" s="293">
        <v>36931</v>
      </c>
      <c r="E4680" s="293">
        <v>24743</v>
      </c>
      <c r="F4680" s="294" t="s">
        <v>2295</v>
      </c>
    </row>
    <row r="4681" spans="1:6" hidden="1" outlineLevel="1" collapsed="1" x14ac:dyDescent="0.25">
      <c r="A4681" s="321" t="s">
        <v>282</v>
      </c>
      <c r="B4681" s="321" t="s">
        <v>735</v>
      </c>
      <c r="C4681" s="293">
        <v>0</v>
      </c>
      <c r="D4681" s="293">
        <v>7200</v>
      </c>
      <c r="E4681" s="293">
        <v>7200</v>
      </c>
      <c r="F4681" s="294" t="s">
        <v>298</v>
      </c>
    </row>
    <row r="4682" spans="1:6" hidden="1" outlineLevel="1" collapsed="1" x14ac:dyDescent="0.25">
      <c r="A4682" s="321" t="s">
        <v>282</v>
      </c>
      <c r="B4682" s="321" t="s">
        <v>470</v>
      </c>
      <c r="C4682" s="293">
        <v>0</v>
      </c>
      <c r="D4682" s="293">
        <v>10500</v>
      </c>
      <c r="E4682" s="293">
        <v>10500</v>
      </c>
      <c r="F4682" s="294" t="s">
        <v>298</v>
      </c>
    </row>
    <row r="4683" spans="1:6" hidden="1" outlineLevel="1" collapsed="1" x14ac:dyDescent="0.25">
      <c r="A4683" s="321" t="s">
        <v>282</v>
      </c>
      <c r="B4683" s="321" t="s">
        <v>471</v>
      </c>
      <c r="C4683" s="293">
        <v>2081</v>
      </c>
      <c r="D4683" s="293">
        <v>2500</v>
      </c>
      <c r="E4683" s="293">
        <v>419</v>
      </c>
      <c r="F4683" s="294" t="s">
        <v>1687</v>
      </c>
    </row>
    <row r="4684" spans="1:6" hidden="1" outlineLevel="1" collapsed="1" x14ac:dyDescent="0.25">
      <c r="A4684" s="321" t="s">
        <v>282</v>
      </c>
      <c r="B4684" s="321" t="s">
        <v>441</v>
      </c>
      <c r="C4684" s="293">
        <v>735</v>
      </c>
      <c r="D4684" s="293">
        <v>0</v>
      </c>
      <c r="E4684" s="293">
        <v>-735</v>
      </c>
      <c r="F4684" s="294" t="s">
        <v>286</v>
      </c>
    </row>
    <row r="4685" spans="1:6" hidden="1" outlineLevel="1" collapsed="1" x14ac:dyDescent="0.25">
      <c r="A4685" s="321" t="s">
        <v>282</v>
      </c>
      <c r="B4685" s="321" t="s">
        <v>935</v>
      </c>
      <c r="C4685" s="293">
        <v>1152</v>
      </c>
      <c r="D4685" s="293">
        <v>0</v>
      </c>
      <c r="E4685" s="293">
        <v>-1152</v>
      </c>
      <c r="F4685" s="294" t="s">
        <v>286</v>
      </c>
    </row>
    <row r="4686" spans="1:6" hidden="1" outlineLevel="1" collapsed="1" x14ac:dyDescent="0.25">
      <c r="A4686" s="321" t="s">
        <v>282</v>
      </c>
      <c r="B4686" s="321" t="s">
        <v>453</v>
      </c>
      <c r="C4686" s="293">
        <v>1739</v>
      </c>
      <c r="D4686" s="293">
        <v>1999</v>
      </c>
      <c r="E4686" s="293">
        <v>260</v>
      </c>
      <c r="F4686" s="294" t="s">
        <v>2296</v>
      </c>
    </row>
    <row r="4687" spans="1:6" hidden="1" outlineLevel="1" collapsed="1" x14ac:dyDescent="0.25">
      <c r="A4687" s="321" t="s">
        <v>282</v>
      </c>
      <c r="B4687" s="321" t="s">
        <v>444</v>
      </c>
      <c r="C4687" s="293">
        <v>1726</v>
      </c>
      <c r="D4687" s="293">
        <v>1996</v>
      </c>
      <c r="E4687" s="293">
        <v>270</v>
      </c>
      <c r="F4687" s="294" t="s">
        <v>2297</v>
      </c>
    </row>
    <row r="4688" spans="1:6" hidden="1" outlineLevel="1" collapsed="1" x14ac:dyDescent="0.25">
      <c r="A4688" s="321" t="s">
        <v>282</v>
      </c>
      <c r="B4688" s="321" t="s">
        <v>375</v>
      </c>
      <c r="C4688" s="293">
        <v>450</v>
      </c>
      <c r="D4688" s="293">
        <v>800</v>
      </c>
      <c r="E4688" s="293">
        <v>350</v>
      </c>
      <c r="F4688" s="294" t="s">
        <v>965</v>
      </c>
    </row>
    <row r="4689" spans="1:6" hidden="1" outlineLevel="1" collapsed="1" x14ac:dyDescent="0.25">
      <c r="A4689" s="321" t="s">
        <v>282</v>
      </c>
      <c r="B4689" s="321" t="s">
        <v>431</v>
      </c>
      <c r="C4689" s="293">
        <v>450</v>
      </c>
      <c r="D4689" s="293">
        <v>0</v>
      </c>
      <c r="E4689" s="293">
        <v>-450</v>
      </c>
      <c r="F4689" s="294" t="s">
        <v>286</v>
      </c>
    </row>
    <row r="4690" spans="1:6" hidden="1" outlineLevel="1" collapsed="1" x14ac:dyDescent="0.25">
      <c r="A4690" s="321" t="s">
        <v>282</v>
      </c>
      <c r="B4690" s="321" t="s">
        <v>376</v>
      </c>
      <c r="C4690" s="293">
        <v>200</v>
      </c>
      <c r="D4690" s="293">
        <v>600</v>
      </c>
      <c r="E4690" s="293">
        <v>400</v>
      </c>
      <c r="F4690" s="294" t="s">
        <v>787</v>
      </c>
    </row>
    <row r="4691" spans="1:6" hidden="1" outlineLevel="1" collapsed="1" x14ac:dyDescent="0.25">
      <c r="A4691" s="321" t="s">
        <v>282</v>
      </c>
      <c r="B4691" s="321" t="s">
        <v>1202</v>
      </c>
      <c r="C4691" s="293">
        <v>500</v>
      </c>
      <c r="D4691" s="293">
        <v>375</v>
      </c>
      <c r="E4691" s="293">
        <v>-125</v>
      </c>
      <c r="F4691" s="294" t="s">
        <v>1321</v>
      </c>
    </row>
    <row r="4692" spans="1:6" hidden="1" outlineLevel="1" collapsed="1" x14ac:dyDescent="0.25">
      <c r="A4692" s="321" t="s">
        <v>282</v>
      </c>
      <c r="B4692" s="321" t="s">
        <v>426</v>
      </c>
      <c r="C4692" s="293">
        <v>0</v>
      </c>
      <c r="D4692" s="293">
        <v>0</v>
      </c>
      <c r="E4692" s="293">
        <v>0</v>
      </c>
      <c r="F4692" s="294" t="s">
        <v>316</v>
      </c>
    </row>
    <row r="4693" spans="1:6" hidden="1" outlineLevel="1" collapsed="1" x14ac:dyDescent="0.25">
      <c r="A4693" s="321" t="s">
        <v>282</v>
      </c>
      <c r="B4693" s="321" t="s">
        <v>597</v>
      </c>
      <c r="C4693" s="293">
        <v>0</v>
      </c>
      <c r="D4693" s="293">
        <v>3900</v>
      </c>
      <c r="E4693" s="293">
        <v>3900</v>
      </c>
      <c r="F4693" s="294" t="s">
        <v>298</v>
      </c>
    </row>
    <row r="4694" spans="1:6" hidden="1" outlineLevel="1" collapsed="1" x14ac:dyDescent="0.25">
      <c r="A4694" s="321" t="s">
        <v>282</v>
      </c>
      <c r="B4694" s="321" t="s">
        <v>401</v>
      </c>
      <c r="C4694" s="293">
        <v>1455</v>
      </c>
      <c r="D4694" s="293">
        <v>2370</v>
      </c>
      <c r="E4694" s="293">
        <v>915</v>
      </c>
      <c r="F4694" s="294" t="s">
        <v>1696</v>
      </c>
    </row>
    <row r="4695" spans="1:6" hidden="1" outlineLevel="1" collapsed="1" x14ac:dyDescent="0.25">
      <c r="A4695" s="321" t="s">
        <v>282</v>
      </c>
      <c r="B4695" s="321" t="s">
        <v>448</v>
      </c>
      <c r="C4695" s="293">
        <v>100</v>
      </c>
      <c r="D4695" s="293">
        <v>150</v>
      </c>
      <c r="E4695" s="293">
        <v>50</v>
      </c>
      <c r="F4695" s="294" t="s">
        <v>784</v>
      </c>
    </row>
    <row r="4696" spans="1:6" hidden="1" outlineLevel="1" collapsed="1" x14ac:dyDescent="0.25">
      <c r="A4696" s="321" t="s">
        <v>282</v>
      </c>
      <c r="B4696" s="321" t="s">
        <v>405</v>
      </c>
      <c r="C4696" s="293">
        <v>500</v>
      </c>
      <c r="D4696" s="293">
        <v>952</v>
      </c>
      <c r="E4696" s="293">
        <v>452</v>
      </c>
      <c r="F4696" s="294" t="s">
        <v>2298</v>
      </c>
    </row>
    <row r="4697" spans="1:6" hidden="1" outlineLevel="1" collapsed="1" x14ac:dyDescent="0.25">
      <c r="A4697" s="321" t="s">
        <v>282</v>
      </c>
      <c r="B4697" s="321" t="s">
        <v>1206</v>
      </c>
      <c r="C4697" s="293">
        <v>500</v>
      </c>
      <c r="D4697" s="293">
        <v>1800</v>
      </c>
      <c r="E4697" s="293">
        <v>1300</v>
      </c>
      <c r="F4697" s="294" t="s">
        <v>2299</v>
      </c>
    </row>
    <row r="4698" spans="1:6" hidden="1" outlineLevel="1" collapsed="1" x14ac:dyDescent="0.25">
      <c r="A4698" s="321" t="s">
        <v>282</v>
      </c>
      <c r="B4698" s="321" t="s">
        <v>557</v>
      </c>
      <c r="C4698" s="293">
        <v>600</v>
      </c>
      <c r="D4698" s="293">
        <v>1789</v>
      </c>
      <c r="E4698" s="293">
        <v>1189</v>
      </c>
      <c r="F4698" s="294" t="s">
        <v>2300</v>
      </c>
    </row>
    <row r="4699" spans="1:6" collapsed="1" x14ac:dyDescent="0.25">
      <c r="A4699" s="560" t="s">
        <v>1700</v>
      </c>
      <c r="B4699" s="561"/>
      <c r="C4699" s="292">
        <v>6927.6525920000004</v>
      </c>
      <c r="D4699" s="293">
        <v>7187.6979789999996</v>
      </c>
      <c r="E4699" s="293">
        <v>260.04538700000001</v>
      </c>
      <c r="F4699" s="294" t="s">
        <v>1074</v>
      </c>
    </row>
    <row r="4700" spans="1:6" hidden="1" outlineLevel="1" collapsed="1" x14ac:dyDescent="0.25">
      <c r="A4700" s="321" t="s">
        <v>282</v>
      </c>
      <c r="B4700" s="321" t="s">
        <v>942</v>
      </c>
      <c r="C4700" s="293">
        <v>4996.1854789999998</v>
      </c>
      <c r="D4700" s="293">
        <v>5071.1281909999998</v>
      </c>
      <c r="E4700" s="293">
        <v>74.942712</v>
      </c>
      <c r="F4700" s="294" t="s">
        <v>510</v>
      </c>
    </row>
    <row r="4701" spans="1:6" hidden="1" outlineLevel="1" collapsed="1" x14ac:dyDescent="0.25">
      <c r="A4701" s="321" t="s">
        <v>282</v>
      </c>
      <c r="B4701" s="321" t="s">
        <v>384</v>
      </c>
      <c r="C4701" s="293">
        <v>628.52013299999999</v>
      </c>
      <c r="D4701" s="293">
        <v>0</v>
      </c>
      <c r="E4701" s="293">
        <v>-628.52013299999999</v>
      </c>
      <c r="F4701" s="294" t="s">
        <v>286</v>
      </c>
    </row>
    <row r="4702" spans="1:6" hidden="1" outlineLevel="1" collapsed="1" x14ac:dyDescent="0.25">
      <c r="A4702" s="321" t="s">
        <v>282</v>
      </c>
      <c r="B4702" s="321" t="s">
        <v>385</v>
      </c>
      <c r="C4702" s="293">
        <v>0</v>
      </c>
      <c r="D4702" s="293">
        <v>787.59691899999996</v>
      </c>
      <c r="E4702" s="293">
        <v>787.59691899999996</v>
      </c>
      <c r="F4702" s="294" t="s">
        <v>298</v>
      </c>
    </row>
    <row r="4703" spans="1:6" hidden="1" outlineLevel="1" collapsed="1" x14ac:dyDescent="0.25">
      <c r="A4703" s="321" t="s">
        <v>282</v>
      </c>
      <c r="B4703" s="321" t="s">
        <v>386</v>
      </c>
      <c r="C4703" s="293">
        <v>311.62349899999998</v>
      </c>
      <c r="D4703" s="293">
        <v>0</v>
      </c>
      <c r="E4703" s="293">
        <v>-311.62349899999998</v>
      </c>
      <c r="F4703" s="294" t="s">
        <v>286</v>
      </c>
    </row>
    <row r="4704" spans="1:6" hidden="1" outlineLevel="1" collapsed="1" x14ac:dyDescent="0.25">
      <c r="A4704" s="321" t="s">
        <v>282</v>
      </c>
      <c r="B4704" s="321" t="s">
        <v>387</v>
      </c>
      <c r="C4704" s="293">
        <v>0</v>
      </c>
      <c r="D4704" s="293">
        <v>316.269947</v>
      </c>
      <c r="E4704" s="293">
        <v>316.269947</v>
      </c>
      <c r="F4704" s="294" t="s">
        <v>298</v>
      </c>
    </row>
    <row r="4705" spans="1:6" hidden="1" outlineLevel="1" collapsed="1" x14ac:dyDescent="0.25">
      <c r="A4705" s="321" t="s">
        <v>282</v>
      </c>
      <c r="B4705" s="321" t="s">
        <v>388</v>
      </c>
      <c r="C4705" s="293">
        <v>72.879688999999999</v>
      </c>
      <c r="D4705" s="293">
        <v>73.966358</v>
      </c>
      <c r="E4705" s="293">
        <v>1.0866690000000001</v>
      </c>
      <c r="F4705" s="294" t="s">
        <v>781</v>
      </c>
    </row>
    <row r="4706" spans="1:6" hidden="1" outlineLevel="1" collapsed="1" x14ac:dyDescent="0.25">
      <c r="A4706" s="321" t="s">
        <v>282</v>
      </c>
      <c r="B4706" s="321" t="s">
        <v>389</v>
      </c>
      <c r="C4706" s="293">
        <v>21.306239999999999</v>
      </c>
      <c r="D4706" s="293">
        <v>21.102</v>
      </c>
      <c r="E4706" s="293">
        <v>-0.20424</v>
      </c>
      <c r="F4706" s="294" t="s">
        <v>364</v>
      </c>
    </row>
    <row r="4707" spans="1:6" hidden="1" outlineLevel="1" collapsed="1" x14ac:dyDescent="0.25">
      <c r="A4707" s="321" t="s">
        <v>282</v>
      </c>
      <c r="B4707" s="321" t="s">
        <v>390</v>
      </c>
      <c r="C4707" s="293">
        <v>774.26350000000002</v>
      </c>
      <c r="D4707" s="293">
        <v>797.96400000000006</v>
      </c>
      <c r="E4707" s="293">
        <v>23.700500000000002</v>
      </c>
      <c r="F4707" s="294" t="s">
        <v>391</v>
      </c>
    </row>
    <row r="4708" spans="1:6" hidden="1" outlineLevel="1" collapsed="1" x14ac:dyDescent="0.25">
      <c r="A4708" s="321" t="s">
        <v>282</v>
      </c>
      <c r="B4708" s="321" t="s">
        <v>392</v>
      </c>
      <c r="C4708" s="293">
        <v>11.676959999999999</v>
      </c>
      <c r="D4708" s="293">
        <v>9.1440000000000001</v>
      </c>
      <c r="E4708" s="293">
        <v>-2.5329600000000001</v>
      </c>
      <c r="F4708" s="294" t="s">
        <v>368</v>
      </c>
    </row>
    <row r="4709" spans="1:6" hidden="1" outlineLevel="1" collapsed="1" x14ac:dyDescent="0.25">
      <c r="A4709" s="321" t="s">
        <v>282</v>
      </c>
      <c r="B4709" s="321" t="s">
        <v>393</v>
      </c>
      <c r="C4709" s="293">
        <v>2.5130919999999999</v>
      </c>
      <c r="D4709" s="293">
        <v>2.5505640000000001</v>
      </c>
      <c r="E4709" s="293">
        <v>3.7471999999999998E-2</v>
      </c>
      <c r="F4709" s="294" t="s">
        <v>781</v>
      </c>
    </row>
    <row r="4710" spans="1:6" hidden="1" outlineLevel="1" collapsed="1" x14ac:dyDescent="0.25">
      <c r="A4710" s="321" t="s">
        <v>282</v>
      </c>
      <c r="B4710" s="321" t="s">
        <v>394</v>
      </c>
      <c r="C4710" s="293">
        <v>75</v>
      </c>
      <c r="D4710" s="293">
        <v>0</v>
      </c>
      <c r="E4710" s="293">
        <v>-75</v>
      </c>
      <c r="F4710" s="294" t="s">
        <v>286</v>
      </c>
    </row>
    <row r="4711" spans="1:6" hidden="1" outlineLevel="1" collapsed="1" x14ac:dyDescent="0.25">
      <c r="A4711" s="321" t="s">
        <v>282</v>
      </c>
      <c r="B4711" s="321" t="s">
        <v>395</v>
      </c>
      <c r="C4711" s="293">
        <v>0</v>
      </c>
      <c r="D4711" s="293">
        <v>75</v>
      </c>
      <c r="E4711" s="293">
        <v>75</v>
      </c>
      <c r="F4711" s="294" t="s">
        <v>298</v>
      </c>
    </row>
    <row r="4712" spans="1:6" hidden="1" outlineLevel="1" collapsed="1" x14ac:dyDescent="0.25">
      <c r="A4712" s="321" t="s">
        <v>282</v>
      </c>
      <c r="B4712" s="321" t="s">
        <v>396</v>
      </c>
      <c r="C4712" s="293">
        <v>2.484</v>
      </c>
      <c r="D4712" s="293">
        <v>0</v>
      </c>
      <c r="E4712" s="293">
        <v>-2.484</v>
      </c>
      <c r="F4712" s="294" t="s">
        <v>286</v>
      </c>
    </row>
    <row r="4713" spans="1:6" hidden="1" outlineLevel="1" collapsed="1" x14ac:dyDescent="0.25">
      <c r="A4713" s="321" t="s">
        <v>282</v>
      </c>
      <c r="B4713" s="321" t="s">
        <v>397</v>
      </c>
      <c r="C4713" s="293">
        <v>0</v>
      </c>
      <c r="D4713" s="293">
        <v>2.4239999999999999</v>
      </c>
      <c r="E4713" s="293">
        <v>2.4239999999999999</v>
      </c>
      <c r="F4713" s="294" t="s">
        <v>298</v>
      </c>
    </row>
    <row r="4714" spans="1:6" hidden="1" outlineLevel="1" collapsed="1" x14ac:dyDescent="0.25">
      <c r="A4714" s="321" t="s">
        <v>282</v>
      </c>
      <c r="B4714" s="321" t="s">
        <v>398</v>
      </c>
      <c r="C4714" s="293">
        <v>1.2</v>
      </c>
      <c r="D4714" s="293">
        <v>0.55200000000000005</v>
      </c>
      <c r="E4714" s="293">
        <v>-0.64800000000000002</v>
      </c>
      <c r="F4714" s="294" t="s">
        <v>374</v>
      </c>
    </row>
    <row r="4715" spans="1:6" hidden="1" outlineLevel="1" collapsed="1" x14ac:dyDescent="0.25">
      <c r="A4715" s="321" t="s">
        <v>282</v>
      </c>
      <c r="B4715" s="321" t="s">
        <v>952</v>
      </c>
      <c r="C4715" s="293">
        <v>30</v>
      </c>
      <c r="D4715" s="293">
        <v>30</v>
      </c>
      <c r="E4715" s="293">
        <v>0</v>
      </c>
      <c r="F4715" s="294" t="s">
        <v>316</v>
      </c>
    </row>
    <row r="4716" spans="1:6" collapsed="1" x14ac:dyDescent="0.25">
      <c r="A4716" s="560" t="s">
        <v>1701</v>
      </c>
      <c r="B4716" s="561"/>
      <c r="C4716" s="292">
        <v>37716.308947999998</v>
      </c>
      <c r="D4716" s="293">
        <v>39139.357254000002</v>
      </c>
      <c r="E4716" s="293">
        <v>1423.0483059999999</v>
      </c>
      <c r="F4716" s="294" t="s">
        <v>1329</v>
      </c>
    </row>
    <row r="4717" spans="1:6" hidden="1" outlineLevel="1" collapsed="1" x14ac:dyDescent="0.25">
      <c r="A4717" s="321" t="s">
        <v>282</v>
      </c>
      <c r="B4717" s="321" t="s">
        <v>942</v>
      </c>
      <c r="C4717" s="293">
        <v>27539.994557999999</v>
      </c>
      <c r="D4717" s="293">
        <v>27953.093997</v>
      </c>
      <c r="E4717" s="293">
        <v>413.09943900000002</v>
      </c>
      <c r="F4717" s="294" t="s">
        <v>510</v>
      </c>
    </row>
    <row r="4718" spans="1:6" hidden="1" outlineLevel="1" collapsed="1" x14ac:dyDescent="0.25">
      <c r="A4718" s="321" t="s">
        <v>282</v>
      </c>
      <c r="B4718" s="321" t="s">
        <v>384</v>
      </c>
      <c r="C4718" s="293">
        <v>3464.531313</v>
      </c>
      <c r="D4718" s="293">
        <v>0</v>
      </c>
      <c r="E4718" s="293">
        <v>-3464.531313</v>
      </c>
      <c r="F4718" s="294" t="s">
        <v>286</v>
      </c>
    </row>
    <row r="4719" spans="1:6" hidden="1" outlineLevel="1" collapsed="1" x14ac:dyDescent="0.25">
      <c r="A4719" s="321" t="s">
        <v>282</v>
      </c>
      <c r="B4719" s="321" t="s">
        <v>385</v>
      </c>
      <c r="C4719" s="293">
        <v>0</v>
      </c>
      <c r="D4719" s="293">
        <v>4341.3950279999999</v>
      </c>
      <c r="E4719" s="293">
        <v>4341.3950279999999</v>
      </c>
      <c r="F4719" s="294" t="s">
        <v>298</v>
      </c>
    </row>
    <row r="4720" spans="1:6" hidden="1" outlineLevel="1" collapsed="1" x14ac:dyDescent="0.25">
      <c r="A4720" s="321" t="s">
        <v>282</v>
      </c>
      <c r="B4720" s="321" t="s">
        <v>386</v>
      </c>
      <c r="C4720" s="293">
        <v>1716.779661</v>
      </c>
      <c r="D4720" s="293">
        <v>0</v>
      </c>
      <c r="E4720" s="293">
        <v>-1716.779661</v>
      </c>
      <c r="F4720" s="294" t="s">
        <v>286</v>
      </c>
    </row>
    <row r="4721" spans="1:6" hidden="1" outlineLevel="1" collapsed="1" x14ac:dyDescent="0.25">
      <c r="A4721" s="321" t="s">
        <v>282</v>
      </c>
      <c r="B4721" s="321" t="s">
        <v>387</v>
      </c>
      <c r="C4721" s="293">
        <v>0</v>
      </c>
      <c r="D4721" s="293">
        <v>1742.3918249999999</v>
      </c>
      <c r="E4721" s="293">
        <v>1742.3918249999999</v>
      </c>
      <c r="F4721" s="294" t="s">
        <v>298</v>
      </c>
    </row>
    <row r="4722" spans="1:6" hidden="1" outlineLevel="1" collapsed="1" x14ac:dyDescent="0.25">
      <c r="A4722" s="321" t="s">
        <v>282</v>
      </c>
      <c r="B4722" s="321" t="s">
        <v>388</v>
      </c>
      <c r="C4722" s="293">
        <v>401.50491899999997</v>
      </c>
      <c r="D4722" s="293">
        <v>407.49486000000002</v>
      </c>
      <c r="E4722" s="293">
        <v>5.989941</v>
      </c>
      <c r="F4722" s="294" t="s">
        <v>781</v>
      </c>
    </row>
    <row r="4723" spans="1:6" hidden="1" outlineLevel="1" collapsed="1" x14ac:dyDescent="0.25">
      <c r="A4723" s="321" t="s">
        <v>282</v>
      </c>
      <c r="B4723" s="321" t="s">
        <v>389</v>
      </c>
      <c r="C4723" s="293">
        <v>106.5312</v>
      </c>
      <c r="D4723" s="293">
        <v>105.51</v>
      </c>
      <c r="E4723" s="293">
        <v>-1.0212000000000001</v>
      </c>
      <c r="F4723" s="294" t="s">
        <v>364</v>
      </c>
    </row>
    <row r="4724" spans="1:6" hidden="1" outlineLevel="1" collapsed="1" x14ac:dyDescent="0.25">
      <c r="A4724" s="321" t="s">
        <v>282</v>
      </c>
      <c r="B4724" s="321" t="s">
        <v>390</v>
      </c>
      <c r="C4724" s="293">
        <v>3871.3175000000001</v>
      </c>
      <c r="D4724" s="293">
        <v>3989.82</v>
      </c>
      <c r="E4724" s="293">
        <v>118.5025</v>
      </c>
      <c r="F4724" s="294" t="s">
        <v>391</v>
      </c>
    </row>
    <row r="4725" spans="1:6" hidden="1" outlineLevel="1" collapsed="1" x14ac:dyDescent="0.25">
      <c r="A4725" s="321" t="s">
        <v>282</v>
      </c>
      <c r="B4725" s="321" t="s">
        <v>392</v>
      </c>
      <c r="C4725" s="293">
        <v>58.384799999999998</v>
      </c>
      <c r="D4725" s="293">
        <v>45.72</v>
      </c>
      <c r="E4725" s="293">
        <v>-12.6648</v>
      </c>
      <c r="F4725" s="294" t="s">
        <v>368</v>
      </c>
    </row>
    <row r="4726" spans="1:6" hidden="1" outlineLevel="1" collapsed="1" x14ac:dyDescent="0.25">
      <c r="A4726" s="321" t="s">
        <v>282</v>
      </c>
      <c r="B4726" s="321" t="s">
        <v>393</v>
      </c>
      <c r="C4726" s="293">
        <v>13.844996999999999</v>
      </c>
      <c r="D4726" s="293">
        <v>14.051544</v>
      </c>
      <c r="E4726" s="293">
        <v>0.20654700000000001</v>
      </c>
      <c r="F4726" s="294" t="s">
        <v>781</v>
      </c>
    </row>
    <row r="4727" spans="1:6" hidden="1" outlineLevel="1" collapsed="1" x14ac:dyDescent="0.25">
      <c r="A4727" s="321" t="s">
        <v>282</v>
      </c>
      <c r="B4727" s="321" t="s">
        <v>394</v>
      </c>
      <c r="C4727" s="293">
        <v>375</v>
      </c>
      <c r="D4727" s="293">
        <v>0</v>
      </c>
      <c r="E4727" s="293">
        <v>-375</v>
      </c>
      <c r="F4727" s="294" t="s">
        <v>286</v>
      </c>
    </row>
    <row r="4728" spans="1:6" hidden="1" outlineLevel="1" collapsed="1" x14ac:dyDescent="0.25">
      <c r="A4728" s="321" t="s">
        <v>282</v>
      </c>
      <c r="B4728" s="321" t="s">
        <v>395</v>
      </c>
      <c r="C4728" s="293">
        <v>0</v>
      </c>
      <c r="D4728" s="293">
        <v>375</v>
      </c>
      <c r="E4728" s="293">
        <v>375</v>
      </c>
      <c r="F4728" s="294" t="s">
        <v>298</v>
      </c>
    </row>
    <row r="4729" spans="1:6" hidden="1" outlineLevel="1" collapsed="1" x14ac:dyDescent="0.25">
      <c r="A4729" s="321" t="s">
        <v>282</v>
      </c>
      <c r="B4729" s="321" t="s">
        <v>396</v>
      </c>
      <c r="C4729" s="293">
        <v>12.42</v>
      </c>
      <c r="D4729" s="293">
        <v>0</v>
      </c>
      <c r="E4729" s="293">
        <v>-12.42</v>
      </c>
      <c r="F4729" s="294" t="s">
        <v>286</v>
      </c>
    </row>
    <row r="4730" spans="1:6" hidden="1" outlineLevel="1" collapsed="1" x14ac:dyDescent="0.25">
      <c r="A4730" s="321" t="s">
        <v>282</v>
      </c>
      <c r="B4730" s="321" t="s">
        <v>397</v>
      </c>
      <c r="C4730" s="293">
        <v>0</v>
      </c>
      <c r="D4730" s="293">
        <v>12.12</v>
      </c>
      <c r="E4730" s="293">
        <v>12.12</v>
      </c>
      <c r="F4730" s="294" t="s">
        <v>298</v>
      </c>
    </row>
    <row r="4731" spans="1:6" hidden="1" outlineLevel="1" collapsed="1" x14ac:dyDescent="0.25">
      <c r="A4731" s="321" t="s">
        <v>282</v>
      </c>
      <c r="B4731" s="321" t="s">
        <v>398</v>
      </c>
      <c r="C4731" s="293">
        <v>6</v>
      </c>
      <c r="D4731" s="293">
        <v>2.76</v>
      </c>
      <c r="E4731" s="293">
        <v>-3.24</v>
      </c>
      <c r="F4731" s="294" t="s">
        <v>374</v>
      </c>
    </row>
    <row r="4732" spans="1:6" hidden="1" outlineLevel="1" collapsed="1" x14ac:dyDescent="0.25">
      <c r="A4732" s="321" t="s">
        <v>282</v>
      </c>
      <c r="B4732" s="321" t="s">
        <v>952</v>
      </c>
      <c r="C4732" s="293">
        <v>150</v>
      </c>
      <c r="D4732" s="293">
        <v>150</v>
      </c>
      <c r="E4732" s="293">
        <v>0</v>
      </c>
      <c r="F4732" s="294" t="s">
        <v>316</v>
      </c>
    </row>
    <row r="4733" spans="1:6" collapsed="1" x14ac:dyDescent="0.25">
      <c r="A4733" s="560" t="s">
        <v>335</v>
      </c>
      <c r="B4733" s="561"/>
      <c r="C4733" s="292">
        <v>53530.182089000002</v>
      </c>
      <c r="D4733" s="293">
        <v>55584.242939999996</v>
      </c>
      <c r="E4733" s="293">
        <v>2054.0608510000002</v>
      </c>
      <c r="F4733" s="294" t="s">
        <v>349</v>
      </c>
    </row>
    <row r="4734" spans="1:6" hidden="1" outlineLevel="1" collapsed="1" x14ac:dyDescent="0.25">
      <c r="A4734" s="321" t="s">
        <v>282</v>
      </c>
      <c r="B4734" s="321" t="s">
        <v>942</v>
      </c>
      <c r="C4734" s="293">
        <v>40687.544559000002</v>
      </c>
      <c r="D4734" s="293">
        <v>41297.857638000001</v>
      </c>
      <c r="E4734" s="293">
        <v>610.31307900000002</v>
      </c>
      <c r="F4734" s="294" t="s">
        <v>510</v>
      </c>
    </row>
    <row r="4735" spans="1:6" hidden="1" outlineLevel="1" collapsed="1" x14ac:dyDescent="0.25">
      <c r="A4735" s="321" t="s">
        <v>282</v>
      </c>
      <c r="B4735" s="321" t="s">
        <v>384</v>
      </c>
      <c r="C4735" s="293">
        <v>5118.4931040000001</v>
      </c>
      <c r="D4735" s="293">
        <v>0</v>
      </c>
      <c r="E4735" s="293">
        <v>-5118.4931040000001</v>
      </c>
      <c r="F4735" s="294" t="s">
        <v>286</v>
      </c>
    </row>
    <row r="4736" spans="1:6" hidden="1" outlineLevel="1" collapsed="1" x14ac:dyDescent="0.25">
      <c r="A4736" s="321" t="s">
        <v>282</v>
      </c>
      <c r="B4736" s="321" t="s">
        <v>385</v>
      </c>
      <c r="C4736" s="293">
        <v>0</v>
      </c>
      <c r="D4736" s="293">
        <v>6413.9702699999998</v>
      </c>
      <c r="E4736" s="293">
        <v>6413.9702699999998</v>
      </c>
      <c r="F4736" s="294" t="s">
        <v>298</v>
      </c>
    </row>
    <row r="4737" spans="1:6" hidden="1" outlineLevel="1" collapsed="1" x14ac:dyDescent="0.25">
      <c r="A4737" s="321" t="s">
        <v>282</v>
      </c>
      <c r="B4737" s="321" t="s">
        <v>386</v>
      </c>
      <c r="C4737" s="293">
        <v>2531.92776</v>
      </c>
      <c r="D4737" s="293">
        <v>0</v>
      </c>
      <c r="E4737" s="293">
        <v>-2531.92776</v>
      </c>
      <c r="F4737" s="294" t="s">
        <v>286</v>
      </c>
    </row>
    <row r="4738" spans="1:6" hidden="1" outlineLevel="1" collapsed="1" x14ac:dyDescent="0.25">
      <c r="A4738" s="321" t="s">
        <v>282</v>
      </c>
      <c r="B4738" s="321" t="s">
        <v>387</v>
      </c>
      <c r="C4738" s="293">
        <v>0</v>
      </c>
      <c r="D4738" s="293">
        <v>2569.767171</v>
      </c>
      <c r="E4738" s="293">
        <v>2569.767171</v>
      </c>
      <c r="F4738" s="294" t="s">
        <v>298</v>
      </c>
    </row>
    <row r="4739" spans="1:6" hidden="1" outlineLevel="1" collapsed="1" x14ac:dyDescent="0.25">
      <c r="A4739" s="321" t="s">
        <v>282</v>
      </c>
      <c r="B4739" s="321" t="s">
        <v>388</v>
      </c>
      <c r="C4739" s="293">
        <v>592.14439500000003</v>
      </c>
      <c r="D4739" s="293">
        <v>600.99393299999997</v>
      </c>
      <c r="E4739" s="293">
        <v>8.8495380000000008</v>
      </c>
      <c r="F4739" s="294" t="s">
        <v>781</v>
      </c>
    </row>
    <row r="4740" spans="1:6" hidden="1" outlineLevel="1" collapsed="1" x14ac:dyDescent="0.25">
      <c r="A4740" s="321" t="s">
        <v>282</v>
      </c>
      <c r="B4740" s="321" t="s">
        <v>389</v>
      </c>
      <c r="C4740" s="293">
        <v>106.5312</v>
      </c>
      <c r="D4740" s="293">
        <v>105.51</v>
      </c>
      <c r="E4740" s="293">
        <v>-1.0212000000000001</v>
      </c>
      <c r="F4740" s="294" t="s">
        <v>364</v>
      </c>
    </row>
    <row r="4741" spans="1:6" hidden="1" outlineLevel="1" collapsed="1" x14ac:dyDescent="0.25">
      <c r="A4741" s="321" t="s">
        <v>282</v>
      </c>
      <c r="B4741" s="321" t="s">
        <v>390</v>
      </c>
      <c r="C4741" s="293">
        <v>3871.3175000000001</v>
      </c>
      <c r="D4741" s="293">
        <v>3989.82</v>
      </c>
      <c r="E4741" s="293">
        <v>118.5025</v>
      </c>
      <c r="F4741" s="294" t="s">
        <v>391</v>
      </c>
    </row>
    <row r="4742" spans="1:6" hidden="1" outlineLevel="1" collapsed="1" x14ac:dyDescent="0.25">
      <c r="A4742" s="321" t="s">
        <v>282</v>
      </c>
      <c r="B4742" s="321" t="s">
        <v>392</v>
      </c>
      <c r="C4742" s="293">
        <v>58.384799999999998</v>
      </c>
      <c r="D4742" s="293">
        <v>45.72</v>
      </c>
      <c r="E4742" s="293">
        <v>-12.6648</v>
      </c>
      <c r="F4742" s="294" t="s">
        <v>368</v>
      </c>
    </row>
    <row r="4743" spans="1:6" hidden="1" outlineLevel="1" collapsed="1" x14ac:dyDescent="0.25">
      <c r="A4743" s="321" t="s">
        <v>282</v>
      </c>
      <c r="B4743" s="321" t="s">
        <v>393</v>
      </c>
      <c r="C4743" s="293">
        <v>20.418771</v>
      </c>
      <c r="D4743" s="293">
        <v>20.723928000000001</v>
      </c>
      <c r="E4743" s="293">
        <v>0.30515700000000001</v>
      </c>
      <c r="F4743" s="294" t="s">
        <v>781</v>
      </c>
    </row>
    <row r="4744" spans="1:6" hidden="1" outlineLevel="1" collapsed="1" x14ac:dyDescent="0.25">
      <c r="A4744" s="321" t="s">
        <v>282</v>
      </c>
      <c r="B4744" s="321" t="s">
        <v>394</v>
      </c>
      <c r="C4744" s="293">
        <v>375</v>
      </c>
      <c r="D4744" s="293">
        <v>0</v>
      </c>
      <c r="E4744" s="293">
        <v>-375</v>
      </c>
      <c r="F4744" s="294" t="s">
        <v>286</v>
      </c>
    </row>
    <row r="4745" spans="1:6" hidden="1" outlineLevel="1" collapsed="1" x14ac:dyDescent="0.25">
      <c r="A4745" s="321" t="s">
        <v>282</v>
      </c>
      <c r="B4745" s="321" t="s">
        <v>395</v>
      </c>
      <c r="C4745" s="293">
        <v>0</v>
      </c>
      <c r="D4745" s="293">
        <v>375</v>
      </c>
      <c r="E4745" s="293">
        <v>375</v>
      </c>
      <c r="F4745" s="294" t="s">
        <v>298</v>
      </c>
    </row>
    <row r="4746" spans="1:6" hidden="1" outlineLevel="1" collapsed="1" x14ac:dyDescent="0.25">
      <c r="A4746" s="321" t="s">
        <v>282</v>
      </c>
      <c r="B4746" s="321" t="s">
        <v>396</v>
      </c>
      <c r="C4746" s="293">
        <v>12.42</v>
      </c>
      <c r="D4746" s="293">
        <v>0</v>
      </c>
      <c r="E4746" s="293">
        <v>-12.42</v>
      </c>
      <c r="F4746" s="294" t="s">
        <v>286</v>
      </c>
    </row>
    <row r="4747" spans="1:6" hidden="1" outlineLevel="1" collapsed="1" x14ac:dyDescent="0.25">
      <c r="A4747" s="321" t="s">
        <v>282</v>
      </c>
      <c r="B4747" s="321" t="s">
        <v>397</v>
      </c>
      <c r="C4747" s="293">
        <v>0</v>
      </c>
      <c r="D4747" s="293">
        <v>12.12</v>
      </c>
      <c r="E4747" s="293">
        <v>12.12</v>
      </c>
      <c r="F4747" s="294" t="s">
        <v>298</v>
      </c>
    </row>
    <row r="4748" spans="1:6" hidden="1" outlineLevel="1" collapsed="1" x14ac:dyDescent="0.25">
      <c r="A4748" s="321" t="s">
        <v>282</v>
      </c>
      <c r="B4748" s="321" t="s">
        <v>398</v>
      </c>
      <c r="C4748" s="293">
        <v>6</v>
      </c>
      <c r="D4748" s="293">
        <v>2.76</v>
      </c>
      <c r="E4748" s="293">
        <v>-3.24</v>
      </c>
      <c r="F4748" s="294" t="s">
        <v>374</v>
      </c>
    </row>
    <row r="4749" spans="1:6" hidden="1" outlineLevel="1" collapsed="1" x14ac:dyDescent="0.25">
      <c r="A4749" s="321" t="s">
        <v>282</v>
      </c>
      <c r="B4749" s="321" t="s">
        <v>399</v>
      </c>
      <c r="C4749" s="293">
        <v>0</v>
      </c>
      <c r="D4749" s="293">
        <v>0</v>
      </c>
      <c r="E4749" s="293">
        <v>0</v>
      </c>
      <c r="F4749" s="294" t="s">
        <v>316</v>
      </c>
    </row>
    <row r="4750" spans="1:6" hidden="1" outlineLevel="1" collapsed="1" x14ac:dyDescent="0.25">
      <c r="A4750" s="321" t="s">
        <v>282</v>
      </c>
      <c r="B4750" s="321" t="s">
        <v>952</v>
      </c>
      <c r="C4750" s="293">
        <v>150</v>
      </c>
      <c r="D4750" s="293">
        <v>150</v>
      </c>
      <c r="E4750" s="293">
        <v>0</v>
      </c>
      <c r="F4750" s="294" t="s">
        <v>316</v>
      </c>
    </row>
    <row r="4751" spans="1:6" collapsed="1" x14ac:dyDescent="0.25">
      <c r="A4751" s="560" t="s">
        <v>1703</v>
      </c>
      <c r="B4751" s="561"/>
      <c r="C4751" s="292">
        <v>424812.831458</v>
      </c>
      <c r="D4751" s="293">
        <v>368358.25067899999</v>
      </c>
      <c r="E4751" s="293">
        <v>-56454.580779000004</v>
      </c>
      <c r="F4751" s="294" t="s">
        <v>1704</v>
      </c>
    </row>
    <row r="4752" spans="1:6" hidden="1" outlineLevel="1" collapsed="1" x14ac:dyDescent="0.25">
      <c r="A4752" s="321" t="s">
        <v>282</v>
      </c>
      <c r="B4752" s="321" t="s">
        <v>358</v>
      </c>
      <c r="C4752" s="293">
        <v>160087.46591999999</v>
      </c>
      <c r="D4752" s="293">
        <v>110838.51156</v>
      </c>
      <c r="E4752" s="293">
        <v>-49248.954360000003</v>
      </c>
      <c r="F4752" s="294" t="s">
        <v>1705</v>
      </c>
    </row>
    <row r="4753" spans="1:6" hidden="1" outlineLevel="1" collapsed="1" x14ac:dyDescent="0.25">
      <c r="A4753" s="321" t="s">
        <v>282</v>
      </c>
      <c r="B4753" s="321" t="s">
        <v>675</v>
      </c>
      <c r="C4753" s="293">
        <v>39330.815999999999</v>
      </c>
      <c r="D4753" s="293">
        <v>40593.406560000003</v>
      </c>
      <c r="E4753" s="293">
        <v>1262.5905600000001</v>
      </c>
      <c r="F4753" s="294" t="s">
        <v>359</v>
      </c>
    </row>
    <row r="4754" spans="1:6" hidden="1" outlineLevel="1" collapsed="1" x14ac:dyDescent="0.25">
      <c r="A4754" s="321" t="s">
        <v>282</v>
      </c>
      <c r="B4754" s="321" t="s">
        <v>646</v>
      </c>
      <c r="C4754" s="293">
        <v>116320.7184</v>
      </c>
      <c r="D4754" s="293">
        <v>120069.415418</v>
      </c>
      <c r="E4754" s="293">
        <v>3748.6970179999998</v>
      </c>
      <c r="F4754" s="294" t="s">
        <v>647</v>
      </c>
    </row>
    <row r="4755" spans="1:6" hidden="1" outlineLevel="1" collapsed="1" x14ac:dyDescent="0.25">
      <c r="A4755" s="321" t="s">
        <v>282</v>
      </c>
      <c r="B4755" s="321" t="s">
        <v>412</v>
      </c>
      <c r="C4755" s="293">
        <v>6340</v>
      </c>
      <c r="D4755" s="293">
        <v>5800</v>
      </c>
      <c r="E4755" s="293">
        <v>-540</v>
      </c>
      <c r="F4755" s="294" t="s">
        <v>1706</v>
      </c>
    </row>
    <row r="4756" spans="1:6" hidden="1" outlineLevel="1" collapsed="1" x14ac:dyDescent="0.25">
      <c r="A4756" s="321" t="s">
        <v>282</v>
      </c>
      <c r="B4756" s="321" t="s">
        <v>360</v>
      </c>
      <c r="C4756" s="293">
        <v>41203.939541</v>
      </c>
      <c r="D4756" s="293">
        <v>39177.642414000002</v>
      </c>
      <c r="E4756" s="293">
        <v>-2026.297127</v>
      </c>
      <c r="F4756" s="294" t="s">
        <v>1707</v>
      </c>
    </row>
    <row r="4757" spans="1:6" hidden="1" outlineLevel="1" collapsed="1" x14ac:dyDescent="0.25">
      <c r="A4757" s="321" t="s">
        <v>282</v>
      </c>
      <c r="B4757" s="321" t="s">
        <v>362</v>
      </c>
      <c r="C4757" s="293">
        <v>4670.1455059999998</v>
      </c>
      <c r="D4757" s="293">
        <v>4020.8693189999999</v>
      </c>
      <c r="E4757" s="293">
        <v>-649.27618700000005</v>
      </c>
      <c r="F4757" s="294" t="s">
        <v>1708</v>
      </c>
    </row>
    <row r="4758" spans="1:6" hidden="1" outlineLevel="1" collapsed="1" x14ac:dyDescent="0.25">
      <c r="A4758" s="321" t="s">
        <v>282</v>
      </c>
      <c r="B4758" s="321" t="s">
        <v>363</v>
      </c>
      <c r="C4758" s="293">
        <v>1373.40023</v>
      </c>
      <c r="D4758" s="293">
        <v>1111.2313200000001</v>
      </c>
      <c r="E4758" s="293">
        <v>-262.16890999999998</v>
      </c>
      <c r="F4758" s="294" t="s">
        <v>1709</v>
      </c>
    </row>
    <row r="4759" spans="1:6" hidden="1" outlineLevel="1" collapsed="1" x14ac:dyDescent="0.25">
      <c r="A4759" s="321" t="s">
        <v>282</v>
      </c>
      <c r="B4759" s="321" t="s">
        <v>365</v>
      </c>
      <c r="C4759" s="293">
        <v>49500.638879999999</v>
      </c>
      <c r="D4759" s="293">
        <v>42020.784240000001</v>
      </c>
      <c r="E4759" s="293">
        <v>-7479.8546399999996</v>
      </c>
      <c r="F4759" s="294" t="s">
        <v>1710</v>
      </c>
    </row>
    <row r="4760" spans="1:6" hidden="1" outlineLevel="1" collapsed="1" x14ac:dyDescent="0.25">
      <c r="A4760" s="321" t="s">
        <v>282</v>
      </c>
      <c r="B4760" s="321" t="s">
        <v>367</v>
      </c>
      <c r="C4760" s="293">
        <v>752.69684199999995</v>
      </c>
      <c r="D4760" s="293">
        <v>481.52303999999998</v>
      </c>
      <c r="E4760" s="293">
        <v>-271.17380200000002</v>
      </c>
      <c r="F4760" s="294" t="s">
        <v>1711</v>
      </c>
    </row>
    <row r="4761" spans="1:6" hidden="1" outlineLevel="1" collapsed="1" x14ac:dyDescent="0.25">
      <c r="A4761" s="321" t="s">
        <v>282</v>
      </c>
      <c r="B4761" s="321" t="s">
        <v>369</v>
      </c>
      <c r="C4761" s="293">
        <v>161.03949900000001</v>
      </c>
      <c r="D4761" s="293">
        <v>138.65064799999999</v>
      </c>
      <c r="E4761" s="293">
        <v>-22.388850999999999</v>
      </c>
      <c r="F4761" s="294" t="s">
        <v>1708</v>
      </c>
    </row>
    <row r="4762" spans="1:6" hidden="1" outlineLevel="1" collapsed="1" x14ac:dyDescent="0.25">
      <c r="A4762" s="321" t="s">
        <v>282</v>
      </c>
      <c r="B4762" s="321" t="s">
        <v>370</v>
      </c>
      <c r="C4762" s="293">
        <v>4834.5</v>
      </c>
      <c r="D4762" s="293">
        <v>3949.5</v>
      </c>
      <c r="E4762" s="293">
        <v>-885</v>
      </c>
      <c r="F4762" s="294" t="s">
        <v>1712</v>
      </c>
    </row>
    <row r="4763" spans="1:6" hidden="1" outlineLevel="1" collapsed="1" x14ac:dyDescent="0.25">
      <c r="A4763" s="321" t="s">
        <v>282</v>
      </c>
      <c r="B4763" s="321" t="s">
        <v>371</v>
      </c>
      <c r="C4763" s="293">
        <v>160.11864</v>
      </c>
      <c r="D4763" s="293">
        <v>127.64784</v>
      </c>
      <c r="E4763" s="293">
        <v>-32.470799999999997</v>
      </c>
      <c r="F4763" s="294" t="s">
        <v>1713</v>
      </c>
    </row>
    <row r="4764" spans="1:6" hidden="1" outlineLevel="1" collapsed="1" x14ac:dyDescent="0.25">
      <c r="A4764" s="321" t="s">
        <v>282</v>
      </c>
      <c r="B4764" s="321" t="s">
        <v>373</v>
      </c>
      <c r="C4764" s="293">
        <v>77.352000000000004</v>
      </c>
      <c r="D4764" s="293">
        <v>29.06832</v>
      </c>
      <c r="E4764" s="293">
        <v>-48.283679999999997</v>
      </c>
      <c r="F4764" s="294" t="s">
        <v>1714</v>
      </c>
    </row>
    <row r="4765" spans="1:6" collapsed="1" x14ac:dyDescent="0.25">
      <c r="A4765" s="560" t="s">
        <v>1715</v>
      </c>
      <c r="B4765" s="561"/>
      <c r="C4765" s="292">
        <v>624561.31361399998</v>
      </c>
      <c r="D4765" s="293">
        <v>808770.52445799997</v>
      </c>
      <c r="E4765" s="293">
        <v>184209.21084399999</v>
      </c>
      <c r="F4765" s="294" t="s">
        <v>2301</v>
      </c>
    </row>
    <row r="4766" spans="1:6" hidden="1" outlineLevel="1" collapsed="1" x14ac:dyDescent="0.25">
      <c r="A4766" s="321" t="s">
        <v>282</v>
      </c>
      <c r="B4766" s="321" t="s">
        <v>942</v>
      </c>
      <c r="C4766" s="293">
        <v>126407.675434</v>
      </c>
      <c r="D4766" s="293">
        <v>110928.845546</v>
      </c>
      <c r="E4766" s="293">
        <v>-15478.829888</v>
      </c>
      <c r="F4766" s="294" t="s">
        <v>1717</v>
      </c>
    </row>
    <row r="4767" spans="1:6" hidden="1" outlineLevel="1" collapsed="1" x14ac:dyDescent="0.25">
      <c r="A4767" s="321" t="s">
        <v>282</v>
      </c>
      <c r="B4767" s="321" t="s">
        <v>464</v>
      </c>
      <c r="C4767" s="293">
        <v>238774.408987</v>
      </c>
      <c r="D4767" s="293">
        <v>381314.84797</v>
      </c>
      <c r="E4767" s="293">
        <v>142540.438983</v>
      </c>
      <c r="F4767" s="294" t="s">
        <v>2302</v>
      </c>
    </row>
    <row r="4768" spans="1:6" hidden="1" outlineLevel="1" collapsed="1" x14ac:dyDescent="0.25">
      <c r="A4768" s="321" t="s">
        <v>282</v>
      </c>
      <c r="B4768" s="321" t="s">
        <v>799</v>
      </c>
      <c r="C4768" s="293">
        <v>8000</v>
      </c>
      <c r="D4768" s="293">
        <v>0</v>
      </c>
      <c r="E4768" s="293">
        <v>-8000</v>
      </c>
      <c r="F4768" s="294" t="s">
        <v>286</v>
      </c>
    </row>
    <row r="4769" spans="1:6" hidden="1" outlineLevel="1" collapsed="1" x14ac:dyDescent="0.25">
      <c r="A4769" s="321" t="s">
        <v>282</v>
      </c>
      <c r="B4769" s="321" t="s">
        <v>384</v>
      </c>
      <c r="C4769" s="293">
        <v>39855.415990000001</v>
      </c>
      <c r="D4769" s="293">
        <v>0</v>
      </c>
      <c r="E4769" s="293">
        <v>-39855.415990000001</v>
      </c>
      <c r="F4769" s="294" t="s">
        <v>286</v>
      </c>
    </row>
    <row r="4770" spans="1:6" hidden="1" outlineLevel="1" collapsed="1" x14ac:dyDescent="0.25">
      <c r="A4770" s="321" t="s">
        <v>282</v>
      </c>
      <c r="B4770" s="321" t="s">
        <v>385</v>
      </c>
      <c r="C4770" s="293">
        <v>0</v>
      </c>
      <c r="D4770" s="293">
        <v>63777.382653000001</v>
      </c>
      <c r="E4770" s="293">
        <v>63777.382653000001</v>
      </c>
      <c r="F4770" s="294" t="s">
        <v>298</v>
      </c>
    </row>
    <row r="4771" spans="1:6" hidden="1" outlineLevel="1" collapsed="1" x14ac:dyDescent="0.25">
      <c r="A4771" s="321" t="s">
        <v>282</v>
      </c>
      <c r="B4771" s="321" t="s">
        <v>386</v>
      </c>
      <c r="C4771" s="293">
        <v>16833.367203999998</v>
      </c>
      <c r="D4771" s="293">
        <v>0</v>
      </c>
      <c r="E4771" s="293">
        <v>-16833.367203999998</v>
      </c>
      <c r="F4771" s="294" t="s">
        <v>286</v>
      </c>
    </row>
    <row r="4772" spans="1:6" hidden="1" outlineLevel="1" collapsed="1" x14ac:dyDescent="0.25">
      <c r="A4772" s="321" t="s">
        <v>282</v>
      </c>
      <c r="B4772" s="321" t="s">
        <v>387</v>
      </c>
      <c r="C4772" s="293">
        <v>0</v>
      </c>
      <c r="D4772" s="293">
        <v>26131.988953</v>
      </c>
      <c r="E4772" s="293">
        <v>26131.988953</v>
      </c>
      <c r="F4772" s="294" t="s">
        <v>298</v>
      </c>
    </row>
    <row r="4773" spans="1:6" hidden="1" outlineLevel="1" collapsed="1" x14ac:dyDescent="0.25">
      <c r="A4773" s="321" t="s">
        <v>282</v>
      </c>
      <c r="B4773" s="321" t="s">
        <v>388</v>
      </c>
      <c r="C4773" s="293">
        <v>5106.1906900000004</v>
      </c>
      <c r="D4773" s="293">
        <v>6111.5135129999999</v>
      </c>
      <c r="E4773" s="293">
        <v>1005.322823</v>
      </c>
      <c r="F4773" s="294" t="s">
        <v>1101</v>
      </c>
    </row>
    <row r="4774" spans="1:6" hidden="1" outlineLevel="1" collapsed="1" x14ac:dyDescent="0.25">
      <c r="A4774" s="321" t="s">
        <v>282</v>
      </c>
      <c r="B4774" s="321" t="s">
        <v>389</v>
      </c>
      <c r="C4774" s="293">
        <v>2073.8073599999998</v>
      </c>
      <c r="D4774" s="293">
        <v>2405.6280000000002</v>
      </c>
      <c r="E4774" s="293">
        <v>331.82064000000003</v>
      </c>
      <c r="F4774" s="294" t="s">
        <v>632</v>
      </c>
    </row>
    <row r="4775" spans="1:6" hidden="1" outlineLevel="1" collapsed="1" x14ac:dyDescent="0.25">
      <c r="A4775" s="321" t="s">
        <v>282</v>
      </c>
      <c r="B4775" s="321" t="s">
        <v>390</v>
      </c>
      <c r="C4775" s="293">
        <v>75467.239000000001</v>
      </c>
      <c r="D4775" s="293">
        <v>90967.895999999993</v>
      </c>
      <c r="E4775" s="293">
        <v>15500.656999999999</v>
      </c>
      <c r="F4775" s="294" t="s">
        <v>1720</v>
      </c>
    </row>
    <row r="4776" spans="1:6" hidden="1" outlineLevel="1" collapsed="1" x14ac:dyDescent="0.25">
      <c r="A4776" s="321" t="s">
        <v>282</v>
      </c>
      <c r="B4776" s="321" t="s">
        <v>392</v>
      </c>
      <c r="C4776" s="293">
        <v>1136.55744</v>
      </c>
      <c r="D4776" s="293">
        <v>1042.4159999999999</v>
      </c>
      <c r="E4776" s="293">
        <v>-94.141440000000003</v>
      </c>
      <c r="F4776" s="294" t="s">
        <v>1721</v>
      </c>
    </row>
    <row r="4777" spans="1:6" hidden="1" outlineLevel="1" collapsed="1" x14ac:dyDescent="0.25">
      <c r="A4777" s="321" t="s">
        <v>282</v>
      </c>
      <c r="B4777" s="321" t="s">
        <v>393</v>
      </c>
      <c r="C4777" s="293">
        <v>176.07550900000001</v>
      </c>
      <c r="D4777" s="293">
        <v>210.74182300000001</v>
      </c>
      <c r="E4777" s="293">
        <v>34.666314</v>
      </c>
      <c r="F4777" s="294" t="s">
        <v>1101</v>
      </c>
    </row>
    <row r="4778" spans="1:6" hidden="1" outlineLevel="1" collapsed="1" x14ac:dyDescent="0.25">
      <c r="A4778" s="321" t="s">
        <v>282</v>
      </c>
      <c r="B4778" s="321" t="s">
        <v>394</v>
      </c>
      <c r="C4778" s="293">
        <v>7300</v>
      </c>
      <c r="D4778" s="293">
        <v>0</v>
      </c>
      <c r="E4778" s="293">
        <v>-7300</v>
      </c>
      <c r="F4778" s="294" t="s">
        <v>286</v>
      </c>
    </row>
    <row r="4779" spans="1:6" hidden="1" outlineLevel="1" collapsed="1" x14ac:dyDescent="0.25">
      <c r="A4779" s="321" t="s">
        <v>282</v>
      </c>
      <c r="B4779" s="321" t="s">
        <v>395</v>
      </c>
      <c r="C4779" s="293">
        <v>0</v>
      </c>
      <c r="D4779" s="293">
        <v>8550</v>
      </c>
      <c r="E4779" s="293">
        <v>8550</v>
      </c>
      <c r="F4779" s="294" t="s">
        <v>298</v>
      </c>
    </row>
    <row r="4780" spans="1:6" hidden="1" outlineLevel="1" collapsed="1" x14ac:dyDescent="0.25">
      <c r="A4780" s="321" t="s">
        <v>282</v>
      </c>
      <c r="B4780" s="321" t="s">
        <v>396</v>
      </c>
      <c r="C4780" s="293">
        <v>241.77600000000001</v>
      </c>
      <c r="D4780" s="293">
        <v>0</v>
      </c>
      <c r="E4780" s="293">
        <v>-241.77600000000001</v>
      </c>
      <c r="F4780" s="294" t="s">
        <v>286</v>
      </c>
    </row>
    <row r="4781" spans="1:6" hidden="1" outlineLevel="1" collapsed="1" x14ac:dyDescent="0.25">
      <c r="A4781" s="321" t="s">
        <v>282</v>
      </c>
      <c r="B4781" s="321" t="s">
        <v>397</v>
      </c>
      <c r="C4781" s="293">
        <v>0</v>
      </c>
      <c r="D4781" s="293">
        <v>276.33600000000001</v>
      </c>
      <c r="E4781" s="293">
        <v>276.33600000000001</v>
      </c>
      <c r="F4781" s="294" t="s">
        <v>298</v>
      </c>
    </row>
    <row r="4782" spans="1:6" hidden="1" outlineLevel="1" collapsed="1" x14ac:dyDescent="0.25">
      <c r="A4782" s="321" t="s">
        <v>282</v>
      </c>
      <c r="B4782" s="321" t="s">
        <v>398</v>
      </c>
      <c r="C4782" s="293">
        <v>116.8</v>
      </c>
      <c r="D4782" s="293">
        <v>62.927999999999997</v>
      </c>
      <c r="E4782" s="293">
        <v>-53.872</v>
      </c>
      <c r="F4782" s="294" t="s">
        <v>1722</v>
      </c>
    </row>
    <row r="4783" spans="1:6" hidden="1" outlineLevel="1" collapsed="1" x14ac:dyDescent="0.25">
      <c r="A4783" s="321" t="s">
        <v>282</v>
      </c>
      <c r="B4783" s="321" t="s">
        <v>523</v>
      </c>
      <c r="C4783" s="293">
        <v>450</v>
      </c>
      <c r="D4783" s="293">
        <v>450</v>
      </c>
      <c r="E4783" s="293">
        <v>0</v>
      </c>
      <c r="F4783" s="294" t="s">
        <v>316</v>
      </c>
    </row>
    <row r="4784" spans="1:6" hidden="1" outlineLevel="1" collapsed="1" x14ac:dyDescent="0.25">
      <c r="A4784" s="321" t="s">
        <v>282</v>
      </c>
      <c r="B4784" s="321" t="s">
        <v>399</v>
      </c>
      <c r="C4784" s="293">
        <v>450</v>
      </c>
      <c r="D4784" s="293">
        <v>450</v>
      </c>
      <c r="E4784" s="293">
        <v>0</v>
      </c>
      <c r="F4784" s="294" t="s">
        <v>316</v>
      </c>
    </row>
    <row r="4785" spans="1:6" hidden="1" outlineLevel="1" collapsed="1" x14ac:dyDescent="0.25">
      <c r="A4785" s="321" t="s">
        <v>282</v>
      </c>
      <c r="B4785" s="321" t="s">
        <v>431</v>
      </c>
      <c r="C4785" s="293">
        <v>1800</v>
      </c>
      <c r="D4785" s="293">
        <v>1800</v>
      </c>
      <c r="E4785" s="293">
        <v>0</v>
      </c>
      <c r="F4785" s="294" t="s">
        <v>316</v>
      </c>
    </row>
    <row r="4786" spans="1:6" hidden="1" outlineLevel="1" collapsed="1" x14ac:dyDescent="0.25">
      <c r="A4786" s="321" t="s">
        <v>282</v>
      </c>
      <c r="B4786" s="321" t="s">
        <v>376</v>
      </c>
      <c r="C4786" s="293">
        <v>3600</v>
      </c>
      <c r="D4786" s="293">
        <v>3600</v>
      </c>
      <c r="E4786" s="293">
        <v>0</v>
      </c>
      <c r="F4786" s="294" t="s">
        <v>316</v>
      </c>
    </row>
    <row r="4787" spans="1:6" hidden="1" outlineLevel="1" collapsed="1" x14ac:dyDescent="0.25">
      <c r="A4787" s="321" t="s">
        <v>282</v>
      </c>
      <c r="B4787" s="321" t="s">
        <v>506</v>
      </c>
      <c r="C4787" s="293">
        <v>1000</v>
      </c>
      <c r="D4787" s="293">
        <v>1000</v>
      </c>
      <c r="E4787" s="293">
        <v>0</v>
      </c>
      <c r="F4787" s="294" t="s">
        <v>316</v>
      </c>
    </row>
    <row r="4788" spans="1:6" hidden="1" outlineLevel="1" collapsed="1" x14ac:dyDescent="0.25">
      <c r="A4788" s="321" t="s">
        <v>282</v>
      </c>
      <c r="B4788" s="321" t="s">
        <v>426</v>
      </c>
      <c r="C4788" s="293">
        <v>9741</v>
      </c>
      <c r="D4788" s="293">
        <v>16000</v>
      </c>
      <c r="E4788" s="293">
        <v>6259</v>
      </c>
      <c r="F4788" s="294" t="s">
        <v>1723</v>
      </c>
    </row>
    <row r="4789" spans="1:6" hidden="1" outlineLevel="1" collapsed="1" x14ac:dyDescent="0.25">
      <c r="A4789" s="321" t="s">
        <v>282</v>
      </c>
      <c r="B4789" s="321" t="s">
        <v>1103</v>
      </c>
      <c r="C4789" s="293">
        <v>8400</v>
      </c>
      <c r="D4789" s="293">
        <v>8400</v>
      </c>
      <c r="E4789" s="293">
        <v>0</v>
      </c>
      <c r="F4789" s="294" t="s">
        <v>316</v>
      </c>
    </row>
    <row r="4790" spans="1:6" hidden="1" outlineLevel="1" collapsed="1" x14ac:dyDescent="0.25">
      <c r="A4790" s="321" t="s">
        <v>282</v>
      </c>
      <c r="B4790" s="321" t="s">
        <v>952</v>
      </c>
      <c r="C4790" s="293">
        <v>840</v>
      </c>
      <c r="D4790" s="293">
        <v>840</v>
      </c>
      <c r="E4790" s="293">
        <v>0</v>
      </c>
      <c r="F4790" s="294" t="s">
        <v>316</v>
      </c>
    </row>
    <row r="4791" spans="1:6" hidden="1" outlineLevel="1" collapsed="1" x14ac:dyDescent="0.25">
      <c r="A4791" s="321" t="s">
        <v>282</v>
      </c>
      <c r="B4791" s="321" t="s">
        <v>482</v>
      </c>
      <c r="C4791" s="293">
        <v>2900</v>
      </c>
      <c r="D4791" s="293">
        <v>1000</v>
      </c>
      <c r="E4791" s="293">
        <v>-1900</v>
      </c>
      <c r="F4791" s="294" t="s">
        <v>1724</v>
      </c>
    </row>
    <row r="4792" spans="1:6" hidden="1" outlineLevel="1" collapsed="1" x14ac:dyDescent="0.25">
      <c r="A4792" s="321" t="s">
        <v>282</v>
      </c>
      <c r="B4792" s="321" t="s">
        <v>597</v>
      </c>
      <c r="C4792" s="293">
        <v>1800</v>
      </c>
      <c r="D4792" s="293">
        <v>1500</v>
      </c>
      <c r="E4792" s="293">
        <v>-300</v>
      </c>
      <c r="F4792" s="294" t="s">
        <v>852</v>
      </c>
    </row>
    <row r="4793" spans="1:6" hidden="1" outlineLevel="1" collapsed="1" x14ac:dyDescent="0.25">
      <c r="A4793" s="321" t="s">
        <v>282</v>
      </c>
      <c r="B4793" s="321" t="s">
        <v>842</v>
      </c>
      <c r="C4793" s="293">
        <v>450</v>
      </c>
      <c r="D4793" s="293">
        <v>450</v>
      </c>
      <c r="E4793" s="293">
        <v>0</v>
      </c>
      <c r="F4793" s="294" t="s">
        <v>316</v>
      </c>
    </row>
    <row r="4794" spans="1:6" hidden="1" outlineLevel="1" collapsed="1" x14ac:dyDescent="0.25">
      <c r="A4794" s="321" t="s">
        <v>282</v>
      </c>
      <c r="B4794" s="321" t="s">
        <v>448</v>
      </c>
      <c r="C4794" s="293">
        <v>17141</v>
      </c>
      <c r="D4794" s="293">
        <v>60000</v>
      </c>
      <c r="E4794" s="293">
        <v>42859</v>
      </c>
      <c r="F4794" s="294" t="s">
        <v>1725</v>
      </c>
    </row>
    <row r="4795" spans="1:6" hidden="1" outlineLevel="1" collapsed="1" x14ac:dyDescent="0.25">
      <c r="A4795" s="321" t="s">
        <v>282</v>
      </c>
      <c r="B4795" s="321" t="s">
        <v>1726</v>
      </c>
      <c r="C4795" s="293">
        <v>0</v>
      </c>
      <c r="D4795" s="293">
        <v>4500</v>
      </c>
      <c r="E4795" s="293">
        <v>4500</v>
      </c>
      <c r="F4795" s="294" t="s">
        <v>298</v>
      </c>
    </row>
    <row r="4796" spans="1:6" hidden="1" outlineLevel="1" collapsed="1" x14ac:dyDescent="0.25">
      <c r="A4796" s="321" t="s">
        <v>282</v>
      </c>
      <c r="B4796" s="321" t="s">
        <v>422</v>
      </c>
      <c r="C4796" s="293">
        <v>42000</v>
      </c>
      <c r="D4796" s="293">
        <v>2000</v>
      </c>
      <c r="E4796" s="293">
        <v>-40000</v>
      </c>
      <c r="F4796" s="294" t="s">
        <v>1727</v>
      </c>
    </row>
    <row r="4797" spans="1:6" hidden="1" outlineLevel="1" collapsed="1" x14ac:dyDescent="0.25">
      <c r="A4797" s="321" t="s">
        <v>282</v>
      </c>
      <c r="B4797" s="321" t="s">
        <v>770</v>
      </c>
      <c r="C4797" s="293">
        <v>12500</v>
      </c>
      <c r="D4797" s="293">
        <v>15000</v>
      </c>
      <c r="E4797" s="293">
        <v>2500</v>
      </c>
      <c r="F4797" s="294" t="s">
        <v>882</v>
      </c>
    </row>
    <row r="4798" spans="1:6" collapsed="1" x14ac:dyDescent="0.25">
      <c r="A4798" s="560" t="s">
        <v>338</v>
      </c>
      <c r="B4798" s="561"/>
      <c r="C4798" s="292">
        <v>148000</v>
      </c>
      <c r="D4798" s="293">
        <v>448451</v>
      </c>
      <c r="E4798" s="293">
        <v>300451</v>
      </c>
      <c r="F4798" s="294" t="s">
        <v>2295</v>
      </c>
    </row>
    <row r="4799" spans="1:6" hidden="1" outlineLevel="1" collapsed="1" x14ac:dyDescent="0.25">
      <c r="A4799" s="321" t="s">
        <v>282</v>
      </c>
      <c r="B4799" s="321" t="s">
        <v>355</v>
      </c>
      <c r="C4799" s="293">
        <v>148000</v>
      </c>
      <c r="D4799" s="293">
        <v>448451</v>
      </c>
      <c r="E4799" s="293">
        <v>300451</v>
      </c>
      <c r="F4799" s="294" t="s">
        <v>2295</v>
      </c>
    </row>
    <row r="4800" spans="1:6" collapsed="1" x14ac:dyDescent="0.25">
      <c r="A4800" s="560" t="s">
        <v>1728</v>
      </c>
      <c r="B4800" s="561"/>
      <c r="C4800" s="292">
        <v>88350</v>
      </c>
      <c r="D4800" s="293">
        <v>50000</v>
      </c>
      <c r="E4800" s="293">
        <v>-38350</v>
      </c>
      <c r="F4800" s="294" t="s">
        <v>1729</v>
      </c>
    </row>
    <row r="4801" spans="1:6" hidden="1" outlineLevel="1" collapsed="1" x14ac:dyDescent="0.25">
      <c r="A4801" s="321" t="s">
        <v>282</v>
      </c>
      <c r="B4801" s="321" t="s">
        <v>523</v>
      </c>
      <c r="C4801" s="293">
        <v>500</v>
      </c>
      <c r="D4801" s="293">
        <v>0</v>
      </c>
      <c r="E4801" s="293">
        <v>-500</v>
      </c>
      <c r="F4801" s="294" t="s">
        <v>286</v>
      </c>
    </row>
    <row r="4802" spans="1:6" hidden="1" outlineLevel="1" collapsed="1" x14ac:dyDescent="0.25">
      <c r="A4802" s="321" t="s">
        <v>282</v>
      </c>
      <c r="B4802" s="321" t="s">
        <v>399</v>
      </c>
      <c r="C4802" s="293">
        <v>500</v>
      </c>
      <c r="D4802" s="293">
        <v>0</v>
      </c>
      <c r="E4802" s="293">
        <v>-500</v>
      </c>
      <c r="F4802" s="294" t="s">
        <v>286</v>
      </c>
    </row>
    <row r="4803" spans="1:6" hidden="1" outlineLevel="1" collapsed="1" x14ac:dyDescent="0.25">
      <c r="A4803" s="321" t="s">
        <v>282</v>
      </c>
      <c r="B4803" s="321" t="s">
        <v>376</v>
      </c>
      <c r="C4803" s="293">
        <v>3000</v>
      </c>
      <c r="D4803" s="293">
        <v>0</v>
      </c>
      <c r="E4803" s="293">
        <v>-3000</v>
      </c>
      <c r="F4803" s="294" t="s">
        <v>286</v>
      </c>
    </row>
    <row r="4804" spans="1:6" hidden="1" outlineLevel="1" collapsed="1" x14ac:dyDescent="0.25">
      <c r="A4804" s="321" t="s">
        <v>282</v>
      </c>
      <c r="B4804" s="321" t="s">
        <v>662</v>
      </c>
      <c r="C4804" s="293">
        <v>0</v>
      </c>
      <c r="D4804" s="293">
        <v>0</v>
      </c>
      <c r="E4804" s="293">
        <v>0</v>
      </c>
      <c r="F4804" s="294" t="s">
        <v>316</v>
      </c>
    </row>
    <row r="4805" spans="1:6" hidden="1" outlineLevel="1" collapsed="1" x14ac:dyDescent="0.25">
      <c r="A4805" s="321" t="s">
        <v>282</v>
      </c>
      <c r="B4805" s="321" t="s">
        <v>506</v>
      </c>
      <c r="C4805" s="293">
        <v>2000</v>
      </c>
      <c r="D4805" s="293">
        <v>0</v>
      </c>
      <c r="E4805" s="293">
        <v>-2000</v>
      </c>
      <c r="F4805" s="294" t="s">
        <v>286</v>
      </c>
    </row>
    <row r="4806" spans="1:6" hidden="1" outlineLevel="1" collapsed="1" x14ac:dyDescent="0.25">
      <c r="A4806" s="321" t="s">
        <v>282</v>
      </c>
      <c r="B4806" s="321" t="s">
        <v>567</v>
      </c>
      <c r="C4806" s="293">
        <v>19000</v>
      </c>
      <c r="D4806" s="293">
        <v>50000</v>
      </c>
      <c r="E4806" s="293">
        <v>31000</v>
      </c>
      <c r="F4806" s="294" t="s">
        <v>1730</v>
      </c>
    </row>
    <row r="4807" spans="1:6" hidden="1" outlineLevel="1" collapsed="1" x14ac:dyDescent="0.25">
      <c r="A4807" s="321" t="s">
        <v>282</v>
      </c>
      <c r="B4807" s="321" t="s">
        <v>426</v>
      </c>
      <c r="C4807" s="293">
        <v>18000</v>
      </c>
      <c r="D4807" s="293">
        <v>0</v>
      </c>
      <c r="E4807" s="293">
        <v>-18000</v>
      </c>
      <c r="F4807" s="294" t="s">
        <v>286</v>
      </c>
    </row>
    <row r="4808" spans="1:6" hidden="1" outlineLevel="1" collapsed="1" x14ac:dyDescent="0.25">
      <c r="A4808" s="321" t="s">
        <v>282</v>
      </c>
      <c r="B4808" s="321" t="s">
        <v>597</v>
      </c>
      <c r="C4808" s="293">
        <v>4000</v>
      </c>
      <c r="D4808" s="293">
        <v>0</v>
      </c>
      <c r="E4808" s="293">
        <v>-4000</v>
      </c>
      <c r="F4808" s="294" t="s">
        <v>286</v>
      </c>
    </row>
    <row r="4809" spans="1:6" hidden="1" outlineLevel="1" collapsed="1" x14ac:dyDescent="0.25">
      <c r="A4809" s="321" t="s">
        <v>282</v>
      </c>
      <c r="B4809" s="321" t="s">
        <v>842</v>
      </c>
      <c r="C4809" s="293">
        <v>1000</v>
      </c>
      <c r="D4809" s="293">
        <v>0</v>
      </c>
      <c r="E4809" s="293">
        <v>-1000</v>
      </c>
      <c r="F4809" s="294" t="s">
        <v>286</v>
      </c>
    </row>
    <row r="4810" spans="1:6" hidden="1" outlineLevel="1" collapsed="1" x14ac:dyDescent="0.25">
      <c r="A4810" s="321" t="s">
        <v>282</v>
      </c>
      <c r="B4810" s="321" t="s">
        <v>401</v>
      </c>
      <c r="C4810" s="293">
        <v>4000</v>
      </c>
      <c r="D4810" s="293">
        <v>0</v>
      </c>
      <c r="E4810" s="293">
        <v>-4000</v>
      </c>
      <c r="F4810" s="294" t="s">
        <v>286</v>
      </c>
    </row>
    <row r="4811" spans="1:6" hidden="1" outlineLevel="1" collapsed="1" x14ac:dyDescent="0.25">
      <c r="A4811" s="321" t="s">
        <v>282</v>
      </c>
      <c r="B4811" s="321" t="s">
        <v>626</v>
      </c>
      <c r="C4811" s="293">
        <v>0</v>
      </c>
      <c r="D4811" s="293">
        <v>0</v>
      </c>
      <c r="E4811" s="293">
        <v>0</v>
      </c>
      <c r="F4811" s="294" t="s">
        <v>316</v>
      </c>
    </row>
    <row r="4812" spans="1:6" hidden="1" outlineLevel="1" collapsed="1" x14ac:dyDescent="0.25">
      <c r="A4812" s="321" t="s">
        <v>282</v>
      </c>
      <c r="B4812" s="321" t="s">
        <v>405</v>
      </c>
      <c r="C4812" s="293">
        <v>1000</v>
      </c>
      <c r="D4812" s="293">
        <v>0</v>
      </c>
      <c r="E4812" s="293">
        <v>-1000</v>
      </c>
      <c r="F4812" s="294" t="s">
        <v>286</v>
      </c>
    </row>
    <row r="4813" spans="1:6" hidden="1" outlineLevel="1" collapsed="1" x14ac:dyDescent="0.25">
      <c r="A4813" s="321" t="s">
        <v>282</v>
      </c>
      <c r="B4813" s="321" t="s">
        <v>557</v>
      </c>
      <c r="C4813" s="293">
        <v>350</v>
      </c>
      <c r="D4813" s="293">
        <v>0</v>
      </c>
      <c r="E4813" s="293">
        <v>-350</v>
      </c>
      <c r="F4813" s="294" t="s">
        <v>286</v>
      </c>
    </row>
    <row r="4814" spans="1:6" hidden="1" outlineLevel="1" collapsed="1" x14ac:dyDescent="0.25">
      <c r="A4814" s="321" t="s">
        <v>282</v>
      </c>
      <c r="B4814" s="321" t="s">
        <v>770</v>
      </c>
      <c r="C4814" s="293">
        <v>35000</v>
      </c>
      <c r="D4814" s="293">
        <v>0</v>
      </c>
      <c r="E4814" s="293">
        <v>-35000</v>
      </c>
      <c r="F4814" s="294" t="s">
        <v>286</v>
      </c>
    </row>
    <row r="4815" spans="1:6" collapsed="1" x14ac:dyDescent="0.25">
      <c r="A4815" s="560" t="s">
        <v>1731</v>
      </c>
      <c r="B4815" s="561"/>
      <c r="C4815" s="292">
        <v>105549.75999999999</v>
      </c>
      <c r="D4815" s="293">
        <v>334106.78341600002</v>
      </c>
      <c r="E4815" s="293">
        <v>228557.02341600001</v>
      </c>
      <c r="F4815" s="294" t="s">
        <v>2303</v>
      </c>
    </row>
    <row r="4816" spans="1:6" hidden="1" outlineLevel="1" collapsed="1" x14ac:dyDescent="0.25">
      <c r="A4816" s="321" t="s">
        <v>282</v>
      </c>
      <c r="B4816" s="321" t="s">
        <v>464</v>
      </c>
      <c r="C4816" s="293">
        <v>0</v>
      </c>
      <c r="D4816" s="293">
        <v>105292.726612</v>
      </c>
      <c r="E4816" s="293">
        <v>105292.726612</v>
      </c>
      <c r="F4816" s="294" t="s">
        <v>298</v>
      </c>
    </row>
    <row r="4817" spans="1:6" hidden="1" outlineLevel="1" collapsed="1" x14ac:dyDescent="0.25">
      <c r="A4817" s="321" t="s">
        <v>282</v>
      </c>
      <c r="B4817" s="321" t="s">
        <v>385</v>
      </c>
      <c r="C4817" s="293">
        <v>0</v>
      </c>
      <c r="D4817" s="293">
        <v>13511.271864</v>
      </c>
      <c r="E4817" s="293">
        <v>13511.271864</v>
      </c>
      <c r="F4817" s="294" t="s">
        <v>298</v>
      </c>
    </row>
    <row r="4818" spans="1:6" hidden="1" outlineLevel="1" collapsed="1" x14ac:dyDescent="0.25">
      <c r="A4818" s="321" t="s">
        <v>282</v>
      </c>
      <c r="B4818" s="321" t="s">
        <v>387</v>
      </c>
      <c r="C4818" s="293">
        <v>0</v>
      </c>
      <c r="D4818" s="293">
        <v>6565.3490279999996</v>
      </c>
      <c r="E4818" s="293">
        <v>6565.3490279999996</v>
      </c>
      <c r="F4818" s="294" t="s">
        <v>298</v>
      </c>
    </row>
    <row r="4819" spans="1:6" hidden="1" outlineLevel="1" collapsed="1" x14ac:dyDescent="0.25">
      <c r="A4819" s="321" t="s">
        <v>282</v>
      </c>
      <c r="B4819" s="321" t="s">
        <v>388</v>
      </c>
      <c r="C4819" s="293">
        <v>0</v>
      </c>
      <c r="D4819" s="293">
        <v>1535.44452</v>
      </c>
      <c r="E4819" s="293">
        <v>1535.44452</v>
      </c>
      <c r="F4819" s="294" t="s">
        <v>298</v>
      </c>
    </row>
    <row r="4820" spans="1:6" hidden="1" outlineLevel="1" collapsed="1" x14ac:dyDescent="0.25">
      <c r="A4820" s="321" t="s">
        <v>282</v>
      </c>
      <c r="B4820" s="321" t="s">
        <v>480</v>
      </c>
      <c r="C4820" s="293">
        <v>0</v>
      </c>
      <c r="D4820" s="293">
        <v>201.605052</v>
      </c>
      <c r="E4820" s="293">
        <v>201.605052</v>
      </c>
      <c r="F4820" s="294" t="s">
        <v>298</v>
      </c>
    </row>
    <row r="4821" spans="1:6" hidden="1" outlineLevel="1" collapsed="1" x14ac:dyDescent="0.25">
      <c r="A4821" s="321" t="s">
        <v>282</v>
      </c>
      <c r="B4821" s="321" t="s">
        <v>389</v>
      </c>
      <c r="C4821" s="293">
        <v>0</v>
      </c>
      <c r="D4821" s="293">
        <v>844.08</v>
      </c>
      <c r="E4821" s="293">
        <v>844.08</v>
      </c>
      <c r="F4821" s="294" t="s">
        <v>298</v>
      </c>
    </row>
    <row r="4822" spans="1:6" hidden="1" outlineLevel="1" collapsed="1" x14ac:dyDescent="0.25">
      <c r="A4822" s="321" t="s">
        <v>282</v>
      </c>
      <c r="B4822" s="321" t="s">
        <v>390</v>
      </c>
      <c r="C4822" s="293">
        <v>0</v>
      </c>
      <c r="D4822" s="293">
        <v>31918.560000000001</v>
      </c>
      <c r="E4822" s="293">
        <v>31918.560000000001</v>
      </c>
      <c r="F4822" s="294" t="s">
        <v>298</v>
      </c>
    </row>
    <row r="4823" spans="1:6" hidden="1" outlineLevel="1" collapsed="1" x14ac:dyDescent="0.25">
      <c r="A4823" s="321" t="s">
        <v>282</v>
      </c>
      <c r="B4823" s="321" t="s">
        <v>392</v>
      </c>
      <c r="C4823" s="293">
        <v>0</v>
      </c>
      <c r="D4823" s="293">
        <v>365.76</v>
      </c>
      <c r="E4823" s="293">
        <v>365.76</v>
      </c>
      <c r="F4823" s="294" t="s">
        <v>298</v>
      </c>
    </row>
    <row r="4824" spans="1:6" hidden="1" outlineLevel="1" collapsed="1" x14ac:dyDescent="0.25">
      <c r="A4824" s="321" t="s">
        <v>282</v>
      </c>
      <c r="B4824" s="321" t="s">
        <v>393</v>
      </c>
      <c r="C4824" s="293">
        <v>0</v>
      </c>
      <c r="D4824" s="293">
        <v>52.946339999999999</v>
      </c>
      <c r="E4824" s="293">
        <v>52.946339999999999</v>
      </c>
      <c r="F4824" s="294" t="s">
        <v>298</v>
      </c>
    </row>
    <row r="4825" spans="1:6" hidden="1" outlineLevel="1" collapsed="1" x14ac:dyDescent="0.25">
      <c r="A4825" s="321" t="s">
        <v>282</v>
      </c>
      <c r="B4825" s="321" t="s">
        <v>395</v>
      </c>
      <c r="C4825" s="293">
        <v>0</v>
      </c>
      <c r="D4825" s="293">
        <v>3000</v>
      </c>
      <c r="E4825" s="293">
        <v>3000</v>
      </c>
      <c r="F4825" s="294" t="s">
        <v>298</v>
      </c>
    </row>
    <row r="4826" spans="1:6" hidden="1" outlineLevel="1" collapsed="1" x14ac:dyDescent="0.25">
      <c r="A4826" s="321" t="s">
        <v>282</v>
      </c>
      <c r="B4826" s="321" t="s">
        <v>397</v>
      </c>
      <c r="C4826" s="293">
        <v>0</v>
      </c>
      <c r="D4826" s="293">
        <v>96.96</v>
      </c>
      <c r="E4826" s="293">
        <v>96.96</v>
      </c>
      <c r="F4826" s="294" t="s">
        <v>298</v>
      </c>
    </row>
    <row r="4827" spans="1:6" hidden="1" outlineLevel="1" collapsed="1" x14ac:dyDescent="0.25">
      <c r="A4827" s="321" t="s">
        <v>282</v>
      </c>
      <c r="B4827" s="321" t="s">
        <v>398</v>
      </c>
      <c r="C4827" s="293">
        <v>0</v>
      </c>
      <c r="D4827" s="293">
        <v>22.08</v>
      </c>
      <c r="E4827" s="293">
        <v>22.08</v>
      </c>
      <c r="F4827" s="294" t="s">
        <v>298</v>
      </c>
    </row>
    <row r="4828" spans="1:6" hidden="1" outlineLevel="1" collapsed="1" x14ac:dyDescent="0.25">
      <c r="A4828" s="321" t="s">
        <v>282</v>
      </c>
      <c r="B4828" s="321" t="s">
        <v>376</v>
      </c>
      <c r="C4828" s="293">
        <v>0</v>
      </c>
      <c r="D4828" s="293">
        <v>6000</v>
      </c>
      <c r="E4828" s="293">
        <v>6000</v>
      </c>
      <c r="F4828" s="294" t="s">
        <v>298</v>
      </c>
    </row>
    <row r="4829" spans="1:6" hidden="1" outlineLevel="1" collapsed="1" x14ac:dyDescent="0.25">
      <c r="A4829" s="321" t="s">
        <v>282</v>
      </c>
      <c r="B4829" s="321" t="s">
        <v>1046</v>
      </c>
      <c r="C4829" s="293">
        <v>1034.76</v>
      </c>
      <c r="D4829" s="293">
        <v>4900</v>
      </c>
      <c r="E4829" s="293">
        <v>3865.24</v>
      </c>
      <c r="F4829" s="294" t="s">
        <v>2304</v>
      </c>
    </row>
    <row r="4830" spans="1:6" hidden="1" outlineLevel="1" collapsed="1" x14ac:dyDescent="0.25">
      <c r="A4830" s="321" t="s">
        <v>282</v>
      </c>
      <c r="B4830" s="321" t="s">
        <v>1067</v>
      </c>
      <c r="C4830" s="293">
        <v>0</v>
      </c>
      <c r="D4830" s="293">
        <v>13500</v>
      </c>
      <c r="E4830" s="293">
        <v>13500</v>
      </c>
      <c r="F4830" s="294" t="s">
        <v>298</v>
      </c>
    </row>
    <row r="4831" spans="1:6" hidden="1" outlineLevel="1" collapsed="1" x14ac:dyDescent="0.25">
      <c r="A4831" s="321" t="s">
        <v>282</v>
      </c>
      <c r="B4831" s="321" t="s">
        <v>567</v>
      </c>
      <c r="C4831" s="293">
        <v>20520</v>
      </c>
      <c r="D4831" s="293">
        <v>23000</v>
      </c>
      <c r="E4831" s="293">
        <v>2480</v>
      </c>
      <c r="F4831" s="294" t="s">
        <v>2305</v>
      </c>
    </row>
    <row r="4832" spans="1:6" hidden="1" outlineLevel="1" collapsed="1" x14ac:dyDescent="0.25">
      <c r="A4832" s="321" t="s">
        <v>282</v>
      </c>
      <c r="B4832" s="321" t="s">
        <v>952</v>
      </c>
      <c r="C4832" s="293">
        <v>0</v>
      </c>
      <c r="D4832" s="293">
        <v>600</v>
      </c>
      <c r="E4832" s="293">
        <v>600</v>
      </c>
      <c r="F4832" s="294" t="s">
        <v>298</v>
      </c>
    </row>
    <row r="4833" spans="1:6" hidden="1" outlineLevel="1" collapsed="1" x14ac:dyDescent="0.25">
      <c r="A4833" s="321" t="s">
        <v>282</v>
      </c>
      <c r="B4833" s="321" t="s">
        <v>482</v>
      </c>
      <c r="C4833" s="293">
        <v>0</v>
      </c>
      <c r="D4833" s="293">
        <v>600</v>
      </c>
      <c r="E4833" s="293">
        <v>600</v>
      </c>
      <c r="F4833" s="294" t="s">
        <v>298</v>
      </c>
    </row>
    <row r="4834" spans="1:6" hidden="1" outlineLevel="1" collapsed="1" x14ac:dyDescent="0.25">
      <c r="A4834" s="321" t="s">
        <v>282</v>
      </c>
      <c r="B4834" s="321" t="s">
        <v>597</v>
      </c>
      <c r="C4834" s="293">
        <v>0</v>
      </c>
      <c r="D4834" s="293">
        <v>500</v>
      </c>
      <c r="E4834" s="293">
        <v>500</v>
      </c>
      <c r="F4834" s="294" t="s">
        <v>298</v>
      </c>
    </row>
    <row r="4835" spans="1:6" hidden="1" outlineLevel="1" collapsed="1" x14ac:dyDescent="0.25">
      <c r="A4835" s="321" t="s">
        <v>282</v>
      </c>
      <c r="B4835" s="321" t="s">
        <v>604</v>
      </c>
      <c r="C4835" s="293">
        <v>0</v>
      </c>
      <c r="D4835" s="293">
        <v>1000</v>
      </c>
      <c r="E4835" s="293">
        <v>1000</v>
      </c>
      <c r="F4835" s="294" t="s">
        <v>298</v>
      </c>
    </row>
    <row r="4836" spans="1:6" hidden="1" outlineLevel="1" collapsed="1" x14ac:dyDescent="0.25">
      <c r="A4836" s="321" t="s">
        <v>282</v>
      </c>
      <c r="B4836" s="321" t="s">
        <v>483</v>
      </c>
      <c r="C4836" s="293">
        <v>0</v>
      </c>
      <c r="D4836" s="293">
        <v>1800</v>
      </c>
      <c r="E4836" s="293">
        <v>1800</v>
      </c>
      <c r="F4836" s="294" t="s">
        <v>298</v>
      </c>
    </row>
    <row r="4837" spans="1:6" hidden="1" outlineLevel="1" collapsed="1" x14ac:dyDescent="0.25">
      <c r="A4837" s="321" t="s">
        <v>282</v>
      </c>
      <c r="B4837" s="321" t="s">
        <v>1165</v>
      </c>
      <c r="C4837" s="293">
        <v>4200</v>
      </c>
      <c r="D4837" s="293">
        <v>5000</v>
      </c>
      <c r="E4837" s="293">
        <v>800</v>
      </c>
      <c r="F4837" s="294" t="s">
        <v>1735</v>
      </c>
    </row>
    <row r="4838" spans="1:6" hidden="1" outlineLevel="1" collapsed="1" x14ac:dyDescent="0.25">
      <c r="A4838" s="321" t="s">
        <v>282</v>
      </c>
      <c r="B4838" s="321" t="s">
        <v>1167</v>
      </c>
      <c r="C4838" s="293">
        <v>1200</v>
      </c>
      <c r="D4838" s="293">
        <v>1200</v>
      </c>
      <c r="E4838" s="293">
        <v>0</v>
      </c>
      <c r="F4838" s="294" t="s">
        <v>316</v>
      </c>
    </row>
    <row r="4839" spans="1:6" hidden="1" outlineLevel="1" collapsed="1" x14ac:dyDescent="0.25">
      <c r="A4839" s="321" t="s">
        <v>282</v>
      </c>
      <c r="B4839" s="321" t="s">
        <v>884</v>
      </c>
      <c r="C4839" s="293">
        <v>19710</v>
      </c>
      <c r="D4839" s="293">
        <v>37000</v>
      </c>
      <c r="E4839" s="293">
        <v>17290</v>
      </c>
      <c r="F4839" s="294" t="s">
        <v>2306</v>
      </c>
    </row>
    <row r="4840" spans="1:6" hidden="1" outlineLevel="1" collapsed="1" x14ac:dyDescent="0.25">
      <c r="A4840" s="321" t="s">
        <v>282</v>
      </c>
      <c r="B4840" s="321" t="s">
        <v>1172</v>
      </c>
      <c r="C4840" s="293">
        <v>20900</v>
      </c>
      <c r="D4840" s="293">
        <v>17500</v>
      </c>
      <c r="E4840" s="293">
        <v>-3400</v>
      </c>
      <c r="F4840" s="294" t="s">
        <v>1737</v>
      </c>
    </row>
    <row r="4841" spans="1:6" hidden="1" outlineLevel="1" collapsed="1" x14ac:dyDescent="0.25">
      <c r="A4841" s="321" t="s">
        <v>282</v>
      </c>
      <c r="B4841" s="321" t="s">
        <v>403</v>
      </c>
      <c r="C4841" s="293">
        <v>37985</v>
      </c>
      <c r="D4841" s="293">
        <v>58000</v>
      </c>
      <c r="E4841" s="293">
        <v>20015</v>
      </c>
      <c r="F4841" s="294" t="s">
        <v>2307</v>
      </c>
    </row>
    <row r="4842" spans="1:6" hidden="1" outlineLevel="1" collapsed="1" x14ac:dyDescent="0.25">
      <c r="A4842" s="321" t="s">
        <v>282</v>
      </c>
      <c r="B4842" s="321" t="s">
        <v>405</v>
      </c>
      <c r="C4842" s="293">
        <v>0</v>
      </c>
      <c r="D4842" s="293">
        <v>0</v>
      </c>
      <c r="E4842" s="293">
        <v>0</v>
      </c>
      <c r="F4842" s="294" t="s">
        <v>316</v>
      </c>
    </row>
    <row r="4843" spans="1:6" hidden="1" outlineLevel="1" collapsed="1" x14ac:dyDescent="0.25">
      <c r="A4843" s="321" t="s">
        <v>282</v>
      </c>
      <c r="B4843" s="321" t="s">
        <v>557</v>
      </c>
      <c r="C4843" s="293">
        <v>0</v>
      </c>
      <c r="D4843" s="293">
        <v>100</v>
      </c>
      <c r="E4843" s="293">
        <v>100</v>
      </c>
      <c r="F4843" s="294" t="s">
        <v>298</v>
      </c>
    </row>
    <row r="4844" spans="1:6" collapsed="1" x14ac:dyDescent="0.25">
      <c r="A4844" s="560" t="s">
        <v>1739</v>
      </c>
      <c r="B4844" s="561"/>
      <c r="C4844" s="292">
        <v>733752.5</v>
      </c>
      <c r="D4844" s="293">
        <v>463093</v>
      </c>
      <c r="E4844" s="293">
        <v>-270659.5</v>
      </c>
      <c r="F4844" s="294" t="s">
        <v>1740</v>
      </c>
    </row>
    <row r="4845" spans="1:6" hidden="1" outlineLevel="1" collapsed="1" x14ac:dyDescent="0.25">
      <c r="A4845" s="321" t="s">
        <v>282</v>
      </c>
      <c r="B4845" s="321" t="s">
        <v>567</v>
      </c>
      <c r="C4845" s="293">
        <v>596059.5</v>
      </c>
      <c r="D4845" s="293">
        <v>310500</v>
      </c>
      <c r="E4845" s="293">
        <v>-285559.5</v>
      </c>
      <c r="F4845" s="294" t="s">
        <v>1741</v>
      </c>
    </row>
    <row r="4846" spans="1:6" hidden="1" outlineLevel="1" collapsed="1" x14ac:dyDescent="0.25">
      <c r="A4846" s="321" t="s">
        <v>282</v>
      </c>
      <c r="B4846" s="321" t="s">
        <v>1087</v>
      </c>
      <c r="C4846" s="293">
        <v>4500</v>
      </c>
      <c r="D4846" s="293">
        <v>5000</v>
      </c>
      <c r="E4846" s="293">
        <v>500</v>
      </c>
      <c r="F4846" s="294" t="s">
        <v>610</v>
      </c>
    </row>
    <row r="4847" spans="1:6" hidden="1" outlineLevel="1" collapsed="1" x14ac:dyDescent="0.25">
      <c r="A4847" s="321" t="s">
        <v>282</v>
      </c>
      <c r="B4847" s="321" t="s">
        <v>1090</v>
      </c>
      <c r="C4847" s="293">
        <v>85500</v>
      </c>
      <c r="D4847" s="293">
        <v>87000</v>
      </c>
      <c r="E4847" s="293">
        <v>1500</v>
      </c>
      <c r="F4847" s="294" t="s">
        <v>1742</v>
      </c>
    </row>
    <row r="4848" spans="1:6" hidden="1" outlineLevel="1" collapsed="1" x14ac:dyDescent="0.25">
      <c r="A4848" s="321" t="s">
        <v>282</v>
      </c>
      <c r="B4848" s="321" t="s">
        <v>1083</v>
      </c>
      <c r="C4848" s="293">
        <v>18000</v>
      </c>
      <c r="D4848" s="293">
        <v>18000</v>
      </c>
      <c r="E4848" s="293">
        <v>0</v>
      </c>
      <c r="F4848" s="294" t="s">
        <v>316</v>
      </c>
    </row>
    <row r="4849" spans="1:6" hidden="1" outlineLevel="1" collapsed="1" x14ac:dyDescent="0.25">
      <c r="A4849" s="321" t="s">
        <v>282</v>
      </c>
      <c r="B4849" s="321" t="s">
        <v>1163</v>
      </c>
      <c r="C4849" s="293">
        <v>0</v>
      </c>
      <c r="D4849" s="293">
        <v>10000</v>
      </c>
      <c r="E4849" s="293">
        <v>10000</v>
      </c>
      <c r="F4849" s="294" t="s">
        <v>298</v>
      </c>
    </row>
    <row r="4850" spans="1:6" hidden="1" outlineLevel="1" collapsed="1" x14ac:dyDescent="0.25">
      <c r="A4850" s="321" t="s">
        <v>282</v>
      </c>
      <c r="B4850" s="321" t="s">
        <v>843</v>
      </c>
      <c r="C4850" s="293">
        <v>27100</v>
      </c>
      <c r="D4850" s="293">
        <v>30000</v>
      </c>
      <c r="E4850" s="293">
        <v>2900</v>
      </c>
      <c r="F4850" s="294" t="s">
        <v>1743</v>
      </c>
    </row>
    <row r="4851" spans="1:6" hidden="1" outlineLevel="1" collapsed="1" x14ac:dyDescent="0.25">
      <c r="A4851" s="321" t="s">
        <v>282</v>
      </c>
      <c r="B4851" s="321" t="s">
        <v>448</v>
      </c>
      <c r="C4851" s="293">
        <v>2593</v>
      </c>
      <c r="D4851" s="293">
        <v>2593</v>
      </c>
      <c r="E4851" s="293">
        <v>0</v>
      </c>
      <c r="F4851" s="294" t="s">
        <v>316</v>
      </c>
    </row>
    <row r="4852" spans="1:6" collapsed="1" x14ac:dyDescent="0.25">
      <c r="A4852" s="560" t="s">
        <v>1744</v>
      </c>
      <c r="B4852" s="561"/>
      <c r="C4852" s="292">
        <v>944816.991866</v>
      </c>
      <c r="D4852" s="293">
        <v>2276216.5983159998</v>
      </c>
      <c r="E4852" s="293">
        <v>1331399.6064500001</v>
      </c>
      <c r="F4852" s="294" t="s">
        <v>2308</v>
      </c>
    </row>
    <row r="4853" spans="1:6" hidden="1" outlineLevel="1" collapsed="1" x14ac:dyDescent="0.25">
      <c r="A4853" s="321" t="s">
        <v>282</v>
      </c>
      <c r="B4853" s="321" t="s">
        <v>1096</v>
      </c>
      <c r="C4853" s="293">
        <v>239999.999988</v>
      </c>
      <c r="D4853" s="293">
        <v>239999.999988</v>
      </c>
      <c r="E4853" s="293">
        <v>0</v>
      </c>
      <c r="F4853" s="294" t="s">
        <v>316</v>
      </c>
    </row>
    <row r="4854" spans="1:6" hidden="1" outlineLevel="1" collapsed="1" x14ac:dyDescent="0.25">
      <c r="A4854" s="321" t="s">
        <v>282</v>
      </c>
      <c r="B4854" s="321" t="s">
        <v>1097</v>
      </c>
      <c r="C4854" s="293">
        <v>88819.316550000003</v>
      </c>
      <c r="D4854" s="293">
        <v>93668.117916000003</v>
      </c>
      <c r="E4854" s="293">
        <v>4848.8013659999997</v>
      </c>
      <c r="F4854" s="294" t="s">
        <v>1746</v>
      </c>
    </row>
    <row r="4855" spans="1:6" hidden="1" outlineLevel="1" collapsed="1" x14ac:dyDescent="0.25">
      <c r="A4855" s="321" t="s">
        <v>282</v>
      </c>
      <c r="B4855" s="321" t="s">
        <v>384</v>
      </c>
      <c r="C4855" s="293">
        <v>41365.470003000002</v>
      </c>
      <c r="D4855" s="293">
        <v>0</v>
      </c>
      <c r="E4855" s="293">
        <v>-41365.470003000002</v>
      </c>
      <c r="F4855" s="294" t="s">
        <v>286</v>
      </c>
    </row>
    <row r="4856" spans="1:6" hidden="1" outlineLevel="1" collapsed="1" x14ac:dyDescent="0.25">
      <c r="A4856" s="321" t="s">
        <v>282</v>
      </c>
      <c r="B4856" s="321" t="s">
        <v>385</v>
      </c>
      <c r="C4856" s="293">
        <v>0</v>
      </c>
      <c r="D4856" s="293">
        <v>51821.99538</v>
      </c>
      <c r="E4856" s="293">
        <v>51821.99538</v>
      </c>
      <c r="F4856" s="294" t="s">
        <v>298</v>
      </c>
    </row>
    <row r="4857" spans="1:6" hidden="1" outlineLevel="1" collapsed="1" x14ac:dyDescent="0.25">
      <c r="A4857" s="321" t="s">
        <v>282</v>
      </c>
      <c r="B4857" s="321" t="s">
        <v>386</v>
      </c>
      <c r="C4857" s="293">
        <v>5543.9976210000004</v>
      </c>
      <c r="D4857" s="293">
        <v>0</v>
      </c>
      <c r="E4857" s="293">
        <v>-5543.9976210000004</v>
      </c>
      <c r="F4857" s="294" t="s">
        <v>286</v>
      </c>
    </row>
    <row r="4858" spans="1:6" hidden="1" outlineLevel="1" collapsed="1" x14ac:dyDescent="0.25">
      <c r="A4858" s="321" t="s">
        <v>282</v>
      </c>
      <c r="B4858" s="321" t="s">
        <v>387</v>
      </c>
      <c r="C4858" s="293">
        <v>0</v>
      </c>
      <c r="D4858" s="293">
        <v>5844.6233039999997</v>
      </c>
      <c r="E4858" s="293">
        <v>5844.6233039999997</v>
      </c>
      <c r="F4858" s="294" t="s">
        <v>298</v>
      </c>
    </row>
    <row r="4859" spans="1:6" hidden="1" outlineLevel="1" collapsed="1" x14ac:dyDescent="0.25">
      <c r="A4859" s="321" t="s">
        <v>282</v>
      </c>
      <c r="B4859" s="321" t="s">
        <v>753</v>
      </c>
      <c r="C4859" s="293">
        <v>16442.399988000001</v>
      </c>
      <c r="D4859" s="293">
        <v>16442.399988000001</v>
      </c>
      <c r="E4859" s="293">
        <v>0</v>
      </c>
      <c r="F4859" s="294" t="s">
        <v>316</v>
      </c>
    </row>
    <row r="4860" spans="1:6" hidden="1" outlineLevel="1" collapsed="1" x14ac:dyDescent="0.25">
      <c r="A4860" s="321" t="s">
        <v>282</v>
      </c>
      <c r="B4860" s="321" t="s">
        <v>388</v>
      </c>
      <c r="C4860" s="293">
        <v>5141.9800740000001</v>
      </c>
      <c r="D4860" s="293">
        <v>5212.2876960000003</v>
      </c>
      <c r="E4860" s="293">
        <v>70.307621999999995</v>
      </c>
      <c r="F4860" s="294" t="s">
        <v>1747</v>
      </c>
    </row>
    <row r="4861" spans="1:6" hidden="1" outlineLevel="1" collapsed="1" x14ac:dyDescent="0.25">
      <c r="A4861" s="321" t="s">
        <v>282</v>
      </c>
      <c r="B4861" s="321" t="s">
        <v>389</v>
      </c>
      <c r="C4861" s="293">
        <v>426.12479999999999</v>
      </c>
      <c r="D4861" s="293">
        <v>422.04</v>
      </c>
      <c r="E4861" s="293">
        <v>-4.0848000000000004</v>
      </c>
      <c r="F4861" s="294" t="s">
        <v>364</v>
      </c>
    </row>
    <row r="4862" spans="1:6" hidden="1" outlineLevel="1" collapsed="1" x14ac:dyDescent="0.25">
      <c r="A4862" s="321" t="s">
        <v>282</v>
      </c>
      <c r="B4862" s="321" t="s">
        <v>390</v>
      </c>
      <c r="C4862" s="293">
        <v>15485.27</v>
      </c>
      <c r="D4862" s="293">
        <v>15959.28</v>
      </c>
      <c r="E4862" s="293">
        <v>474.01</v>
      </c>
      <c r="F4862" s="294" t="s">
        <v>391</v>
      </c>
    </row>
    <row r="4863" spans="1:6" hidden="1" outlineLevel="1" collapsed="1" x14ac:dyDescent="0.25">
      <c r="A4863" s="321" t="s">
        <v>282</v>
      </c>
      <c r="B4863" s="321" t="s">
        <v>392</v>
      </c>
      <c r="C4863" s="293">
        <v>233.53919999999999</v>
      </c>
      <c r="D4863" s="293">
        <v>182.88</v>
      </c>
      <c r="E4863" s="293">
        <v>-50.659199999999998</v>
      </c>
      <c r="F4863" s="294" t="s">
        <v>368</v>
      </c>
    </row>
    <row r="4864" spans="1:6" hidden="1" outlineLevel="1" collapsed="1" x14ac:dyDescent="0.25">
      <c r="A4864" s="321" t="s">
        <v>282</v>
      </c>
      <c r="B4864" s="321" t="s">
        <v>754</v>
      </c>
      <c r="C4864" s="293">
        <v>15358.56</v>
      </c>
      <c r="D4864" s="293">
        <v>15959.28</v>
      </c>
      <c r="E4864" s="293">
        <v>600.72</v>
      </c>
      <c r="F4864" s="294" t="s">
        <v>366</v>
      </c>
    </row>
    <row r="4865" spans="1:6" hidden="1" outlineLevel="1" collapsed="1" x14ac:dyDescent="0.25">
      <c r="A4865" s="321" t="s">
        <v>282</v>
      </c>
      <c r="B4865" s="321" t="s">
        <v>755</v>
      </c>
      <c r="C4865" s="293">
        <v>426.12479999999999</v>
      </c>
      <c r="D4865" s="293">
        <v>422.04</v>
      </c>
      <c r="E4865" s="293">
        <v>-4.0848000000000004</v>
      </c>
      <c r="F4865" s="294" t="s">
        <v>364</v>
      </c>
    </row>
    <row r="4866" spans="1:6" hidden="1" outlineLevel="1" collapsed="1" x14ac:dyDescent="0.25">
      <c r="A4866" s="321" t="s">
        <v>282</v>
      </c>
      <c r="B4866" s="321" t="s">
        <v>756</v>
      </c>
      <c r="C4866" s="293">
        <v>233.53919999999999</v>
      </c>
      <c r="D4866" s="293">
        <v>182.88</v>
      </c>
      <c r="E4866" s="293">
        <v>-50.659199999999998</v>
      </c>
      <c r="F4866" s="294" t="s">
        <v>368</v>
      </c>
    </row>
    <row r="4867" spans="1:6" hidden="1" outlineLevel="1" collapsed="1" x14ac:dyDescent="0.25">
      <c r="A4867" s="321" t="s">
        <v>282</v>
      </c>
      <c r="B4867" s="321" t="s">
        <v>393</v>
      </c>
      <c r="C4867" s="293">
        <v>44.709654</v>
      </c>
      <c r="D4867" s="293">
        <v>47.134056000000001</v>
      </c>
      <c r="E4867" s="293">
        <v>2.4244020000000002</v>
      </c>
      <c r="F4867" s="294" t="s">
        <v>1748</v>
      </c>
    </row>
    <row r="4868" spans="1:6" hidden="1" outlineLevel="1" collapsed="1" x14ac:dyDescent="0.25">
      <c r="A4868" s="321" t="s">
        <v>282</v>
      </c>
      <c r="B4868" s="321" t="s">
        <v>757</v>
      </c>
      <c r="C4868" s="293">
        <v>132.599988</v>
      </c>
      <c r="D4868" s="293">
        <v>0</v>
      </c>
      <c r="E4868" s="293">
        <v>-132.599988</v>
      </c>
      <c r="F4868" s="294" t="s">
        <v>286</v>
      </c>
    </row>
    <row r="4869" spans="1:6" hidden="1" outlineLevel="1" collapsed="1" x14ac:dyDescent="0.25">
      <c r="A4869" s="321" t="s">
        <v>282</v>
      </c>
      <c r="B4869" s="321" t="s">
        <v>758</v>
      </c>
      <c r="C4869" s="293">
        <v>0</v>
      </c>
      <c r="D4869" s="293">
        <v>132.599988</v>
      </c>
      <c r="E4869" s="293">
        <v>132.599988</v>
      </c>
      <c r="F4869" s="294" t="s">
        <v>298</v>
      </c>
    </row>
    <row r="4870" spans="1:6" hidden="1" outlineLevel="1" collapsed="1" x14ac:dyDescent="0.25">
      <c r="A4870" s="321" t="s">
        <v>282</v>
      </c>
      <c r="B4870" s="321" t="s">
        <v>394</v>
      </c>
      <c r="C4870" s="293">
        <v>1500</v>
      </c>
      <c r="D4870" s="293">
        <v>0</v>
      </c>
      <c r="E4870" s="293">
        <v>-1500</v>
      </c>
      <c r="F4870" s="294" t="s">
        <v>286</v>
      </c>
    </row>
    <row r="4871" spans="1:6" hidden="1" outlineLevel="1" collapsed="1" x14ac:dyDescent="0.25">
      <c r="A4871" s="321" t="s">
        <v>282</v>
      </c>
      <c r="B4871" s="321" t="s">
        <v>395</v>
      </c>
      <c r="C4871" s="293">
        <v>0</v>
      </c>
      <c r="D4871" s="293">
        <v>1500</v>
      </c>
      <c r="E4871" s="293">
        <v>1500</v>
      </c>
      <c r="F4871" s="294" t="s">
        <v>298</v>
      </c>
    </row>
    <row r="4872" spans="1:6" hidden="1" outlineLevel="1" collapsed="1" x14ac:dyDescent="0.25">
      <c r="A4872" s="321" t="s">
        <v>282</v>
      </c>
      <c r="B4872" s="321" t="s">
        <v>759</v>
      </c>
      <c r="C4872" s="293">
        <v>1500</v>
      </c>
      <c r="D4872" s="293">
        <v>0</v>
      </c>
      <c r="E4872" s="293">
        <v>-1500</v>
      </c>
      <c r="F4872" s="294" t="s">
        <v>286</v>
      </c>
    </row>
    <row r="4873" spans="1:6" hidden="1" outlineLevel="1" collapsed="1" x14ac:dyDescent="0.25">
      <c r="A4873" s="321" t="s">
        <v>282</v>
      </c>
      <c r="B4873" s="321" t="s">
        <v>760</v>
      </c>
      <c r="C4873" s="293">
        <v>0</v>
      </c>
      <c r="D4873" s="293">
        <v>1500</v>
      </c>
      <c r="E4873" s="293">
        <v>1500</v>
      </c>
      <c r="F4873" s="294" t="s">
        <v>298</v>
      </c>
    </row>
    <row r="4874" spans="1:6" hidden="1" outlineLevel="1" collapsed="1" x14ac:dyDescent="0.25">
      <c r="A4874" s="321" t="s">
        <v>282</v>
      </c>
      <c r="B4874" s="321" t="s">
        <v>396</v>
      </c>
      <c r="C4874" s="293">
        <v>49.68</v>
      </c>
      <c r="D4874" s="293">
        <v>0</v>
      </c>
      <c r="E4874" s="293">
        <v>-49.68</v>
      </c>
      <c r="F4874" s="294" t="s">
        <v>286</v>
      </c>
    </row>
    <row r="4875" spans="1:6" hidden="1" outlineLevel="1" collapsed="1" x14ac:dyDescent="0.25">
      <c r="A4875" s="321" t="s">
        <v>282</v>
      </c>
      <c r="B4875" s="321" t="s">
        <v>397</v>
      </c>
      <c r="C4875" s="293">
        <v>0</v>
      </c>
      <c r="D4875" s="293">
        <v>48.48</v>
      </c>
      <c r="E4875" s="293">
        <v>48.48</v>
      </c>
      <c r="F4875" s="294" t="s">
        <v>298</v>
      </c>
    </row>
    <row r="4876" spans="1:6" hidden="1" outlineLevel="1" collapsed="1" x14ac:dyDescent="0.25">
      <c r="A4876" s="321" t="s">
        <v>282</v>
      </c>
      <c r="B4876" s="321" t="s">
        <v>761</v>
      </c>
      <c r="C4876" s="293">
        <v>49.68</v>
      </c>
      <c r="D4876" s="293">
        <v>0</v>
      </c>
      <c r="E4876" s="293">
        <v>-49.68</v>
      </c>
      <c r="F4876" s="294" t="s">
        <v>286</v>
      </c>
    </row>
    <row r="4877" spans="1:6" hidden="1" outlineLevel="1" collapsed="1" x14ac:dyDescent="0.25">
      <c r="A4877" s="321" t="s">
        <v>282</v>
      </c>
      <c r="B4877" s="321" t="s">
        <v>762</v>
      </c>
      <c r="C4877" s="293">
        <v>0</v>
      </c>
      <c r="D4877" s="293">
        <v>48.48</v>
      </c>
      <c r="E4877" s="293">
        <v>48.48</v>
      </c>
      <c r="F4877" s="294" t="s">
        <v>298</v>
      </c>
    </row>
    <row r="4878" spans="1:6" hidden="1" outlineLevel="1" collapsed="1" x14ac:dyDescent="0.25">
      <c r="A4878" s="321" t="s">
        <v>282</v>
      </c>
      <c r="B4878" s="321" t="s">
        <v>398</v>
      </c>
      <c r="C4878" s="293">
        <v>24</v>
      </c>
      <c r="D4878" s="293">
        <v>11.04</v>
      </c>
      <c r="E4878" s="293">
        <v>-12.96</v>
      </c>
      <c r="F4878" s="294" t="s">
        <v>374</v>
      </c>
    </row>
    <row r="4879" spans="1:6" hidden="1" outlineLevel="1" collapsed="1" x14ac:dyDescent="0.25">
      <c r="A4879" s="321" t="s">
        <v>282</v>
      </c>
      <c r="B4879" s="321" t="s">
        <v>763</v>
      </c>
      <c r="C4879" s="293">
        <v>24</v>
      </c>
      <c r="D4879" s="293">
        <v>11.04</v>
      </c>
      <c r="E4879" s="293">
        <v>-12.96</v>
      </c>
      <c r="F4879" s="294" t="s">
        <v>374</v>
      </c>
    </row>
    <row r="4880" spans="1:6" hidden="1" outlineLevel="1" collapsed="1" x14ac:dyDescent="0.25">
      <c r="A4880" s="321" t="s">
        <v>282</v>
      </c>
      <c r="B4880" s="321" t="s">
        <v>1749</v>
      </c>
      <c r="C4880" s="293">
        <v>1000</v>
      </c>
      <c r="D4880" s="293">
        <v>0</v>
      </c>
      <c r="E4880" s="293">
        <v>-1000</v>
      </c>
      <c r="F4880" s="294" t="s">
        <v>286</v>
      </c>
    </row>
    <row r="4881" spans="1:6" hidden="1" outlineLevel="1" collapsed="1" x14ac:dyDescent="0.25">
      <c r="A4881" s="321" t="s">
        <v>282</v>
      </c>
      <c r="B4881" s="321" t="s">
        <v>523</v>
      </c>
      <c r="C4881" s="293">
        <v>1545</v>
      </c>
      <c r="D4881" s="293">
        <v>1600</v>
      </c>
      <c r="E4881" s="293">
        <v>55</v>
      </c>
      <c r="F4881" s="294" t="s">
        <v>1750</v>
      </c>
    </row>
    <row r="4882" spans="1:6" hidden="1" outlineLevel="1" collapsed="1" x14ac:dyDescent="0.25">
      <c r="A4882" s="321" t="s">
        <v>282</v>
      </c>
      <c r="B4882" s="321" t="s">
        <v>399</v>
      </c>
      <c r="C4882" s="293">
        <v>1500</v>
      </c>
      <c r="D4882" s="293">
        <v>1500</v>
      </c>
      <c r="E4882" s="293">
        <v>0</v>
      </c>
      <c r="F4882" s="294" t="s">
        <v>316</v>
      </c>
    </row>
    <row r="4883" spans="1:6" hidden="1" outlineLevel="1" collapsed="1" x14ac:dyDescent="0.25">
      <c r="A4883" s="321" t="s">
        <v>282</v>
      </c>
      <c r="B4883" s="321" t="s">
        <v>376</v>
      </c>
      <c r="C4883" s="293">
        <v>4950</v>
      </c>
      <c r="D4883" s="293">
        <v>5500</v>
      </c>
      <c r="E4883" s="293">
        <v>550</v>
      </c>
      <c r="F4883" s="294" t="s">
        <v>610</v>
      </c>
    </row>
    <row r="4884" spans="1:6" hidden="1" outlineLevel="1" collapsed="1" x14ac:dyDescent="0.25">
      <c r="A4884" s="321" t="s">
        <v>282</v>
      </c>
      <c r="B4884" s="321" t="s">
        <v>506</v>
      </c>
      <c r="C4884" s="293">
        <v>0</v>
      </c>
      <c r="D4884" s="293">
        <v>10000</v>
      </c>
      <c r="E4884" s="293">
        <v>10000</v>
      </c>
      <c r="F4884" s="294" t="s">
        <v>298</v>
      </c>
    </row>
    <row r="4885" spans="1:6" hidden="1" outlineLevel="1" collapsed="1" x14ac:dyDescent="0.25">
      <c r="A4885" s="321" t="s">
        <v>282</v>
      </c>
      <c r="B4885" s="321" t="s">
        <v>567</v>
      </c>
      <c r="C4885" s="293">
        <v>79062</v>
      </c>
      <c r="D4885" s="293">
        <v>350000</v>
      </c>
      <c r="E4885" s="293">
        <v>270938</v>
      </c>
      <c r="F4885" s="294" t="s">
        <v>2309</v>
      </c>
    </row>
    <row r="4886" spans="1:6" hidden="1" outlineLevel="1" collapsed="1" x14ac:dyDescent="0.25">
      <c r="A4886" s="321" t="s">
        <v>282</v>
      </c>
      <c r="B4886" s="321" t="s">
        <v>426</v>
      </c>
      <c r="C4886" s="293">
        <v>26400</v>
      </c>
      <c r="D4886" s="293">
        <v>26400</v>
      </c>
      <c r="E4886" s="293">
        <v>0</v>
      </c>
      <c r="F4886" s="294" t="s">
        <v>316</v>
      </c>
    </row>
    <row r="4887" spans="1:6" hidden="1" outlineLevel="1" collapsed="1" x14ac:dyDescent="0.25">
      <c r="A4887" s="321" t="s">
        <v>282</v>
      </c>
      <c r="B4887" s="321" t="s">
        <v>1103</v>
      </c>
      <c r="C4887" s="293">
        <v>24000</v>
      </c>
      <c r="D4887" s="293">
        <v>24000</v>
      </c>
      <c r="E4887" s="293">
        <v>0</v>
      </c>
      <c r="F4887" s="294" t="s">
        <v>316</v>
      </c>
    </row>
    <row r="4888" spans="1:6" hidden="1" outlineLevel="1" collapsed="1" x14ac:dyDescent="0.25">
      <c r="A4888" s="321" t="s">
        <v>282</v>
      </c>
      <c r="B4888" s="321" t="s">
        <v>707</v>
      </c>
      <c r="C4888" s="293">
        <v>1200</v>
      </c>
      <c r="D4888" s="293">
        <v>1200</v>
      </c>
      <c r="E4888" s="293">
        <v>0</v>
      </c>
      <c r="F4888" s="294" t="s">
        <v>316</v>
      </c>
    </row>
    <row r="4889" spans="1:6" hidden="1" outlineLevel="1" collapsed="1" x14ac:dyDescent="0.25">
      <c r="A4889" s="321" t="s">
        <v>282</v>
      </c>
      <c r="B4889" s="321" t="s">
        <v>952</v>
      </c>
      <c r="C4889" s="293">
        <v>600</v>
      </c>
      <c r="D4889" s="293">
        <v>600</v>
      </c>
      <c r="E4889" s="293">
        <v>0</v>
      </c>
      <c r="F4889" s="294" t="s">
        <v>316</v>
      </c>
    </row>
    <row r="4890" spans="1:6" hidden="1" outlineLevel="1" collapsed="1" x14ac:dyDescent="0.25">
      <c r="A4890" s="321" t="s">
        <v>282</v>
      </c>
      <c r="B4890" s="321" t="s">
        <v>482</v>
      </c>
      <c r="C4890" s="293">
        <v>400</v>
      </c>
      <c r="D4890" s="293">
        <v>500</v>
      </c>
      <c r="E4890" s="293">
        <v>100</v>
      </c>
      <c r="F4890" s="294" t="s">
        <v>1552</v>
      </c>
    </row>
    <row r="4891" spans="1:6" hidden="1" outlineLevel="1" collapsed="1" x14ac:dyDescent="0.25">
      <c r="A4891" s="321" t="s">
        <v>282</v>
      </c>
      <c r="B4891" s="321" t="s">
        <v>597</v>
      </c>
      <c r="C4891" s="293">
        <v>32899</v>
      </c>
      <c r="D4891" s="293">
        <v>33000</v>
      </c>
      <c r="E4891" s="293">
        <v>101</v>
      </c>
      <c r="F4891" s="294" t="s">
        <v>2310</v>
      </c>
    </row>
    <row r="4892" spans="1:6" hidden="1" outlineLevel="1" collapsed="1" x14ac:dyDescent="0.25">
      <c r="A4892" s="321" t="s">
        <v>282</v>
      </c>
      <c r="B4892" s="321" t="s">
        <v>842</v>
      </c>
      <c r="C4892" s="293">
        <v>100</v>
      </c>
      <c r="D4892" s="293">
        <v>0</v>
      </c>
      <c r="E4892" s="293">
        <v>-100</v>
      </c>
      <c r="F4892" s="294" t="s">
        <v>286</v>
      </c>
    </row>
    <row r="4893" spans="1:6" hidden="1" outlineLevel="1" collapsed="1" x14ac:dyDescent="0.25">
      <c r="A4893" s="321" t="s">
        <v>282</v>
      </c>
      <c r="B4893" s="321" t="s">
        <v>483</v>
      </c>
      <c r="C4893" s="293">
        <v>500</v>
      </c>
      <c r="D4893" s="293">
        <v>300</v>
      </c>
      <c r="E4893" s="293">
        <v>-200</v>
      </c>
      <c r="F4893" s="294" t="s">
        <v>1107</v>
      </c>
    </row>
    <row r="4894" spans="1:6" hidden="1" outlineLevel="1" collapsed="1" x14ac:dyDescent="0.25">
      <c r="A4894" s="321" t="s">
        <v>282</v>
      </c>
      <c r="B4894" s="321" t="s">
        <v>416</v>
      </c>
      <c r="C4894" s="293">
        <v>2300</v>
      </c>
      <c r="D4894" s="293">
        <v>2500</v>
      </c>
      <c r="E4894" s="293">
        <v>200</v>
      </c>
      <c r="F4894" s="294" t="s">
        <v>1752</v>
      </c>
    </row>
    <row r="4895" spans="1:6" hidden="1" outlineLevel="1" collapsed="1" x14ac:dyDescent="0.25">
      <c r="A4895" s="321" t="s">
        <v>282</v>
      </c>
      <c r="B4895" s="321" t="s">
        <v>448</v>
      </c>
      <c r="C4895" s="293">
        <v>1360</v>
      </c>
      <c r="D4895" s="293">
        <v>500</v>
      </c>
      <c r="E4895" s="293">
        <v>-860</v>
      </c>
      <c r="F4895" s="294" t="s">
        <v>1753</v>
      </c>
    </row>
    <row r="4896" spans="1:6" hidden="1" outlineLevel="1" collapsed="1" x14ac:dyDescent="0.25">
      <c r="A4896" s="321" t="s">
        <v>282</v>
      </c>
      <c r="B4896" s="321" t="s">
        <v>404</v>
      </c>
      <c r="C4896" s="293">
        <v>325000</v>
      </c>
      <c r="D4896" s="293">
        <v>260000</v>
      </c>
      <c r="E4896" s="293">
        <v>-65000</v>
      </c>
      <c r="F4896" s="294" t="s">
        <v>859</v>
      </c>
    </row>
    <row r="4897" spans="1:6" hidden="1" outlineLevel="1" collapsed="1" x14ac:dyDescent="0.25">
      <c r="A4897" s="321" t="s">
        <v>282</v>
      </c>
      <c r="B4897" s="321" t="s">
        <v>557</v>
      </c>
      <c r="C4897" s="293">
        <v>3200</v>
      </c>
      <c r="D4897" s="293">
        <v>3200</v>
      </c>
      <c r="E4897" s="293">
        <v>0</v>
      </c>
      <c r="F4897" s="294" t="s">
        <v>316</v>
      </c>
    </row>
    <row r="4898" spans="1:6" hidden="1" outlineLevel="1" collapsed="1" x14ac:dyDescent="0.25">
      <c r="A4898" s="321" t="s">
        <v>282</v>
      </c>
      <c r="B4898" s="321" t="s">
        <v>2311</v>
      </c>
      <c r="C4898" s="293">
        <v>0</v>
      </c>
      <c r="D4898" s="293">
        <v>800000</v>
      </c>
      <c r="E4898" s="293">
        <v>800000</v>
      </c>
      <c r="F4898" s="294" t="s">
        <v>298</v>
      </c>
    </row>
    <row r="4899" spans="1:6" hidden="1" outlineLevel="1" collapsed="1" x14ac:dyDescent="0.25">
      <c r="A4899" s="321" t="s">
        <v>282</v>
      </c>
      <c r="B4899" s="321" t="s">
        <v>422</v>
      </c>
      <c r="C4899" s="293">
        <v>0</v>
      </c>
      <c r="D4899" s="293">
        <v>300000</v>
      </c>
      <c r="E4899" s="293">
        <v>300000</v>
      </c>
      <c r="F4899" s="294" t="s">
        <v>298</v>
      </c>
    </row>
    <row r="4900" spans="1:6" hidden="1" outlineLevel="1" collapsed="1" x14ac:dyDescent="0.25">
      <c r="A4900" s="321" t="s">
        <v>282</v>
      </c>
      <c r="B4900" s="321" t="s">
        <v>770</v>
      </c>
      <c r="C4900" s="293">
        <v>6000</v>
      </c>
      <c r="D4900" s="293">
        <v>6000</v>
      </c>
      <c r="E4900" s="293">
        <v>0</v>
      </c>
      <c r="F4900" s="294" t="s">
        <v>316</v>
      </c>
    </row>
    <row r="4901" spans="1:6" collapsed="1" x14ac:dyDescent="0.25">
      <c r="A4901" s="560" t="s">
        <v>1755</v>
      </c>
      <c r="B4901" s="561"/>
      <c r="C4901" s="292">
        <v>152954.94880099999</v>
      </c>
      <c r="D4901" s="293">
        <v>418046.33344000002</v>
      </c>
      <c r="E4901" s="293">
        <v>265091.384639</v>
      </c>
      <c r="F4901" s="294" t="s">
        <v>2312</v>
      </c>
    </row>
    <row r="4902" spans="1:6" hidden="1" outlineLevel="1" collapsed="1" x14ac:dyDescent="0.25">
      <c r="A4902" s="321" t="s">
        <v>282</v>
      </c>
      <c r="B4902" s="321" t="s">
        <v>942</v>
      </c>
      <c r="C4902" s="293">
        <v>73424.864277000001</v>
      </c>
      <c r="D4902" s="293">
        <v>142200.583996</v>
      </c>
      <c r="E4902" s="293">
        <v>68775.719719000001</v>
      </c>
      <c r="F4902" s="294" t="s">
        <v>2313</v>
      </c>
    </row>
    <row r="4903" spans="1:6" hidden="1" outlineLevel="1" collapsed="1" x14ac:dyDescent="0.25">
      <c r="A4903" s="321" t="s">
        <v>282</v>
      </c>
      <c r="B4903" s="321" t="s">
        <v>464</v>
      </c>
      <c r="C4903" s="293">
        <v>23633.102824000001</v>
      </c>
      <c r="D4903" s="293">
        <v>147303.69539199999</v>
      </c>
      <c r="E4903" s="293">
        <v>123670.59256799999</v>
      </c>
      <c r="F4903" s="294" t="s">
        <v>2314</v>
      </c>
    </row>
    <row r="4904" spans="1:6" hidden="1" outlineLevel="1" collapsed="1" x14ac:dyDescent="0.25">
      <c r="A4904" s="321" t="s">
        <v>282</v>
      </c>
      <c r="B4904" s="321" t="s">
        <v>935</v>
      </c>
      <c r="C4904" s="293">
        <v>5000</v>
      </c>
      <c r="D4904" s="293">
        <v>0</v>
      </c>
      <c r="E4904" s="293">
        <v>-5000</v>
      </c>
      <c r="F4904" s="294" t="s">
        <v>286</v>
      </c>
    </row>
    <row r="4905" spans="1:6" hidden="1" outlineLevel="1" collapsed="1" x14ac:dyDescent="0.25">
      <c r="A4905" s="321" t="s">
        <v>282</v>
      </c>
      <c r="B4905" s="321" t="s">
        <v>384</v>
      </c>
      <c r="C4905" s="293">
        <v>15606.492256</v>
      </c>
      <c r="D4905" s="293">
        <v>0</v>
      </c>
      <c r="E4905" s="293">
        <v>-15606.492256</v>
      </c>
      <c r="F4905" s="294" t="s">
        <v>286</v>
      </c>
    </row>
    <row r="4906" spans="1:6" hidden="1" outlineLevel="1" collapsed="1" x14ac:dyDescent="0.25">
      <c r="A4906" s="321" t="s">
        <v>282</v>
      </c>
      <c r="B4906" s="321" t="s">
        <v>385</v>
      </c>
      <c r="C4906" s="293">
        <v>0</v>
      </c>
      <c r="D4906" s="293">
        <v>45040.564616000003</v>
      </c>
      <c r="E4906" s="293">
        <v>45040.564616000003</v>
      </c>
      <c r="F4906" s="294" t="s">
        <v>298</v>
      </c>
    </row>
    <row r="4907" spans="1:6" hidden="1" outlineLevel="1" collapsed="1" x14ac:dyDescent="0.25">
      <c r="A4907" s="321" t="s">
        <v>282</v>
      </c>
      <c r="B4907" s="321" t="s">
        <v>386</v>
      </c>
      <c r="C4907" s="293">
        <v>7691.5939509999998</v>
      </c>
      <c r="D4907" s="293">
        <v>0</v>
      </c>
      <c r="E4907" s="293">
        <v>-7691.5939509999998</v>
      </c>
      <c r="F4907" s="294" t="s">
        <v>286</v>
      </c>
    </row>
    <row r="4908" spans="1:6" hidden="1" outlineLevel="1" collapsed="1" x14ac:dyDescent="0.25">
      <c r="A4908" s="321" t="s">
        <v>282</v>
      </c>
      <c r="B4908" s="321" t="s">
        <v>387</v>
      </c>
      <c r="C4908" s="293">
        <v>0</v>
      </c>
      <c r="D4908" s="293">
        <v>17980.265296000001</v>
      </c>
      <c r="E4908" s="293">
        <v>17980.265296000001</v>
      </c>
      <c r="F4908" s="294" t="s">
        <v>298</v>
      </c>
    </row>
    <row r="4909" spans="1:6" hidden="1" outlineLevel="1" collapsed="1" x14ac:dyDescent="0.25">
      <c r="A4909" s="321" t="s">
        <v>282</v>
      </c>
      <c r="B4909" s="321" t="s">
        <v>388</v>
      </c>
      <c r="C4909" s="293">
        <v>1798.840514</v>
      </c>
      <c r="D4909" s="293">
        <v>4205.0620239999998</v>
      </c>
      <c r="E4909" s="293">
        <v>2406.2215099999999</v>
      </c>
      <c r="F4909" s="294" t="s">
        <v>2315</v>
      </c>
    </row>
    <row r="4910" spans="1:6" hidden="1" outlineLevel="1" collapsed="1" x14ac:dyDescent="0.25">
      <c r="A4910" s="321" t="s">
        <v>282</v>
      </c>
      <c r="B4910" s="321" t="s">
        <v>389</v>
      </c>
      <c r="C4910" s="293">
        <v>461.6352</v>
      </c>
      <c r="D4910" s="293">
        <v>1266.1199999999999</v>
      </c>
      <c r="E4910" s="293">
        <v>804.48479999999995</v>
      </c>
      <c r="F4910" s="294" t="s">
        <v>2316</v>
      </c>
    </row>
    <row r="4911" spans="1:6" hidden="1" outlineLevel="1" collapsed="1" x14ac:dyDescent="0.25">
      <c r="A4911" s="321" t="s">
        <v>282</v>
      </c>
      <c r="B4911" s="321" t="s">
        <v>390</v>
      </c>
      <c r="C4911" s="293">
        <v>17018.57</v>
      </c>
      <c r="D4911" s="293">
        <v>47877.84</v>
      </c>
      <c r="E4911" s="293">
        <v>30859.27</v>
      </c>
      <c r="F4911" s="294" t="s">
        <v>2317</v>
      </c>
    </row>
    <row r="4912" spans="1:6" hidden="1" outlineLevel="1" collapsed="1" x14ac:dyDescent="0.25">
      <c r="A4912" s="321" t="s">
        <v>282</v>
      </c>
      <c r="B4912" s="321" t="s">
        <v>392</v>
      </c>
      <c r="C4912" s="293">
        <v>253.0008</v>
      </c>
      <c r="D4912" s="293">
        <v>548.64</v>
      </c>
      <c r="E4912" s="293">
        <v>295.63920000000002</v>
      </c>
      <c r="F4912" s="294" t="s">
        <v>2318</v>
      </c>
    </row>
    <row r="4913" spans="1:6" hidden="1" outlineLevel="1" collapsed="1" x14ac:dyDescent="0.25">
      <c r="A4913" s="321" t="s">
        <v>282</v>
      </c>
      <c r="B4913" s="321" t="s">
        <v>393</v>
      </c>
      <c r="C4913" s="293">
        <v>62.028979</v>
      </c>
      <c r="D4913" s="293">
        <v>145.002116</v>
      </c>
      <c r="E4913" s="293">
        <v>82.973136999999994</v>
      </c>
      <c r="F4913" s="294" t="s">
        <v>2315</v>
      </c>
    </row>
    <row r="4914" spans="1:6" hidden="1" outlineLevel="1" collapsed="1" x14ac:dyDescent="0.25">
      <c r="A4914" s="321" t="s">
        <v>282</v>
      </c>
      <c r="B4914" s="321" t="s">
        <v>394</v>
      </c>
      <c r="C4914" s="293">
        <v>1625</v>
      </c>
      <c r="D4914" s="293">
        <v>0</v>
      </c>
      <c r="E4914" s="293">
        <v>-1625</v>
      </c>
      <c r="F4914" s="294" t="s">
        <v>286</v>
      </c>
    </row>
    <row r="4915" spans="1:6" hidden="1" outlineLevel="1" collapsed="1" x14ac:dyDescent="0.25">
      <c r="A4915" s="321" t="s">
        <v>282</v>
      </c>
      <c r="B4915" s="321" t="s">
        <v>395</v>
      </c>
      <c r="C4915" s="293">
        <v>0</v>
      </c>
      <c r="D4915" s="293">
        <v>4500</v>
      </c>
      <c r="E4915" s="293">
        <v>4500</v>
      </c>
      <c r="F4915" s="294" t="s">
        <v>298</v>
      </c>
    </row>
    <row r="4916" spans="1:6" hidden="1" outlineLevel="1" collapsed="1" x14ac:dyDescent="0.25">
      <c r="A4916" s="321" t="s">
        <v>282</v>
      </c>
      <c r="B4916" s="321" t="s">
        <v>396</v>
      </c>
      <c r="C4916" s="293">
        <v>53.82</v>
      </c>
      <c r="D4916" s="293">
        <v>0</v>
      </c>
      <c r="E4916" s="293">
        <v>-53.82</v>
      </c>
      <c r="F4916" s="294" t="s">
        <v>286</v>
      </c>
    </row>
    <row r="4917" spans="1:6" hidden="1" outlineLevel="1" collapsed="1" x14ac:dyDescent="0.25">
      <c r="A4917" s="321" t="s">
        <v>282</v>
      </c>
      <c r="B4917" s="321" t="s">
        <v>397</v>
      </c>
      <c r="C4917" s="293">
        <v>0</v>
      </c>
      <c r="D4917" s="293">
        <v>145.44</v>
      </c>
      <c r="E4917" s="293">
        <v>145.44</v>
      </c>
      <c r="F4917" s="294" t="s">
        <v>298</v>
      </c>
    </row>
    <row r="4918" spans="1:6" hidden="1" outlineLevel="1" collapsed="1" x14ac:dyDescent="0.25">
      <c r="A4918" s="321" t="s">
        <v>282</v>
      </c>
      <c r="B4918" s="321" t="s">
        <v>398</v>
      </c>
      <c r="C4918" s="293">
        <v>26</v>
      </c>
      <c r="D4918" s="293">
        <v>33.119999999999997</v>
      </c>
      <c r="E4918" s="293">
        <v>7.12</v>
      </c>
      <c r="F4918" s="294" t="s">
        <v>2319</v>
      </c>
    </row>
    <row r="4919" spans="1:6" hidden="1" outlineLevel="1" collapsed="1" x14ac:dyDescent="0.25">
      <c r="A4919" s="321" t="s">
        <v>282</v>
      </c>
      <c r="B4919" s="321" t="s">
        <v>426</v>
      </c>
      <c r="C4919" s="293">
        <v>6300</v>
      </c>
      <c r="D4919" s="293">
        <v>6300</v>
      </c>
      <c r="E4919" s="293">
        <v>0</v>
      </c>
      <c r="F4919" s="294" t="s">
        <v>316</v>
      </c>
    </row>
    <row r="4920" spans="1:6" hidden="1" outlineLevel="1" collapsed="1" x14ac:dyDescent="0.25">
      <c r="A4920" s="321" t="s">
        <v>282</v>
      </c>
      <c r="B4920" s="321" t="s">
        <v>597</v>
      </c>
      <c r="C4920" s="293">
        <v>0</v>
      </c>
      <c r="D4920" s="293">
        <v>500</v>
      </c>
      <c r="E4920" s="293">
        <v>500</v>
      </c>
      <c r="F4920" s="294" t="s">
        <v>298</v>
      </c>
    </row>
    <row r="4921" spans="1:6" hidden="1" outlineLevel="1" collapsed="1" x14ac:dyDescent="0.25">
      <c r="A4921" s="321" t="s">
        <v>282</v>
      </c>
      <c r="B4921" s="321" t="s">
        <v>448</v>
      </c>
      <c r="C4921" s="293">
        <v>0</v>
      </c>
      <c r="D4921" s="293">
        <v>0</v>
      </c>
      <c r="E4921" s="293">
        <v>0</v>
      </c>
      <c r="F4921" s="294" t="s">
        <v>316</v>
      </c>
    </row>
    <row r="4922" spans="1:6" collapsed="1" x14ac:dyDescent="0.25">
      <c r="A4922" s="560" t="s">
        <v>1760</v>
      </c>
      <c r="B4922" s="561"/>
      <c r="C4922" s="292">
        <v>395081.75759200001</v>
      </c>
      <c r="D4922" s="293">
        <v>294896.91959200002</v>
      </c>
      <c r="E4922" s="293">
        <v>-100184.838</v>
      </c>
      <c r="F4922" s="294" t="s">
        <v>2320</v>
      </c>
    </row>
    <row r="4923" spans="1:6" hidden="1" outlineLevel="1" collapsed="1" x14ac:dyDescent="0.25">
      <c r="A4923" s="321" t="s">
        <v>282</v>
      </c>
      <c r="B4923" s="321" t="s">
        <v>441</v>
      </c>
      <c r="C4923" s="293">
        <v>250</v>
      </c>
      <c r="D4923" s="293">
        <v>0</v>
      </c>
      <c r="E4923" s="293">
        <v>-250</v>
      </c>
      <c r="F4923" s="294" t="s">
        <v>286</v>
      </c>
    </row>
    <row r="4924" spans="1:6" hidden="1" outlineLevel="1" collapsed="1" x14ac:dyDescent="0.25">
      <c r="A4924" s="321" t="s">
        <v>282</v>
      </c>
      <c r="B4924" s="321" t="s">
        <v>1762</v>
      </c>
      <c r="C4924" s="293">
        <v>35999.999892</v>
      </c>
      <c r="D4924" s="293">
        <v>35999.999892</v>
      </c>
      <c r="E4924" s="293">
        <v>0</v>
      </c>
      <c r="F4924" s="294" t="s">
        <v>316</v>
      </c>
    </row>
    <row r="4925" spans="1:6" hidden="1" outlineLevel="1" collapsed="1" x14ac:dyDescent="0.25">
      <c r="A4925" s="321" t="s">
        <v>282</v>
      </c>
      <c r="B4925" s="321" t="s">
        <v>386</v>
      </c>
      <c r="C4925" s="293">
        <v>2231.9998919999998</v>
      </c>
      <c r="D4925" s="293">
        <v>0</v>
      </c>
      <c r="E4925" s="293">
        <v>-2231.9998919999998</v>
      </c>
      <c r="F4925" s="294" t="s">
        <v>286</v>
      </c>
    </row>
    <row r="4926" spans="1:6" hidden="1" outlineLevel="1" collapsed="1" x14ac:dyDescent="0.25">
      <c r="A4926" s="321" t="s">
        <v>282</v>
      </c>
      <c r="B4926" s="321" t="s">
        <v>387</v>
      </c>
      <c r="C4926" s="293">
        <v>0</v>
      </c>
      <c r="D4926" s="293">
        <v>2231.9998919999998</v>
      </c>
      <c r="E4926" s="293">
        <v>2231.9998919999998</v>
      </c>
      <c r="F4926" s="294" t="s">
        <v>298</v>
      </c>
    </row>
    <row r="4927" spans="1:6" hidden="1" outlineLevel="1" collapsed="1" x14ac:dyDescent="0.25">
      <c r="A4927" s="321" t="s">
        <v>282</v>
      </c>
      <c r="B4927" s="321" t="s">
        <v>388</v>
      </c>
      <c r="C4927" s="293">
        <v>521.99989200000005</v>
      </c>
      <c r="D4927" s="293">
        <v>521.99989200000005</v>
      </c>
      <c r="E4927" s="293">
        <v>0</v>
      </c>
      <c r="F4927" s="294" t="s">
        <v>316</v>
      </c>
    </row>
    <row r="4928" spans="1:6" hidden="1" outlineLevel="1" collapsed="1" x14ac:dyDescent="0.25">
      <c r="A4928" s="321" t="s">
        <v>282</v>
      </c>
      <c r="B4928" s="321" t="s">
        <v>389</v>
      </c>
      <c r="C4928" s="293">
        <v>2982.8735999999999</v>
      </c>
      <c r="D4928" s="293">
        <v>3798.36</v>
      </c>
      <c r="E4928" s="293">
        <v>815.4864</v>
      </c>
      <c r="F4928" s="294" t="s">
        <v>2321</v>
      </c>
    </row>
    <row r="4929" spans="1:6" hidden="1" outlineLevel="1" collapsed="1" x14ac:dyDescent="0.25">
      <c r="A4929" s="321" t="s">
        <v>282</v>
      </c>
      <c r="B4929" s="321" t="s">
        <v>390</v>
      </c>
      <c r="C4929" s="293">
        <v>77426.350000000006</v>
      </c>
      <c r="D4929" s="293">
        <v>111714.96</v>
      </c>
      <c r="E4929" s="293">
        <v>34288.61</v>
      </c>
      <c r="F4929" s="294" t="s">
        <v>2322</v>
      </c>
    </row>
    <row r="4930" spans="1:6" hidden="1" outlineLevel="1" collapsed="1" x14ac:dyDescent="0.25">
      <c r="A4930" s="321" t="s">
        <v>282</v>
      </c>
      <c r="B4930" s="321" t="s">
        <v>392</v>
      </c>
      <c r="C4930" s="293">
        <v>1634.7744</v>
      </c>
      <c r="D4930" s="293">
        <v>1645.92</v>
      </c>
      <c r="E4930" s="293">
        <v>11.1456</v>
      </c>
      <c r="F4930" s="294" t="s">
        <v>2323</v>
      </c>
    </row>
    <row r="4931" spans="1:6" hidden="1" outlineLevel="1" collapsed="1" x14ac:dyDescent="0.25">
      <c r="A4931" s="321" t="s">
        <v>282</v>
      </c>
      <c r="B4931" s="321" t="s">
        <v>393</v>
      </c>
      <c r="C4931" s="293">
        <v>17.999915999999999</v>
      </c>
      <c r="D4931" s="293">
        <v>17.999915999999999</v>
      </c>
      <c r="E4931" s="293">
        <v>0</v>
      </c>
      <c r="F4931" s="294" t="s">
        <v>316</v>
      </c>
    </row>
    <row r="4932" spans="1:6" hidden="1" outlineLevel="1" collapsed="1" x14ac:dyDescent="0.25">
      <c r="A4932" s="321" t="s">
        <v>282</v>
      </c>
      <c r="B4932" s="321" t="s">
        <v>394</v>
      </c>
      <c r="C4932" s="293">
        <v>10500</v>
      </c>
      <c r="D4932" s="293">
        <v>0</v>
      </c>
      <c r="E4932" s="293">
        <v>-10500</v>
      </c>
      <c r="F4932" s="294" t="s">
        <v>286</v>
      </c>
    </row>
    <row r="4933" spans="1:6" hidden="1" outlineLevel="1" collapsed="1" x14ac:dyDescent="0.25">
      <c r="A4933" s="321" t="s">
        <v>282</v>
      </c>
      <c r="B4933" s="321" t="s">
        <v>395</v>
      </c>
      <c r="C4933" s="293">
        <v>0</v>
      </c>
      <c r="D4933" s="293">
        <v>13500</v>
      </c>
      <c r="E4933" s="293">
        <v>13500</v>
      </c>
      <c r="F4933" s="294" t="s">
        <v>298</v>
      </c>
    </row>
    <row r="4934" spans="1:6" hidden="1" outlineLevel="1" collapsed="1" x14ac:dyDescent="0.25">
      <c r="A4934" s="321" t="s">
        <v>282</v>
      </c>
      <c r="B4934" s="321" t="s">
        <v>396</v>
      </c>
      <c r="C4934" s="293">
        <v>347.76</v>
      </c>
      <c r="D4934" s="293">
        <v>0</v>
      </c>
      <c r="E4934" s="293">
        <v>-347.76</v>
      </c>
      <c r="F4934" s="294" t="s">
        <v>286</v>
      </c>
    </row>
    <row r="4935" spans="1:6" hidden="1" outlineLevel="1" collapsed="1" x14ac:dyDescent="0.25">
      <c r="A4935" s="321" t="s">
        <v>282</v>
      </c>
      <c r="B4935" s="321" t="s">
        <v>397</v>
      </c>
      <c r="C4935" s="293">
        <v>0</v>
      </c>
      <c r="D4935" s="293">
        <v>436.32</v>
      </c>
      <c r="E4935" s="293">
        <v>436.32</v>
      </c>
      <c r="F4935" s="294" t="s">
        <v>298</v>
      </c>
    </row>
    <row r="4936" spans="1:6" hidden="1" outlineLevel="1" collapsed="1" x14ac:dyDescent="0.25">
      <c r="A4936" s="321" t="s">
        <v>282</v>
      </c>
      <c r="B4936" s="321" t="s">
        <v>398</v>
      </c>
      <c r="C4936" s="293">
        <v>168</v>
      </c>
      <c r="D4936" s="293">
        <v>99.36</v>
      </c>
      <c r="E4936" s="293">
        <v>-68.64</v>
      </c>
      <c r="F4936" s="294" t="s">
        <v>2324</v>
      </c>
    </row>
    <row r="4937" spans="1:6" hidden="1" outlineLevel="1" collapsed="1" x14ac:dyDescent="0.25">
      <c r="A4937" s="321" t="s">
        <v>282</v>
      </c>
      <c r="B4937" s="321" t="s">
        <v>522</v>
      </c>
      <c r="C4937" s="293">
        <v>6000</v>
      </c>
      <c r="D4937" s="293">
        <v>6000</v>
      </c>
      <c r="E4937" s="293">
        <v>0</v>
      </c>
      <c r="F4937" s="294" t="s">
        <v>316</v>
      </c>
    </row>
    <row r="4938" spans="1:6" hidden="1" outlineLevel="1" collapsed="1" x14ac:dyDescent="0.25">
      <c r="A4938" s="321" t="s">
        <v>282</v>
      </c>
      <c r="B4938" s="321" t="s">
        <v>399</v>
      </c>
      <c r="C4938" s="293">
        <v>700</v>
      </c>
      <c r="D4938" s="293">
        <v>200</v>
      </c>
      <c r="E4938" s="293">
        <v>-500</v>
      </c>
      <c r="F4938" s="294" t="s">
        <v>1108</v>
      </c>
    </row>
    <row r="4939" spans="1:6" hidden="1" outlineLevel="1" collapsed="1" x14ac:dyDescent="0.25">
      <c r="A4939" s="321" t="s">
        <v>282</v>
      </c>
      <c r="B4939" s="321" t="s">
        <v>376</v>
      </c>
      <c r="C4939" s="293">
        <v>1050</v>
      </c>
      <c r="D4939" s="293">
        <v>1000</v>
      </c>
      <c r="E4939" s="293">
        <v>-50</v>
      </c>
      <c r="F4939" s="294" t="s">
        <v>1551</v>
      </c>
    </row>
    <row r="4940" spans="1:6" hidden="1" outlineLevel="1" collapsed="1" x14ac:dyDescent="0.25">
      <c r="A4940" s="321" t="s">
        <v>282</v>
      </c>
      <c r="B4940" s="321" t="s">
        <v>506</v>
      </c>
      <c r="C4940" s="293">
        <v>0</v>
      </c>
      <c r="D4940" s="293">
        <v>12000</v>
      </c>
      <c r="E4940" s="293">
        <v>12000</v>
      </c>
      <c r="F4940" s="294" t="s">
        <v>298</v>
      </c>
    </row>
    <row r="4941" spans="1:6" hidden="1" outlineLevel="1" collapsed="1" x14ac:dyDescent="0.25">
      <c r="A4941" s="321" t="s">
        <v>282</v>
      </c>
      <c r="B4941" s="321" t="s">
        <v>567</v>
      </c>
      <c r="C4941" s="293">
        <v>28000</v>
      </c>
      <c r="D4941" s="293">
        <v>24000</v>
      </c>
      <c r="E4941" s="293">
        <v>-4000</v>
      </c>
      <c r="F4941" s="294" t="s">
        <v>1763</v>
      </c>
    </row>
    <row r="4942" spans="1:6" hidden="1" outlineLevel="1" collapsed="1" x14ac:dyDescent="0.25">
      <c r="A4942" s="321" t="s">
        <v>282</v>
      </c>
      <c r="B4942" s="321" t="s">
        <v>426</v>
      </c>
      <c r="C4942" s="293">
        <v>101920</v>
      </c>
      <c r="D4942" s="293">
        <v>48000</v>
      </c>
      <c r="E4942" s="293">
        <v>-53920</v>
      </c>
      <c r="F4942" s="294" t="s">
        <v>2325</v>
      </c>
    </row>
    <row r="4943" spans="1:6" hidden="1" outlineLevel="1" collapsed="1" x14ac:dyDescent="0.25">
      <c r="A4943" s="321" t="s">
        <v>282</v>
      </c>
      <c r="B4943" s="321" t="s">
        <v>482</v>
      </c>
      <c r="C4943" s="293">
        <v>0</v>
      </c>
      <c r="D4943" s="293">
        <v>500</v>
      </c>
      <c r="E4943" s="293">
        <v>500</v>
      </c>
      <c r="F4943" s="294" t="s">
        <v>298</v>
      </c>
    </row>
    <row r="4944" spans="1:6" hidden="1" outlineLevel="1" collapsed="1" x14ac:dyDescent="0.25">
      <c r="A4944" s="321" t="s">
        <v>282</v>
      </c>
      <c r="B4944" s="321" t="s">
        <v>597</v>
      </c>
      <c r="C4944" s="293">
        <v>32050</v>
      </c>
      <c r="D4944" s="293">
        <v>32000</v>
      </c>
      <c r="E4944" s="293">
        <v>-50</v>
      </c>
      <c r="F4944" s="294" t="s">
        <v>1765</v>
      </c>
    </row>
    <row r="4945" spans="1:6" hidden="1" outlineLevel="1" collapsed="1" x14ac:dyDescent="0.25">
      <c r="A4945" s="321" t="s">
        <v>282</v>
      </c>
      <c r="B4945" s="321" t="s">
        <v>483</v>
      </c>
      <c r="C4945" s="293">
        <v>450</v>
      </c>
      <c r="D4945" s="293">
        <v>450</v>
      </c>
      <c r="E4945" s="293">
        <v>0</v>
      </c>
      <c r="F4945" s="294" t="s">
        <v>316</v>
      </c>
    </row>
    <row r="4946" spans="1:6" hidden="1" outlineLevel="1" collapsed="1" x14ac:dyDescent="0.25">
      <c r="A4946" s="321" t="s">
        <v>282</v>
      </c>
      <c r="B4946" s="321" t="s">
        <v>416</v>
      </c>
      <c r="C4946" s="293">
        <v>450</v>
      </c>
      <c r="D4946" s="293">
        <v>700</v>
      </c>
      <c r="E4946" s="293">
        <v>250</v>
      </c>
      <c r="F4946" s="294" t="s">
        <v>1766</v>
      </c>
    </row>
    <row r="4947" spans="1:6" hidden="1" outlineLevel="1" collapsed="1" x14ac:dyDescent="0.25">
      <c r="A4947" s="321" t="s">
        <v>282</v>
      </c>
      <c r="B4947" s="321" t="s">
        <v>404</v>
      </c>
      <c r="C4947" s="293">
        <v>15000</v>
      </c>
      <c r="D4947" s="293">
        <v>0</v>
      </c>
      <c r="E4947" s="293">
        <v>-15000</v>
      </c>
      <c r="F4947" s="294" t="s">
        <v>286</v>
      </c>
    </row>
    <row r="4948" spans="1:6" hidden="1" outlineLevel="1" collapsed="1" x14ac:dyDescent="0.25">
      <c r="A4948" s="321" t="s">
        <v>282</v>
      </c>
      <c r="B4948" s="321" t="s">
        <v>1767</v>
      </c>
      <c r="C4948" s="293">
        <v>75300</v>
      </c>
      <c r="D4948" s="293">
        <v>0</v>
      </c>
      <c r="E4948" s="293">
        <v>-75300</v>
      </c>
      <c r="F4948" s="294" t="s">
        <v>286</v>
      </c>
    </row>
    <row r="4949" spans="1:6" hidden="1" outlineLevel="1" collapsed="1" x14ac:dyDescent="0.25">
      <c r="A4949" s="321" t="s">
        <v>282</v>
      </c>
      <c r="B4949" s="321" t="s">
        <v>557</v>
      </c>
      <c r="C4949" s="293">
        <v>80</v>
      </c>
      <c r="D4949" s="293">
        <v>80</v>
      </c>
      <c r="E4949" s="293">
        <v>0</v>
      </c>
      <c r="F4949" s="294" t="s">
        <v>316</v>
      </c>
    </row>
    <row r="4950" spans="1:6" hidden="1" outlineLevel="1" collapsed="1" x14ac:dyDescent="0.25">
      <c r="A4950" s="321" t="s">
        <v>282</v>
      </c>
      <c r="B4950" s="321" t="s">
        <v>770</v>
      </c>
      <c r="C4950" s="293">
        <v>2000</v>
      </c>
      <c r="D4950" s="293">
        <v>0</v>
      </c>
      <c r="E4950" s="293">
        <v>-2000</v>
      </c>
      <c r="F4950" s="294" t="s">
        <v>286</v>
      </c>
    </row>
    <row r="4951" spans="1:6" collapsed="1" x14ac:dyDescent="0.25">
      <c r="A4951" s="560" t="s">
        <v>1768</v>
      </c>
      <c r="B4951" s="561"/>
      <c r="C4951" s="292">
        <v>342764.341976</v>
      </c>
      <c r="D4951" s="293">
        <v>403718.58084800001</v>
      </c>
      <c r="E4951" s="293">
        <v>60954.238872000002</v>
      </c>
      <c r="F4951" s="294" t="s">
        <v>1869</v>
      </c>
    </row>
    <row r="4952" spans="1:6" hidden="1" outlineLevel="1" collapsed="1" x14ac:dyDescent="0.25">
      <c r="A4952" s="321" t="s">
        <v>282</v>
      </c>
      <c r="B4952" s="321" t="s">
        <v>942</v>
      </c>
      <c r="C4952" s="293">
        <v>100979.980046</v>
      </c>
      <c r="D4952" s="293">
        <v>117401.352636</v>
      </c>
      <c r="E4952" s="293">
        <v>16421.372589999999</v>
      </c>
      <c r="F4952" s="294" t="s">
        <v>1770</v>
      </c>
    </row>
    <row r="4953" spans="1:6" hidden="1" outlineLevel="1" collapsed="1" x14ac:dyDescent="0.25">
      <c r="A4953" s="321" t="s">
        <v>282</v>
      </c>
      <c r="B4953" s="321" t="s">
        <v>935</v>
      </c>
      <c r="C4953" s="293">
        <v>53000</v>
      </c>
      <c r="D4953" s="293">
        <v>0</v>
      </c>
      <c r="E4953" s="293">
        <v>-53000</v>
      </c>
      <c r="F4953" s="294" t="s">
        <v>286</v>
      </c>
    </row>
    <row r="4954" spans="1:6" hidden="1" outlineLevel="1" collapsed="1" x14ac:dyDescent="0.25">
      <c r="A4954" s="321" t="s">
        <v>282</v>
      </c>
      <c r="B4954" s="321" t="s">
        <v>475</v>
      </c>
      <c r="C4954" s="293">
        <v>5000</v>
      </c>
      <c r="D4954" s="293">
        <v>0</v>
      </c>
      <c r="E4954" s="293">
        <v>-5000</v>
      </c>
      <c r="F4954" s="294" t="s">
        <v>286</v>
      </c>
    </row>
    <row r="4955" spans="1:6" hidden="1" outlineLevel="1" collapsed="1" x14ac:dyDescent="0.25">
      <c r="A4955" s="321" t="s">
        <v>282</v>
      </c>
      <c r="B4955" s="321" t="s">
        <v>384</v>
      </c>
      <c r="C4955" s="293">
        <v>12703.281481</v>
      </c>
      <c r="D4955" s="293">
        <v>0</v>
      </c>
      <c r="E4955" s="293">
        <v>-12703.281481</v>
      </c>
      <c r="F4955" s="294" t="s">
        <v>286</v>
      </c>
    </row>
    <row r="4956" spans="1:6" hidden="1" outlineLevel="1" collapsed="1" x14ac:dyDescent="0.25">
      <c r="A4956" s="321" t="s">
        <v>282</v>
      </c>
      <c r="B4956" s="321" t="s">
        <v>385</v>
      </c>
      <c r="C4956" s="293">
        <v>9000</v>
      </c>
      <c r="D4956" s="293">
        <v>18233.604071999998</v>
      </c>
      <c r="E4956" s="293">
        <v>9233.6040720000001</v>
      </c>
      <c r="F4956" s="294" t="s">
        <v>2326</v>
      </c>
    </row>
    <row r="4957" spans="1:6" hidden="1" outlineLevel="1" collapsed="1" x14ac:dyDescent="0.25">
      <c r="A4957" s="321" t="s">
        <v>282</v>
      </c>
      <c r="B4957" s="321" t="s">
        <v>386</v>
      </c>
      <c r="C4957" s="293">
        <v>6260.7587569999996</v>
      </c>
      <c r="D4957" s="293">
        <v>0</v>
      </c>
      <c r="E4957" s="293">
        <v>-6260.7587569999996</v>
      </c>
      <c r="F4957" s="294" t="s">
        <v>286</v>
      </c>
    </row>
    <row r="4958" spans="1:6" hidden="1" outlineLevel="1" collapsed="1" x14ac:dyDescent="0.25">
      <c r="A4958" s="321" t="s">
        <v>282</v>
      </c>
      <c r="B4958" s="321" t="s">
        <v>387</v>
      </c>
      <c r="C4958" s="293">
        <v>0</v>
      </c>
      <c r="D4958" s="293">
        <v>7278.8838599999999</v>
      </c>
      <c r="E4958" s="293">
        <v>7278.8838599999999</v>
      </c>
      <c r="F4958" s="294" t="s">
        <v>298</v>
      </c>
    </row>
    <row r="4959" spans="1:6" hidden="1" outlineLevel="1" collapsed="1" x14ac:dyDescent="0.25">
      <c r="A4959" s="321" t="s">
        <v>282</v>
      </c>
      <c r="B4959" s="321" t="s">
        <v>388</v>
      </c>
      <c r="C4959" s="293">
        <v>3464.209703</v>
      </c>
      <c r="D4959" s="293">
        <v>1702.319604</v>
      </c>
      <c r="E4959" s="293">
        <v>-1761.890099</v>
      </c>
      <c r="F4959" s="294" t="s">
        <v>1772</v>
      </c>
    </row>
    <row r="4960" spans="1:6" hidden="1" outlineLevel="1" collapsed="1" x14ac:dyDescent="0.25">
      <c r="A4960" s="321" t="s">
        <v>282</v>
      </c>
      <c r="B4960" s="321" t="s">
        <v>480</v>
      </c>
      <c r="C4960" s="293">
        <v>800</v>
      </c>
      <c r="D4960" s="293">
        <v>0</v>
      </c>
      <c r="E4960" s="293">
        <v>-800</v>
      </c>
      <c r="F4960" s="294" t="s">
        <v>286</v>
      </c>
    </row>
    <row r="4961" spans="1:6" hidden="1" outlineLevel="1" collapsed="1" x14ac:dyDescent="0.25">
      <c r="A4961" s="321" t="s">
        <v>282</v>
      </c>
      <c r="B4961" s="321" t="s">
        <v>389</v>
      </c>
      <c r="C4961" s="293">
        <v>390.61439999999999</v>
      </c>
      <c r="D4961" s="293">
        <v>422.04</v>
      </c>
      <c r="E4961" s="293">
        <v>31.425599999999999</v>
      </c>
      <c r="F4961" s="294" t="s">
        <v>691</v>
      </c>
    </row>
    <row r="4962" spans="1:6" hidden="1" outlineLevel="1" collapsed="1" x14ac:dyDescent="0.25">
      <c r="A4962" s="321" t="s">
        <v>282</v>
      </c>
      <c r="B4962" s="321" t="s">
        <v>390</v>
      </c>
      <c r="C4962" s="293">
        <v>14205.39</v>
      </c>
      <c r="D4962" s="293">
        <v>15959.28</v>
      </c>
      <c r="E4962" s="293">
        <v>1753.89</v>
      </c>
      <c r="F4962" s="294" t="s">
        <v>1773</v>
      </c>
    </row>
    <row r="4963" spans="1:6" hidden="1" outlineLevel="1" collapsed="1" x14ac:dyDescent="0.25">
      <c r="A4963" s="321" t="s">
        <v>282</v>
      </c>
      <c r="B4963" s="321" t="s">
        <v>392</v>
      </c>
      <c r="C4963" s="293">
        <v>214.07759999999999</v>
      </c>
      <c r="D4963" s="293">
        <v>182.88</v>
      </c>
      <c r="E4963" s="293">
        <v>-31.197600000000001</v>
      </c>
      <c r="F4963" s="294" t="s">
        <v>692</v>
      </c>
    </row>
    <row r="4964" spans="1:6" hidden="1" outlineLevel="1" collapsed="1" x14ac:dyDescent="0.25">
      <c r="A4964" s="321" t="s">
        <v>282</v>
      </c>
      <c r="B4964" s="321" t="s">
        <v>393</v>
      </c>
      <c r="C4964" s="293">
        <v>50.489989000000001</v>
      </c>
      <c r="D4964" s="293">
        <v>58.700676000000001</v>
      </c>
      <c r="E4964" s="293">
        <v>8.2106870000000001</v>
      </c>
      <c r="F4964" s="294" t="s">
        <v>1770</v>
      </c>
    </row>
    <row r="4965" spans="1:6" hidden="1" outlineLevel="1" collapsed="1" x14ac:dyDescent="0.25">
      <c r="A4965" s="321" t="s">
        <v>282</v>
      </c>
      <c r="B4965" s="321" t="s">
        <v>1774</v>
      </c>
      <c r="C4965" s="293">
        <v>75</v>
      </c>
      <c r="D4965" s="293">
        <v>0</v>
      </c>
      <c r="E4965" s="293">
        <v>-75</v>
      </c>
      <c r="F4965" s="294" t="s">
        <v>286</v>
      </c>
    </row>
    <row r="4966" spans="1:6" hidden="1" outlineLevel="1" collapsed="1" x14ac:dyDescent="0.25">
      <c r="A4966" s="321" t="s">
        <v>282</v>
      </c>
      <c r="B4966" s="321" t="s">
        <v>394</v>
      </c>
      <c r="C4966" s="293">
        <v>1375</v>
      </c>
      <c r="D4966" s="293">
        <v>0</v>
      </c>
      <c r="E4966" s="293">
        <v>-1375</v>
      </c>
      <c r="F4966" s="294" t="s">
        <v>286</v>
      </c>
    </row>
    <row r="4967" spans="1:6" hidden="1" outlineLevel="1" collapsed="1" x14ac:dyDescent="0.25">
      <c r="A4967" s="321" t="s">
        <v>282</v>
      </c>
      <c r="B4967" s="321" t="s">
        <v>395</v>
      </c>
      <c r="C4967" s="293">
        <v>0</v>
      </c>
      <c r="D4967" s="293">
        <v>1500</v>
      </c>
      <c r="E4967" s="293">
        <v>1500</v>
      </c>
      <c r="F4967" s="294" t="s">
        <v>298</v>
      </c>
    </row>
    <row r="4968" spans="1:6" hidden="1" outlineLevel="1" collapsed="1" x14ac:dyDescent="0.25">
      <c r="A4968" s="321" t="s">
        <v>282</v>
      </c>
      <c r="B4968" s="321" t="s">
        <v>396</v>
      </c>
      <c r="C4968" s="293">
        <v>45.54</v>
      </c>
      <c r="D4968" s="293">
        <v>0</v>
      </c>
      <c r="E4968" s="293">
        <v>-45.54</v>
      </c>
      <c r="F4968" s="294" t="s">
        <v>286</v>
      </c>
    </row>
    <row r="4969" spans="1:6" hidden="1" outlineLevel="1" collapsed="1" x14ac:dyDescent="0.25">
      <c r="A4969" s="321" t="s">
        <v>282</v>
      </c>
      <c r="B4969" s="321" t="s">
        <v>397</v>
      </c>
      <c r="C4969" s="293">
        <v>0</v>
      </c>
      <c r="D4969" s="293">
        <v>48.48</v>
      </c>
      <c r="E4969" s="293">
        <v>48.48</v>
      </c>
      <c r="F4969" s="294" t="s">
        <v>298</v>
      </c>
    </row>
    <row r="4970" spans="1:6" hidden="1" outlineLevel="1" collapsed="1" x14ac:dyDescent="0.25">
      <c r="A4970" s="321" t="s">
        <v>282</v>
      </c>
      <c r="B4970" s="321" t="s">
        <v>398</v>
      </c>
      <c r="C4970" s="293">
        <v>22</v>
      </c>
      <c r="D4970" s="293">
        <v>11.04</v>
      </c>
      <c r="E4970" s="293">
        <v>-10.96</v>
      </c>
      <c r="F4970" s="294" t="s">
        <v>695</v>
      </c>
    </row>
    <row r="4971" spans="1:6" hidden="1" outlineLevel="1" collapsed="1" x14ac:dyDescent="0.25">
      <c r="A4971" s="321" t="s">
        <v>282</v>
      </c>
      <c r="B4971" s="321" t="s">
        <v>523</v>
      </c>
      <c r="C4971" s="293">
        <v>1000</v>
      </c>
      <c r="D4971" s="293">
        <v>1000</v>
      </c>
      <c r="E4971" s="293">
        <v>0</v>
      </c>
      <c r="F4971" s="294" t="s">
        <v>316</v>
      </c>
    </row>
    <row r="4972" spans="1:6" hidden="1" outlineLevel="1" collapsed="1" x14ac:dyDescent="0.25">
      <c r="A4972" s="321" t="s">
        <v>282</v>
      </c>
      <c r="B4972" s="321" t="s">
        <v>376</v>
      </c>
      <c r="C4972" s="293">
        <v>1999</v>
      </c>
      <c r="D4972" s="293">
        <v>4000</v>
      </c>
      <c r="E4972" s="293">
        <v>2001</v>
      </c>
      <c r="F4972" s="294" t="s">
        <v>2327</v>
      </c>
    </row>
    <row r="4973" spans="1:6" hidden="1" outlineLevel="1" collapsed="1" x14ac:dyDescent="0.25">
      <c r="A4973" s="321" t="s">
        <v>282</v>
      </c>
      <c r="B4973" s="321" t="s">
        <v>506</v>
      </c>
      <c r="C4973" s="293">
        <v>5000</v>
      </c>
      <c r="D4973" s="293">
        <v>12000</v>
      </c>
      <c r="E4973" s="293">
        <v>7000</v>
      </c>
      <c r="F4973" s="294" t="s">
        <v>1644</v>
      </c>
    </row>
    <row r="4974" spans="1:6" hidden="1" outlineLevel="1" collapsed="1" x14ac:dyDescent="0.25">
      <c r="A4974" s="321" t="s">
        <v>282</v>
      </c>
      <c r="B4974" s="321" t="s">
        <v>567</v>
      </c>
      <c r="C4974" s="293">
        <v>22500</v>
      </c>
      <c r="D4974" s="293">
        <v>18000</v>
      </c>
      <c r="E4974" s="293">
        <v>-4500</v>
      </c>
      <c r="F4974" s="294" t="s">
        <v>859</v>
      </c>
    </row>
    <row r="4975" spans="1:6" hidden="1" outlineLevel="1" collapsed="1" x14ac:dyDescent="0.25">
      <c r="A4975" s="321" t="s">
        <v>282</v>
      </c>
      <c r="B4975" s="321" t="s">
        <v>426</v>
      </c>
      <c r="C4975" s="293">
        <v>12201</v>
      </c>
      <c r="D4975" s="293">
        <v>7500</v>
      </c>
      <c r="E4975" s="293">
        <v>-4701</v>
      </c>
      <c r="F4975" s="294" t="s">
        <v>2328</v>
      </c>
    </row>
    <row r="4976" spans="1:6" hidden="1" outlineLevel="1" collapsed="1" x14ac:dyDescent="0.25">
      <c r="A4976" s="321" t="s">
        <v>282</v>
      </c>
      <c r="B4976" s="321" t="s">
        <v>482</v>
      </c>
      <c r="C4976" s="293">
        <v>500</v>
      </c>
      <c r="D4976" s="293">
        <v>250</v>
      </c>
      <c r="E4976" s="293">
        <v>-250</v>
      </c>
      <c r="F4976" s="294" t="s">
        <v>722</v>
      </c>
    </row>
    <row r="4977" spans="1:6" hidden="1" outlineLevel="1" collapsed="1" x14ac:dyDescent="0.25">
      <c r="A4977" s="321" t="s">
        <v>282</v>
      </c>
      <c r="B4977" s="321" t="s">
        <v>597</v>
      </c>
      <c r="C4977" s="293">
        <v>0</v>
      </c>
      <c r="D4977" s="293">
        <v>250</v>
      </c>
      <c r="E4977" s="293">
        <v>250</v>
      </c>
      <c r="F4977" s="294" t="s">
        <v>298</v>
      </c>
    </row>
    <row r="4978" spans="1:6" hidden="1" outlineLevel="1" collapsed="1" x14ac:dyDescent="0.25">
      <c r="A4978" s="321" t="s">
        <v>282</v>
      </c>
      <c r="B4978" s="321" t="s">
        <v>842</v>
      </c>
      <c r="C4978" s="293">
        <v>0</v>
      </c>
      <c r="D4978" s="293">
        <v>500</v>
      </c>
      <c r="E4978" s="293">
        <v>500</v>
      </c>
      <c r="F4978" s="294" t="s">
        <v>298</v>
      </c>
    </row>
    <row r="4979" spans="1:6" hidden="1" outlineLevel="1" collapsed="1" x14ac:dyDescent="0.25">
      <c r="A4979" s="321" t="s">
        <v>282</v>
      </c>
      <c r="B4979" s="321" t="s">
        <v>416</v>
      </c>
      <c r="C4979" s="293">
        <v>2000</v>
      </c>
      <c r="D4979" s="293">
        <v>1000</v>
      </c>
      <c r="E4979" s="293">
        <v>-1000</v>
      </c>
      <c r="F4979" s="294" t="s">
        <v>722</v>
      </c>
    </row>
    <row r="4980" spans="1:6" hidden="1" outlineLevel="1" collapsed="1" x14ac:dyDescent="0.25">
      <c r="A4980" s="321" t="s">
        <v>282</v>
      </c>
      <c r="B4980" s="321" t="s">
        <v>448</v>
      </c>
      <c r="C4980" s="293">
        <v>1920</v>
      </c>
      <c r="D4980" s="293">
        <v>7000</v>
      </c>
      <c r="E4980" s="293">
        <v>5080</v>
      </c>
      <c r="F4980" s="294" t="s">
        <v>2329</v>
      </c>
    </row>
    <row r="4981" spans="1:6" hidden="1" outlineLevel="1" collapsed="1" x14ac:dyDescent="0.25">
      <c r="A4981" s="321" t="s">
        <v>282</v>
      </c>
      <c r="B4981" s="321" t="s">
        <v>626</v>
      </c>
      <c r="C4981" s="293">
        <v>74607</v>
      </c>
      <c r="D4981" s="293">
        <v>185420</v>
      </c>
      <c r="E4981" s="293">
        <v>110813</v>
      </c>
      <c r="F4981" s="294" t="s">
        <v>2330</v>
      </c>
    </row>
    <row r="4982" spans="1:6" hidden="1" outlineLevel="1" collapsed="1" x14ac:dyDescent="0.25">
      <c r="A4982" s="321" t="s">
        <v>282</v>
      </c>
      <c r="B4982" s="321" t="s">
        <v>405</v>
      </c>
      <c r="C4982" s="293">
        <v>3318</v>
      </c>
      <c r="D4982" s="293">
        <v>2000</v>
      </c>
      <c r="E4982" s="293">
        <v>-1318</v>
      </c>
      <c r="F4982" s="294" t="s">
        <v>2331</v>
      </c>
    </row>
    <row r="4983" spans="1:6" hidden="1" outlineLevel="1" collapsed="1" x14ac:dyDescent="0.25">
      <c r="A4983" s="321" t="s">
        <v>282</v>
      </c>
      <c r="B4983" s="321" t="s">
        <v>557</v>
      </c>
      <c r="C4983" s="293">
        <v>5500</v>
      </c>
      <c r="D4983" s="293">
        <v>0</v>
      </c>
      <c r="E4983" s="293">
        <v>-5500</v>
      </c>
      <c r="F4983" s="294" t="s">
        <v>286</v>
      </c>
    </row>
    <row r="4984" spans="1:6" hidden="1" outlineLevel="1" collapsed="1" x14ac:dyDescent="0.25">
      <c r="A4984" s="321" t="s">
        <v>282</v>
      </c>
      <c r="B4984" s="321" t="s">
        <v>422</v>
      </c>
      <c r="C4984" s="293">
        <v>4633</v>
      </c>
      <c r="D4984" s="293">
        <v>2000</v>
      </c>
      <c r="E4984" s="293">
        <v>-2633</v>
      </c>
      <c r="F4984" s="294" t="s">
        <v>1781</v>
      </c>
    </row>
    <row r="4985" spans="1:6" collapsed="1" x14ac:dyDescent="0.25">
      <c r="A4985" s="560" t="s">
        <v>1782</v>
      </c>
      <c r="B4985" s="561"/>
      <c r="C4985" s="292">
        <v>511731.71753800003</v>
      </c>
      <c r="D4985" s="293">
        <v>596667.18293699995</v>
      </c>
      <c r="E4985" s="293">
        <v>84935.465398999993</v>
      </c>
      <c r="F4985" s="294" t="s">
        <v>2332</v>
      </c>
    </row>
    <row r="4986" spans="1:6" hidden="1" outlineLevel="1" collapsed="1" x14ac:dyDescent="0.25">
      <c r="A4986" s="321" t="s">
        <v>282</v>
      </c>
      <c r="B4986" s="321" t="s">
        <v>942</v>
      </c>
      <c r="C4986" s="293">
        <v>175879.62425699999</v>
      </c>
      <c r="D4986" s="293">
        <v>213784.51465699999</v>
      </c>
      <c r="E4986" s="293">
        <v>37904.890399999997</v>
      </c>
      <c r="F4986" s="294" t="s">
        <v>2333</v>
      </c>
    </row>
    <row r="4987" spans="1:6" hidden="1" outlineLevel="1" collapsed="1" x14ac:dyDescent="0.25">
      <c r="A4987" s="321" t="s">
        <v>282</v>
      </c>
      <c r="B4987" s="321" t="s">
        <v>1097</v>
      </c>
      <c r="C4987" s="293">
        <v>78160.132635999995</v>
      </c>
      <c r="D4987" s="293">
        <v>79319.782552000004</v>
      </c>
      <c r="E4987" s="293">
        <v>1159.6499160000001</v>
      </c>
      <c r="F4987" s="294" t="s">
        <v>512</v>
      </c>
    </row>
    <row r="4988" spans="1:6" hidden="1" outlineLevel="1" collapsed="1" x14ac:dyDescent="0.25">
      <c r="A4988" s="321" t="s">
        <v>282</v>
      </c>
      <c r="B4988" s="321" t="s">
        <v>384</v>
      </c>
      <c r="C4988" s="293">
        <v>31851.271406</v>
      </c>
      <c r="D4988" s="293">
        <v>0</v>
      </c>
      <c r="E4988" s="293">
        <v>-31851.271406</v>
      </c>
      <c r="F4988" s="294" t="s">
        <v>286</v>
      </c>
    </row>
    <row r="4989" spans="1:6" hidden="1" outlineLevel="1" collapsed="1" x14ac:dyDescent="0.25">
      <c r="A4989" s="321" t="s">
        <v>282</v>
      </c>
      <c r="B4989" s="321" t="s">
        <v>385</v>
      </c>
      <c r="C4989" s="293">
        <v>0</v>
      </c>
      <c r="D4989" s="293">
        <v>45390.014886999998</v>
      </c>
      <c r="E4989" s="293">
        <v>45390.014886999998</v>
      </c>
      <c r="F4989" s="294" t="s">
        <v>298</v>
      </c>
    </row>
    <row r="4990" spans="1:6" hidden="1" outlineLevel="1" collapsed="1" x14ac:dyDescent="0.25">
      <c r="A4990" s="321" t="s">
        <v>282</v>
      </c>
      <c r="B4990" s="321" t="s">
        <v>386</v>
      </c>
      <c r="C4990" s="293">
        <v>16568.864906999999</v>
      </c>
      <c r="D4990" s="293">
        <v>0</v>
      </c>
      <c r="E4990" s="293">
        <v>-16568.864906999999</v>
      </c>
      <c r="F4990" s="294" t="s">
        <v>286</v>
      </c>
    </row>
    <row r="4991" spans="1:6" hidden="1" outlineLevel="1" collapsed="1" x14ac:dyDescent="0.25">
      <c r="A4991" s="321" t="s">
        <v>282</v>
      </c>
      <c r="B4991" s="321" t="s">
        <v>387</v>
      </c>
      <c r="C4991" s="293">
        <v>0</v>
      </c>
      <c r="D4991" s="293">
        <v>18990.866414</v>
      </c>
      <c r="E4991" s="293">
        <v>18990.866414</v>
      </c>
      <c r="F4991" s="294" t="s">
        <v>298</v>
      </c>
    </row>
    <row r="4992" spans="1:6" hidden="1" outlineLevel="1" collapsed="1" x14ac:dyDescent="0.25">
      <c r="A4992" s="321" t="s">
        <v>282</v>
      </c>
      <c r="B4992" s="321" t="s">
        <v>388</v>
      </c>
      <c r="C4992" s="293">
        <v>3874.9764620000001</v>
      </c>
      <c r="D4992" s="293">
        <v>4441.4122969999999</v>
      </c>
      <c r="E4992" s="293">
        <v>566.435835</v>
      </c>
      <c r="F4992" s="294" t="s">
        <v>2334</v>
      </c>
    </row>
    <row r="4993" spans="1:6" hidden="1" outlineLevel="1" collapsed="1" x14ac:dyDescent="0.25">
      <c r="A4993" s="321" t="s">
        <v>282</v>
      </c>
      <c r="B4993" s="321" t="s">
        <v>389</v>
      </c>
      <c r="C4993" s="293">
        <v>852.24959999999999</v>
      </c>
      <c r="D4993" s="293">
        <v>844.08</v>
      </c>
      <c r="E4993" s="293">
        <v>-8.1696000000000009</v>
      </c>
      <c r="F4993" s="294" t="s">
        <v>364</v>
      </c>
    </row>
    <row r="4994" spans="1:6" hidden="1" outlineLevel="1" collapsed="1" x14ac:dyDescent="0.25">
      <c r="A4994" s="321" t="s">
        <v>282</v>
      </c>
      <c r="B4994" s="321" t="s">
        <v>390</v>
      </c>
      <c r="C4994" s="293">
        <v>30970.54</v>
      </c>
      <c r="D4994" s="293">
        <v>31918.560000000001</v>
      </c>
      <c r="E4994" s="293">
        <v>948.02</v>
      </c>
      <c r="F4994" s="294" t="s">
        <v>391</v>
      </c>
    </row>
    <row r="4995" spans="1:6" hidden="1" outlineLevel="1" collapsed="1" x14ac:dyDescent="0.25">
      <c r="A4995" s="321" t="s">
        <v>282</v>
      </c>
      <c r="B4995" s="321" t="s">
        <v>392</v>
      </c>
      <c r="C4995" s="293">
        <v>467.07839999999999</v>
      </c>
      <c r="D4995" s="293">
        <v>365.76</v>
      </c>
      <c r="E4995" s="293">
        <v>-101.3184</v>
      </c>
      <c r="F4995" s="294" t="s">
        <v>368</v>
      </c>
    </row>
    <row r="4996" spans="1:6" hidden="1" outlineLevel="1" collapsed="1" x14ac:dyDescent="0.25">
      <c r="A4996" s="321" t="s">
        <v>282</v>
      </c>
      <c r="B4996" s="321" t="s">
        <v>393</v>
      </c>
      <c r="C4996" s="293">
        <v>133.61986999999999</v>
      </c>
      <c r="D4996" s="293">
        <v>153.15213</v>
      </c>
      <c r="E4996" s="293">
        <v>19.532260000000001</v>
      </c>
      <c r="F4996" s="294" t="s">
        <v>2334</v>
      </c>
    </row>
    <row r="4997" spans="1:6" hidden="1" outlineLevel="1" collapsed="1" x14ac:dyDescent="0.25">
      <c r="A4997" s="321" t="s">
        <v>282</v>
      </c>
      <c r="B4997" s="321" t="s">
        <v>394</v>
      </c>
      <c r="C4997" s="293">
        <v>3000</v>
      </c>
      <c r="D4997" s="293">
        <v>0</v>
      </c>
      <c r="E4997" s="293">
        <v>-3000</v>
      </c>
      <c r="F4997" s="294" t="s">
        <v>286</v>
      </c>
    </row>
    <row r="4998" spans="1:6" hidden="1" outlineLevel="1" collapsed="1" x14ac:dyDescent="0.25">
      <c r="A4998" s="321" t="s">
        <v>282</v>
      </c>
      <c r="B4998" s="321" t="s">
        <v>395</v>
      </c>
      <c r="C4998" s="293">
        <v>0</v>
      </c>
      <c r="D4998" s="293">
        <v>3000</v>
      </c>
      <c r="E4998" s="293">
        <v>3000</v>
      </c>
      <c r="F4998" s="294" t="s">
        <v>298</v>
      </c>
    </row>
    <row r="4999" spans="1:6" hidden="1" outlineLevel="1" collapsed="1" x14ac:dyDescent="0.25">
      <c r="A4999" s="321" t="s">
        <v>282</v>
      </c>
      <c r="B4999" s="321" t="s">
        <v>396</v>
      </c>
      <c r="C4999" s="293">
        <v>99.36</v>
      </c>
      <c r="D4999" s="293">
        <v>0</v>
      </c>
      <c r="E4999" s="293">
        <v>-99.36</v>
      </c>
      <c r="F4999" s="294" t="s">
        <v>286</v>
      </c>
    </row>
    <row r="5000" spans="1:6" hidden="1" outlineLevel="1" collapsed="1" x14ac:dyDescent="0.25">
      <c r="A5000" s="321" t="s">
        <v>282</v>
      </c>
      <c r="B5000" s="321" t="s">
        <v>397</v>
      </c>
      <c r="C5000" s="293">
        <v>0</v>
      </c>
      <c r="D5000" s="293">
        <v>96.96</v>
      </c>
      <c r="E5000" s="293">
        <v>96.96</v>
      </c>
      <c r="F5000" s="294" t="s">
        <v>298</v>
      </c>
    </row>
    <row r="5001" spans="1:6" hidden="1" outlineLevel="1" collapsed="1" x14ac:dyDescent="0.25">
      <c r="A5001" s="321" t="s">
        <v>282</v>
      </c>
      <c r="B5001" s="321" t="s">
        <v>398</v>
      </c>
      <c r="C5001" s="293">
        <v>48</v>
      </c>
      <c r="D5001" s="293">
        <v>22.08</v>
      </c>
      <c r="E5001" s="293">
        <v>-25.92</v>
      </c>
      <c r="F5001" s="294" t="s">
        <v>374</v>
      </c>
    </row>
    <row r="5002" spans="1:6" hidden="1" outlineLevel="1" collapsed="1" x14ac:dyDescent="0.25">
      <c r="A5002" s="321" t="s">
        <v>282</v>
      </c>
      <c r="B5002" s="321" t="s">
        <v>399</v>
      </c>
      <c r="C5002" s="293">
        <v>110</v>
      </c>
      <c r="D5002" s="293">
        <v>100</v>
      </c>
      <c r="E5002" s="293">
        <v>-10</v>
      </c>
      <c r="F5002" s="294" t="s">
        <v>1813</v>
      </c>
    </row>
    <row r="5003" spans="1:6" hidden="1" outlineLevel="1" collapsed="1" x14ac:dyDescent="0.25">
      <c r="A5003" s="321" t="s">
        <v>282</v>
      </c>
      <c r="B5003" s="321" t="s">
        <v>376</v>
      </c>
      <c r="C5003" s="293">
        <v>340</v>
      </c>
      <c r="D5003" s="293">
        <v>340</v>
      </c>
      <c r="E5003" s="293">
        <v>0</v>
      </c>
      <c r="F5003" s="294" t="s">
        <v>316</v>
      </c>
    </row>
    <row r="5004" spans="1:6" hidden="1" outlineLevel="1" collapsed="1" x14ac:dyDescent="0.25">
      <c r="A5004" s="321" t="s">
        <v>282</v>
      </c>
      <c r="B5004" s="321" t="s">
        <v>662</v>
      </c>
      <c r="C5004" s="293">
        <v>0</v>
      </c>
      <c r="D5004" s="293">
        <v>450</v>
      </c>
      <c r="E5004" s="293">
        <v>450</v>
      </c>
      <c r="F5004" s="294" t="s">
        <v>298</v>
      </c>
    </row>
    <row r="5005" spans="1:6" hidden="1" outlineLevel="1" collapsed="1" x14ac:dyDescent="0.25">
      <c r="A5005" s="321" t="s">
        <v>282</v>
      </c>
      <c r="B5005" s="321" t="s">
        <v>506</v>
      </c>
      <c r="C5005" s="293">
        <v>2150</v>
      </c>
      <c r="D5005" s="293">
        <v>1450</v>
      </c>
      <c r="E5005" s="293">
        <v>-700</v>
      </c>
      <c r="F5005" s="294" t="s">
        <v>1785</v>
      </c>
    </row>
    <row r="5006" spans="1:6" hidden="1" outlineLevel="1" collapsed="1" x14ac:dyDescent="0.25">
      <c r="A5006" s="321" t="s">
        <v>282</v>
      </c>
      <c r="B5006" s="321" t="s">
        <v>567</v>
      </c>
      <c r="C5006" s="293">
        <v>51700</v>
      </c>
      <c r="D5006" s="293">
        <v>75000</v>
      </c>
      <c r="E5006" s="293">
        <v>23300</v>
      </c>
      <c r="F5006" s="294" t="s">
        <v>2335</v>
      </c>
    </row>
    <row r="5007" spans="1:6" hidden="1" outlineLevel="1" collapsed="1" x14ac:dyDescent="0.25">
      <c r="A5007" s="321" t="s">
        <v>282</v>
      </c>
      <c r="B5007" s="321" t="s">
        <v>426</v>
      </c>
      <c r="C5007" s="293">
        <v>11000</v>
      </c>
      <c r="D5007" s="293">
        <v>11200</v>
      </c>
      <c r="E5007" s="293">
        <v>200</v>
      </c>
      <c r="F5007" s="294" t="s">
        <v>1787</v>
      </c>
    </row>
    <row r="5008" spans="1:6" hidden="1" outlineLevel="1" collapsed="1" x14ac:dyDescent="0.25">
      <c r="A5008" s="321" t="s">
        <v>282</v>
      </c>
      <c r="B5008" s="321" t="s">
        <v>1103</v>
      </c>
      <c r="C5008" s="293">
        <v>12000</v>
      </c>
      <c r="D5008" s="293">
        <v>12000</v>
      </c>
      <c r="E5008" s="293">
        <v>0</v>
      </c>
      <c r="F5008" s="294" t="s">
        <v>316</v>
      </c>
    </row>
    <row r="5009" spans="1:6" hidden="1" outlineLevel="1" collapsed="1" x14ac:dyDescent="0.25">
      <c r="A5009" s="321" t="s">
        <v>282</v>
      </c>
      <c r="B5009" s="321" t="s">
        <v>952</v>
      </c>
      <c r="C5009" s="293">
        <v>1500</v>
      </c>
      <c r="D5009" s="293">
        <v>1800</v>
      </c>
      <c r="E5009" s="293">
        <v>300</v>
      </c>
      <c r="F5009" s="294" t="s">
        <v>882</v>
      </c>
    </row>
    <row r="5010" spans="1:6" hidden="1" outlineLevel="1" collapsed="1" x14ac:dyDescent="0.25">
      <c r="A5010" s="321" t="s">
        <v>282</v>
      </c>
      <c r="B5010" s="321" t="s">
        <v>482</v>
      </c>
      <c r="C5010" s="293">
        <v>1750</v>
      </c>
      <c r="D5010" s="293">
        <v>1500</v>
      </c>
      <c r="E5010" s="293">
        <v>-250</v>
      </c>
      <c r="F5010" s="294" t="s">
        <v>1763</v>
      </c>
    </row>
    <row r="5011" spans="1:6" hidden="1" outlineLevel="1" collapsed="1" x14ac:dyDescent="0.25">
      <c r="A5011" s="321" t="s">
        <v>282</v>
      </c>
      <c r="B5011" s="321" t="s">
        <v>597</v>
      </c>
      <c r="C5011" s="293">
        <v>700</v>
      </c>
      <c r="D5011" s="293">
        <v>0</v>
      </c>
      <c r="E5011" s="293">
        <v>-700</v>
      </c>
      <c r="F5011" s="294" t="s">
        <v>286</v>
      </c>
    </row>
    <row r="5012" spans="1:6" hidden="1" outlineLevel="1" collapsed="1" x14ac:dyDescent="0.25">
      <c r="A5012" s="321" t="s">
        <v>282</v>
      </c>
      <c r="B5012" s="321" t="s">
        <v>448</v>
      </c>
      <c r="C5012" s="293">
        <v>1100</v>
      </c>
      <c r="D5012" s="293">
        <v>1800</v>
      </c>
      <c r="E5012" s="293">
        <v>700</v>
      </c>
      <c r="F5012" s="294" t="s">
        <v>1604</v>
      </c>
    </row>
    <row r="5013" spans="1:6" hidden="1" outlineLevel="1" collapsed="1" x14ac:dyDescent="0.25">
      <c r="A5013" s="321" t="s">
        <v>282</v>
      </c>
      <c r="B5013" s="321" t="s">
        <v>403</v>
      </c>
      <c r="C5013" s="293">
        <v>240</v>
      </c>
      <c r="D5013" s="293">
        <v>0</v>
      </c>
      <c r="E5013" s="293">
        <v>-240</v>
      </c>
      <c r="F5013" s="294" t="s">
        <v>286</v>
      </c>
    </row>
    <row r="5014" spans="1:6" hidden="1" outlineLevel="1" collapsed="1" x14ac:dyDescent="0.25">
      <c r="A5014" s="321" t="s">
        <v>282</v>
      </c>
      <c r="B5014" s="321" t="s">
        <v>1788</v>
      </c>
      <c r="C5014" s="293">
        <v>2250</v>
      </c>
      <c r="D5014" s="293">
        <v>2000</v>
      </c>
      <c r="E5014" s="293">
        <v>-250</v>
      </c>
      <c r="F5014" s="294" t="s">
        <v>1555</v>
      </c>
    </row>
    <row r="5015" spans="1:6" hidden="1" outlineLevel="1" collapsed="1" x14ac:dyDescent="0.25">
      <c r="A5015" s="321" t="s">
        <v>282</v>
      </c>
      <c r="B5015" s="321" t="s">
        <v>404</v>
      </c>
      <c r="C5015" s="293">
        <v>80500</v>
      </c>
      <c r="D5015" s="293">
        <v>80000</v>
      </c>
      <c r="E5015" s="293">
        <v>-500</v>
      </c>
      <c r="F5015" s="294" t="s">
        <v>2336</v>
      </c>
    </row>
    <row r="5016" spans="1:6" hidden="1" outlineLevel="1" collapsed="1" x14ac:dyDescent="0.25">
      <c r="A5016" s="321" t="s">
        <v>282</v>
      </c>
      <c r="B5016" s="321" t="s">
        <v>626</v>
      </c>
      <c r="C5016" s="293">
        <v>240</v>
      </c>
      <c r="D5016" s="293">
        <v>500</v>
      </c>
      <c r="E5016" s="293">
        <v>260</v>
      </c>
      <c r="F5016" s="294" t="s">
        <v>1648</v>
      </c>
    </row>
    <row r="5017" spans="1:6" hidden="1" outlineLevel="1" collapsed="1" x14ac:dyDescent="0.25">
      <c r="A5017" s="321" t="s">
        <v>282</v>
      </c>
      <c r="B5017" s="321" t="s">
        <v>405</v>
      </c>
      <c r="C5017" s="293">
        <v>1296</v>
      </c>
      <c r="D5017" s="293">
        <v>7500</v>
      </c>
      <c r="E5017" s="293">
        <v>6204</v>
      </c>
      <c r="F5017" s="294" t="s">
        <v>1790</v>
      </c>
    </row>
    <row r="5018" spans="1:6" hidden="1" outlineLevel="1" collapsed="1" x14ac:dyDescent="0.25">
      <c r="A5018" s="321" t="s">
        <v>282</v>
      </c>
      <c r="B5018" s="321" t="s">
        <v>557</v>
      </c>
      <c r="C5018" s="293">
        <v>250</v>
      </c>
      <c r="D5018" s="293">
        <v>0</v>
      </c>
      <c r="E5018" s="293">
        <v>-250</v>
      </c>
      <c r="F5018" s="294" t="s">
        <v>286</v>
      </c>
    </row>
    <row r="5019" spans="1:6" hidden="1" outlineLevel="1" collapsed="1" x14ac:dyDescent="0.25">
      <c r="A5019" s="321" t="s">
        <v>282</v>
      </c>
      <c r="B5019" s="321" t="s">
        <v>770</v>
      </c>
      <c r="C5019" s="293">
        <v>2700</v>
      </c>
      <c r="D5019" s="293">
        <v>2700</v>
      </c>
      <c r="E5019" s="293">
        <v>0</v>
      </c>
      <c r="F5019" s="294" t="s">
        <v>316</v>
      </c>
    </row>
    <row r="5020" spans="1:6" collapsed="1" x14ac:dyDescent="0.25">
      <c r="A5020" s="560" t="s">
        <v>1791</v>
      </c>
      <c r="B5020" s="561"/>
      <c r="C5020" s="292">
        <v>302413.05186800001</v>
      </c>
      <c r="D5020" s="293">
        <v>317580.177012</v>
      </c>
      <c r="E5020" s="293">
        <v>15167.125144</v>
      </c>
      <c r="F5020" s="294" t="s">
        <v>765</v>
      </c>
    </row>
    <row r="5021" spans="1:6" hidden="1" outlineLevel="1" collapsed="1" x14ac:dyDescent="0.25">
      <c r="A5021" s="321" t="s">
        <v>282</v>
      </c>
      <c r="B5021" s="321" t="s">
        <v>942</v>
      </c>
      <c r="C5021" s="293">
        <v>84413.709587999998</v>
      </c>
      <c r="D5021" s="293">
        <v>106491.270072</v>
      </c>
      <c r="E5021" s="293">
        <v>22077.560484000001</v>
      </c>
      <c r="F5021" s="294" t="s">
        <v>1793</v>
      </c>
    </row>
    <row r="5022" spans="1:6" hidden="1" outlineLevel="1" collapsed="1" x14ac:dyDescent="0.25">
      <c r="A5022" s="321" t="s">
        <v>282</v>
      </c>
      <c r="B5022" s="321" t="s">
        <v>384</v>
      </c>
      <c r="C5022" s="293">
        <v>12570.40266</v>
      </c>
      <c r="D5022" s="293">
        <v>0</v>
      </c>
      <c r="E5022" s="293">
        <v>-12570.40266</v>
      </c>
      <c r="F5022" s="294" t="s">
        <v>286</v>
      </c>
    </row>
    <row r="5023" spans="1:6" hidden="1" outlineLevel="1" collapsed="1" x14ac:dyDescent="0.25">
      <c r="A5023" s="321" t="s">
        <v>282</v>
      </c>
      <c r="B5023" s="321" t="s">
        <v>385</v>
      </c>
      <c r="C5023" s="293">
        <v>0</v>
      </c>
      <c r="D5023" s="293">
        <v>16539.159156000002</v>
      </c>
      <c r="E5023" s="293">
        <v>16539.159156000002</v>
      </c>
      <c r="F5023" s="294" t="s">
        <v>298</v>
      </c>
    </row>
    <row r="5024" spans="1:6" hidden="1" outlineLevel="1" collapsed="1" x14ac:dyDescent="0.25">
      <c r="A5024" s="321" t="s">
        <v>282</v>
      </c>
      <c r="B5024" s="321" t="s">
        <v>386</v>
      </c>
      <c r="C5024" s="293">
        <v>6232.4699879999998</v>
      </c>
      <c r="D5024" s="293">
        <v>0</v>
      </c>
      <c r="E5024" s="293">
        <v>-6232.4699879999998</v>
      </c>
      <c r="F5024" s="294" t="s">
        <v>286</v>
      </c>
    </row>
    <row r="5025" spans="1:6" hidden="1" outlineLevel="1" collapsed="1" x14ac:dyDescent="0.25">
      <c r="A5025" s="321" t="s">
        <v>282</v>
      </c>
      <c r="B5025" s="321" t="s">
        <v>387</v>
      </c>
      <c r="C5025" s="293">
        <v>0</v>
      </c>
      <c r="D5025" s="293">
        <v>6639.6587399999999</v>
      </c>
      <c r="E5025" s="293">
        <v>6639.6587399999999</v>
      </c>
      <c r="F5025" s="294" t="s">
        <v>298</v>
      </c>
    </row>
    <row r="5026" spans="1:6" hidden="1" outlineLevel="1" collapsed="1" x14ac:dyDescent="0.25">
      <c r="A5026" s="321" t="s">
        <v>282</v>
      </c>
      <c r="B5026" s="321" t="s">
        <v>388</v>
      </c>
      <c r="C5026" s="293">
        <v>1457.5937879999999</v>
      </c>
      <c r="D5026" s="293">
        <v>1552.823412</v>
      </c>
      <c r="E5026" s="293">
        <v>95.229624000000001</v>
      </c>
      <c r="F5026" s="294" t="s">
        <v>644</v>
      </c>
    </row>
    <row r="5027" spans="1:6" hidden="1" outlineLevel="1" collapsed="1" x14ac:dyDescent="0.25">
      <c r="A5027" s="321" t="s">
        <v>282</v>
      </c>
      <c r="B5027" s="321" t="s">
        <v>389</v>
      </c>
      <c r="C5027" s="293">
        <v>426.12479999999999</v>
      </c>
      <c r="D5027" s="293">
        <v>422.04</v>
      </c>
      <c r="E5027" s="293">
        <v>-4.0848000000000004</v>
      </c>
      <c r="F5027" s="294" t="s">
        <v>364</v>
      </c>
    </row>
    <row r="5028" spans="1:6" hidden="1" outlineLevel="1" collapsed="1" x14ac:dyDescent="0.25">
      <c r="A5028" s="321" t="s">
        <v>282</v>
      </c>
      <c r="B5028" s="321" t="s">
        <v>390</v>
      </c>
      <c r="C5028" s="293">
        <v>15485.27</v>
      </c>
      <c r="D5028" s="293">
        <v>15959.28</v>
      </c>
      <c r="E5028" s="293">
        <v>474.01</v>
      </c>
      <c r="F5028" s="294" t="s">
        <v>391</v>
      </c>
    </row>
    <row r="5029" spans="1:6" hidden="1" outlineLevel="1" collapsed="1" x14ac:dyDescent="0.25">
      <c r="A5029" s="321" t="s">
        <v>282</v>
      </c>
      <c r="B5029" s="321" t="s">
        <v>392</v>
      </c>
      <c r="C5029" s="293">
        <v>233.53919999999999</v>
      </c>
      <c r="D5029" s="293">
        <v>182.88</v>
      </c>
      <c r="E5029" s="293">
        <v>-50.659199999999998</v>
      </c>
      <c r="F5029" s="294" t="s">
        <v>368</v>
      </c>
    </row>
    <row r="5030" spans="1:6" hidden="1" outlineLevel="1" collapsed="1" x14ac:dyDescent="0.25">
      <c r="A5030" s="321" t="s">
        <v>282</v>
      </c>
      <c r="B5030" s="321" t="s">
        <v>393</v>
      </c>
      <c r="C5030" s="293">
        <v>50.261844000000004</v>
      </c>
      <c r="D5030" s="293">
        <v>53.545631999999998</v>
      </c>
      <c r="E5030" s="293">
        <v>3.2837879999999999</v>
      </c>
      <c r="F5030" s="294" t="s">
        <v>644</v>
      </c>
    </row>
    <row r="5031" spans="1:6" hidden="1" outlineLevel="1" collapsed="1" x14ac:dyDescent="0.25">
      <c r="A5031" s="321" t="s">
        <v>282</v>
      </c>
      <c r="B5031" s="321" t="s">
        <v>394</v>
      </c>
      <c r="C5031" s="293">
        <v>1500</v>
      </c>
      <c r="D5031" s="293">
        <v>0</v>
      </c>
      <c r="E5031" s="293">
        <v>-1500</v>
      </c>
      <c r="F5031" s="294" t="s">
        <v>286</v>
      </c>
    </row>
    <row r="5032" spans="1:6" hidden="1" outlineLevel="1" collapsed="1" x14ac:dyDescent="0.25">
      <c r="A5032" s="321" t="s">
        <v>282</v>
      </c>
      <c r="B5032" s="321" t="s">
        <v>395</v>
      </c>
      <c r="C5032" s="293">
        <v>0</v>
      </c>
      <c r="D5032" s="293">
        <v>1500</v>
      </c>
      <c r="E5032" s="293">
        <v>1500</v>
      </c>
      <c r="F5032" s="294" t="s">
        <v>298</v>
      </c>
    </row>
    <row r="5033" spans="1:6" hidden="1" outlineLevel="1" collapsed="1" x14ac:dyDescent="0.25">
      <c r="A5033" s="321" t="s">
        <v>282</v>
      </c>
      <c r="B5033" s="321" t="s">
        <v>396</v>
      </c>
      <c r="C5033" s="293">
        <v>49.68</v>
      </c>
      <c r="D5033" s="293">
        <v>0</v>
      </c>
      <c r="E5033" s="293">
        <v>-49.68</v>
      </c>
      <c r="F5033" s="294" t="s">
        <v>286</v>
      </c>
    </row>
    <row r="5034" spans="1:6" hidden="1" outlineLevel="1" collapsed="1" x14ac:dyDescent="0.25">
      <c r="A5034" s="321" t="s">
        <v>282</v>
      </c>
      <c r="B5034" s="321" t="s">
        <v>397</v>
      </c>
      <c r="C5034" s="293">
        <v>0</v>
      </c>
      <c r="D5034" s="293">
        <v>48.48</v>
      </c>
      <c r="E5034" s="293">
        <v>48.48</v>
      </c>
      <c r="F5034" s="294" t="s">
        <v>298</v>
      </c>
    </row>
    <row r="5035" spans="1:6" hidden="1" outlineLevel="1" collapsed="1" x14ac:dyDescent="0.25">
      <c r="A5035" s="321" t="s">
        <v>282</v>
      </c>
      <c r="B5035" s="321" t="s">
        <v>398</v>
      </c>
      <c r="C5035" s="293">
        <v>24</v>
      </c>
      <c r="D5035" s="293">
        <v>11.04</v>
      </c>
      <c r="E5035" s="293">
        <v>-12.96</v>
      </c>
      <c r="F5035" s="294" t="s">
        <v>374</v>
      </c>
    </row>
    <row r="5036" spans="1:6" hidden="1" outlineLevel="1" collapsed="1" x14ac:dyDescent="0.25">
      <c r="A5036" s="321" t="s">
        <v>282</v>
      </c>
      <c r="B5036" s="321" t="s">
        <v>567</v>
      </c>
      <c r="C5036" s="293">
        <v>9150</v>
      </c>
      <c r="D5036" s="293">
        <v>2930</v>
      </c>
      <c r="E5036" s="293">
        <v>-6220</v>
      </c>
      <c r="F5036" s="294" t="s">
        <v>1794</v>
      </c>
    </row>
    <row r="5037" spans="1:6" hidden="1" outlineLevel="1" collapsed="1" x14ac:dyDescent="0.25">
      <c r="A5037" s="321" t="s">
        <v>282</v>
      </c>
      <c r="B5037" s="321" t="s">
        <v>426</v>
      </c>
      <c r="C5037" s="293">
        <v>4620</v>
      </c>
      <c r="D5037" s="293">
        <v>4300</v>
      </c>
      <c r="E5037" s="293">
        <v>-320</v>
      </c>
      <c r="F5037" s="294" t="s">
        <v>1795</v>
      </c>
    </row>
    <row r="5038" spans="1:6" hidden="1" outlineLevel="1" collapsed="1" x14ac:dyDescent="0.25">
      <c r="A5038" s="321" t="s">
        <v>282</v>
      </c>
      <c r="B5038" s="321" t="s">
        <v>952</v>
      </c>
      <c r="C5038" s="293">
        <v>600</v>
      </c>
      <c r="D5038" s="293">
        <v>600</v>
      </c>
      <c r="E5038" s="293">
        <v>0</v>
      </c>
      <c r="F5038" s="294" t="s">
        <v>316</v>
      </c>
    </row>
    <row r="5039" spans="1:6" hidden="1" outlineLevel="1" collapsed="1" x14ac:dyDescent="0.25">
      <c r="A5039" s="321" t="s">
        <v>282</v>
      </c>
      <c r="B5039" s="321" t="s">
        <v>1796</v>
      </c>
      <c r="C5039" s="293">
        <v>165600</v>
      </c>
      <c r="D5039" s="293">
        <v>160350</v>
      </c>
      <c r="E5039" s="293">
        <v>-5250</v>
      </c>
      <c r="F5039" s="294" t="s">
        <v>1797</v>
      </c>
    </row>
    <row r="5040" spans="1:6" collapsed="1" x14ac:dyDescent="0.25">
      <c r="A5040" s="560" t="s">
        <v>1798</v>
      </c>
      <c r="B5040" s="561"/>
      <c r="C5040" s="292">
        <v>1597068.095093</v>
      </c>
      <c r="D5040" s="293">
        <v>1831415.1361179999</v>
      </c>
      <c r="E5040" s="293">
        <v>234347.04102500001</v>
      </c>
      <c r="F5040" s="294" t="s">
        <v>2337</v>
      </c>
    </row>
    <row r="5041" spans="1:6" hidden="1" outlineLevel="1" collapsed="1" x14ac:dyDescent="0.25">
      <c r="A5041" s="321" t="s">
        <v>282</v>
      </c>
      <c r="B5041" s="321" t="s">
        <v>942</v>
      </c>
      <c r="C5041" s="293">
        <v>376801.495176</v>
      </c>
      <c r="D5041" s="293">
        <v>394779.12445200002</v>
      </c>
      <c r="E5041" s="293">
        <v>17977.629276</v>
      </c>
      <c r="F5041" s="294" t="s">
        <v>1042</v>
      </c>
    </row>
    <row r="5042" spans="1:6" hidden="1" outlineLevel="1" collapsed="1" x14ac:dyDescent="0.25">
      <c r="A5042" s="321" t="s">
        <v>282</v>
      </c>
      <c r="B5042" s="321" t="s">
        <v>464</v>
      </c>
      <c r="C5042" s="293">
        <v>397835.87265600002</v>
      </c>
      <c r="D5042" s="293">
        <v>549866.18266599998</v>
      </c>
      <c r="E5042" s="293">
        <v>152030.31000999999</v>
      </c>
      <c r="F5042" s="294" t="s">
        <v>2338</v>
      </c>
    </row>
    <row r="5043" spans="1:6" hidden="1" outlineLevel="1" collapsed="1" x14ac:dyDescent="0.25">
      <c r="A5043" s="321" t="s">
        <v>282</v>
      </c>
      <c r="B5043" s="321" t="s">
        <v>424</v>
      </c>
      <c r="C5043" s="293">
        <v>0</v>
      </c>
      <c r="D5043" s="293">
        <v>462</v>
      </c>
      <c r="E5043" s="293">
        <v>462</v>
      </c>
      <c r="F5043" s="294" t="s">
        <v>298</v>
      </c>
    </row>
    <row r="5044" spans="1:6" hidden="1" outlineLevel="1" collapsed="1" x14ac:dyDescent="0.25">
      <c r="A5044" s="321" t="s">
        <v>282</v>
      </c>
      <c r="B5044" s="321" t="s">
        <v>935</v>
      </c>
      <c r="C5044" s="293">
        <v>0</v>
      </c>
      <c r="D5044" s="293">
        <v>0</v>
      </c>
      <c r="E5044" s="293">
        <v>0</v>
      </c>
      <c r="F5044" s="294" t="s">
        <v>316</v>
      </c>
    </row>
    <row r="5045" spans="1:6" hidden="1" outlineLevel="1" collapsed="1" x14ac:dyDescent="0.25">
      <c r="A5045" s="321" t="s">
        <v>282</v>
      </c>
      <c r="B5045" s="321" t="s">
        <v>475</v>
      </c>
      <c r="C5045" s="293">
        <v>5000</v>
      </c>
      <c r="D5045" s="293">
        <v>10000</v>
      </c>
      <c r="E5045" s="293">
        <v>5000</v>
      </c>
      <c r="F5045" s="294" t="s">
        <v>298</v>
      </c>
    </row>
    <row r="5046" spans="1:6" hidden="1" outlineLevel="1" collapsed="1" x14ac:dyDescent="0.25">
      <c r="A5046" s="321" t="s">
        <v>282</v>
      </c>
      <c r="B5046" s="321" t="s">
        <v>799</v>
      </c>
      <c r="C5046" s="293">
        <v>61500</v>
      </c>
      <c r="D5046" s="293">
        <v>15000</v>
      </c>
      <c r="E5046" s="293">
        <v>-46500</v>
      </c>
      <c r="F5046" s="294" t="s">
        <v>2339</v>
      </c>
    </row>
    <row r="5047" spans="1:6" hidden="1" outlineLevel="1" collapsed="1" x14ac:dyDescent="0.25">
      <c r="A5047" s="321" t="s">
        <v>282</v>
      </c>
      <c r="B5047" s="321" t="s">
        <v>384</v>
      </c>
      <c r="C5047" s="293">
        <v>104306.52913900001</v>
      </c>
      <c r="D5047" s="293">
        <v>0</v>
      </c>
      <c r="E5047" s="293">
        <v>-104306.52913900001</v>
      </c>
      <c r="F5047" s="294" t="s">
        <v>286</v>
      </c>
    </row>
    <row r="5048" spans="1:6" hidden="1" outlineLevel="1" collapsed="1" x14ac:dyDescent="0.25">
      <c r="A5048" s="321" t="s">
        <v>282</v>
      </c>
      <c r="B5048" s="321" t="s">
        <v>385</v>
      </c>
      <c r="C5048" s="293">
        <v>0</v>
      </c>
      <c r="D5048" s="293">
        <v>148234.90059</v>
      </c>
      <c r="E5048" s="293">
        <v>148234.90059</v>
      </c>
      <c r="F5048" s="294" t="s">
        <v>298</v>
      </c>
    </row>
    <row r="5049" spans="1:6" hidden="1" outlineLevel="1" collapsed="1" x14ac:dyDescent="0.25">
      <c r="A5049" s="321" t="s">
        <v>282</v>
      </c>
      <c r="B5049" s="321" t="s">
        <v>386</v>
      </c>
      <c r="C5049" s="293">
        <v>51783.166748000003</v>
      </c>
      <c r="D5049" s="293">
        <v>0</v>
      </c>
      <c r="E5049" s="293">
        <v>-51783.166748000003</v>
      </c>
      <c r="F5049" s="294" t="s">
        <v>286</v>
      </c>
    </row>
    <row r="5050" spans="1:6" hidden="1" outlineLevel="1" collapsed="1" x14ac:dyDescent="0.25">
      <c r="A5050" s="321" t="s">
        <v>282</v>
      </c>
      <c r="B5050" s="321" t="s">
        <v>387</v>
      </c>
      <c r="C5050" s="293">
        <v>0</v>
      </c>
      <c r="D5050" s="293">
        <v>59498.008962</v>
      </c>
      <c r="E5050" s="293">
        <v>59498.008962</v>
      </c>
      <c r="F5050" s="294" t="s">
        <v>298</v>
      </c>
    </row>
    <row r="5051" spans="1:6" hidden="1" outlineLevel="1" collapsed="1" x14ac:dyDescent="0.25">
      <c r="A5051" s="321" t="s">
        <v>282</v>
      </c>
      <c r="B5051" s="321" t="s">
        <v>388</v>
      </c>
      <c r="C5051" s="293">
        <v>12110.579266000001</v>
      </c>
      <c r="D5051" s="293">
        <v>13914.856867</v>
      </c>
      <c r="E5051" s="293">
        <v>1804.277601</v>
      </c>
      <c r="F5051" s="294" t="s">
        <v>1799</v>
      </c>
    </row>
    <row r="5052" spans="1:6" hidden="1" outlineLevel="1" collapsed="1" x14ac:dyDescent="0.25">
      <c r="A5052" s="321" t="s">
        <v>282</v>
      </c>
      <c r="B5052" s="321" t="s">
        <v>444</v>
      </c>
      <c r="C5052" s="293">
        <v>500</v>
      </c>
      <c r="D5052" s="293">
        <v>0</v>
      </c>
      <c r="E5052" s="293">
        <v>-500</v>
      </c>
      <c r="F5052" s="294" t="s">
        <v>286</v>
      </c>
    </row>
    <row r="5053" spans="1:6" hidden="1" outlineLevel="1" collapsed="1" x14ac:dyDescent="0.25">
      <c r="A5053" s="321" t="s">
        <v>282</v>
      </c>
      <c r="B5053" s="321" t="s">
        <v>389</v>
      </c>
      <c r="C5053" s="293">
        <v>5610.6432000000004</v>
      </c>
      <c r="D5053" s="293">
        <v>6330.6</v>
      </c>
      <c r="E5053" s="293">
        <v>719.95680000000004</v>
      </c>
      <c r="F5053" s="294" t="s">
        <v>608</v>
      </c>
    </row>
    <row r="5054" spans="1:6" hidden="1" outlineLevel="1" collapsed="1" x14ac:dyDescent="0.25">
      <c r="A5054" s="321" t="s">
        <v>282</v>
      </c>
      <c r="B5054" s="321" t="s">
        <v>390</v>
      </c>
      <c r="C5054" s="293">
        <v>173151.15</v>
      </c>
      <c r="D5054" s="293">
        <v>207470.64</v>
      </c>
      <c r="E5054" s="293">
        <v>34319.49</v>
      </c>
      <c r="F5054" s="294" t="s">
        <v>586</v>
      </c>
    </row>
    <row r="5055" spans="1:6" hidden="1" outlineLevel="1" collapsed="1" x14ac:dyDescent="0.25">
      <c r="A5055" s="321" t="s">
        <v>282</v>
      </c>
      <c r="B5055" s="321" t="s">
        <v>392</v>
      </c>
      <c r="C5055" s="293">
        <v>3074.9328</v>
      </c>
      <c r="D5055" s="293">
        <v>2743.2</v>
      </c>
      <c r="E5055" s="293">
        <v>-331.7328</v>
      </c>
      <c r="F5055" s="294" t="s">
        <v>1802</v>
      </c>
    </row>
    <row r="5056" spans="1:6" hidden="1" outlineLevel="1" collapsed="1" x14ac:dyDescent="0.25">
      <c r="A5056" s="321" t="s">
        <v>282</v>
      </c>
      <c r="B5056" s="321" t="s">
        <v>393</v>
      </c>
      <c r="C5056" s="293">
        <v>417.60610800000001</v>
      </c>
      <c r="D5056" s="293">
        <v>479.82258100000001</v>
      </c>
      <c r="E5056" s="293">
        <v>62.216473000000001</v>
      </c>
      <c r="F5056" s="294" t="s">
        <v>1799</v>
      </c>
    </row>
    <row r="5057" spans="1:6" hidden="1" outlineLevel="1" collapsed="1" x14ac:dyDescent="0.25">
      <c r="A5057" s="321" t="s">
        <v>282</v>
      </c>
      <c r="B5057" s="321" t="s">
        <v>394</v>
      </c>
      <c r="C5057" s="293">
        <v>19124</v>
      </c>
      <c r="D5057" s="293">
        <v>0</v>
      </c>
      <c r="E5057" s="293">
        <v>-19124</v>
      </c>
      <c r="F5057" s="294" t="s">
        <v>286</v>
      </c>
    </row>
    <row r="5058" spans="1:6" hidden="1" outlineLevel="1" collapsed="1" x14ac:dyDescent="0.25">
      <c r="A5058" s="321" t="s">
        <v>282</v>
      </c>
      <c r="B5058" s="321" t="s">
        <v>395</v>
      </c>
      <c r="C5058" s="293">
        <v>0</v>
      </c>
      <c r="D5058" s="293">
        <v>22500</v>
      </c>
      <c r="E5058" s="293">
        <v>22500</v>
      </c>
      <c r="F5058" s="294" t="s">
        <v>298</v>
      </c>
    </row>
    <row r="5059" spans="1:6" hidden="1" outlineLevel="1" collapsed="1" x14ac:dyDescent="0.25">
      <c r="A5059" s="321" t="s">
        <v>282</v>
      </c>
      <c r="B5059" s="321" t="s">
        <v>396</v>
      </c>
      <c r="C5059" s="293">
        <v>654.12</v>
      </c>
      <c r="D5059" s="293">
        <v>0</v>
      </c>
      <c r="E5059" s="293">
        <v>-654.12</v>
      </c>
      <c r="F5059" s="294" t="s">
        <v>286</v>
      </c>
    </row>
    <row r="5060" spans="1:6" hidden="1" outlineLevel="1" collapsed="1" x14ac:dyDescent="0.25">
      <c r="A5060" s="321" t="s">
        <v>282</v>
      </c>
      <c r="B5060" s="321" t="s">
        <v>397</v>
      </c>
      <c r="C5060" s="293">
        <v>0</v>
      </c>
      <c r="D5060" s="293">
        <v>727.2</v>
      </c>
      <c r="E5060" s="293">
        <v>727.2</v>
      </c>
      <c r="F5060" s="294" t="s">
        <v>298</v>
      </c>
    </row>
    <row r="5061" spans="1:6" hidden="1" outlineLevel="1" collapsed="1" x14ac:dyDescent="0.25">
      <c r="A5061" s="321" t="s">
        <v>282</v>
      </c>
      <c r="B5061" s="321" t="s">
        <v>398</v>
      </c>
      <c r="C5061" s="293">
        <v>316</v>
      </c>
      <c r="D5061" s="293">
        <v>165.6</v>
      </c>
      <c r="E5061" s="293">
        <v>-150.4</v>
      </c>
      <c r="F5061" s="294" t="s">
        <v>1803</v>
      </c>
    </row>
    <row r="5062" spans="1:6" hidden="1" outlineLevel="1" collapsed="1" x14ac:dyDescent="0.25">
      <c r="A5062" s="321" t="s">
        <v>282</v>
      </c>
      <c r="B5062" s="321" t="s">
        <v>522</v>
      </c>
      <c r="C5062" s="293">
        <v>6000</v>
      </c>
      <c r="D5062" s="293">
        <v>6000</v>
      </c>
      <c r="E5062" s="293">
        <v>0</v>
      </c>
      <c r="F5062" s="294" t="s">
        <v>316</v>
      </c>
    </row>
    <row r="5063" spans="1:6" hidden="1" outlineLevel="1" collapsed="1" x14ac:dyDescent="0.25">
      <c r="A5063" s="321" t="s">
        <v>282</v>
      </c>
      <c r="B5063" s="321" t="s">
        <v>376</v>
      </c>
      <c r="C5063" s="293">
        <v>4000</v>
      </c>
      <c r="D5063" s="293">
        <v>3538</v>
      </c>
      <c r="E5063" s="293">
        <v>-462</v>
      </c>
      <c r="F5063" s="294" t="s">
        <v>2340</v>
      </c>
    </row>
    <row r="5064" spans="1:6" hidden="1" outlineLevel="1" collapsed="1" x14ac:dyDescent="0.25">
      <c r="A5064" s="321" t="s">
        <v>282</v>
      </c>
      <c r="B5064" s="321" t="s">
        <v>567</v>
      </c>
      <c r="C5064" s="293">
        <v>202890</v>
      </c>
      <c r="D5064" s="293">
        <v>213450</v>
      </c>
      <c r="E5064" s="293">
        <v>10560</v>
      </c>
      <c r="F5064" s="294" t="s">
        <v>1571</v>
      </c>
    </row>
    <row r="5065" spans="1:6" hidden="1" outlineLevel="1" collapsed="1" x14ac:dyDescent="0.25">
      <c r="A5065" s="321" t="s">
        <v>282</v>
      </c>
      <c r="B5065" s="321" t="s">
        <v>426</v>
      </c>
      <c r="C5065" s="293">
        <v>9500</v>
      </c>
      <c r="D5065" s="293">
        <v>11200</v>
      </c>
      <c r="E5065" s="293">
        <v>1700</v>
      </c>
      <c r="F5065" s="294" t="s">
        <v>1804</v>
      </c>
    </row>
    <row r="5066" spans="1:6" hidden="1" outlineLevel="1" collapsed="1" x14ac:dyDescent="0.25">
      <c r="A5066" s="321" t="s">
        <v>282</v>
      </c>
      <c r="B5066" s="321" t="s">
        <v>1103</v>
      </c>
      <c r="C5066" s="293">
        <v>-12000</v>
      </c>
      <c r="D5066" s="293">
        <v>0</v>
      </c>
      <c r="E5066" s="293">
        <v>12000</v>
      </c>
      <c r="F5066" s="294" t="s">
        <v>286</v>
      </c>
    </row>
    <row r="5067" spans="1:6" hidden="1" outlineLevel="1" collapsed="1" x14ac:dyDescent="0.25">
      <c r="A5067" s="321" t="s">
        <v>282</v>
      </c>
      <c r="B5067" s="321" t="s">
        <v>952</v>
      </c>
      <c r="C5067" s="293">
        <v>1800</v>
      </c>
      <c r="D5067" s="293">
        <v>1200</v>
      </c>
      <c r="E5067" s="293">
        <v>-600</v>
      </c>
      <c r="F5067" s="294" t="s">
        <v>858</v>
      </c>
    </row>
    <row r="5068" spans="1:6" hidden="1" outlineLevel="1" collapsed="1" x14ac:dyDescent="0.25">
      <c r="A5068" s="321" t="s">
        <v>282</v>
      </c>
      <c r="B5068" s="321" t="s">
        <v>482</v>
      </c>
      <c r="C5068" s="293">
        <v>200</v>
      </c>
      <c r="D5068" s="293">
        <v>300</v>
      </c>
      <c r="E5068" s="293">
        <v>100</v>
      </c>
      <c r="F5068" s="294" t="s">
        <v>784</v>
      </c>
    </row>
    <row r="5069" spans="1:6" hidden="1" outlineLevel="1" collapsed="1" x14ac:dyDescent="0.25">
      <c r="A5069" s="321" t="s">
        <v>282</v>
      </c>
      <c r="B5069" s="321" t="s">
        <v>448</v>
      </c>
      <c r="C5069" s="293">
        <v>66200</v>
      </c>
      <c r="D5069" s="293">
        <v>48555</v>
      </c>
      <c r="E5069" s="293">
        <v>-17645</v>
      </c>
      <c r="F5069" s="294" t="s">
        <v>1805</v>
      </c>
    </row>
    <row r="5070" spans="1:6" hidden="1" outlineLevel="1" collapsed="1" x14ac:dyDescent="0.25">
      <c r="A5070" s="321" t="s">
        <v>282</v>
      </c>
      <c r="B5070" s="321" t="s">
        <v>616</v>
      </c>
      <c r="C5070" s="293">
        <v>0</v>
      </c>
      <c r="D5070" s="293">
        <v>0</v>
      </c>
      <c r="E5070" s="293">
        <v>0</v>
      </c>
      <c r="F5070" s="294" t="s">
        <v>316</v>
      </c>
    </row>
    <row r="5071" spans="1:6" hidden="1" outlineLevel="1" collapsed="1" x14ac:dyDescent="0.25">
      <c r="A5071" s="321" t="s">
        <v>282</v>
      </c>
      <c r="B5071" s="321" t="s">
        <v>1806</v>
      </c>
      <c r="C5071" s="293">
        <v>450</v>
      </c>
      <c r="D5071" s="293">
        <v>0</v>
      </c>
      <c r="E5071" s="293">
        <v>-450</v>
      </c>
      <c r="F5071" s="294" t="s">
        <v>286</v>
      </c>
    </row>
    <row r="5072" spans="1:6" hidden="1" outlineLevel="1" collapsed="1" x14ac:dyDescent="0.25">
      <c r="A5072" s="321" t="s">
        <v>282</v>
      </c>
      <c r="B5072" s="321" t="s">
        <v>405</v>
      </c>
      <c r="C5072" s="293">
        <v>105342</v>
      </c>
      <c r="D5072" s="293">
        <v>115000</v>
      </c>
      <c r="E5072" s="293">
        <v>9658</v>
      </c>
      <c r="F5072" s="294" t="s">
        <v>2341</v>
      </c>
    </row>
    <row r="5073" spans="1:6" hidden="1" outlineLevel="1" collapsed="1" x14ac:dyDescent="0.25">
      <c r="A5073" s="321" t="s">
        <v>282</v>
      </c>
      <c r="B5073" s="321" t="s">
        <v>770</v>
      </c>
      <c r="C5073" s="293">
        <v>500</v>
      </c>
      <c r="D5073" s="293">
        <v>0</v>
      </c>
      <c r="E5073" s="293">
        <v>-500</v>
      </c>
      <c r="F5073" s="294" t="s">
        <v>286</v>
      </c>
    </row>
    <row r="5074" spans="1:6" collapsed="1" x14ac:dyDescent="0.25">
      <c r="A5074" s="560" t="s">
        <v>1808</v>
      </c>
      <c r="B5074" s="561"/>
      <c r="C5074" s="292">
        <v>2031542.8120909999</v>
      </c>
      <c r="D5074" s="293">
        <v>2724441.380723</v>
      </c>
      <c r="E5074" s="293">
        <v>692898.56863200001</v>
      </c>
      <c r="F5074" s="294" t="s">
        <v>2342</v>
      </c>
    </row>
    <row r="5075" spans="1:6" hidden="1" outlineLevel="1" collapsed="1" x14ac:dyDescent="0.25">
      <c r="A5075" s="321" t="s">
        <v>282</v>
      </c>
      <c r="B5075" s="321" t="s">
        <v>441</v>
      </c>
      <c r="C5075" s="293">
        <v>4500</v>
      </c>
      <c r="D5075" s="293">
        <v>20000</v>
      </c>
      <c r="E5075" s="293">
        <v>15500</v>
      </c>
      <c r="F5075" s="294" t="s">
        <v>1810</v>
      </c>
    </row>
    <row r="5076" spans="1:6" hidden="1" outlineLevel="1" collapsed="1" x14ac:dyDescent="0.25">
      <c r="A5076" s="321" t="s">
        <v>282</v>
      </c>
      <c r="B5076" s="321" t="s">
        <v>942</v>
      </c>
      <c r="C5076" s="293">
        <v>-11132.522031</v>
      </c>
      <c r="D5076" s="293">
        <v>427433.150532</v>
      </c>
      <c r="E5076" s="293">
        <v>438565.672563</v>
      </c>
      <c r="F5076" s="294" t="s">
        <v>2343</v>
      </c>
    </row>
    <row r="5077" spans="1:6" hidden="1" outlineLevel="1" collapsed="1" x14ac:dyDescent="0.25">
      <c r="A5077" s="321" t="s">
        <v>282</v>
      </c>
      <c r="B5077" s="321" t="s">
        <v>1097</v>
      </c>
      <c r="C5077" s="293">
        <v>459570.03239800001</v>
      </c>
      <c r="D5077" s="293">
        <v>664893.80940400006</v>
      </c>
      <c r="E5077" s="293">
        <v>205323.77700599999</v>
      </c>
      <c r="F5077" s="294" t="s">
        <v>2344</v>
      </c>
    </row>
    <row r="5078" spans="1:6" hidden="1" outlineLevel="1" collapsed="1" x14ac:dyDescent="0.25">
      <c r="A5078" s="321" t="s">
        <v>282</v>
      </c>
      <c r="B5078" s="321" t="s">
        <v>464</v>
      </c>
      <c r="C5078" s="293">
        <v>39467.011028000001</v>
      </c>
      <c r="D5078" s="293">
        <v>40622.118236000002</v>
      </c>
      <c r="E5078" s="293">
        <v>1155.1072079999999</v>
      </c>
      <c r="F5078" s="294" t="s">
        <v>805</v>
      </c>
    </row>
    <row r="5079" spans="1:6" hidden="1" outlineLevel="1" collapsed="1" x14ac:dyDescent="0.25">
      <c r="A5079" s="321" t="s">
        <v>282</v>
      </c>
      <c r="B5079" s="321" t="s">
        <v>935</v>
      </c>
      <c r="C5079" s="293">
        <v>33000</v>
      </c>
      <c r="D5079" s="293">
        <v>30000</v>
      </c>
      <c r="E5079" s="293">
        <v>-3000</v>
      </c>
      <c r="F5079" s="294" t="s">
        <v>1813</v>
      </c>
    </row>
    <row r="5080" spans="1:6" hidden="1" outlineLevel="1" collapsed="1" x14ac:dyDescent="0.25">
      <c r="A5080" s="321" t="s">
        <v>282</v>
      </c>
      <c r="B5080" s="321" t="s">
        <v>475</v>
      </c>
      <c r="C5080" s="293">
        <v>5000</v>
      </c>
      <c r="D5080" s="293">
        <v>15000</v>
      </c>
      <c r="E5080" s="293">
        <v>10000</v>
      </c>
      <c r="F5080" s="294" t="s">
        <v>787</v>
      </c>
    </row>
    <row r="5081" spans="1:6" hidden="1" outlineLevel="1" collapsed="1" x14ac:dyDescent="0.25">
      <c r="A5081" s="321" t="s">
        <v>282</v>
      </c>
      <c r="B5081" s="321" t="s">
        <v>384</v>
      </c>
      <c r="C5081" s="293">
        <v>91098.638735</v>
      </c>
      <c r="D5081" s="293">
        <v>0</v>
      </c>
      <c r="E5081" s="293">
        <v>-91098.638735</v>
      </c>
      <c r="F5081" s="294" t="s">
        <v>286</v>
      </c>
    </row>
    <row r="5082" spans="1:6" hidden="1" outlineLevel="1" collapsed="1" x14ac:dyDescent="0.25">
      <c r="A5082" s="321" t="s">
        <v>282</v>
      </c>
      <c r="B5082" s="321" t="s">
        <v>385</v>
      </c>
      <c r="C5082" s="293">
        <v>0</v>
      </c>
      <c r="D5082" s="293">
        <v>175764.183777</v>
      </c>
      <c r="E5082" s="293">
        <v>175764.183777</v>
      </c>
      <c r="F5082" s="294" t="s">
        <v>298</v>
      </c>
    </row>
    <row r="5083" spans="1:6" hidden="1" outlineLevel="1" collapsed="1" x14ac:dyDescent="0.25">
      <c r="A5083" s="321" t="s">
        <v>282</v>
      </c>
      <c r="B5083" s="321" t="s">
        <v>386</v>
      </c>
      <c r="C5083" s="293">
        <v>45006.080253</v>
      </c>
      <c r="D5083" s="293">
        <v>0</v>
      </c>
      <c r="E5083" s="293">
        <v>-45006.080253</v>
      </c>
      <c r="F5083" s="294" t="s">
        <v>286</v>
      </c>
    </row>
    <row r="5084" spans="1:6" hidden="1" outlineLevel="1" collapsed="1" x14ac:dyDescent="0.25">
      <c r="A5084" s="321" t="s">
        <v>282</v>
      </c>
      <c r="B5084" s="321" t="s">
        <v>387</v>
      </c>
      <c r="C5084" s="293">
        <v>0</v>
      </c>
      <c r="D5084" s="293">
        <v>70205.642756999994</v>
      </c>
      <c r="E5084" s="293">
        <v>70205.642756999994</v>
      </c>
      <c r="F5084" s="294" t="s">
        <v>298</v>
      </c>
    </row>
    <row r="5085" spans="1:6" hidden="1" outlineLevel="1" collapsed="1" x14ac:dyDescent="0.25">
      <c r="A5085" s="321" t="s">
        <v>282</v>
      </c>
      <c r="B5085" s="321" t="s">
        <v>388</v>
      </c>
      <c r="C5085" s="293">
        <v>10525.615495</v>
      </c>
      <c r="D5085" s="293">
        <v>16419.061544</v>
      </c>
      <c r="E5085" s="293">
        <v>5893.4460490000001</v>
      </c>
      <c r="F5085" s="294" t="s">
        <v>2345</v>
      </c>
    </row>
    <row r="5086" spans="1:6" hidden="1" outlineLevel="1" collapsed="1" x14ac:dyDescent="0.25">
      <c r="A5086" s="321" t="s">
        <v>282</v>
      </c>
      <c r="B5086" s="321" t="s">
        <v>389</v>
      </c>
      <c r="C5086" s="293">
        <v>4332.2687999999998</v>
      </c>
      <c r="D5086" s="293">
        <v>6330.6</v>
      </c>
      <c r="E5086" s="293">
        <v>1998.3312000000001</v>
      </c>
      <c r="F5086" s="294" t="s">
        <v>2346</v>
      </c>
    </row>
    <row r="5087" spans="1:6" hidden="1" outlineLevel="1" collapsed="1" x14ac:dyDescent="0.25">
      <c r="A5087" s="321" t="s">
        <v>282</v>
      </c>
      <c r="B5087" s="321" t="s">
        <v>390</v>
      </c>
      <c r="C5087" s="293">
        <v>126695.34</v>
      </c>
      <c r="D5087" s="293">
        <v>207470.64</v>
      </c>
      <c r="E5087" s="293">
        <v>80775.3</v>
      </c>
      <c r="F5087" s="294" t="s">
        <v>2347</v>
      </c>
    </row>
    <row r="5088" spans="1:6" hidden="1" outlineLevel="1" collapsed="1" x14ac:dyDescent="0.25">
      <c r="A5088" s="321" t="s">
        <v>282</v>
      </c>
      <c r="B5088" s="321" t="s">
        <v>392</v>
      </c>
      <c r="C5088" s="293">
        <v>2374.3152</v>
      </c>
      <c r="D5088" s="293">
        <v>2743.2</v>
      </c>
      <c r="E5088" s="293">
        <v>368.88479999999998</v>
      </c>
      <c r="F5088" s="294" t="s">
        <v>2348</v>
      </c>
    </row>
    <row r="5089" spans="1:6" hidden="1" outlineLevel="1" collapsed="1" x14ac:dyDescent="0.25">
      <c r="A5089" s="321" t="s">
        <v>282</v>
      </c>
      <c r="B5089" s="321" t="s">
        <v>393</v>
      </c>
      <c r="C5089" s="293">
        <v>362.95221299999997</v>
      </c>
      <c r="D5089" s="293">
        <v>566.17447300000003</v>
      </c>
      <c r="E5089" s="293">
        <v>203.22226000000001</v>
      </c>
      <c r="F5089" s="294" t="s">
        <v>2345</v>
      </c>
    </row>
    <row r="5090" spans="1:6" hidden="1" outlineLevel="1" collapsed="1" x14ac:dyDescent="0.25">
      <c r="A5090" s="321" t="s">
        <v>282</v>
      </c>
      <c r="B5090" s="321" t="s">
        <v>394</v>
      </c>
      <c r="C5090" s="293">
        <v>15250</v>
      </c>
      <c r="D5090" s="293">
        <v>0</v>
      </c>
      <c r="E5090" s="293">
        <v>-15250</v>
      </c>
      <c r="F5090" s="294" t="s">
        <v>286</v>
      </c>
    </row>
    <row r="5091" spans="1:6" hidden="1" outlineLevel="1" collapsed="1" x14ac:dyDescent="0.25">
      <c r="A5091" s="321" t="s">
        <v>282</v>
      </c>
      <c r="B5091" s="321" t="s">
        <v>395</v>
      </c>
      <c r="C5091" s="293">
        <v>0</v>
      </c>
      <c r="D5091" s="293">
        <v>22500</v>
      </c>
      <c r="E5091" s="293">
        <v>22500</v>
      </c>
      <c r="F5091" s="294" t="s">
        <v>298</v>
      </c>
    </row>
    <row r="5092" spans="1:6" hidden="1" outlineLevel="1" collapsed="1" x14ac:dyDescent="0.25">
      <c r="A5092" s="321" t="s">
        <v>282</v>
      </c>
      <c r="B5092" s="321" t="s">
        <v>396</v>
      </c>
      <c r="C5092" s="293">
        <v>505.08</v>
      </c>
      <c r="D5092" s="293">
        <v>0</v>
      </c>
      <c r="E5092" s="293">
        <v>-505.08</v>
      </c>
      <c r="F5092" s="294" t="s">
        <v>286</v>
      </c>
    </row>
    <row r="5093" spans="1:6" hidden="1" outlineLevel="1" collapsed="1" x14ac:dyDescent="0.25">
      <c r="A5093" s="321" t="s">
        <v>282</v>
      </c>
      <c r="B5093" s="321" t="s">
        <v>397</v>
      </c>
      <c r="C5093" s="293">
        <v>0</v>
      </c>
      <c r="D5093" s="293">
        <v>727.2</v>
      </c>
      <c r="E5093" s="293">
        <v>727.2</v>
      </c>
      <c r="F5093" s="294" t="s">
        <v>298</v>
      </c>
    </row>
    <row r="5094" spans="1:6" hidden="1" outlineLevel="1" collapsed="1" x14ac:dyDescent="0.25">
      <c r="A5094" s="321" t="s">
        <v>282</v>
      </c>
      <c r="B5094" s="321" t="s">
        <v>398</v>
      </c>
      <c r="C5094" s="293">
        <v>244</v>
      </c>
      <c r="D5094" s="293">
        <v>165.6</v>
      </c>
      <c r="E5094" s="293">
        <v>-78.400000000000006</v>
      </c>
      <c r="F5094" s="294" t="s">
        <v>2349</v>
      </c>
    </row>
    <row r="5095" spans="1:6" hidden="1" outlineLevel="1" collapsed="1" x14ac:dyDescent="0.25">
      <c r="A5095" s="321" t="s">
        <v>282</v>
      </c>
      <c r="B5095" s="321" t="s">
        <v>522</v>
      </c>
      <c r="C5095" s="293">
        <v>6000</v>
      </c>
      <c r="D5095" s="293">
        <v>6000</v>
      </c>
      <c r="E5095" s="293">
        <v>0</v>
      </c>
      <c r="F5095" s="294" t="s">
        <v>316</v>
      </c>
    </row>
    <row r="5096" spans="1:6" hidden="1" outlineLevel="1" collapsed="1" x14ac:dyDescent="0.25">
      <c r="A5096" s="321" t="s">
        <v>282</v>
      </c>
      <c r="B5096" s="321" t="s">
        <v>399</v>
      </c>
      <c r="C5096" s="293">
        <v>2400</v>
      </c>
      <c r="D5096" s="293">
        <v>2400</v>
      </c>
      <c r="E5096" s="293">
        <v>0</v>
      </c>
      <c r="F5096" s="294" t="s">
        <v>316</v>
      </c>
    </row>
    <row r="5097" spans="1:6" hidden="1" outlineLevel="1" collapsed="1" x14ac:dyDescent="0.25">
      <c r="A5097" s="321" t="s">
        <v>282</v>
      </c>
      <c r="B5097" s="321" t="s">
        <v>375</v>
      </c>
      <c r="C5097" s="293">
        <v>1500</v>
      </c>
      <c r="D5097" s="293">
        <v>5500</v>
      </c>
      <c r="E5097" s="293">
        <v>4000</v>
      </c>
      <c r="F5097" s="294" t="s">
        <v>1819</v>
      </c>
    </row>
    <row r="5098" spans="1:6" hidden="1" outlineLevel="1" collapsed="1" x14ac:dyDescent="0.25">
      <c r="A5098" s="321" t="s">
        <v>282</v>
      </c>
      <c r="B5098" s="321" t="s">
        <v>431</v>
      </c>
      <c r="C5098" s="293">
        <v>62</v>
      </c>
      <c r="D5098" s="293">
        <v>200</v>
      </c>
      <c r="E5098" s="293">
        <v>138</v>
      </c>
      <c r="F5098" s="294" t="s">
        <v>1820</v>
      </c>
    </row>
    <row r="5099" spans="1:6" hidden="1" outlineLevel="1" collapsed="1" x14ac:dyDescent="0.25">
      <c r="A5099" s="321" t="s">
        <v>282</v>
      </c>
      <c r="B5099" s="321" t="s">
        <v>376</v>
      </c>
      <c r="C5099" s="293">
        <v>10500</v>
      </c>
      <c r="D5099" s="293">
        <v>15000</v>
      </c>
      <c r="E5099" s="293">
        <v>4500</v>
      </c>
      <c r="F5099" s="294" t="s">
        <v>1447</v>
      </c>
    </row>
    <row r="5100" spans="1:6" hidden="1" outlineLevel="1" collapsed="1" x14ac:dyDescent="0.25">
      <c r="A5100" s="321" t="s">
        <v>282</v>
      </c>
      <c r="B5100" s="321" t="s">
        <v>1050</v>
      </c>
      <c r="C5100" s="293">
        <v>0</v>
      </c>
      <c r="D5100" s="293">
        <v>2000</v>
      </c>
      <c r="E5100" s="293">
        <v>2000</v>
      </c>
      <c r="F5100" s="294" t="s">
        <v>298</v>
      </c>
    </row>
    <row r="5101" spans="1:6" hidden="1" outlineLevel="1" collapsed="1" x14ac:dyDescent="0.25">
      <c r="A5101" s="321" t="s">
        <v>282</v>
      </c>
      <c r="B5101" s="321" t="s">
        <v>662</v>
      </c>
      <c r="C5101" s="293">
        <v>0</v>
      </c>
      <c r="D5101" s="293">
        <v>3500</v>
      </c>
      <c r="E5101" s="293">
        <v>3500</v>
      </c>
      <c r="F5101" s="294" t="s">
        <v>298</v>
      </c>
    </row>
    <row r="5102" spans="1:6" hidden="1" outlineLevel="1" collapsed="1" x14ac:dyDescent="0.25">
      <c r="A5102" s="321" t="s">
        <v>282</v>
      </c>
      <c r="B5102" s="321" t="s">
        <v>506</v>
      </c>
      <c r="C5102" s="293">
        <v>0</v>
      </c>
      <c r="D5102" s="293">
        <v>3000</v>
      </c>
      <c r="E5102" s="293">
        <v>3000</v>
      </c>
      <c r="F5102" s="294" t="s">
        <v>298</v>
      </c>
    </row>
    <row r="5103" spans="1:6" hidden="1" outlineLevel="1" collapsed="1" x14ac:dyDescent="0.25">
      <c r="A5103" s="321" t="s">
        <v>282</v>
      </c>
      <c r="B5103" s="321" t="s">
        <v>567</v>
      </c>
      <c r="C5103" s="293">
        <v>310000</v>
      </c>
      <c r="D5103" s="293">
        <v>325000</v>
      </c>
      <c r="E5103" s="293">
        <v>15000</v>
      </c>
      <c r="F5103" s="294" t="s">
        <v>1684</v>
      </c>
    </row>
    <row r="5104" spans="1:6" hidden="1" outlineLevel="1" collapsed="1" x14ac:dyDescent="0.25">
      <c r="A5104" s="321" t="s">
        <v>282</v>
      </c>
      <c r="B5104" s="321" t="s">
        <v>426</v>
      </c>
      <c r="C5104" s="293">
        <v>30200</v>
      </c>
      <c r="D5104" s="293">
        <v>55200</v>
      </c>
      <c r="E5104" s="293">
        <v>25000</v>
      </c>
      <c r="F5104" s="294" t="s">
        <v>2350</v>
      </c>
    </row>
    <row r="5105" spans="1:6" hidden="1" outlineLevel="1" collapsed="1" x14ac:dyDescent="0.25">
      <c r="A5105" s="321" t="s">
        <v>282</v>
      </c>
      <c r="B5105" s="321" t="s">
        <v>1103</v>
      </c>
      <c r="C5105" s="293">
        <v>-5000</v>
      </c>
      <c r="D5105" s="293">
        <v>0</v>
      </c>
      <c r="E5105" s="293">
        <v>5000</v>
      </c>
      <c r="F5105" s="294" t="s">
        <v>286</v>
      </c>
    </row>
    <row r="5106" spans="1:6" hidden="1" outlineLevel="1" collapsed="1" x14ac:dyDescent="0.25">
      <c r="A5106" s="321" t="s">
        <v>282</v>
      </c>
      <c r="B5106" s="321" t="s">
        <v>952</v>
      </c>
      <c r="C5106" s="293">
        <v>2100</v>
      </c>
      <c r="D5106" s="293">
        <v>0</v>
      </c>
      <c r="E5106" s="293">
        <v>-2100</v>
      </c>
      <c r="F5106" s="294" t="s">
        <v>286</v>
      </c>
    </row>
    <row r="5107" spans="1:6" hidden="1" outlineLevel="1" collapsed="1" x14ac:dyDescent="0.25">
      <c r="A5107" s="321" t="s">
        <v>282</v>
      </c>
      <c r="B5107" s="321" t="s">
        <v>482</v>
      </c>
      <c r="C5107" s="293">
        <v>15000</v>
      </c>
      <c r="D5107" s="293">
        <v>15000</v>
      </c>
      <c r="E5107" s="293">
        <v>0</v>
      </c>
      <c r="F5107" s="294" t="s">
        <v>316</v>
      </c>
    </row>
    <row r="5108" spans="1:6" hidden="1" outlineLevel="1" collapsed="1" x14ac:dyDescent="0.25">
      <c r="A5108" s="321" t="s">
        <v>282</v>
      </c>
      <c r="B5108" s="321" t="s">
        <v>597</v>
      </c>
      <c r="C5108" s="293">
        <v>3300</v>
      </c>
      <c r="D5108" s="293">
        <v>12000</v>
      </c>
      <c r="E5108" s="293">
        <v>8700</v>
      </c>
      <c r="F5108" s="294" t="s">
        <v>1823</v>
      </c>
    </row>
    <row r="5109" spans="1:6" hidden="1" outlineLevel="1" collapsed="1" x14ac:dyDescent="0.25">
      <c r="A5109" s="321" t="s">
        <v>282</v>
      </c>
      <c r="B5109" s="321" t="s">
        <v>843</v>
      </c>
      <c r="C5109" s="293">
        <v>7000</v>
      </c>
      <c r="D5109" s="293">
        <v>7000</v>
      </c>
      <c r="E5109" s="293">
        <v>0</v>
      </c>
      <c r="F5109" s="294" t="s">
        <v>316</v>
      </c>
    </row>
    <row r="5110" spans="1:6" hidden="1" outlineLevel="1" collapsed="1" x14ac:dyDescent="0.25">
      <c r="A5110" s="321" t="s">
        <v>282</v>
      </c>
      <c r="B5110" s="321" t="s">
        <v>416</v>
      </c>
      <c r="C5110" s="293">
        <v>4200</v>
      </c>
      <c r="D5110" s="293">
        <v>7500</v>
      </c>
      <c r="E5110" s="293">
        <v>3300</v>
      </c>
      <c r="F5110" s="294" t="s">
        <v>1824</v>
      </c>
    </row>
    <row r="5111" spans="1:6" hidden="1" outlineLevel="1" collapsed="1" x14ac:dyDescent="0.25">
      <c r="A5111" s="321" t="s">
        <v>282</v>
      </c>
      <c r="B5111" s="321" t="s">
        <v>543</v>
      </c>
      <c r="C5111" s="293">
        <v>1800</v>
      </c>
      <c r="D5111" s="293">
        <v>1800</v>
      </c>
      <c r="E5111" s="293">
        <v>0</v>
      </c>
      <c r="F5111" s="294" t="s">
        <v>316</v>
      </c>
    </row>
    <row r="5112" spans="1:6" hidden="1" outlineLevel="1" collapsed="1" x14ac:dyDescent="0.25">
      <c r="A5112" s="321" t="s">
        <v>282</v>
      </c>
      <c r="B5112" s="321" t="s">
        <v>448</v>
      </c>
      <c r="C5112" s="293">
        <v>79938</v>
      </c>
      <c r="D5112" s="293">
        <v>80000</v>
      </c>
      <c r="E5112" s="293">
        <v>62</v>
      </c>
      <c r="F5112" s="294" t="s">
        <v>518</v>
      </c>
    </row>
    <row r="5113" spans="1:6" hidden="1" outlineLevel="1" collapsed="1" x14ac:dyDescent="0.25">
      <c r="A5113" s="321" t="s">
        <v>282</v>
      </c>
      <c r="B5113" s="321" t="s">
        <v>403</v>
      </c>
      <c r="C5113" s="293">
        <v>1500</v>
      </c>
      <c r="D5113" s="293">
        <v>1500</v>
      </c>
      <c r="E5113" s="293">
        <v>0</v>
      </c>
      <c r="F5113" s="294" t="s">
        <v>316</v>
      </c>
    </row>
    <row r="5114" spans="1:6" hidden="1" outlineLevel="1" collapsed="1" x14ac:dyDescent="0.25">
      <c r="A5114" s="321" t="s">
        <v>282</v>
      </c>
      <c r="B5114" s="321" t="s">
        <v>404</v>
      </c>
      <c r="C5114" s="293">
        <v>695000</v>
      </c>
      <c r="D5114" s="293">
        <v>370000</v>
      </c>
      <c r="E5114" s="293">
        <v>-325000</v>
      </c>
      <c r="F5114" s="294" t="s">
        <v>1825</v>
      </c>
    </row>
    <row r="5115" spans="1:6" hidden="1" outlineLevel="1" collapsed="1" x14ac:dyDescent="0.25">
      <c r="A5115" s="321" t="s">
        <v>282</v>
      </c>
      <c r="B5115" s="321" t="s">
        <v>626</v>
      </c>
      <c r="C5115" s="293">
        <v>17000</v>
      </c>
      <c r="D5115" s="293">
        <v>35000</v>
      </c>
      <c r="E5115" s="293">
        <v>18000</v>
      </c>
      <c r="F5115" s="294" t="s">
        <v>1826</v>
      </c>
    </row>
    <row r="5116" spans="1:6" hidden="1" outlineLevel="1" collapsed="1" x14ac:dyDescent="0.25">
      <c r="A5116" s="321" t="s">
        <v>282</v>
      </c>
      <c r="B5116" s="321" t="s">
        <v>1176</v>
      </c>
      <c r="C5116" s="293">
        <v>6000</v>
      </c>
      <c r="D5116" s="293">
        <v>6000</v>
      </c>
      <c r="E5116" s="293">
        <v>0</v>
      </c>
      <c r="F5116" s="294" t="s">
        <v>316</v>
      </c>
    </row>
    <row r="5117" spans="1:6" hidden="1" outlineLevel="1" collapsed="1" x14ac:dyDescent="0.25">
      <c r="A5117" s="321" t="s">
        <v>282</v>
      </c>
      <c r="B5117" s="321" t="s">
        <v>405</v>
      </c>
      <c r="C5117" s="293">
        <v>9744</v>
      </c>
      <c r="D5117" s="293">
        <v>35000</v>
      </c>
      <c r="E5117" s="293">
        <v>25256</v>
      </c>
      <c r="F5117" s="294" t="s">
        <v>2351</v>
      </c>
    </row>
    <row r="5118" spans="1:6" hidden="1" outlineLevel="1" collapsed="1" x14ac:dyDescent="0.25">
      <c r="A5118" s="321" t="s">
        <v>282</v>
      </c>
      <c r="B5118" s="321" t="s">
        <v>557</v>
      </c>
      <c r="C5118" s="293">
        <v>1500</v>
      </c>
      <c r="D5118" s="293">
        <v>15000</v>
      </c>
      <c r="E5118" s="293">
        <v>13500</v>
      </c>
      <c r="F5118" s="294" t="s">
        <v>785</v>
      </c>
    </row>
    <row r="5119" spans="1:6" hidden="1" outlineLevel="1" collapsed="1" x14ac:dyDescent="0.25">
      <c r="A5119" s="321" t="s">
        <v>282</v>
      </c>
      <c r="B5119" s="321" t="s">
        <v>422</v>
      </c>
      <c r="C5119" s="293">
        <v>3000</v>
      </c>
      <c r="D5119" s="293">
        <v>18000</v>
      </c>
      <c r="E5119" s="293">
        <v>15000</v>
      </c>
      <c r="F5119" s="294" t="s">
        <v>2352</v>
      </c>
    </row>
    <row r="5120" spans="1:6" hidden="1" outlineLevel="1" collapsed="1" x14ac:dyDescent="0.25">
      <c r="A5120" s="321" t="s">
        <v>282</v>
      </c>
      <c r="B5120" s="321" t="s">
        <v>770</v>
      </c>
      <c r="C5120" s="293">
        <v>2000</v>
      </c>
      <c r="D5120" s="293">
        <v>2000</v>
      </c>
      <c r="E5120" s="293">
        <v>0</v>
      </c>
      <c r="F5120" s="294" t="s">
        <v>316</v>
      </c>
    </row>
    <row r="5121" spans="1:6" collapsed="1" x14ac:dyDescent="0.25">
      <c r="A5121" s="560" t="s">
        <v>1828</v>
      </c>
      <c r="B5121" s="561"/>
      <c r="C5121" s="292">
        <v>118000</v>
      </c>
      <c r="D5121" s="293">
        <v>122000</v>
      </c>
      <c r="E5121" s="293">
        <v>4000</v>
      </c>
      <c r="F5121" s="294" t="s">
        <v>1829</v>
      </c>
    </row>
    <row r="5122" spans="1:6" hidden="1" outlineLevel="1" collapsed="1" x14ac:dyDescent="0.25">
      <c r="A5122" s="321" t="s">
        <v>282</v>
      </c>
      <c r="B5122" s="321" t="s">
        <v>1830</v>
      </c>
      <c r="C5122" s="293">
        <v>59000</v>
      </c>
      <c r="D5122" s="293">
        <v>70000</v>
      </c>
      <c r="E5122" s="293">
        <v>11000</v>
      </c>
      <c r="F5122" s="294" t="s">
        <v>1831</v>
      </c>
    </row>
    <row r="5123" spans="1:6" hidden="1" outlineLevel="1" collapsed="1" x14ac:dyDescent="0.25">
      <c r="A5123" s="321" t="s">
        <v>282</v>
      </c>
      <c r="B5123" s="321" t="s">
        <v>1832</v>
      </c>
      <c r="C5123" s="293">
        <v>22000</v>
      </c>
      <c r="D5123" s="293">
        <v>35000</v>
      </c>
      <c r="E5123" s="293">
        <v>13000</v>
      </c>
      <c r="F5123" s="294" t="s">
        <v>1833</v>
      </c>
    </row>
    <row r="5124" spans="1:6" hidden="1" outlineLevel="1" collapsed="1" x14ac:dyDescent="0.25">
      <c r="A5124" s="321" t="s">
        <v>282</v>
      </c>
      <c r="B5124" s="321" t="s">
        <v>1834</v>
      </c>
      <c r="C5124" s="293">
        <v>18000</v>
      </c>
      <c r="D5124" s="293">
        <v>7000</v>
      </c>
      <c r="E5124" s="293">
        <v>-11000</v>
      </c>
      <c r="F5124" s="294" t="s">
        <v>1019</v>
      </c>
    </row>
    <row r="5125" spans="1:6" hidden="1" outlineLevel="1" collapsed="1" x14ac:dyDescent="0.25">
      <c r="A5125" s="321" t="s">
        <v>282</v>
      </c>
      <c r="B5125" s="321" t="s">
        <v>1835</v>
      </c>
      <c r="C5125" s="293">
        <v>11000</v>
      </c>
      <c r="D5125" s="293">
        <v>5000</v>
      </c>
      <c r="E5125" s="293">
        <v>-6000</v>
      </c>
      <c r="F5125" s="294" t="s">
        <v>1836</v>
      </c>
    </row>
    <row r="5126" spans="1:6" hidden="1" outlineLevel="1" collapsed="1" x14ac:dyDescent="0.25">
      <c r="A5126" s="321" t="s">
        <v>282</v>
      </c>
      <c r="B5126" s="321" t="s">
        <v>1837</v>
      </c>
      <c r="C5126" s="293">
        <v>8000</v>
      </c>
      <c r="D5126" s="293">
        <v>5000</v>
      </c>
      <c r="E5126" s="293">
        <v>-3000</v>
      </c>
      <c r="F5126" s="294" t="s">
        <v>1650</v>
      </c>
    </row>
    <row r="5127" spans="1:6" collapsed="1" x14ac:dyDescent="0.25">
      <c r="A5127" s="560" t="s">
        <v>2353</v>
      </c>
      <c r="B5127" s="561"/>
      <c r="C5127" s="292">
        <v>0</v>
      </c>
      <c r="D5127" s="293">
        <v>139239.35582</v>
      </c>
      <c r="E5127" s="293">
        <v>139239.35582</v>
      </c>
      <c r="F5127" s="294" t="s">
        <v>298</v>
      </c>
    </row>
    <row r="5128" spans="1:6" hidden="1" outlineLevel="1" collapsed="1" x14ac:dyDescent="0.25">
      <c r="A5128" s="321" t="s">
        <v>282</v>
      </c>
      <c r="B5128" s="321" t="s">
        <v>1097</v>
      </c>
      <c r="C5128" s="293">
        <v>0</v>
      </c>
      <c r="D5128" s="293">
        <v>72072.478392000005</v>
      </c>
      <c r="E5128" s="293">
        <v>72072.478392000005</v>
      </c>
      <c r="F5128" s="294" t="s">
        <v>298</v>
      </c>
    </row>
    <row r="5129" spans="1:6" hidden="1" outlineLevel="1" collapsed="1" x14ac:dyDescent="0.25">
      <c r="A5129" s="321" t="s">
        <v>282</v>
      </c>
      <c r="B5129" s="321" t="s">
        <v>385</v>
      </c>
      <c r="C5129" s="293">
        <v>0</v>
      </c>
      <c r="D5129" s="293">
        <v>11193.576612000001</v>
      </c>
      <c r="E5129" s="293">
        <v>11193.576612000001</v>
      </c>
      <c r="F5129" s="294" t="s">
        <v>298</v>
      </c>
    </row>
    <row r="5130" spans="1:6" hidden="1" outlineLevel="1" collapsed="1" x14ac:dyDescent="0.25">
      <c r="A5130" s="321" t="s">
        <v>282</v>
      </c>
      <c r="B5130" s="321" t="s">
        <v>387</v>
      </c>
      <c r="C5130" s="293">
        <v>0</v>
      </c>
      <c r="D5130" s="293">
        <v>4468.4936520000001</v>
      </c>
      <c r="E5130" s="293">
        <v>4468.4936520000001</v>
      </c>
      <c r="F5130" s="294" t="s">
        <v>298</v>
      </c>
    </row>
    <row r="5131" spans="1:6" hidden="1" outlineLevel="1" collapsed="1" x14ac:dyDescent="0.25">
      <c r="A5131" s="321" t="s">
        <v>282</v>
      </c>
      <c r="B5131" s="321" t="s">
        <v>388</v>
      </c>
      <c r="C5131" s="293">
        <v>0</v>
      </c>
      <c r="D5131" s="293">
        <v>1045.0509360000001</v>
      </c>
      <c r="E5131" s="293">
        <v>1045.0509360000001</v>
      </c>
      <c r="F5131" s="294" t="s">
        <v>298</v>
      </c>
    </row>
    <row r="5132" spans="1:6" hidden="1" outlineLevel="1" collapsed="1" x14ac:dyDescent="0.25">
      <c r="A5132" s="321" t="s">
        <v>282</v>
      </c>
      <c r="B5132" s="321" t="s">
        <v>389</v>
      </c>
      <c r="C5132" s="293">
        <v>0</v>
      </c>
      <c r="D5132" s="293">
        <v>422.04</v>
      </c>
      <c r="E5132" s="293">
        <v>422.04</v>
      </c>
      <c r="F5132" s="294" t="s">
        <v>298</v>
      </c>
    </row>
    <row r="5133" spans="1:6" hidden="1" outlineLevel="1" collapsed="1" x14ac:dyDescent="0.25">
      <c r="A5133" s="321" t="s">
        <v>282</v>
      </c>
      <c r="B5133" s="321" t="s">
        <v>390</v>
      </c>
      <c r="C5133" s="293">
        <v>0</v>
      </c>
      <c r="D5133" s="293">
        <v>15959.28</v>
      </c>
      <c r="E5133" s="293">
        <v>15959.28</v>
      </c>
      <c r="F5133" s="294" t="s">
        <v>298</v>
      </c>
    </row>
    <row r="5134" spans="1:6" hidden="1" outlineLevel="1" collapsed="1" x14ac:dyDescent="0.25">
      <c r="A5134" s="321" t="s">
        <v>282</v>
      </c>
      <c r="B5134" s="321" t="s">
        <v>392</v>
      </c>
      <c r="C5134" s="293">
        <v>0</v>
      </c>
      <c r="D5134" s="293">
        <v>182.88</v>
      </c>
      <c r="E5134" s="293">
        <v>182.88</v>
      </c>
      <c r="F5134" s="294" t="s">
        <v>298</v>
      </c>
    </row>
    <row r="5135" spans="1:6" hidden="1" outlineLevel="1" collapsed="1" x14ac:dyDescent="0.25">
      <c r="A5135" s="321" t="s">
        <v>282</v>
      </c>
      <c r="B5135" s="321" t="s">
        <v>393</v>
      </c>
      <c r="C5135" s="293">
        <v>0</v>
      </c>
      <c r="D5135" s="293">
        <v>36.036228000000001</v>
      </c>
      <c r="E5135" s="293">
        <v>36.036228000000001</v>
      </c>
      <c r="F5135" s="294" t="s">
        <v>298</v>
      </c>
    </row>
    <row r="5136" spans="1:6" hidden="1" outlineLevel="1" collapsed="1" x14ac:dyDescent="0.25">
      <c r="A5136" s="321" t="s">
        <v>282</v>
      </c>
      <c r="B5136" s="321" t="s">
        <v>395</v>
      </c>
      <c r="C5136" s="293">
        <v>0</v>
      </c>
      <c r="D5136" s="293">
        <v>1500</v>
      </c>
      <c r="E5136" s="293">
        <v>1500</v>
      </c>
      <c r="F5136" s="294" t="s">
        <v>298</v>
      </c>
    </row>
    <row r="5137" spans="1:6" hidden="1" outlineLevel="1" collapsed="1" x14ac:dyDescent="0.25">
      <c r="A5137" s="321" t="s">
        <v>282</v>
      </c>
      <c r="B5137" s="321" t="s">
        <v>397</v>
      </c>
      <c r="C5137" s="293">
        <v>0</v>
      </c>
      <c r="D5137" s="293">
        <v>48.48</v>
      </c>
      <c r="E5137" s="293">
        <v>48.48</v>
      </c>
      <c r="F5137" s="294" t="s">
        <v>298</v>
      </c>
    </row>
    <row r="5138" spans="1:6" hidden="1" outlineLevel="1" collapsed="1" x14ac:dyDescent="0.25">
      <c r="A5138" s="321" t="s">
        <v>282</v>
      </c>
      <c r="B5138" s="321" t="s">
        <v>398</v>
      </c>
      <c r="C5138" s="293">
        <v>0</v>
      </c>
      <c r="D5138" s="293">
        <v>11.04</v>
      </c>
      <c r="E5138" s="293">
        <v>11.04</v>
      </c>
      <c r="F5138" s="294" t="s">
        <v>298</v>
      </c>
    </row>
    <row r="5139" spans="1:6" hidden="1" outlineLevel="1" collapsed="1" x14ac:dyDescent="0.25">
      <c r="A5139" s="321" t="s">
        <v>282</v>
      </c>
      <c r="B5139" s="321" t="s">
        <v>567</v>
      </c>
      <c r="C5139" s="293">
        <v>0</v>
      </c>
      <c r="D5139" s="293">
        <v>30000</v>
      </c>
      <c r="E5139" s="293">
        <v>30000</v>
      </c>
      <c r="F5139" s="294" t="s">
        <v>298</v>
      </c>
    </row>
    <row r="5140" spans="1:6" hidden="1" outlineLevel="1" collapsed="1" x14ac:dyDescent="0.25">
      <c r="A5140" s="321" t="s">
        <v>282</v>
      </c>
      <c r="B5140" s="321" t="s">
        <v>557</v>
      </c>
      <c r="C5140" s="293">
        <v>0</v>
      </c>
      <c r="D5140" s="293">
        <v>2300</v>
      </c>
      <c r="E5140" s="293">
        <v>2300</v>
      </c>
      <c r="F5140" s="294" t="s">
        <v>298</v>
      </c>
    </row>
    <row r="5141" spans="1:6" collapsed="1" x14ac:dyDescent="0.25">
      <c r="A5141" s="560" t="s">
        <v>1838</v>
      </c>
      <c r="B5141" s="561"/>
      <c r="C5141" s="292">
        <v>41571</v>
      </c>
      <c r="D5141" s="293">
        <v>41975</v>
      </c>
      <c r="E5141" s="293">
        <v>404</v>
      </c>
      <c r="F5141" s="294" t="s">
        <v>1839</v>
      </c>
    </row>
    <row r="5142" spans="1:6" hidden="1" outlineLevel="1" collapsed="1" x14ac:dyDescent="0.25">
      <c r="A5142" s="321" t="s">
        <v>282</v>
      </c>
      <c r="B5142" s="321" t="s">
        <v>376</v>
      </c>
      <c r="C5142" s="293">
        <v>9000</v>
      </c>
      <c r="D5142" s="293">
        <v>9500</v>
      </c>
      <c r="E5142" s="293">
        <v>500</v>
      </c>
      <c r="F5142" s="294" t="s">
        <v>526</v>
      </c>
    </row>
    <row r="5143" spans="1:6" hidden="1" outlineLevel="1" collapsed="1" x14ac:dyDescent="0.25">
      <c r="A5143" s="321" t="s">
        <v>282</v>
      </c>
      <c r="B5143" s="321" t="s">
        <v>567</v>
      </c>
      <c r="C5143" s="293">
        <v>4900</v>
      </c>
      <c r="D5143" s="293">
        <v>5000</v>
      </c>
      <c r="E5143" s="293">
        <v>100</v>
      </c>
      <c r="F5143" s="294" t="s">
        <v>607</v>
      </c>
    </row>
    <row r="5144" spans="1:6" hidden="1" outlineLevel="1" collapsed="1" x14ac:dyDescent="0.25">
      <c r="A5144" s="321" t="s">
        <v>282</v>
      </c>
      <c r="B5144" s="321" t="s">
        <v>842</v>
      </c>
      <c r="C5144" s="293">
        <v>16950</v>
      </c>
      <c r="D5144" s="293">
        <v>17300</v>
      </c>
      <c r="E5144" s="293">
        <v>350</v>
      </c>
      <c r="F5144" s="294" t="s">
        <v>1840</v>
      </c>
    </row>
    <row r="5145" spans="1:6" hidden="1" outlineLevel="1" collapsed="1" x14ac:dyDescent="0.25">
      <c r="A5145" s="321" t="s">
        <v>282</v>
      </c>
      <c r="B5145" s="321" t="s">
        <v>416</v>
      </c>
      <c r="C5145" s="293">
        <v>6750</v>
      </c>
      <c r="D5145" s="293">
        <v>6700</v>
      </c>
      <c r="E5145" s="293">
        <v>-50</v>
      </c>
      <c r="F5145" s="294" t="s">
        <v>1841</v>
      </c>
    </row>
    <row r="5146" spans="1:6" hidden="1" outlineLevel="1" collapsed="1" x14ac:dyDescent="0.25">
      <c r="A5146" s="321" t="s">
        <v>282</v>
      </c>
      <c r="B5146" s="321" t="s">
        <v>543</v>
      </c>
      <c r="C5146" s="293">
        <v>3225</v>
      </c>
      <c r="D5146" s="293">
        <v>3100</v>
      </c>
      <c r="E5146" s="293">
        <v>-125</v>
      </c>
      <c r="F5146" s="294" t="s">
        <v>1356</v>
      </c>
    </row>
    <row r="5147" spans="1:6" hidden="1" outlineLevel="1" collapsed="1" x14ac:dyDescent="0.25">
      <c r="A5147" s="321" t="s">
        <v>282</v>
      </c>
      <c r="B5147" s="321" t="s">
        <v>901</v>
      </c>
      <c r="C5147" s="293">
        <v>296</v>
      </c>
      <c r="D5147" s="293">
        <v>0</v>
      </c>
      <c r="E5147" s="293">
        <v>-296</v>
      </c>
      <c r="F5147" s="294" t="s">
        <v>286</v>
      </c>
    </row>
    <row r="5148" spans="1:6" hidden="1" outlineLevel="1" collapsed="1" x14ac:dyDescent="0.25">
      <c r="A5148" s="321" t="s">
        <v>282</v>
      </c>
      <c r="B5148" s="321" t="s">
        <v>405</v>
      </c>
      <c r="C5148" s="293">
        <v>450</v>
      </c>
      <c r="D5148" s="293">
        <v>375</v>
      </c>
      <c r="E5148" s="293">
        <v>-75</v>
      </c>
      <c r="F5148" s="294" t="s">
        <v>852</v>
      </c>
    </row>
    <row r="5149" spans="1:6" collapsed="1" x14ac:dyDescent="0.25">
      <c r="A5149" s="560" t="s">
        <v>1842</v>
      </c>
      <c r="B5149" s="561"/>
      <c r="C5149" s="292">
        <v>451768.51918499998</v>
      </c>
      <c r="D5149" s="293">
        <v>393569.58972699998</v>
      </c>
      <c r="E5149" s="293">
        <v>-58198.929457999999</v>
      </c>
      <c r="F5149" s="294" t="s">
        <v>2354</v>
      </c>
    </row>
    <row r="5150" spans="1:6" hidden="1" outlineLevel="1" collapsed="1" x14ac:dyDescent="0.25">
      <c r="A5150" s="321" t="s">
        <v>282</v>
      </c>
      <c r="B5150" s="321" t="s">
        <v>1844</v>
      </c>
      <c r="C5150" s="293">
        <v>2000</v>
      </c>
      <c r="D5150" s="293">
        <v>0</v>
      </c>
      <c r="E5150" s="293">
        <v>-2000</v>
      </c>
      <c r="F5150" s="294" t="s">
        <v>286</v>
      </c>
    </row>
    <row r="5151" spans="1:6" hidden="1" outlineLevel="1" collapsed="1" x14ac:dyDescent="0.25">
      <c r="A5151" s="321" t="s">
        <v>282</v>
      </c>
      <c r="B5151" s="321" t="s">
        <v>942</v>
      </c>
      <c r="C5151" s="293">
        <v>110159.97823199999</v>
      </c>
      <c r="D5151" s="293">
        <v>87610.332156000004</v>
      </c>
      <c r="E5151" s="293">
        <v>-22549.646076000001</v>
      </c>
      <c r="F5151" s="294" t="s">
        <v>2355</v>
      </c>
    </row>
    <row r="5152" spans="1:6" hidden="1" outlineLevel="1" collapsed="1" x14ac:dyDescent="0.25">
      <c r="A5152" s="321" t="s">
        <v>282</v>
      </c>
      <c r="B5152" s="321" t="s">
        <v>1097</v>
      </c>
      <c r="C5152" s="293">
        <v>59736.622395999999</v>
      </c>
      <c r="D5152" s="293">
        <v>63664.225207000003</v>
      </c>
      <c r="E5152" s="293">
        <v>3927.6028110000002</v>
      </c>
      <c r="F5152" s="294" t="s">
        <v>816</v>
      </c>
    </row>
    <row r="5153" spans="1:6" hidden="1" outlineLevel="1" collapsed="1" x14ac:dyDescent="0.25">
      <c r="A5153" s="321" t="s">
        <v>282</v>
      </c>
      <c r="B5153" s="321" t="s">
        <v>935</v>
      </c>
      <c r="C5153" s="293">
        <v>67200</v>
      </c>
      <c r="D5153" s="293">
        <v>0</v>
      </c>
      <c r="E5153" s="293">
        <v>-67200</v>
      </c>
      <c r="F5153" s="294" t="s">
        <v>286</v>
      </c>
    </row>
    <row r="5154" spans="1:6" hidden="1" outlineLevel="1" collapsed="1" x14ac:dyDescent="0.25">
      <c r="A5154" s="321" t="s">
        <v>282</v>
      </c>
      <c r="B5154" s="321" t="s">
        <v>384</v>
      </c>
      <c r="C5154" s="293">
        <v>30142.992344999999</v>
      </c>
      <c r="D5154" s="293">
        <v>0</v>
      </c>
      <c r="E5154" s="293">
        <v>-30142.992344999999</v>
      </c>
      <c r="F5154" s="294" t="s">
        <v>286</v>
      </c>
    </row>
    <row r="5155" spans="1:6" hidden="1" outlineLevel="1" collapsed="1" x14ac:dyDescent="0.25">
      <c r="A5155" s="321" t="s">
        <v>282</v>
      </c>
      <c r="B5155" s="321" t="s">
        <v>385</v>
      </c>
      <c r="C5155" s="293">
        <v>0</v>
      </c>
      <c r="D5155" s="293">
        <v>23494.451488999999</v>
      </c>
      <c r="E5155" s="293">
        <v>23494.451488999999</v>
      </c>
      <c r="F5155" s="294" t="s">
        <v>298</v>
      </c>
    </row>
    <row r="5156" spans="1:6" hidden="1" outlineLevel="1" collapsed="1" x14ac:dyDescent="0.25">
      <c r="A5156" s="321" t="s">
        <v>282</v>
      </c>
      <c r="B5156" s="321" t="s">
        <v>386</v>
      </c>
      <c r="C5156" s="293">
        <v>14736.789225</v>
      </c>
      <c r="D5156" s="293">
        <v>0</v>
      </c>
      <c r="E5156" s="293">
        <v>-14736.789225</v>
      </c>
      <c r="F5156" s="294" t="s">
        <v>286</v>
      </c>
    </row>
    <row r="5157" spans="1:6" hidden="1" outlineLevel="1" collapsed="1" x14ac:dyDescent="0.25">
      <c r="A5157" s="321" t="s">
        <v>282</v>
      </c>
      <c r="B5157" s="321" t="s">
        <v>387</v>
      </c>
      <c r="C5157" s="293">
        <v>0</v>
      </c>
      <c r="D5157" s="293">
        <v>9379.0225399999999</v>
      </c>
      <c r="E5157" s="293">
        <v>9379.0225399999999</v>
      </c>
      <c r="F5157" s="294" t="s">
        <v>298</v>
      </c>
    </row>
    <row r="5158" spans="1:6" hidden="1" outlineLevel="1" collapsed="1" x14ac:dyDescent="0.25">
      <c r="A5158" s="321" t="s">
        <v>282</v>
      </c>
      <c r="B5158" s="321" t="s">
        <v>388</v>
      </c>
      <c r="C5158" s="293">
        <v>3446.2006900000001</v>
      </c>
      <c r="D5158" s="293">
        <v>2193.4810699999998</v>
      </c>
      <c r="E5158" s="293">
        <v>-1252.7196200000001</v>
      </c>
      <c r="F5158" s="294" t="s">
        <v>2356</v>
      </c>
    </row>
    <row r="5159" spans="1:6" hidden="1" outlineLevel="1" collapsed="1" x14ac:dyDescent="0.25">
      <c r="A5159" s="321" t="s">
        <v>282</v>
      </c>
      <c r="B5159" s="321" t="s">
        <v>389</v>
      </c>
      <c r="C5159" s="293">
        <v>852.24959999999999</v>
      </c>
      <c r="D5159" s="293">
        <v>844.08</v>
      </c>
      <c r="E5159" s="293">
        <v>-8.1696000000000009</v>
      </c>
      <c r="F5159" s="294" t="s">
        <v>364</v>
      </c>
    </row>
    <row r="5160" spans="1:6" hidden="1" outlineLevel="1" collapsed="1" x14ac:dyDescent="0.25">
      <c r="A5160" s="321" t="s">
        <v>282</v>
      </c>
      <c r="B5160" s="321" t="s">
        <v>390</v>
      </c>
      <c r="C5160" s="293">
        <v>0</v>
      </c>
      <c r="D5160" s="293">
        <v>31918.560000000001</v>
      </c>
      <c r="E5160" s="293">
        <v>31918.560000000001</v>
      </c>
      <c r="F5160" s="294" t="s">
        <v>298</v>
      </c>
    </row>
    <row r="5161" spans="1:6" hidden="1" outlineLevel="1" collapsed="1" x14ac:dyDescent="0.25">
      <c r="A5161" s="321" t="s">
        <v>282</v>
      </c>
      <c r="B5161" s="321" t="s">
        <v>392</v>
      </c>
      <c r="C5161" s="293">
        <v>467.07839999999999</v>
      </c>
      <c r="D5161" s="293">
        <v>365.76</v>
      </c>
      <c r="E5161" s="293">
        <v>-101.3184</v>
      </c>
      <c r="F5161" s="294" t="s">
        <v>368</v>
      </c>
    </row>
    <row r="5162" spans="1:6" hidden="1" outlineLevel="1" collapsed="1" x14ac:dyDescent="0.25">
      <c r="A5162" s="321" t="s">
        <v>282</v>
      </c>
      <c r="B5162" s="321" t="s">
        <v>393</v>
      </c>
      <c r="C5162" s="293">
        <v>119.24829699999999</v>
      </c>
      <c r="D5162" s="293">
        <v>75.637264999999999</v>
      </c>
      <c r="E5162" s="293">
        <v>-43.611032000000002</v>
      </c>
      <c r="F5162" s="294" t="s">
        <v>2357</v>
      </c>
    </row>
    <row r="5163" spans="1:6" hidden="1" outlineLevel="1" collapsed="1" x14ac:dyDescent="0.25">
      <c r="A5163" s="321" t="s">
        <v>282</v>
      </c>
      <c r="B5163" s="321" t="s">
        <v>394</v>
      </c>
      <c r="C5163" s="293">
        <v>3000</v>
      </c>
      <c r="D5163" s="293">
        <v>0</v>
      </c>
      <c r="E5163" s="293">
        <v>-3000</v>
      </c>
      <c r="F5163" s="294" t="s">
        <v>286</v>
      </c>
    </row>
    <row r="5164" spans="1:6" hidden="1" outlineLevel="1" collapsed="1" x14ac:dyDescent="0.25">
      <c r="A5164" s="321" t="s">
        <v>282</v>
      </c>
      <c r="B5164" s="321" t="s">
        <v>395</v>
      </c>
      <c r="C5164" s="293">
        <v>0</v>
      </c>
      <c r="D5164" s="293">
        <v>3000</v>
      </c>
      <c r="E5164" s="293">
        <v>3000</v>
      </c>
      <c r="F5164" s="294" t="s">
        <v>298</v>
      </c>
    </row>
    <row r="5165" spans="1:6" hidden="1" outlineLevel="1" collapsed="1" x14ac:dyDescent="0.25">
      <c r="A5165" s="321" t="s">
        <v>282</v>
      </c>
      <c r="B5165" s="321" t="s">
        <v>396</v>
      </c>
      <c r="C5165" s="293">
        <v>99.36</v>
      </c>
      <c r="D5165" s="293">
        <v>0</v>
      </c>
      <c r="E5165" s="293">
        <v>-99.36</v>
      </c>
      <c r="F5165" s="294" t="s">
        <v>286</v>
      </c>
    </row>
    <row r="5166" spans="1:6" hidden="1" outlineLevel="1" collapsed="1" x14ac:dyDescent="0.25">
      <c r="A5166" s="321" t="s">
        <v>282</v>
      </c>
      <c r="B5166" s="321" t="s">
        <v>397</v>
      </c>
      <c r="C5166" s="293">
        <v>0</v>
      </c>
      <c r="D5166" s="293">
        <v>96.96</v>
      </c>
      <c r="E5166" s="293">
        <v>96.96</v>
      </c>
      <c r="F5166" s="294" t="s">
        <v>298</v>
      </c>
    </row>
    <row r="5167" spans="1:6" hidden="1" outlineLevel="1" collapsed="1" x14ac:dyDescent="0.25">
      <c r="A5167" s="321" t="s">
        <v>282</v>
      </c>
      <c r="B5167" s="321" t="s">
        <v>398</v>
      </c>
      <c r="C5167" s="293">
        <v>48</v>
      </c>
      <c r="D5167" s="293">
        <v>22.08</v>
      </c>
      <c r="E5167" s="293">
        <v>-25.92</v>
      </c>
      <c r="F5167" s="294" t="s">
        <v>374</v>
      </c>
    </row>
    <row r="5168" spans="1:6" hidden="1" outlineLevel="1" collapsed="1" x14ac:dyDescent="0.25">
      <c r="A5168" s="321" t="s">
        <v>282</v>
      </c>
      <c r="B5168" s="321" t="s">
        <v>522</v>
      </c>
      <c r="C5168" s="293">
        <v>6000</v>
      </c>
      <c r="D5168" s="293">
        <v>0</v>
      </c>
      <c r="E5168" s="293">
        <v>-6000</v>
      </c>
      <c r="F5168" s="294" t="s">
        <v>286</v>
      </c>
    </row>
    <row r="5169" spans="1:6" hidden="1" outlineLevel="1" collapsed="1" x14ac:dyDescent="0.25">
      <c r="A5169" s="321" t="s">
        <v>282</v>
      </c>
      <c r="B5169" s="321" t="s">
        <v>523</v>
      </c>
      <c r="C5169" s="293">
        <v>315</v>
      </c>
      <c r="D5169" s="293">
        <v>500</v>
      </c>
      <c r="E5169" s="293">
        <v>185</v>
      </c>
      <c r="F5169" s="294" t="s">
        <v>1847</v>
      </c>
    </row>
    <row r="5170" spans="1:6" hidden="1" outlineLevel="1" collapsed="1" x14ac:dyDescent="0.25">
      <c r="A5170" s="321" t="s">
        <v>282</v>
      </c>
      <c r="B5170" s="321" t="s">
        <v>399</v>
      </c>
      <c r="C5170" s="293">
        <v>2790</v>
      </c>
      <c r="D5170" s="293">
        <v>2790</v>
      </c>
      <c r="E5170" s="293">
        <v>0</v>
      </c>
      <c r="F5170" s="294" t="s">
        <v>316</v>
      </c>
    </row>
    <row r="5171" spans="1:6" hidden="1" outlineLevel="1" collapsed="1" x14ac:dyDescent="0.25">
      <c r="A5171" s="321" t="s">
        <v>282</v>
      </c>
      <c r="B5171" s="321" t="s">
        <v>496</v>
      </c>
      <c r="C5171" s="293">
        <v>1935</v>
      </c>
      <c r="D5171" s="293">
        <v>1935</v>
      </c>
      <c r="E5171" s="293">
        <v>0</v>
      </c>
      <c r="F5171" s="294" t="s">
        <v>316</v>
      </c>
    </row>
    <row r="5172" spans="1:6" hidden="1" outlineLevel="1" collapsed="1" x14ac:dyDescent="0.25">
      <c r="A5172" s="321" t="s">
        <v>282</v>
      </c>
      <c r="B5172" s="321" t="s">
        <v>376</v>
      </c>
      <c r="C5172" s="293">
        <v>15000</v>
      </c>
      <c r="D5172" s="293">
        <v>15000</v>
      </c>
      <c r="E5172" s="293">
        <v>0</v>
      </c>
      <c r="F5172" s="294" t="s">
        <v>316</v>
      </c>
    </row>
    <row r="5173" spans="1:6" hidden="1" outlineLevel="1" collapsed="1" x14ac:dyDescent="0.25">
      <c r="A5173" s="321" t="s">
        <v>282</v>
      </c>
      <c r="B5173" s="321" t="s">
        <v>567</v>
      </c>
      <c r="C5173" s="293">
        <v>64500</v>
      </c>
      <c r="D5173" s="293">
        <v>65750</v>
      </c>
      <c r="E5173" s="293">
        <v>1250</v>
      </c>
      <c r="F5173" s="294" t="s">
        <v>2358</v>
      </c>
    </row>
    <row r="5174" spans="1:6" hidden="1" outlineLevel="1" collapsed="1" x14ac:dyDescent="0.25">
      <c r="A5174" s="321" t="s">
        <v>282</v>
      </c>
      <c r="B5174" s="321" t="s">
        <v>426</v>
      </c>
      <c r="C5174" s="293">
        <v>10000</v>
      </c>
      <c r="D5174" s="293">
        <v>13500</v>
      </c>
      <c r="E5174" s="293">
        <v>3500</v>
      </c>
      <c r="F5174" s="294" t="s">
        <v>1849</v>
      </c>
    </row>
    <row r="5175" spans="1:6" hidden="1" outlineLevel="1" collapsed="1" x14ac:dyDescent="0.25">
      <c r="A5175" s="321" t="s">
        <v>282</v>
      </c>
      <c r="B5175" s="321" t="s">
        <v>952</v>
      </c>
      <c r="C5175" s="293">
        <v>600</v>
      </c>
      <c r="D5175" s="293">
        <v>0</v>
      </c>
      <c r="E5175" s="293">
        <v>-600</v>
      </c>
      <c r="F5175" s="294" t="s">
        <v>286</v>
      </c>
    </row>
    <row r="5176" spans="1:6" hidden="1" outlineLevel="1" collapsed="1" x14ac:dyDescent="0.25">
      <c r="A5176" s="321" t="s">
        <v>282</v>
      </c>
      <c r="B5176" s="321" t="s">
        <v>482</v>
      </c>
      <c r="C5176" s="293">
        <v>7000</v>
      </c>
      <c r="D5176" s="293">
        <v>7500</v>
      </c>
      <c r="E5176" s="293">
        <v>500</v>
      </c>
      <c r="F5176" s="294" t="s">
        <v>1850</v>
      </c>
    </row>
    <row r="5177" spans="1:6" hidden="1" outlineLevel="1" collapsed="1" x14ac:dyDescent="0.25">
      <c r="A5177" s="321" t="s">
        <v>282</v>
      </c>
      <c r="B5177" s="321" t="s">
        <v>597</v>
      </c>
      <c r="C5177" s="293">
        <v>0</v>
      </c>
      <c r="D5177" s="293">
        <v>2500</v>
      </c>
      <c r="E5177" s="293">
        <v>2500</v>
      </c>
      <c r="F5177" s="294" t="s">
        <v>298</v>
      </c>
    </row>
    <row r="5178" spans="1:6" hidden="1" outlineLevel="1" collapsed="1" x14ac:dyDescent="0.25">
      <c r="A5178" s="321" t="s">
        <v>282</v>
      </c>
      <c r="B5178" s="321" t="s">
        <v>842</v>
      </c>
      <c r="C5178" s="293">
        <v>270</v>
      </c>
      <c r="D5178" s="293">
        <v>0</v>
      </c>
      <c r="E5178" s="293">
        <v>-270</v>
      </c>
      <c r="F5178" s="294" t="s">
        <v>286</v>
      </c>
    </row>
    <row r="5179" spans="1:6" hidden="1" outlineLevel="1" collapsed="1" x14ac:dyDescent="0.25">
      <c r="A5179" s="321" t="s">
        <v>282</v>
      </c>
      <c r="B5179" s="321" t="s">
        <v>843</v>
      </c>
      <c r="C5179" s="293">
        <v>0</v>
      </c>
      <c r="D5179" s="293">
        <v>1080</v>
      </c>
      <c r="E5179" s="293">
        <v>1080</v>
      </c>
      <c r="F5179" s="294" t="s">
        <v>298</v>
      </c>
    </row>
    <row r="5180" spans="1:6" hidden="1" outlineLevel="1" collapsed="1" x14ac:dyDescent="0.25">
      <c r="A5180" s="321" t="s">
        <v>282</v>
      </c>
      <c r="B5180" s="321" t="s">
        <v>416</v>
      </c>
      <c r="C5180" s="293">
        <v>900</v>
      </c>
      <c r="D5180" s="293">
        <v>900</v>
      </c>
      <c r="E5180" s="293">
        <v>0</v>
      </c>
      <c r="F5180" s="294" t="s">
        <v>316</v>
      </c>
    </row>
    <row r="5181" spans="1:6" hidden="1" outlineLevel="1" collapsed="1" x14ac:dyDescent="0.25">
      <c r="A5181" s="321" t="s">
        <v>282</v>
      </c>
      <c r="B5181" s="321" t="s">
        <v>448</v>
      </c>
      <c r="C5181" s="293">
        <v>0</v>
      </c>
      <c r="D5181" s="293">
        <v>4250</v>
      </c>
      <c r="E5181" s="293">
        <v>4250</v>
      </c>
      <c r="F5181" s="294" t="s">
        <v>298</v>
      </c>
    </row>
    <row r="5182" spans="1:6" hidden="1" outlineLevel="1" collapsed="1" x14ac:dyDescent="0.25">
      <c r="A5182" s="321" t="s">
        <v>282</v>
      </c>
      <c r="B5182" s="321" t="s">
        <v>626</v>
      </c>
      <c r="C5182" s="293">
        <v>2700</v>
      </c>
      <c r="D5182" s="293">
        <v>2700</v>
      </c>
      <c r="E5182" s="293">
        <v>0</v>
      </c>
      <c r="F5182" s="294" t="s">
        <v>316</v>
      </c>
    </row>
    <row r="5183" spans="1:6" hidden="1" outlineLevel="1" collapsed="1" x14ac:dyDescent="0.25">
      <c r="A5183" s="321" t="s">
        <v>282</v>
      </c>
      <c r="B5183" s="321" t="s">
        <v>405</v>
      </c>
      <c r="C5183" s="293">
        <v>3000</v>
      </c>
      <c r="D5183" s="293">
        <v>10000</v>
      </c>
      <c r="E5183" s="293">
        <v>7000</v>
      </c>
      <c r="F5183" s="294" t="s">
        <v>1851</v>
      </c>
    </row>
    <row r="5184" spans="1:6" hidden="1" outlineLevel="1" collapsed="1" x14ac:dyDescent="0.25">
      <c r="A5184" s="321" t="s">
        <v>282</v>
      </c>
      <c r="B5184" s="321" t="s">
        <v>557</v>
      </c>
      <c r="C5184" s="293">
        <v>2250</v>
      </c>
      <c r="D5184" s="293">
        <v>0</v>
      </c>
      <c r="E5184" s="293">
        <v>-2250</v>
      </c>
      <c r="F5184" s="294" t="s">
        <v>286</v>
      </c>
    </row>
    <row r="5185" spans="1:6" hidden="1" outlineLevel="1" collapsed="1" x14ac:dyDescent="0.25">
      <c r="A5185" s="321" t="s">
        <v>282</v>
      </c>
      <c r="B5185" s="321" t="s">
        <v>422</v>
      </c>
      <c r="C5185" s="293">
        <v>42500</v>
      </c>
      <c r="D5185" s="293">
        <v>42500</v>
      </c>
      <c r="E5185" s="293">
        <v>0</v>
      </c>
      <c r="F5185" s="294" t="s">
        <v>316</v>
      </c>
    </row>
    <row r="5186" spans="1:6" collapsed="1" x14ac:dyDescent="0.25">
      <c r="A5186" s="560" t="s">
        <v>1853</v>
      </c>
      <c r="B5186" s="561"/>
      <c r="C5186" s="292">
        <v>567678.22727100004</v>
      </c>
      <c r="D5186" s="293">
        <v>607130.29630799999</v>
      </c>
      <c r="E5186" s="293">
        <v>39452.069037000001</v>
      </c>
      <c r="F5186" s="294" t="s">
        <v>2359</v>
      </c>
    </row>
    <row r="5187" spans="1:6" hidden="1" outlineLevel="1" collapsed="1" x14ac:dyDescent="0.25">
      <c r="A5187" s="321" t="s">
        <v>282</v>
      </c>
      <c r="B5187" s="321" t="s">
        <v>942</v>
      </c>
      <c r="C5187" s="293">
        <v>133899.819036</v>
      </c>
      <c r="D5187" s="293">
        <v>135908.31487199999</v>
      </c>
      <c r="E5187" s="293">
        <v>2008.4958360000001</v>
      </c>
      <c r="F5187" s="294" t="s">
        <v>510</v>
      </c>
    </row>
    <row r="5188" spans="1:6" hidden="1" outlineLevel="1" collapsed="1" x14ac:dyDescent="0.25">
      <c r="A5188" s="321" t="s">
        <v>282</v>
      </c>
      <c r="B5188" s="321" t="s">
        <v>464</v>
      </c>
      <c r="C5188" s="293">
        <v>205981.416233</v>
      </c>
      <c r="D5188" s="293">
        <v>251631.88577699999</v>
      </c>
      <c r="E5188" s="293">
        <v>45650.469544</v>
      </c>
      <c r="F5188" s="294" t="s">
        <v>2360</v>
      </c>
    </row>
    <row r="5189" spans="1:6" hidden="1" outlineLevel="1" collapsed="1" x14ac:dyDescent="0.25">
      <c r="A5189" s="321" t="s">
        <v>282</v>
      </c>
      <c r="B5189" s="321" t="s">
        <v>424</v>
      </c>
      <c r="C5189" s="293">
        <v>10000</v>
      </c>
      <c r="D5189" s="293">
        <v>1200</v>
      </c>
      <c r="E5189" s="293">
        <v>-8800</v>
      </c>
      <c r="F5189" s="294" t="s">
        <v>2361</v>
      </c>
    </row>
    <row r="5190" spans="1:6" hidden="1" outlineLevel="1" collapsed="1" x14ac:dyDescent="0.25">
      <c r="A5190" s="321" t="s">
        <v>282</v>
      </c>
      <c r="B5190" s="321" t="s">
        <v>475</v>
      </c>
      <c r="C5190" s="293">
        <v>7000</v>
      </c>
      <c r="D5190" s="293">
        <v>5000</v>
      </c>
      <c r="E5190" s="293">
        <v>-2000</v>
      </c>
      <c r="F5190" s="294" t="s">
        <v>706</v>
      </c>
    </row>
    <row r="5191" spans="1:6" hidden="1" outlineLevel="1" collapsed="1" x14ac:dyDescent="0.25">
      <c r="A5191" s="321" t="s">
        <v>282</v>
      </c>
      <c r="B5191" s="321" t="s">
        <v>384</v>
      </c>
      <c r="C5191" s="293">
        <v>42395.384377000002</v>
      </c>
      <c r="D5191" s="293">
        <v>0</v>
      </c>
      <c r="E5191" s="293">
        <v>-42395.384377000002</v>
      </c>
      <c r="F5191" s="294" t="s">
        <v>286</v>
      </c>
    </row>
    <row r="5192" spans="1:6" hidden="1" outlineLevel="1" collapsed="1" x14ac:dyDescent="0.25">
      <c r="A5192" s="321" t="s">
        <v>282</v>
      </c>
      <c r="B5192" s="321" t="s">
        <v>385</v>
      </c>
      <c r="C5192" s="293">
        <v>0</v>
      </c>
      <c r="D5192" s="293">
        <v>59742.352288000002</v>
      </c>
      <c r="E5192" s="293">
        <v>59742.352288000002</v>
      </c>
      <c r="F5192" s="294" t="s">
        <v>298</v>
      </c>
    </row>
    <row r="5193" spans="1:6" hidden="1" outlineLevel="1" collapsed="1" x14ac:dyDescent="0.25">
      <c r="A5193" s="321" t="s">
        <v>282</v>
      </c>
      <c r="B5193" s="321" t="s">
        <v>386</v>
      </c>
      <c r="C5193" s="293">
        <v>21109.836555000002</v>
      </c>
      <c r="D5193" s="293">
        <v>0</v>
      </c>
      <c r="E5193" s="293">
        <v>-21109.836555000002</v>
      </c>
      <c r="F5193" s="294" t="s">
        <v>286</v>
      </c>
    </row>
    <row r="5194" spans="1:6" hidden="1" outlineLevel="1" collapsed="1" x14ac:dyDescent="0.25">
      <c r="A5194" s="321" t="s">
        <v>282</v>
      </c>
      <c r="B5194" s="321" t="s">
        <v>387</v>
      </c>
      <c r="C5194" s="293">
        <v>0</v>
      </c>
      <c r="D5194" s="293">
        <v>24064.692415000001</v>
      </c>
      <c r="E5194" s="293">
        <v>24064.692415000001</v>
      </c>
      <c r="F5194" s="294" t="s">
        <v>298</v>
      </c>
    </row>
    <row r="5195" spans="1:6" hidden="1" outlineLevel="1" collapsed="1" x14ac:dyDescent="0.25">
      <c r="A5195" s="321" t="s">
        <v>282</v>
      </c>
      <c r="B5195" s="321" t="s">
        <v>388</v>
      </c>
      <c r="C5195" s="293">
        <v>4936.9778759999999</v>
      </c>
      <c r="D5195" s="293">
        <v>5628.0328879999997</v>
      </c>
      <c r="E5195" s="293">
        <v>691.05501200000003</v>
      </c>
      <c r="F5195" s="294" t="s">
        <v>442</v>
      </c>
    </row>
    <row r="5196" spans="1:6" hidden="1" outlineLevel="1" collapsed="1" x14ac:dyDescent="0.25">
      <c r="A5196" s="321" t="s">
        <v>282</v>
      </c>
      <c r="B5196" s="321" t="s">
        <v>444</v>
      </c>
      <c r="C5196" s="293">
        <v>2610</v>
      </c>
      <c r="D5196" s="293">
        <v>0</v>
      </c>
      <c r="E5196" s="293">
        <v>-2610</v>
      </c>
      <c r="F5196" s="294" t="s">
        <v>286</v>
      </c>
    </row>
    <row r="5197" spans="1:6" hidden="1" outlineLevel="1" collapsed="1" x14ac:dyDescent="0.25">
      <c r="A5197" s="321" t="s">
        <v>282</v>
      </c>
      <c r="B5197" s="321" t="s">
        <v>389</v>
      </c>
      <c r="C5197" s="293">
        <v>2159.0323199999998</v>
      </c>
      <c r="D5197" s="293">
        <v>2490.0360000000001</v>
      </c>
      <c r="E5197" s="293">
        <v>331.00367999999997</v>
      </c>
      <c r="F5197" s="294" t="s">
        <v>1857</v>
      </c>
    </row>
    <row r="5198" spans="1:6" hidden="1" outlineLevel="1" collapsed="1" x14ac:dyDescent="0.25">
      <c r="A5198" s="321" t="s">
        <v>282</v>
      </c>
      <c r="B5198" s="321" t="s">
        <v>390</v>
      </c>
      <c r="C5198" s="293">
        <v>78564.293000000005</v>
      </c>
      <c r="D5198" s="293">
        <v>94159.751999999993</v>
      </c>
      <c r="E5198" s="293">
        <v>15595.459000000001</v>
      </c>
      <c r="F5198" s="294" t="s">
        <v>1858</v>
      </c>
    </row>
    <row r="5199" spans="1:6" hidden="1" outlineLevel="1" collapsed="1" x14ac:dyDescent="0.25">
      <c r="A5199" s="321" t="s">
        <v>282</v>
      </c>
      <c r="B5199" s="321" t="s">
        <v>392</v>
      </c>
      <c r="C5199" s="293">
        <v>1183.2652800000001</v>
      </c>
      <c r="D5199" s="293">
        <v>1078.992</v>
      </c>
      <c r="E5199" s="293">
        <v>-104.27328</v>
      </c>
      <c r="F5199" s="294" t="s">
        <v>1859</v>
      </c>
    </row>
    <row r="5200" spans="1:6" hidden="1" outlineLevel="1" collapsed="1" x14ac:dyDescent="0.25">
      <c r="A5200" s="321" t="s">
        <v>282</v>
      </c>
      <c r="B5200" s="321" t="s">
        <v>393</v>
      </c>
      <c r="C5200" s="293">
        <v>170.24059399999999</v>
      </c>
      <c r="D5200" s="293">
        <v>194.07006799999999</v>
      </c>
      <c r="E5200" s="293">
        <v>23.829474000000001</v>
      </c>
      <c r="F5200" s="294" t="s">
        <v>442</v>
      </c>
    </row>
    <row r="5201" spans="1:6" hidden="1" outlineLevel="1" collapsed="1" x14ac:dyDescent="0.25">
      <c r="A5201" s="321" t="s">
        <v>282</v>
      </c>
      <c r="B5201" s="321" t="s">
        <v>394</v>
      </c>
      <c r="C5201" s="293">
        <v>7600</v>
      </c>
      <c r="D5201" s="293">
        <v>0</v>
      </c>
      <c r="E5201" s="293">
        <v>-7600</v>
      </c>
      <c r="F5201" s="294" t="s">
        <v>286</v>
      </c>
    </row>
    <row r="5202" spans="1:6" hidden="1" outlineLevel="1" collapsed="1" x14ac:dyDescent="0.25">
      <c r="A5202" s="321" t="s">
        <v>282</v>
      </c>
      <c r="B5202" s="321" t="s">
        <v>395</v>
      </c>
      <c r="C5202" s="293">
        <v>0</v>
      </c>
      <c r="D5202" s="293">
        <v>8850</v>
      </c>
      <c r="E5202" s="293">
        <v>8850</v>
      </c>
      <c r="F5202" s="294" t="s">
        <v>298</v>
      </c>
    </row>
    <row r="5203" spans="1:6" hidden="1" outlineLevel="1" collapsed="1" x14ac:dyDescent="0.25">
      <c r="A5203" s="321" t="s">
        <v>282</v>
      </c>
      <c r="B5203" s="321" t="s">
        <v>396</v>
      </c>
      <c r="C5203" s="293">
        <v>251.71199999999999</v>
      </c>
      <c r="D5203" s="293">
        <v>0</v>
      </c>
      <c r="E5203" s="293">
        <v>-251.71199999999999</v>
      </c>
      <c r="F5203" s="294" t="s">
        <v>286</v>
      </c>
    </row>
    <row r="5204" spans="1:6" hidden="1" outlineLevel="1" collapsed="1" x14ac:dyDescent="0.25">
      <c r="A5204" s="321" t="s">
        <v>282</v>
      </c>
      <c r="B5204" s="321" t="s">
        <v>397</v>
      </c>
      <c r="C5204" s="293">
        <v>0</v>
      </c>
      <c r="D5204" s="293">
        <v>286.03199999999998</v>
      </c>
      <c r="E5204" s="293">
        <v>286.03199999999998</v>
      </c>
      <c r="F5204" s="294" t="s">
        <v>298</v>
      </c>
    </row>
    <row r="5205" spans="1:6" hidden="1" outlineLevel="1" collapsed="1" x14ac:dyDescent="0.25">
      <c r="A5205" s="321" t="s">
        <v>282</v>
      </c>
      <c r="B5205" s="321" t="s">
        <v>398</v>
      </c>
      <c r="C5205" s="293">
        <v>121.6</v>
      </c>
      <c r="D5205" s="293">
        <v>65.135999999999996</v>
      </c>
      <c r="E5205" s="293">
        <v>-56.463999999999999</v>
      </c>
      <c r="F5205" s="294" t="s">
        <v>1547</v>
      </c>
    </row>
    <row r="5206" spans="1:6" hidden="1" outlineLevel="1" collapsed="1" x14ac:dyDescent="0.25">
      <c r="A5206" s="321" t="s">
        <v>282</v>
      </c>
      <c r="B5206" s="321" t="s">
        <v>523</v>
      </c>
      <c r="C5206" s="293">
        <v>135</v>
      </c>
      <c r="D5206" s="293">
        <v>135</v>
      </c>
      <c r="E5206" s="293">
        <v>0</v>
      </c>
      <c r="F5206" s="294" t="s">
        <v>316</v>
      </c>
    </row>
    <row r="5207" spans="1:6" hidden="1" outlineLevel="1" collapsed="1" x14ac:dyDescent="0.25">
      <c r="A5207" s="321" t="s">
        <v>282</v>
      </c>
      <c r="B5207" s="321" t="s">
        <v>399</v>
      </c>
      <c r="C5207" s="293">
        <v>90</v>
      </c>
      <c r="D5207" s="293">
        <v>90</v>
      </c>
      <c r="E5207" s="293">
        <v>0</v>
      </c>
      <c r="F5207" s="294" t="s">
        <v>316</v>
      </c>
    </row>
    <row r="5208" spans="1:6" hidden="1" outlineLevel="1" collapsed="1" x14ac:dyDescent="0.25">
      <c r="A5208" s="321" t="s">
        <v>282</v>
      </c>
      <c r="B5208" s="321" t="s">
        <v>376</v>
      </c>
      <c r="C5208" s="293">
        <v>2700</v>
      </c>
      <c r="D5208" s="293">
        <v>2200</v>
      </c>
      <c r="E5208" s="293">
        <v>-500</v>
      </c>
      <c r="F5208" s="294" t="s">
        <v>1860</v>
      </c>
    </row>
    <row r="5209" spans="1:6" hidden="1" outlineLevel="1" collapsed="1" x14ac:dyDescent="0.25">
      <c r="A5209" s="321" t="s">
        <v>282</v>
      </c>
      <c r="B5209" s="321" t="s">
        <v>567</v>
      </c>
      <c r="C5209" s="293">
        <v>29600</v>
      </c>
      <c r="D5209" s="293">
        <v>0</v>
      </c>
      <c r="E5209" s="293">
        <v>-29600</v>
      </c>
      <c r="F5209" s="294" t="s">
        <v>286</v>
      </c>
    </row>
    <row r="5210" spans="1:6" hidden="1" outlineLevel="1" collapsed="1" x14ac:dyDescent="0.25">
      <c r="A5210" s="321" t="s">
        <v>282</v>
      </c>
      <c r="B5210" s="321" t="s">
        <v>426</v>
      </c>
      <c r="C5210" s="293">
        <v>2700</v>
      </c>
      <c r="D5210" s="293">
        <v>2600</v>
      </c>
      <c r="E5210" s="293">
        <v>-100</v>
      </c>
      <c r="F5210" s="294" t="s">
        <v>1861</v>
      </c>
    </row>
    <row r="5211" spans="1:6" hidden="1" outlineLevel="1" collapsed="1" x14ac:dyDescent="0.25">
      <c r="A5211" s="321" t="s">
        <v>282</v>
      </c>
      <c r="B5211" s="321" t="s">
        <v>952</v>
      </c>
      <c r="C5211" s="293">
        <v>600</v>
      </c>
      <c r="D5211" s="293">
        <v>600</v>
      </c>
      <c r="E5211" s="293">
        <v>0</v>
      </c>
      <c r="F5211" s="294" t="s">
        <v>316</v>
      </c>
    </row>
    <row r="5212" spans="1:6" hidden="1" outlineLevel="1" collapsed="1" x14ac:dyDescent="0.25">
      <c r="A5212" s="321" t="s">
        <v>282</v>
      </c>
      <c r="B5212" s="321" t="s">
        <v>482</v>
      </c>
      <c r="C5212" s="293">
        <v>900</v>
      </c>
      <c r="D5212" s="293">
        <v>500</v>
      </c>
      <c r="E5212" s="293">
        <v>-400</v>
      </c>
      <c r="F5212" s="294" t="s">
        <v>1862</v>
      </c>
    </row>
    <row r="5213" spans="1:6" hidden="1" outlineLevel="1" collapsed="1" x14ac:dyDescent="0.25">
      <c r="A5213" s="321" t="s">
        <v>282</v>
      </c>
      <c r="B5213" s="321" t="s">
        <v>597</v>
      </c>
      <c r="C5213" s="293">
        <v>1170</v>
      </c>
      <c r="D5213" s="293">
        <v>1170</v>
      </c>
      <c r="E5213" s="293">
        <v>0</v>
      </c>
      <c r="F5213" s="294" t="s">
        <v>316</v>
      </c>
    </row>
    <row r="5214" spans="1:6" hidden="1" outlineLevel="1" collapsed="1" x14ac:dyDescent="0.25">
      <c r="A5214" s="321" t="s">
        <v>282</v>
      </c>
      <c r="B5214" s="321" t="s">
        <v>842</v>
      </c>
      <c r="C5214" s="293">
        <v>1080</v>
      </c>
      <c r="D5214" s="293">
        <v>1080</v>
      </c>
      <c r="E5214" s="293">
        <v>0</v>
      </c>
      <c r="F5214" s="294" t="s">
        <v>316</v>
      </c>
    </row>
    <row r="5215" spans="1:6" hidden="1" outlineLevel="1" collapsed="1" x14ac:dyDescent="0.25">
      <c r="A5215" s="321" t="s">
        <v>282</v>
      </c>
      <c r="B5215" s="321" t="s">
        <v>403</v>
      </c>
      <c r="C5215" s="293">
        <v>3056</v>
      </c>
      <c r="D5215" s="293">
        <v>3056</v>
      </c>
      <c r="E5215" s="293">
        <v>0</v>
      </c>
      <c r="F5215" s="294" t="s">
        <v>316</v>
      </c>
    </row>
    <row r="5216" spans="1:6" hidden="1" outlineLevel="1" collapsed="1" x14ac:dyDescent="0.25">
      <c r="A5216" s="321" t="s">
        <v>282</v>
      </c>
      <c r="B5216" s="321" t="s">
        <v>626</v>
      </c>
      <c r="C5216" s="293">
        <v>2700</v>
      </c>
      <c r="D5216" s="293">
        <v>2700</v>
      </c>
      <c r="E5216" s="293">
        <v>0</v>
      </c>
      <c r="F5216" s="294" t="s">
        <v>316</v>
      </c>
    </row>
    <row r="5217" spans="1:6" hidden="1" outlineLevel="1" collapsed="1" x14ac:dyDescent="0.25">
      <c r="A5217" s="321" t="s">
        <v>282</v>
      </c>
      <c r="B5217" s="321" t="s">
        <v>422</v>
      </c>
      <c r="C5217" s="293">
        <v>1200</v>
      </c>
      <c r="D5217" s="293">
        <v>0</v>
      </c>
      <c r="E5217" s="293">
        <v>-1200</v>
      </c>
      <c r="F5217" s="294" t="s">
        <v>286</v>
      </c>
    </row>
    <row r="5218" spans="1:6" hidden="1" outlineLevel="1" collapsed="1" x14ac:dyDescent="0.25">
      <c r="A5218" s="321" t="s">
        <v>282</v>
      </c>
      <c r="B5218" s="321" t="s">
        <v>770</v>
      </c>
      <c r="C5218" s="293">
        <v>3763.65</v>
      </c>
      <c r="D5218" s="293">
        <v>2700</v>
      </c>
      <c r="E5218" s="293">
        <v>-1063.6500000000001</v>
      </c>
      <c r="F5218" s="294" t="s">
        <v>1863</v>
      </c>
    </row>
    <row r="5219" spans="1:6" collapsed="1" x14ac:dyDescent="0.25">
      <c r="A5219" s="560" t="s">
        <v>1864</v>
      </c>
      <c r="B5219" s="561"/>
      <c r="C5219" s="292">
        <v>70000</v>
      </c>
      <c r="D5219" s="293">
        <v>70000</v>
      </c>
      <c r="E5219" s="293">
        <v>0</v>
      </c>
      <c r="F5219" s="294" t="s">
        <v>316</v>
      </c>
    </row>
    <row r="5220" spans="1:6" hidden="1" outlineLevel="1" collapsed="1" x14ac:dyDescent="0.25">
      <c r="A5220" s="321" t="s">
        <v>282</v>
      </c>
      <c r="B5220" s="321" t="s">
        <v>1865</v>
      </c>
      <c r="C5220" s="293">
        <v>70000</v>
      </c>
      <c r="D5220" s="293">
        <v>70000</v>
      </c>
      <c r="E5220" s="293">
        <v>0</v>
      </c>
      <c r="F5220" s="294" t="s">
        <v>316</v>
      </c>
    </row>
    <row r="5221" spans="1:6" collapsed="1" x14ac:dyDescent="0.25">
      <c r="A5221" s="560" t="s">
        <v>1866</v>
      </c>
      <c r="B5221" s="561"/>
      <c r="C5221" s="292">
        <v>1112488.9341879999</v>
      </c>
      <c r="D5221" s="293">
        <v>1193996.7593729999</v>
      </c>
      <c r="E5221" s="293">
        <v>81507.825184999994</v>
      </c>
      <c r="F5221" s="294" t="s">
        <v>2362</v>
      </c>
    </row>
    <row r="5222" spans="1:6" hidden="1" outlineLevel="1" collapsed="1" x14ac:dyDescent="0.25">
      <c r="A5222" s="321" t="s">
        <v>282</v>
      </c>
      <c r="B5222" s="321" t="s">
        <v>942</v>
      </c>
      <c r="C5222" s="293">
        <v>133899.819036</v>
      </c>
      <c r="D5222" s="293">
        <v>135908.31487199999</v>
      </c>
      <c r="E5222" s="293">
        <v>2008.4958360000001</v>
      </c>
      <c r="F5222" s="294" t="s">
        <v>510</v>
      </c>
    </row>
    <row r="5223" spans="1:6" hidden="1" outlineLevel="1" collapsed="1" x14ac:dyDescent="0.25">
      <c r="A5223" s="321" t="s">
        <v>282</v>
      </c>
      <c r="B5223" s="321" t="s">
        <v>874</v>
      </c>
      <c r="C5223" s="293">
        <v>164409.697896</v>
      </c>
      <c r="D5223" s="293">
        <v>166875.84158400001</v>
      </c>
      <c r="E5223" s="293">
        <v>2466.1436880000001</v>
      </c>
      <c r="F5223" s="294" t="s">
        <v>510</v>
      </c>
    </row>
    <row r="5224" spans="1:6" hidden="1" outlineLevel="1" collapsed="1" x14ac:dyDescent="0.25">
      <c r="A5224" s="321" t="s">
        <v>282</v>
      </c>
      <c r="B5224" s="321" t="s">
        <v>464</v>
      </c>
      <c r="C5224" s="293">
        <v>349224.15329599997</v>
      </c>
      <c r="D5224" s="293">
        <v>421641.59957000002</v>
      </c>
      <c r="E5224" s="293">
        <v>72417.446274000002</v>
      </c>
      <c r="F5224" s="294" t="s">
        <v>2246</v>
      </c>
    </row>
    <row r="5225" spans="1:6" hidden="1" outlineLevel="1" collapsed="1" x14ac:dyDescent="0.25">
      <c r="A5225" s="321" t="s">
        <v>282</v>
      </c>
      <c r="B5225" s="321" t="s">
        <v>384</v>
      </c>
      <c r="C5225" s="293">
        <v>74928.537513999996</v>
      </c>
      <c r="D5225" s="293">
        <v>0</v>
      </c>
      <c r="E5225" s="293">
        <v>-74928.537513999996</v>
      </c>
      <c r="F5225" s="294" t="s">
        <v>286</v>
      </c>
    </row>
    <row r="5226" spans="1:6" hidden="1" outlineLevel="1" collapsed="1" x14ac:dyDescent="0.25">
      <c r="A5226" s="321" t="s">
        <v>282</v>
      </c>
      <c r="B5226" s="321" t="s">
        <v>385</v>
      </c>
      <c r="C5226" s="293">
        <v>0</v>
      </c>
      <c r="D5226" s="293">
        <v>111782.820284</v>
      </c>
      <c r="E5226" s="293">
        <v>111782.820284</v>
      </c>
      <c r="F5226" s="294" t="s">
        <v>298</v>
      </c>
    </row>
    <row r="5227" spans="1:6" hidden="1" outlineLevel="1" collapsed="1" x14ac:dyDescent="0.25">
      <c r="A5227" s="321" t="s">
        <v>282</v>
      </c>
      <c r="B5227" s="321" t="s">
        <v>386</v>
      </c>
      <c r="C5227" s="293">
        <v>39769.755491999997</v>
      </c>
      <c r="D5227" s="293">
        <v>0</v>
      </c>
      <c r="E5227" s="293">
        <v>-39769.755491999997</v>
      </c>
      <c r="F5227" s="294" t="s">
        <v>286</v>
      </c>
    </row>
    <row r="5228" spans="1:6" hidden="1" outlineLevel="1" collapsed="1" x14ac:dyDescent="0.25">
      <c r="A5228" s="321" t="s">
        <v>282</v>
      </c>
      <c r="B5228" s="321" t="s">
        <v>387</v>
      </c>
      <c r="C5228" s="293">
        <v>0</v>
      </c>
      <c r="D5228" s="293">
        <v>45115.276827000002</v>
      </c>
      <c r="E5228" s="293">
        <v>45115.276827000002</v>
      </c>
      <c r="F5228" s="294" t="s">
        <v>298</v>
      </c>
    </row>
    <row r="5229" spans="1:6" hidden="1" outlineLevel="1" collapsed="1" x14ac:dyDescent="0.25">
      <c r="A5229" s="321" t="s">
        <v>282</v>
      </c>
      <c r="B5229" s="321" t="s">
        <v>388</v>
      </c>
      <c r="C5229" s="293">
        <v>9300.9911580000007</v>
      </c>
      <c r="D5229" s="293">
        <v>10551.153408</v>
      </c>
      <c r="E5229" s="293">
        <v>1250.1622500000001</v>
      </c>
      <c r="F5229" s="294" t="s">
        <v>2363</v>
      </c>
    </row>
    <row r="5230" spans="1:6" hidden="1" outlineLevel="1" collapsed="1" x14ac:dyDescent="0.25">
      <c r="A5230" s="321" t="s">
        <v>282</v>
      </c>
      <c r="B5230" s="321" t="s">
        <v>389</v>
      </c>
      <c r="C5230" s="293">
        <v>3835.1232</v>
      </c>
      <c r="D5230" s="293">
        <v>4220.3999999999996</v>
      </c>
      <c r="E5230" s="293">
        <v>385.27679999999998</v>
      </c>
      <c r="F5230" s="294" t="s">
        <v>2364</v>
      </c>
    </row>
    <row r="5231" spans="1:6" hidden="1" outlineLevel="1" collapsed="1" x14ac:dyDescent="0.25">
      <c r="A5231" s="321" t="s">
        <v>282</v>
      </c>
      <c r="B5231" s="321" t="s">
        <v>390</v>
      </c>
      <c r="C5231" s="293">
        <v>108397.16</v>
      </c>
      <c r="D5231" s="293">
        <v>143633.51999999999</v>
      </c>
      <c r="E5231" s="293">
        <v>35236.36</v>
      </c>
      <c r="F5231" s="294" t="s">
        <v>2365</v>
      </c>
    </row>
    <row r="5232" spans="1:6" hidden="1" outlineLevel="1" collapsed="1" x14ac:dyDescent="0.25">
      <c r="A5232" s="321" t="s">
        <v>282</v>
      </c>
      <c r="B5232" s="321" t="s">
        <v>392</v>
      </c>
      <c r="C5232" s="293">
        <v>2101.8528000000001</v>
      </c>
      <c r="D5232" s="293">
        <v>1828.8</v>
      </c>
      <c r="E5232" s="293">
        <v>-273.05279999999999</v>
      </c>
      <c r="F5232" s="294" t="s">
        <v>2366</v>
      </c>
    </row>
    <row r="5233" spans="1:6" hidden="1" outlineLevel="1" collapsed="1" x14ac:dyDescent="0.25">
      <c r="A5233" s="321" t="s">
        <v>282</v>
      </c>
      <c r="B5233" s="321" t="s">
        <v>393</v>
      </c>
      <c r="C5233" s="293">
        <v>320.72379599999999</v>
      </c>
      <c r="D5233" s="293">
        <v>363.83282800000001</v>
      </c>
      <c r="E5233" s="293">
        <v>43.109031999999999</v>
      </c>
      <c r="F5233" s="294" t="s">
        <v>2363</v>
      </c>
    </row>
    <row r="5234" spans="1:6" hidden="1" outlineLevel="1" collapsed="1" x14ac:dyDescent="0.25">
      <c r="A5234" s="321" t="s">
        <v>282</v>
      </c>
      <c r="B5234" s="321" t="s">
        <v>394</v>
      </c>
      <c r="C5234" s="293">
        <v>13500</v>
      </c>
      <c r="D5234" s="293">
        <v>0</v>
      </c>
      <c r="E5234" s="293">
        <v>-13500</v>
      </c>
      <c r="F5234" s="294" t="s">
        <v>286</v>
      </c>
    </row>
    <row r="5235" spans="1:6" hidden="1" outlineLevel="1" collapsed="1" x14ac:dyDescent="0.25">
      <c r="A5235" s="321" t="s">
        <v>282</v>
      </c>
      <c r="B5235" s="321" t="s">
        <v>395</v>
      </c>
      <c r="C5235" s="293">
        <v>0</v>
      </c>
      <c r="D5235" s="293">
        <v>15000</v>
      </c>
      <c r="E5235" s="293">
        <v>15000</v>
      </c>
      <c r="F5235" s="294" t="s">
        <v>298</v>
      </c>
    </row>
    <row r="5236" spans="1:6" hidden="1" outlineLevel="1" collapsed="1" x14ac:dyDescent="0.25">
      <c r="A5236" s="321" t="s">
        <v>282</v>
      </c>
      <c r="B5236" s="321" t="s">
        <v>396</v>
      </c>
      <c r="C5236" s="293">
        <v>447.12</v>
      </c>
      <c r="D5236" s="293">
        <v>0</v>
      </c>
      <c r="E5236" s="293">
        <v>-447.12</v>
      </c>
      <c r="F5236" s="294" t="s">
        <v>286</v>
      </c>
    </row>
    <row r="5237" spans="1:6" hidden="1" outlineLevel="1" collapsed="1" x14ac:dyDescent="0.25">
      <c r="A5237" s="321" t="s">
        <v>282</v>
      </c>
      <c r="B5237" s="321" t="s">
        <v>397</v>
      </c>
      <c r="C5237" s="293">
        <v>0</v>
      </c>
      <c r="D5237" s="293">
        <v>484.8</v>
      </c>
      <c r="E5237" s="293">
        <v>484.8</v>
      </c>
      <c r="F5237" s="294" t="s">
        <v>298</v>
      </c>
    </row>
    <row r="5238" spans="1:6" hidden="1" outlineLevel="1" collapsed="1" x14ac:dyDescent="0.25">
      <c r="A5238" s="321" t="s">
        <v>282</v>
      </c>
      <c r="B5238" s="321" t="s">
        <v>398</v>
      </c>
      <c r="C5238" s="293">
        <v>216</v>
      </c>
      <c r="D5238" s="293">
        <v>110.4</v>
      </c>
      <c r="E5238" s="293">
        <v>-105.6</v>
      </c>
      <c r="F5238" s="294" t="s">
        <v>2367</v>
      </c>
    </row>
    <row r="5239" spans="1:6" hidden="1" outlineLevel="1" collapsed="1" x14ac:dyDescent="0.25">
      <c r="A5239" s="321" t="s">
        <v>282</v>
      </c>
      <c r="B5239" s="321" t="s">
        <v>522</v>
      </c>
      <c r="C5239" s="293">
        <v>3000</v>
      </c>
      <c r="D5239" s="293">
        <v>3000</v>
      </c>
      <c r="E5239" s="293">
        <v>0</v>
      </c>
      <c r="F5239" s="294" t="s">
        <v>316</v>
      </c>
    </row>
    <row r="5240" spans="1:6" hidden="1" outlineLevel="1" collapsed="1" x14ac:dyDescent="0.25">
      <c r="A5240" s="321" t="s">
        <v>282</v>
      </c>
      <c r="B5240" s="321" t="s">
        <v>399</v>
      </c>
      <c r="C5240" s="293">
        <v>300</v>
      </c>
      <c r="D5240" s="293">
        <v>0</v>
      </c>
      <c r="E5240" s="293">
        <v>-300</v>
      </c>
      <c r="F5240" s="294" t="s">
        <v>286</v>
      </c>
    </row>
    <row r="5241" spans="1:6" hidden="1" outlineLevel="1" collapsed="1" x14ac:dyDescent="0.25">
      <c r="A5241" s="321" t="s">
        <v>282</v>
      </c>
      <c r="B5241" s="321" t="s">
        <v>376</v>
      </c>
      <c r="C5241" s="293">
        <v>39600</v>
      </c>
      <c r="D5241" s="293">
        <v>30000</v>
      </c>
      <c r="E5241" s="293">
        <v>-9600</v>
      </c>
      <c r="F5241" s="294" t="s">
        <v>1870</v>
      </c>
    </row>
    <row r="5242" spans="1:6" hidden="1" outlineLevel="1" collapsed="1" x14ac:dyDescent="0.25">
      <c r="A5242" s="321" t="s">
        <v>282</v>
      </c>
      <c r="B5242" s="321" t="s">
        <v>567</v>
      </c>
      <c r="C5242" s="293">
        <v>75756</v>
      </c>
      <c r="D5242" s="293">
        <v>40000</v>
      </c>
      <c r="E5242" s="293">
        <v>-35756</v>
      </c>
      <c r="F5242" s="294" t="s">
        <v>1871</v>
      </c>
    </row>
    <row r="5243" spans="1:6" hidden="1" outlineLevel="1" collapsed="1" x14ac:dyDescent="0.25">
      <c r="A5243" s="321" t="s">
        <v>282</v>
      </c>
      <c r="B5243" s="321" t="s">
        <v>426</v>
      </c>
      <c r="C5243" s="293">
        <v>9652</v>
      </c>
      <c r="D5243" s="293">
        <v>6000</v>
      </c>
      <c r="E5243" s="293">
        <v>-3652</v>
      </c>
      <c r="F5243" s="294" t="s">
        <v>2368</v>
      </c>
    </row>
    <row r="5244" spans="1:6" hidden="1" outlineLevel="1" collapsed="1" x14ac:dyDescent="0.25">
      <c r="A5244" s="321" t="s">
        <v>282</v>
      </c>
      <c r="B5244" s="321" t="s">
        <v>952</v>
      </c>
      <c r="C5244" s="293">
        <v>6240</v>
      </c>
      <c r="D5244" s="293">
        <v>3840</v>
      </c>
      <c r="E5244" s="293">
        <v>-2400</v>
      </c>
      <c r="F5244" s="294" t="s">
        <v>1754</v>
      </c>
    </row>
    <row r="5245" spans="1:6" hidden="1" outlineLevel="1" collapsed="1" x14ac:dyDescent="0.25">
      <c r="A5245" s="321" t="s">
        <v>282</v>
      </c>
      <c r="B5245" s="321" t="s">
        <v>597</v>
      </c>
      <c r="C5245" s="293">
        <v>990</v>
      </c>
      <c r="D5245" s="293">
        <v>400</v>
      </c>
      <c r="E5245" s="293">
        <v>-590</v>
      </c>
      <c r="F5245" s="294" t="s">
        <v>1874</v>
      </c>
    </row>
    <row r="5246" spans="1:6" hidden="1" outlineLevel="1" collapsed="1" x14ac:dyDescent="0.25">
      <c r="A5246" s="321" t="s">
        <v>282</v>
      </c>
      <c r="B5246" s="321" t="s">
        <v>843</v>
      </c>
      <c r="C5246" s="293">
        <v>0</v>
      </c>
      <c r="D5246" s="293">
        <v>2140</v>
      </c>
      <c r="E5246" s="293">
        <v>2140</v>
      </c>
      <c r="F5246" s="294" t="s">
        <v>298</v>
      </c>
    </row>
    <row r="5247" spans="1:6" hidden="1" outlineLevel="1" collapsed="1" x14ac:dyDescent="0.25">
      <c r="A5247" s="321" t="s">
        <v>282</v>
      </c>
      <c r="B5247" s="321" t="s">
        <v>448</v>
      </c>
      <c r="C5247" s="293">
        <v>8500</v>
      </c>
      <c r="D5247" s="293">
        <v>8500</v>
      </c>
      <c r="E5247" s="293">
        <v>0</v>
      </c>
      <c r="F5247" s="294" t="s">
        <v>316</v>
      </c>
    </row>
    <row r="5248" spans="1:6" hidden="1" outlineLevel="1" collapsed="1" x14ac:dyDescent="0.25">
      <c r="A5248" s="321" t="s">
        <v>282</v>
      </c>
      <c r="B5248" s="321" t="s">
        <v>403</v>
      </c>
      <c r="C5248" s="293">
        <v>50000</v>
      </c>
      <c r="D5248" s="293">
        <v>35000</v>
      </c>
      <c r="E5248" s="293">
        <v>-15000</v>
      </c>
      <c r="F5248" s="294" t="s">
        <v>944</v>
      </c>
    </row>
    <row r="5249" spans="1:6" hidden="1" outlineLevel="1" collapsed="1" x14ac:dyDescent="0.25">
      <c r="A5249" s="321" t="s">
        <v>282</v>
      </c>
      <c r="B5249" s="321" t="s">
        <v>626</v>
      </c>
      <c r="C5249" s="293">
        <v>1000</v>
      </c>
      <c r="D5249" s="293">
        <v>500</v>
      </c>
      <c r="E5249" s="293">
        <v>-500</v>
      </c>
      <c r="F5249" s="294" t="s">
        <v>722</v>
      </c>
    </row>
    <row r="5250" spans="1:6" hidden="1" outlineLevel="1" collapsed="1" x14ac:dyDescent="0.25">
      <c r="A5250" s="321" t="s">
        <v>282</v>
      </c>
      <c r="B5250" s="321" t="s">
        <v>405</v>
      </c>
      <c r="C5250" s="293">
        <v>1500</v>
      </c>
      <c r="D5250" s="293">
        <v>1000</v>
      </c>
      <c r="E5250" s="293">
        <v>-500</v>
      </c>
      <c r="F5250" s="294" t="s">
        <v>858</v>
      </c>
    </row>
    <row r="5251" spans="1:6" hidden="1" outlineLevel="1" collapsed="1" x14ac:dyDescent="0.25">
      <c r="A5251" s="321" t="s">
        <v>282</v>
      </c>
      <c r="B5251" s="321" t="s">
        <v>557</v>
      </c>
      <c r="C5251" s="293">
        <v>3100</v>
      </c>
      <c r="D5251" s="293">
        <v>100</v>
      </c>
      <c r="E5251" s="293">
        <v>-3000</v>
      </c>
      <c r="F5251" s="294" t="s">
        <v>1875</v>
      </c>
    </row>
    <row r="5252" spans="1:6" hidden="1" outlineLevel="1" collapsed="1" x14ac:dyDescent="0.25">
      <c r="A5252" s="321" t="s">
        <v>282</v>
      </c>
      <c r="B5252" s="321" t="s">
        <v>422</v>
      </c>
      <c r="C5252" s="293">
        <v>8500</v>
      </c>
      <c r="D5252" s="293">
        <v>6000</v>
      </c>
      <c r="E5252" s="293">
        <v>-2500</v>
      </c>
      <c r="F5252" s="294" t="s">
        <v>1646</v>
      </c>
    </row>
    <row r="5253" spans="1:6" hidden="1" outlineLevel="1" collapsed="1" x14ac:dyDescent="0.25">
      <c r="A5253" s="321" t="s">
        <v>282</v>
      </c>
      <c r="B5253" s="321" t="s">
        <v>770</v>
      </c>
      <c r="C5253" s="293">
        <v>4000</v>
      </c>
      <c r="D5253" s="293">
        <v>0</v>
      </c>
      <c r="E5253" s="293">
        <v>-4000</v>
      </c>
      <c r="F5253" s="294" t="s">
        <v>286</v>
      </c>
    </row>
    <row r="5254" spans="1:6" collapsed="1" x14ac:dyDescent="0.25">
      <c r="A5254" s="560" t="s">
        <v>1876</v>
      </c>
      <c r="B5254" s="561"/>
      <c r="C5254" s="292">
        <v>869613.384861</v>
      </c>
      <c r="D5254" s="293">
        <v>813533.85802399996</v>
      </c>
      <c r="E5254" s="293">
        <v>-56079.526836999998</v>
      </c>
      <c r="F5254" s="294" t="s">
        <v>2369</v>
      </c>
    </row>
    <row r="5255" spans="1:6" hidden="1" outlineLevel="1" collapsed="1" x14ac:dyDescent="0.25">
      <c r="A5255" s="321" t="s">
        <v>282</v>
      </c>
      <c r="B5255" s="321" t="s">
        <v>874</v>
      </c>
      <c r="C5255" s="293">
        <v>67621.328315999999</v>
      </c>
      <c r="D5255" s="293">
        <v>72072.478392000005</v>
      </c>
      <c r="E5255" s="293">
        <v>4451.1500759999999</v>
      </c>
      <c r="F5255" s="294" t="s">
        <v>790</v>
      </c>
    </row>
    <row r="5256" spans="1:6" hidden="1" outlineLevel="1" collapsed="1" x14ac:dyDescent="0.25">
      <c r="A5256" s="321" t="s">
        <v>282</v>
      </c>
      <c r="B5256" s="321" t="s">
        <v>464</v>
      </c>
      <c r="C5256" s="293">
        <v>257643.29336800001</v>
      </c>
      <c r="D5256" s="293">
        <v>312139.46761599998</v>
      </c>
      <c r="E5256" s="293">
        <v>54496.174248000003</v>
      </c>
      <c r="F5256" s="294" t="s">
        <v>1878</v>
      </c>
    </row>
    <row r="5257" spans="1:6" hidden="1" outlineLevel="1" collapsed="1" x14ac:dyDescent="0.25">
      <c r="A5257" s="321" t="s">
        <v>282</v>
      </c>
      <c r="B5257" s="321" t="s">
        <v>476</v>
      </c>
      <c r="C5257" s="293">
        <v>10000</v>
      </c>
      <c r="D5257" s="293">
        <v>0</v>
      </c>
      <c r="E5257" s="293">
        <v>-10000</v>
      </c>
      <c r="F5257" s="294" t="s">
        <v>286</v>
      </c>
    </row>
    <row r="5258" spans="1:6" hidden="1" outlineLevel="1" collapsed="1" x14ac:dyDescent="0.25">
      <c r="A5258" s="321" t="s">
        <v>282</v>
      </c>
      <c r="B5258" s="321" t="s">
        <v>799</v>
      </c>
      <c r="C5258" s="293">
        <v>7000</v>
      </c>
      <c r="D5258" s="293">
        <v>0</v>
      </c>
      <c r="E5258" s="293">
        <v>-7000</v>
      </c>
      <c r="F5258" s="294" t="s">
        <v>286</v>
      </c>
    </row>
    <row r="5259" spans="1:6" hidden="1" outlineLevel="1" collapsed="1" x14ac:dyDescent="0.25">
      <c r="A5259" s="321" t="s">
        <v>282</v>
      </c>
      <c r="B5259" s="321" t="s">
        <v>384</v>
      </c>
      <c r="C5259" s="293">
        <v>41106.989392000003</v>
      </c>
      <c r="D5259" s="293">
        <v>0</v>
      </c>
      <c r="E5259" s="293">
        <v>-41106.989392000003</v>
      </c>
      <c r="F5259" s="294" t="s">
        <v>286</v>
      </c>
    </row>
    <row r="5260" spans="1:6" hidden="1" outlineLevel="1" collapsed="1" x14ac:dyDescent="0.25">
      <c r="A5260" s="321" t="s">
        <v>282</v>
      </c>
      <c r="B5260" s="321" t="s">
        <v>385</v>
      </c>
      <c r="C5260" s="293">
        <v>0</v>
      </c>
      <c r="D5260" s="293">
        <v>58817.7523</v>
      </c>
      <c r="E5260" s="293">
        <v>58817.7523</v>
      </c>
      <c r="F5260" s="294" t="s">
        <v>298</v>
      </c>
    </row>
    <row r="5261" spans="1:6" hidden="1" outlineLevel="1" collapsed="1" x14ac:dyDescent="0.25">
      <c r="A5261" s="321" t="s">
        <v>282</v>
      </c>
      <c r="B5261" s="321" t="s">
        <v>386</v>
      </c>
      <c r="C5261" s="293">
        <v>20563.206513000001</v>
      </c>
      <c r="D5261" s="293">
        <v>0</v>
      </c>
      <c r="E5261" s="293">
        <v>-20563.206513000001</v>
      </c>
      <c r="F5261" s="294" t="s">
        <v>286</v>
      </c>
    </row>
    <row r="5262" spans="1:6" hidden="1" outlineLevel="1" collapsed="1" x14ac:dyDescent="0.25">
      <c r="A5262" s="321" t="s">
        <v>282</v>
      </c>
      <c r="B5262" s="321" t="s">
        <v>387</v>
      </c>
      <c r="C5262" s="293">
        <v>0</v>
      </c>
      <c r="D5262" s="293">
        <v>23783.940608000001</v>
      </c>
      <c r="E5262" s="293">
        <v>23783.940608000001</v>
      </c>
      <c r="F5262" s="294" t="s">
        <v>298</v>
      </c>
    </row>
    <row r="5263" spans="1:6" hidden="1" outlineLevel="1" collapsed="1" x14ac:dyDescent="0.25">
      <c r="A5263" s="321" t="s">
        <v>282</v>
      </c>
      <c r="B5263" s="321" t="s">
        <v>388</v>
      </c>
      <c r="C5263" s="293">
        <v>4809.136974</v>
      </c>
      <c r="D5263" s="293">
        <v>5562.373192</v>
      </c>
      <c r="E5263" s="293">
        <v>753.23621800000001</v>
      </c>
      <c r="F5263" s="294" t="s">
        <v>1879</v>
      </c>
    </row>
    <row r="5264" spans="1:6" hidden="1" outlineLevel="1" collapsed="1" x14ac:dyDescent="0.25">
      <c r="A5264" s="321" t="s">
        <v>282</v>
      </c>
      <c r="B5264" s="321" t="s">
        <v>389</v>
      </c>
      <c r="C5264" s="293">
        <v>2982.8735999999999</v>
      </c>
      <c r="D5264" s="293">
        <v>2954.28</v>
      </c>
      <c r="E5264" s="293">
        <v>-28.593599999999999</v>
      </c>
      <c r="F5264" s="294" t="s">
        <v>364</v>
      </c>
    </row>
    <row r="5265" spans="1:6" hidden="1" outlineLevel="1" collapsed="1" x14ac:dyDescent="0.25">
      <c r="A5265" s="321" t="s">
        <v>282</v>
      </c>
      <c r="B5265" s="321" t="s">
        <v>390</v>
      </c>
      <c r="C5265" s="293">
        <v>108396.89</v>
      </c>
      <c r="D5265" s="293">
        <v>111714.96</v>
      </c>
      <c r="E5265" s="293">
        <v>3318.07</v>
      </c>
      <c r="F5265" s="294" t="s">
        <v>391</v>
      </c>
    </row>
    <row r="5266" spans="1:6" hidden="1" outlineLevel="1" collapsed="1" x14ac:dyDescent="0.25">
      <c r="A5266" s="321" t="s">
        <v>282</v>
      </c>
      <c r="B5266" s="321" t="s">
        <v>392</v>
      </c>
      <c r="C5266" s="293">
        <v>1634.7744</v>
      </c>
      <c r="D5266" s="293">
        <v>1280.1600000000001</v>
      </c>
      <c r="E5266" s="293">
        <v>-354.61439999999999</v>
      </c>
      <c r="F5266" s="294" t="s">
        <v>368</v>
      </c>
    </row>
    <row r="5267" spans="1:6" hidden="1" outlineLevel="1" collapsed="1" x14ac:dyDescent="0.25">
      <c r="A5267" s="321" t="s">
        <v>282</v>
      </c>
      <c r="B5267" s="321" t="s">
        <v>393</v>
      </c>
      <c r="C5267" s="293">
        <v>165.83229800000001</v>
      </c>
      <c r="D5267" s="293">
        <v>191.805916</v>
      </c>
      <c r="E5267" s="293">
        <v>25.973617999999998</v>
      </c>
      <c r="F5267" s="294" t="s">
        <v>1879</v>
      </c>
    </row>
    <row r="5268" spans="1:6" hidden="1" outlineLevel="1" collapsed="1" x14ac:dyDescent="0.25">
      <c r="A5268" s="321" t="s">
        <v>282</v>
      </c>
      <c r="B5268" s="321" t="s">
        <v>394</v>
      </c>
      <c r="C5268" s="293">
        <v>10500</v>
      </c>
      <c r="D5268" s="293">
        <v>0</v>
      </c>
      <c r="E5268" s="293">
        <v>-10500</v>
      </c>
      <c r="F5268" s="294" t="s">
        <v>286</v>
      </c>
    </row>
    <row r="5269" spans="1:6" hidden="1" outlineLevel="1" collapsed="1" x14ac:dyDescent="0.25">
      <c r="A5269" s="321" t="s">
        <v>282</v>
      </c>
      <c r="B5269" s="321" t="s">
        <v>395</v>
      </c>
      <c r="C5269" s="293">
        <v>0</v>
      </c>
      <c r="D5269" s="293">
        <v>10500</v>
      </c>
      <c r="E5269" s="293">
        <v>10500</v>
      </c>
      <c r="F5269" s="294" t="s">
        <v>298</v>
      </c>
    </row>
    <row r="5270" spans="1:6" hidden="1" outlineLevel="1" collapsed="1" x14ac:dyDescent="0.25">
      <c r="A5270" s="321" t="s">
        <v>282</v>
      </c>
      <c r="B5270" s="321" t="s">
        <v>396</v>
      </c>
      <c r="C5270" s="293">
        <v>347.76</v>
      </c>
      <c r="D5270" s="293">
        <v>0</v>
      </c>
      <c r="E5270" s="293">
        <v>-347.76</v>
      </c>
      <c r="F5270" s="294" t="s">
        <v>286</v>
      </c>
    </row>
    <row r="5271" spans="1:6" hidden="1" outlineLevel="1" collapsed="1" x14ac:dyDescent="0.25">
      <c r="A5271" s="321" t="s">
        <v>282</v>
      </c>
      <c r="B5271" s="321" t="s">
        <v>397</v>
      </c>
      <c r="C5271" s="293">
        <v>0</v>
      </c>
      <c r="D5271" s="293">
        <v>339.36</v>
      </c>
      <c r="E5271" s="293">
        <v>339.36</v>
      </c>
      <c r="F5271" s="294" t="s">
        <v>298</v>
      </c>
    </row>
    <row r="5272" spans="1:6" hidden="1" outlineLevel="1" collapsed="1" x14ac:dyDescent="0.25">
      <c r="A5272" s="321" t="s">
        <v>282</v>
      </c>
      <c r="B5272" s="321" t="s">
        <v>398</v>
      </c>
      <c r="C5272" s="293">
        <v>168</v>
      </c>
      <c r="D5272" s="293">
        <v>77.28</v>
      </c>
      <c r="E5272" s="293">
        <v>-90.72</v>
      </c>
      <c r="F5272" s="294" t="s">
        <v>374</v>
      </c>
    </row>
    <row r="5273" spans="1:6" hidden="1" outlineLevel="1" collapsed="1" x14ac:dyDescent="0.25">
      <c r="A5273" s="321" t="s">
        <v>282</v>
      </c>
      <c r="B5273" s="321" t="s">
        <v>505</v>
      </c>
      <c r="C5273" s="293">
        <v>0</v>
      </c>
      <c r="D5273" s="293">
        <v>0</v>
      </c>
      <c r="E5273" s="293">
        <v>0</v>
      </c>
      <c r="F5273" s="294" t="s">
        <v>316</v>
      </c>
    </row>
    <row r="5274" spans="1:6" hidden="1" outlineLevel="1" collapsed="1" x14ac:dyDescent="0.25">
      <c r="A5274" s="321" t="s">
        <v>282</v>
      </c>
      <c r="B5274" s="321" t="s">
        <v>431</v>
      </c>
      <c r="C5274" s="293">
        <v>0</v>
      </c>
      <c r="D5274" s="293">
        <v>0</v>
      </c>
      <c r="E5274" s="293">
        <v>0</v>
      </c>
      <c r="F5274" s="294" t="s">
        <v>316</v>
      </c>
    </row>
    <row r="5275" spans="1:6" hidden="1" outlineLevel="1" collapsed="1" x14ac:dyDescent="0.25">
      <c r="A5275" s="321" t="s">
        <v>282</v>
      </c>
      <c r="B5275" s="321" t="s">
        <v>376</v>
      </c>
      <c r="C5275" s="293">
        <v>159115</v>
      </c>
      <c r="D5275" s="293">
        <v>84750</v>
      </c>
      <c r="E5275" s="293">
        <v>-74365</v>
      </c>
      <c r="F5275" s="294" t="s">
        <v>2370</v>
      </c>
    </row>
    <row r="5276" spans="1:6" hidden="1" outlineLevel="1" collapsed="1" x14ac:dyDescent="0.25">
      <c r="A5276" s="321" t="s">
        <v>282</v>
      </c>
      <c r="B5276" s="321" t="s">
        <v>662</v>
      </c>
      <c r="C5276" s="293">
        <v>-50586</v>
      </c>
      <c r="D5276" s="293">
        <v>0</v>
      </c>
      <c r="E5276" s="293">
        <v>50586</v>
      </c>
      <c r="F5276" s="294" t="s">
        <v>286</v>
      </c>
    </row>
    <row r="5277" spans="1:6" hidden="1" outlineLevel="1" collapsed="1" x14ac:dyDescent="0.25">
      <c r="A5277" s="321" t="s">
        <v>282</v>
      </c>
      <c r="B5277" s="321" t="s">
        <v>567</v>
      </c>
      <c r="C5277" s="293">
        <v>275</v>
      </c>
      <c r="D5277" s="293">
        <v>0</v>
      </c>
      <c r="E5277" s="293">
        <v>-275</v>
      </c>
      <c r="F5277" s="294" t="s">
        <v>286</v>
      </c>
    </row>
    <row r="5278" spans="1:6" hidden="1" outlineLevel="1" collapsed="1" x14ac:dyDescent="0.25">
      <c r="A5278" s="321" t="s">
        <v>282</v>
      </c>
      <c r="B5278" s="321" t="s">
        <v>426</v>
      </c>
      <c r="C5278" s="293">
        <v>4923</v>
      </c>
      <c r="D5278" s="293">
        <v>500</v>
      </c>
      <c r="E5278" s="293">
        <v>-4423</v>
      </c>
      <c r="F5278" s="294" t="s">
        <v>2371</v>
      </c>
    </row>
    <row r="5279" spans="1:6" hidden="1" outlineLevel="1" collapsed="1" x14ac:dyDescent="0.25">
      <c r="A5279" s="321" t="s">
        <v>282</v>
      </c>
      <c r="B5279" s="321" t="s">
        <v>597</v>
      </c>
      <c r="C5279" s="293">
        <v>125.6</v>
      </c>
      <c r="D5279" s="293">
        <v>250</v>
      </c>
      <c r="E5279" s="293">
        <v>124.4</v>
      </c>
      <c r="F5279" s="294" t="s">
        <v>2372</v>
      </c>
    </row>
    <row r="5280" spans="1:6" hidden="1" outlineLevel="1" collapsed="1" x14ac:dyDescent="0.25">
      <c r="A5280" s="321" t="s">
        <v>282</v>
      </c>
      <c r="B5280" s="321" t="s">
        <v>1163</v>
      </c>
      <c r="C5280" s="293">
        <v>0.6</v>
      </c>
      <c r="D5280" s="293">
        <v>0</v>
      </c>
      <c r="E5280" s="293">
        <v>-0.6</v>
      </c>
      <c r="F5280" s="294" t="s">
        <v>286</v>
      </c>
    </row>
    <row r="5281" spans="1:6" hidden="1" outlineLevel="1" collapsed="1" x14ac:dyDescent="0.25">
      <c r="A5281" s="321" t="s">
        <v>282</v>
      </c>
      <c r="B5281" s="321" t="s">
        <v>483</v>
      </c>
      <c r="C5281" s="293">
        <v>5250</v>
      </c>
      <c r="D5281" s="293">
        <v>3400</v>
      </c>
      <c r="E5281" s="293">
        <v>-1850</v>
      </c>
      <c r="F5281" s="294" t="s">
        <v>1881</v>
      </c>
    </row>
    <row r="5282" spans="1:6" hidden="1" outlineLevel="1" collapsed="1" x14ac:dyDescent="0.25">
      <c r="A5282" s="321" t="s">
        <v>282</v>
      </c>
      <c r="B5282" s="321" t="s">
        <v>543</v>
      </c>
      <c r="C5282" s="293">
        <v>56101</v>
      </c>
      <c r="D5282" s="293">
        <v>56000</v>
      </c>
      <c r="E5282" s="293">
        <v>-101</v>
      </c>
      <c r="F5282" s="294" t="s">
        <v>990</v>
      </c>
    </row>
    <row r="5283" spans="1:6" hidden="1" outlineLevel="1" collapsed="1" x14ac:dyDescent="0.25">
      <c r="A5283" s="321" t="s">
        <v>282</v>
      </c>
      <c r="B5283" s="321" t="s">
        <v>448</v>
      </c>
      <c r="C5283" s="293">
        <v>7942</v>
      </c>
      <c r="D5283" s="293">
        <v>4000</v>
      </c>
      <c r="E5283" s="293">
        <v>-3942</v>
      </c>
      <c r="F5283" s="294" t="s">
        <v>1882</v>
      </c>
    </row>
    <row r="5284" spans="1:6" hidden="1" outlineLevel="1" collapsed="1" x14ac:dyDescent="0.25">
      <c r="A5284" s="321" t="s">
        <v>282</v>
      </c>
      <c r="B5284" s="321" t="s">
        <v>884</v>
      </c>
      <c r="C5284" s="293">
        <v>5200</v>
      </c>
      <c r="D5284" s="293">
        <v>7800</v>
      </c>
      <c r="E5284" s="293">
        <v>2600</v>
      </c>
      <c r="F5284" s="294" t="s">
        <v>784</v>
      </c>
    </row>
    <row r="5285" spans="1:6" hidden="1" outlineLevel="1" collapsed="1" x14ac:dyDescent="0.25">
      <c r="A5285" s="321" t="s">
        <v>282</v>
      </c>
      <c r="B5285" s="321" t="s">
        <v>901</v>
      </c>
      <c r="C5285" s="293">
        <v>45392.4</v>
      </c>
      <c r="D5285" s="293">
        <v>45500</v>
      </c>
      <c r="E5285" s="293">
        <v>107.6</v>
      </c>
      <c r="F5285" s="294" t="s">
        <v>885</v>
      </c>
    </row>
    <row r="5286" spans="1:6" hidden="1" outlineLevel="1" collapsed="1" x14ac:dyDescent="0.25">
      <c r="A5286" s="321" t="s">
        <v>282</v>
      </c>
      <c r="B5286" s="321" t="s">
        <v>616</v>
      </c>
      <c r="C5286" s="293">
        <v>0</v>
      </c>
      <c r="D5286" s="293">
        <v>0</v>
      </c>
      <c r="E5286" s="293">
        <v>0</v>
      </c>
      <c r="F5286" s="294" t="s">
        <v>316</v>
      </c>
    </row>
    <row r="5287" spans="1:6" hidden="1" outlineLevel="1" collapsed="1" x14ac:dyDescent="0.25">
      <c r="A5287" s="321" t="s">
        <v>282</v>
      </c>
      <c r="B5287" s="321" t="s">
        <v>403</v>
      </c>
      <c r="C5287" s="293">
        <v>14066.7</v>
      </c>
      <c r="D5287" s="293">
        <v>11400</v>
      </c>
      <c r="E5287" s="293">
        <v>-2666.7</v>
      </c>
      <c r="F5287" s="294" t="s">
        <v>2373</v>
      </c>
    </row>
    <row r="5288" spans="1:6" hidden="1" outlineLevel="1" collapsed="1" x14ac:dyDescent="0.25">
      <c r="A5288" s="321" t="s">
        <v>282</v>
      </c>
      <c r="B5288" s="321" t="s">
        <v>422</v>
      </c>
      <c r="C5288" s="293">
        <v>88868</v>
      </c>
      <c r="D5288" s="293">
        <v>500</v>
      </c>
      <c r="E5288" s="293">
        <v>-88368</v>
      </c>
      <c r="F5288" s="294" t="s">
        <v>2374</v>
      </c>
    </row>
    <row r="5289" spans="1:6" hidden="1" outlineLevel="1" collapsed="1" x14ac:dyDescent="0.25">
      <c r="A5289" s="321" t="s">
        <v>282</v>
      </c>
      <c r="B5289" s="321" t="s">
        <v>770</v>
      </c>
      <c r="C5289" s="293">
        <v>0</v>
      </c>
      <c r="D5289" s="293">
        <v>0</v>
      </c>
      <c r="E5289" s="293">
        <v>0</v>
      </c>
      <c r="F5289" s="294" t="s">
        <v>316</v>
      </c>
    </row>
    <row r="5290" spans="1:6" collapsed="1" x14ac:dyDescent="0.25">
      <c r="A5290" s="560" t="s">
        <v>1884</v>
      </c>
      <c r="B5290" s="561"/>
      <c r="C5290" s="292">
        <v>677744.610705</v>
      </c>
      <c r="D5290" s="293">
        <v>725464.19932899997</v>
      </c>
      <c r="E5290" s="293">
        <v>47719.588624000004</v>
      </c>
      <c r="F5290" s="294" t="s">
        <v>2375</v>
      </c>
    </row>
    <row r="5291" spans="1:6" hidden="1" outlineLevel="1" collapsed="1" x14ac:dyDescent="0.25">
      <c r="A5291" s="321" t="s">
        <v>282</v>
      </c>
      <c r="B5291" s="321" t="s">
        <v>464</v>
      </c>
      <c r="C5291" s="293">
        <v>428396.37734200002</v>
      </c>
      <c r="D5291" s="293">
        <v>468297.51242599997</v>
      </c>
      <c r="E5291" s="293">
        <v>39901.135084000001</v>
      </c>
      <c r="F5291" s="294" t="s">
        <v>2376</v>
      </c>
    </row>
    <row r="5292" spans="1:6" hidden="1" outlineLevel="1" collapsed="1" x14ac:dyDescent="0.25">
      <c r="A5292" s="321" t="s">
        <v>282</v>
      </c>
      <c r="B5292" s="321" t="s">
        <v>799</v>
      </c>
      <c r="C5292" s="293">
        <v>22781</v>
      </c>
      <c r="D5292" s="293">
        <v>0</v>
      </c>
      <c r="E5292" s="293">
        <v>-22781</v>
      </c>
      <c r="F5292" s="294" t="s">
        <v>286</v>
      </c>
    </row>
    <row r="5293" spans="1:6" hidden="1" outlineLevel="1" collapsed="1" x14ac:dyDescent="0.25">
      <c r="A5293" s="321" t="s">
        <v>282</v>
      </c>
      <c r="B5293" s="321" t="s">
        <v>384</v>
      </c>
      <c r="C5293" s="293">
        <v>48272.745616</v>
      </c>
      <c r="D5293" s="293">
        <v>0</v>
      </c>
      <c r="E5293" s="293">
        <v>-48272.745616</v>
      </c>
      <c r="F5293" s="294" t="s">
        <v>286</v>
      </c>
    </row>
    <row r="5294" spans="1:6" hidden="1" outlineLevel="1" collapsed="1" x14ac:dyDescent="0.25">
      <c r="A5294" s="321" t="s">
        <v>282</v>
      </c>
      <c r="B5294" s="321" t="s">
        <v>385</v>
      </c>
      <c r="C5294" s="293">
        <v>0</v>
      </c>
      <c r="D5294" s="293">
        <v>65386.569089999997</v>
      </c>
      <c r="E5294" s="293">
        <v>65386.569089999997</v>
      </c>
      <c r="F5294" s="294" t="s">
        <v>298</v>
      </c>
    </row>
    <row r="5295" spans="1:6" hidden="1" outlineLevel="1" collapsed="1" x14ac:dyDescent="0.25">
      <c r="A5295" s="321" t="s">
        <v>282</v>
      </c>
      <c r="B5295" s="321" t="s">
        <v>386</v>
      </c>
      <c r="C5295" s="293">
        <v>24069.572262000002</v>
      </c>
      <c r="D5295" s="293">
        <v>0</v>
      </c>
      <c r="E5295" s="293">
        <v>-24069.572262000002</v>
      </c>
      <c r="F5295" s="294" t="s">
        <v>286</v>
      </c>
    </row>
    <row r="5296" spans="1:6" hidden="1" outlineLevel="1" collapsed="1" x14ac:dyDescent="0.25">
      <c r="A5296" s="321" t="s">
        <v>282</v>
      </c>
      <c r="B5296" s="321" t="s">
        <v>387</v>
      </c>
      <c r="C5296" s="293">
        <v>0</v>
      </c>
      <c r="D5296" s="293">
        <v>26339.112077000002</v>
      </c>
      <c r="E5296" s="293">
        <v>26339.112077000002</v>
      </c>
      <c r="F5296" s="294" t="s">
        <v>298</v>
      </c>
    </row>
    <row r="5297" spans="1:6" hidden="1" outlineLevel="1" collapsed="1" x14ac:dyDescent="0.25">
      <c r="A5297" s="321" t="s">
        <v>282</v>
      </c>
      <c r="B5297" s="321" t="s">
        <v>388</v>
      </c>
      <c r="C5297" s="293">
        <v>5629.1740929999996</v>
      </c>
      <c r="D5297" s="293">
        <v>6159.9535859999996</v>
      </c>
      <c r="E5297" s="293">
        <v>530.779493</v>
      </c>
      <c r="F5297" s="294" t="s">
        <v>2377</v>
      </c>
    </row>
    <row r="5298" spans="1:6" hidden="1" outlineLevel="1" collapsed="1" x14ac:dyDescent="0.25">
      <c r="A5298" s="321" t="s">
        <v>282</v>
      </c>
      <c r="B5298" s="321" t="s">
        <v>389</v>
      </c>
      <c r="C5298" s="293">
        <v>4119.2064</v>
      </c>
      <c r="D5298" s="293">
        <v>4220.3999999999996</v>
      </c>
      <c r="E5298" s="293">
        <v>101.1936</v>
      </c>
      <c r="F5298" s="294" t="s">
        <v>1888</v>
      </c>
    </row>
    <row r="5299" spans="1:6" hidden="1" outlineLevel="1" collapsed="1" x14ac:dyDescent="0.25">
      <c r="A5299" s="321" t="s">
        <v>282</v>
      </c>
      <c r="B5299" s="321" t="s">
        <v>390</v>
      </c>
      <c r="C5299" s="293">
        <v>118762.64</v>
      </c>
      <c r="D5299" s="293">
        <v>127674.24000000001</v>
      </c>
      <c r="E5299" s="293">
        <v>8911.6</v>
      </c>
      <c r="F5299" s="294" t="s">
        <v>1524</v>
      </c>
    </row>
    <row r="5300" spans="1:6" hidden="1" outlineLevel="1" collapsed="1" x14ac:dyDescent="0.25">
      <c r="A5300" s="321" t="s">
        <v>282</v>
      </c>
      <c r="B5300" s="321" t="s">
        <v>392</v>
      </c>
      <c r="C5300" s="293">
        <v>2257.5455999999999</v>
      </c>
      <c r="D5300" s="293">
        <v>1828.8</v>
      </c>
      <c r="E5300" s="293">
        <v>-428.74560000000002</v>
      </c>
      <c r="F5300" s="294" t="s">
        <v>1889</v>
      </c>
    </row>
    <row r="5301" spans="1:6" hidden="1" outlineLevel="1" collapsed="1" x14ac:dyDescent="0.25">
      <c r="A5301" s="321" t="s">
        <v>282</v>
      </c>
      <c r="B5301" s="321" t="s">
        <v>393</v>
      </c>
      <c r="C5301" s="293">
        <v>194.10939200000001</v>
      </c>
      <c r="D5301" s="293">
        <v>212.41215</v>
      </c>
      <c r="E5301" s="293">
        <v>18.302758000000001</v>
      </c>
      <c r="F5301" s="294" t="s">
        <v>2377</v>
      </c>
    </row>
    <row r="5302" spans="1:6" hidden="1" outlineLevel="1" collapsed="1" x14ac:dyDescent="0.25">
      <c r="A5302" s="321" t="s">
        <v>282</v>
      </c>
      <c r="B5302" s="321" t="s">
        <v>394</v>
      </c>
      <c r="C5302" s="293">
        <v>14500</v>
      </c>
      <c r="D5302" s="293">
        <v>0</v>
      </c>
      <c r="E5302" s="293">
        <v>-14500</v>
      </c>
      <c r="F5302" s="294" t="s">
        <v>286</v>
      </c>
    </row>
    <row r="5303" spans="1:6" hidden="1" outlineLevel="1" collapsed="1" x14ac:dyDescent="0.25">
      <c r="A5303" s="321" t="s">
        <v>282</v>
      </c>
      <c r="B5303" s="321" t="s">
        <v>395</v>
      </c>
      <c r="C5303" s="293">
        <v>0</v>
      </c>
      <c r="D5303" s="293">
        <v>15000</v>
      </c>
      <c r="E5303" s="293">
        <v>15000</v>
      </c>
      <c r="F5303" s="294" t="s">
        <v>298</v>
      </c>
    </row>
    <row r="5304" spans="1:6" hidden="1" outlineLevel="1" collapsed="1" x14ac:dyDescent="0.25">
      <c r="A5304" s="321" t="s">
        <v>282</v>
      </c>
      <c r="B5304" s="321" t="s">
        <v>396</v>
      </c>
      <c r="C5304" s="293">
        <v>480.24</v>
      </c>
      <c r="D5304" s="293">
        <v>0</v>
      </c>
      <c r="E5304" s="293">
        <v>-480.24</v>
      </c>
      <c r="F5304" s="294" t="s">
        <v>286</v>
      </c>
    </row>
    <row r="5305" spans="1:6" hidden="1" outlineLevel="1" collapsed="1" x14ac:dyDescent="0.25">
      <c r="A5305" s="321" t="s">
        <v>282</v>
      </c>
      <c r="B5305" s="321" t="s">
        <v>397</v>
      </c>
      <c r="C5305" s="293">
        <v>0</v>
      </c>
      <c r="D5305" s="293">
        <v>484.8</v>
      </c>
      <c r="E5305" s="293">
        <v>484.8</v>
      </c>
      <c r="F5305" s="294" t="s">
        <v>298</v>
      </c>
    </row>
    <row r="5306" spans="1:6" hidden="1" outlineLevel="1" collapsed="1" x14ac:dyDescent="0.25">
      <c r="A5306" s="321" t="s">
        <v>282</v>
      </c>
      <c r="B5306" s="321" t="s">
        <v>398</v>
      </c>
      <c r="C5306" s="293">
        <v>232</v>
      </c>
      <c r="D5306" s="293">
        <v>110.4</v>
      </c>
      <c r="E5306" s="293">
        <v>-121.6</v>
      </c>
      <c r="F5306" s="294" t="s">
        <v>1890</v>
      </c>
    </row>
    <row r="5307" spans="1:6" hidden="1" outlineLevel="1" collapsed="1" x14ac:dyDescent="0.25">
      <c r="A5307" s="321" t="s">
        <v>282</v>
      </c>
      <c r="B5307" s="321" t="s">
        <v>522</v>
      </c>
      <c r="C5307" s="293">
        <v>6000</v>
      </c>
      <c r="D5307" s="293">
        <v>6000</v>
      </c>
      <c r="E5307" s="293">
        <v>0</v>
      </c>
      <c r="F5307" s="294" t="s">
        <v>316</v>
      </c>
    </row>
    <row r="5308" spans="1:6" hidden="1" outlineLevel="1" collapsed="1" x14ac:dyDescent="0.25">
      <c r="A5308" s="321" t="s">
        <v>282</v>
      </c>
      <c r="B5308" s="321" t="s">
        <v>376</v>
      </c>
      <c r="C5308" s="293">
        <v>550</v>
      </c>
      <c r="D5308" s="293">
        <v>600</v>
      </c>
      <c r="E5308" s="293">
        <v>50</v>
      </c>
      <c r="F5308" s="294" t="s">
        <v>693</v>
      </c>
    </row>
    <row r="5309" spans="1:6" hidden="1" outlineLevel="1" collapsed="1" x14ac:dyDescent="0.25">
      <c r="A5309" s="321" t="s">
        <v>282</v>
      </c>
      <c r="B5309" s="321" t="s">
        <v>626</v>
      </c>
      <c r="C5309" s="293">
        <v>1500</v>
      </c>
      <c r="D5309" s="293">
        <v>1650</v>
      </c>
      <c r="E5309" s="293">
        <v>150</v>
      </c>
      <c r="F5309" s="294" t="s">
        <v>1603</v>
      </c>
    </row>
    <row r="5310" spans="1:6" hidden="1" outlineLevel="1" collapsed="1" x14ac:dyDescent="0.25">
      <c r="A5310" s="321" t="s">
        <v>282</v>
      </c>
      <c r="B5310" s="321" t="s">
        <v>557</v>
      </c>
      <c r="C5310" s="293">
        <v>0</v>
      </c>
      <c r="D5310" s="293">
        <v>1500</v>
      </c>
      <c r="E5310" s="293">
        <v>1500</v>
      </c>
      <c r="F5310" s="294" t="s">
        <v>298</v>
      </c>
    </row>
    <row r="5311" spans="1:6" collapsed="1" x14ac:dyDescent="0.25">
      <c r="A5311" s="560" t="s">
        <v>1891</v>
      </c>
      <c r="B5311" s="561"/>
      <c r="C5311" s="292">
        <v>3243173.6054130001</v>
      </c>
      <c r="D5311" s="293">
        <v>3597669.682054</v>
      </c>
      <c r="E5311" s="293">
        <v>354496.07664099999</v>
      </c>
      <c r="F5311" s="294" t="s">
        <v>2378</v>
      </c>
    </row>
    <row r="5312" spans="1:6" hidden="1" outlineLevel="1" collapsed="1" x14ac:dyDescent="0.25">
      <c r="A5312" s="321" t="s">
        <v>282</v>
      </c>
      <c r="B5312" s="321" t="s">
        <v>942</v>
      </c>
      <c r="C5312" s="293">
        <v>285507.71990999999</v>
      </c>
      <c r="D5312" s="293">
        <v>282343.63907799998</v>
      </c>
      <c r="E5312" s="293">
        <v>-3164.0808320000001</v>
      </c>
      <c r="F5312" s="294" t="s">
        <v>1893</v>
      </c>
    </row>
    <row r="5313" spans="1:6" hidden="1" outlineLevel="1" collapsed="1" x14ac:dyDescent="0.25">
      <c r="A5313" s="321" t="s">
        <v>282</v>
      </c>
      <c r="B5313" s="321" t="s">
        <v>464</v>
      </c>
      <c r="C5313" s="293">
        <v>1152908.7925450001</v>
      </c>
      <c r="D5313" s="293">
        <v>1601813.3210179999</v>
      </c>
      <c r="E5313" s="293">
        <v>448904.52847299998</v>
      </c>
      <c r="F5313" s="294" t="s">
        <v>2379</v>
      </c>
    </row>
    <row r="5314" spans="1:6" hidden="1" outlineLevel="1" collapsed="1" x14ac:dyDescent="0.25">
      <c r="A5314" s="321" t="s">
        <v>282</v>
      </c>
      <c r="B5314" s="321" t="s">
        <v>475</v>
      </c>
      <c r="C5314" s="293">
        <v>0</v>
      </c>
      <c r="D5314" s="293">
        <v>0</v>
      </c>
      <c r="E5314" s="293">
        <v>0</v>
      </c>
      <c r="F5314" s="294" t="s">
        <v>316</v>
      </c>
    </row>
    <row r="5315" spans="1:6" hidden="1" outlineLevel="1" collapsed="1" x14ac:dyDescent="0.25">
      <c r="A5315" s="321" t="s">
        <v>282</v>
      </c>
      <c r="B5315" s="321" t="s">
        <v>945</v>
      </c>
      <c r="C5315" s="293">
        <v>27000</v>
      </c>
      <c r="D5315" s="293">
        <v>0</v>
      </c>
      <c r="E5315" s="293">
        <v>-27000</v>
      </c>
      <c r="F5315" s="294" t="s">
        <v>286</v>
      </c>
    </row>
    <row r="5316" spans="1:6" hidden="1" outlineLevel="1" collapsed="1" x14ac:dyDescent="0.25">
      <c r="A5316" s="321" t="s">
        <v>282</v>
      </c>
      <c r="B5316" s="321" t="s">
        <v>799</v>
      </c>
      <c r="C5316" s="293">
        <v>5000</v>
      </c>
      <c r="D5316" s="293">
        <v>0</v>
      </c>
      <c r="E5316" s="293">
        <v>-5000</v>
      </c>
      <c r="F5316" s="294" t="s">
        <v>286</v>
      </c>
    </row>
    <row r="5317" spans="1:6" hidden="1" outlineLevel="1" collapsed="1" x14ac:dyDescent="0.25">
      <c r="A5317" s="321" t="s">
        <v>282</v>
      </c>
      <c r="B5317" s="321" t="s">
        <v>488</v>
      </c>
      <c r="C5317" s="293">
        <v>10000</v>
      </c>
      <c r="D5317" s="293">
        <v>0</v>
      </c>
      <c r="E5317" s="293">
        <v>-10000</v>
      </c>
      <c r="F5317" s="294" t="s">
        <v>286</v>
      </c>
    </row>
    <row r="5318" spans="1:6" hidden="1" outlineLevel="1" collapsed="1" x14ac:dyDescent="0.25">
      <c r="A5318" s="321" t="s">
        <v>282</v>
      </c>
      <c r="B5318" s="321" t="s">
        <v>384</v>
      </c>
      <c r="C5318" s="293">
        <v>179117.75258</v>
      </c>
      <c r="D5318" s="293">
        <v>0</v>
      </c>
      <c r="E5318" s="293">
        <v>-179117.75258</v>
      </c>
      <c r="F5318" s="294" t="s">
        <v>286</v>
      </c>
    </row>
    <row r="5319" spans="1:6" hidden="1" outlineLevel="1" collapsed="1" x14ac:dyDescent="0.25">
      <c r="A5319" s="321" t="s">
        <v>282</v>
      </c>
      <c r="B5319" s="321" t="s">
        <v>385</v>
      </c>
      <c r="C5319" s="293">
        <v>0</v>
      </c>
      <c r="D5319" s="293">
        <v>261653.08038500001</v>
      </c>
      <c r="E5319" s="293">
        <v>261653.08038500001</v>
      </c>
      <c r="F5319" s="294" t="s">
        <v>298</v>
      </c>
    </row>
    <row r="5320" spans="1:6" hidden="1" outlineLevel="1" collapsed="1" x14ac:dyDescent="0.25">
      <c r="A5320" s="321" t="s">
        <v>282</v>
      </c>
      <c r="B5320" s="321" t="s">
        <v>386</v>
      </c>
      <c r="C5320" s="293">
        <v>89219.953672000003</v>
      </c>
      <c r="D5320" s="293">
        <v>0</v>
      </c>
      <c r="E5320" s="293">
        <v>-89219.953672000003</v>
      </c>
      <c r="F5320" s="294" t="s">
        <v>286</v>
      </c>
    </row>
    <row r="5321" spans="1:6" hidden="1" outlineLevel="1" collapsed="1" x14ac:dyDescent="0.25">
      <c r="A5321" s="321" t="s">
        <v>282</v>
      </c>
      <c r="B5321" s="321" t="s">
        <v>387</v>
      </c>
      <c r="C5321" s="293">
        <v>0</v>
      </c>
      <c r="D5321" s="293">
        <v>105357.65141799999</v>
      </c>
      <c r="E5321" s="293">
        <v>105357.65141799999</v>
      </c>
      <c r="F5321" s="294" t="s">
        <v>298</v>
      </c>
    </row>
    <row r="5322" spans="1:6" hidden="1" outlineLevel="1" collapsed="1" x14ac:dyDescent="0.25">
      <c r="A5322" s="321" t="s">
        <v>282</v>
      </c>
      <c r="B5322" s="321" t="s">
        <v>388</v>
      </c>
      <c r="C5322" s="293">
        <v>20865.956859000002</v>
      </c>
      <c r="D5322" s="293">
        <v>24640.095786000002</v>
      </c>
      <c r="E5322" s="293">
        <v>3774.138927</v>
      </c>
      <c r="F5322" s="294" t="s">
        <v>2380</v>
      </c>
    </row>
    <row r="5323" spans="1:6" hidden="1" outlineLevel="1" collapsed="1" x14ac:dyDescent="0.25">
      <c r="A5323" s="321" t="s">
        <v>282</v>
      </c>
      <c r="B5323" s="321" t="s">
        <v>389</v>
      </c>
      <c r="C5323" s="293">
        <v>7229.9174400000002</v>
      </c>
      <c r="D5323" s="293">
        <v>8567.4120000000003</v>
      </c>
      <c r="E5323" s="293">
        <v>1337.4945600000001</v>
      </c>
      <c r="F5323" s="294" t="s">
        <v>1896</v>
      </c>
    </row>
    <row r="5324" spans="1:6" hidden="1" outlineLevel="1" collapsed="1" x14ac:dyDescent="0.25">
      <c r="A5324" s="321" t="s">
        <v>282</v>
      </c>
      <c r="B5324" s="321" t="s">
        <v>390</v>
      </c>
      <c r="C5324" s="293">
        <v>247670.511</v>
      </c>
      <c r="D5324" s="293">
        <v>308014.10399999999</v>
      </c>
      <c r="E5324" s="293">
        <v>60343.593000000001</v>
      </c>
      <c r="F5324" s="294" t="s">
        <v>705</v>
      </c>
    </row>
    <row r="5325" spans="1:6" hidden="1" outlineLevel="1" collapsed="1" x14ac:dyDescent="0.25">
      <c r="A5325" s="321" t="s">
        <v>282</v>
      </c>
      <c r="B5325" s="321" t="s">
        <v>392</v>
      </c>
      <c r="C5325" s="293">
        <v>3962.3817600000002</v>
      </c>
      <c r="D5325" s="293">
        <v>3712.4639999999999</v>
      </c>
      <c r="E5325" s="293">
        <v>-249.91775999999999</v>
      </c>
      <c r="F5325" s="294" t="s">
        <v>1897</v>
      </c>
    </row>
    <row r="5326" spans="1:6" hidden="1" outlineLevel="1" collapsed="1" x14ac:dyDescent="0.25">
      <c r="A5326" s="321" t="s">
        <v>282</v>
      </c>
      <c r="B5326" s="321" t="s">
        <v>393</v>
      </c>
      <c r="C5326" s="293">
        <v>719.51564699999994</v>
      </c>
      <c r="D5326" s="293">
        <v>849.65836899999999</v>
      </c>
      <c r="E5326" s="293">
        <v>130.14272199999999</v>
      </c>
      <c r="F5326" s="294" t="s">
        <v>2380</v>
      </c>
    </row>
    <row r="5327" spans="1:6" hidden="1" outlineLevel="1" collapsed="1" x14ac:dyDescent="0.25">
      <c r="A5327" s="321" t="s">
        <v>282</v>
      </c>
      <c r="B5327" s="321" t="s">
        <v>394</v>
      </c>
      <c r="C5327" s="293">
        <v>25450</v>
      </c>
      <c r="D5327" s="293">
        <v>0</v>
      </c>
      <c r="E5327" s="293">
        <v>-25450</v>
      </c>
      <c r="F5327" s="294" t="s">
        <v>286</v>
      </c>
    </row>
    <row r="5328" spans="1:6" hidden="1" outlineLevel="1" collapsed="1" x14ac:dyDescent="0.25">
      <c r="A5328" s="321" t="s">
        <v>282</v>
      </c>
      <c r="B5328" s="321" t="s">
        <v>395</v>
      </c>
      <c r="C5328" s="293">
        <v>0</v>
      </c>
      <c r="D5328" s="293">
        <v>30450</v>
      </c>
      <c r="E5328" s="293">
        <v>30450</v>
      </c>
      <c r="F5328" s="294" t="s">
        <v>298</v>
      </c>
    </row>
    <row r="5329" spans="1:6" hidden="1" outlineLevel="1" collapsed="1" x14ac:dyDescent="0.25">
      <c r="A5329" s="321" t="s">
        <v>282</v>
      </c>
      <c r="B5329" s="321" t="s">
        <v>396</v>
      </c>
      <c r="C5329" s="293">
        <v>842.904</v>
      </c>
      <c r="D5329" s="293">
        <v>0</v>
      </c>
      <c r="E5329" s="293">
        <v>-842.904</v>
      </c>
      <c r="F5329" s="294" t="s">
        <v>286</v>
      </c>
    </row>
    <row r="5330" spans="1:6" hidden="1" outlineLevel="1" collapsed="1" x14ac:dyDescent="0.25">
      <c r="A5330" s="321" t="s">
        <v>282</v>
      </c>
      <c r="B5330" s="321" t="s">
        <v>397</v>
      </c>
      <c r="C5330" s="293">
        <v>0</v>
      </c>
      <c r="D5330" s="293">
        <v>984.14400000000001</v>
      </c>
      <c r="E5330" s="293">
        <v>984.14400000000001</v>
      </c>
      <c r="F5330" s="294" t="s">
        <v>298</v>
      </c>
    </row>
    <row r="5331" spans="1:6" hidden="1" outlineLevel="1" collapsed="1" x14ac:dyDescent="0.25">
      <c r="A5331" s="321" t="s">
        <v>282</v>
      </c>
      <c r="B5331" s="321" t="s">
        <v>398</v>
      </c>
      <c r="C5331" s="293">
        <v>407.2</v>
      </c>
      <c r="D5331" s="293">
        <v>224.11199999999999</v>
      </c>
      <c r="E5331" s="293">
        <v>-183.08799999999999</v>
      </c>
      <c r="F5331" s="294" t="s">
        <v>1898</v>
      </c>
    </row>
    <row r="5332" spans="1:6" hidden="1" outlineLevel="1" collapsed="1" x14ac:dyDescent="0.25">
      <c r="A5332" s="321" t="s">
        <v>282</v>
      </c>
      <c r="B5332" s="321" t="s">
        <v>522</v>
      </c>
      <c r="C5332" s="293">
        <v>3000</v>
      </c>
      <c r="D5332" s="293">
        <v>3000</v>
      </c>
      <c r="E5332" s="293">
        <v>0</v>
      </c>
      <c r="F5332" s="294" t="s">
        <v>316</v>
      </c>
    </row>
    <row r="5333" spans="1:6" hidden="1" outlineLevel="1" collapsed="1" x14ac:dyDescent="0.25">
      <c r="A5333" s="321" t="s">
        <v>282</v>
      </c>
      <c r="B5333" s="321" t="s">
        <v>399</v>
      </c>
      <c r="C5333" s="293">
        <v>1000</v>
      </c>
      <c r="D5333" s="293">
        <v>1000</v>
      </c>
      <c r="E5333" s="293">
        <v>0</v>
      </c>
      <c r="F5333" s="294" t="s">
        <v>316</v>
      </c>
    </row>
    <row r="5334" spans="1:6" hidden="1" outlineLevel="1" collapsed="1" x14ac:dyDescent="0.25">
      <c r="A5334" s="321" t="s">
        <v>282</v>
      </c>
      <c r="B5334" s="321" t="s">
        <v>376</v>
      </c>
      <c r="C5334" s="293">
        <v>14000</v>
      </c>
      <c r="D5334" s="293">
        <v>17000</v>
      </c>
      <c r="E5334" s="293">
        <v>3000</v>
      </c>
      <c r="F5334" s="294" t="s">
        <v>2381</v>
      </c>
    </row>
    <row r="5335" spans="1:6" hidden="1" outlineLevel="1" collapsed="1" x14ac:dyDescent="0.25">
      <c r="A5335" s="321" t="s">
        <v>282</v>
      </c>
      <c r="B5335" s="321" t="s">
        <v>506</v>
      </c>
      <c r="C5335" s="293">
        <v>6000</v>
      </c>
      <c r="D5335" s="293">
        <v>4000</v>
      </c>
      <c r="E5335" s="293">
        <v>-2000</v>
      </c>
      <c r="F5335" s="294" t="s">
        <v>858</v>
      </c>
    </row>
    <row r="5336" spans="1:6" hidden="1" outlineLevel="1" collapsed="1" x14ac:dyDescent="0.25">
      <c r="A5336" s="321" t="s">
        <v>282</v>
      </c>
      <c r="B5336" s="321" t="s">
        <v>567</v>
      </c>
      <c r="C5336" s="293">
        <v>426250</v>
      </c>
      <c r="D5336" s="293">
        <v>300000</v>
      </c>
      <c r="E5336" s="293">
        <v>-126250</v>
      </c>
      <c r="F5336" s="294" t="s">
        <v>2382</v>
      </c>
    </row>
    <row r="5337" spans="1:6" hidden="1" outlineLevel="1" collapsed="1" x14ac:dyDescent="0.25">
      <c r="A5337" s="321" t="s">
        <v>282</v>
      </c>
      <c r="B5337" s="321" t="s">
        <v>426</v>
      </c>
      <c r="C5337" s="293">
        <v>37000</v>
      </c>
      <c r="D5337" s="293">
        <v>37000</v>
      </c>
      <c r="E5337" s="293">
        <v>0</v>
      </c>
      <c r="F5337" s="294" t="s">
        <v>316</v>
      </c>
    </row>
    <row r="5338" spans="1:6" hidden="1" outlineLevel="1" collapsed="1" x14ac:dyDescent="0.25">
      <c r="A5338" s="321" t="s">
        <v>282</v>
      </c>
      <c r="B5338" s="321" t="s">
        <v>1103</v>
      </c>
      <c r="C5338" s="293">
        <v>3600</v>
      </c>
      <c r="D5338" s="293">
        <v>3600</v>
      </c>
      <c r="E5338" s="293">
        <v>0</v>
      </c>
      <c r="F5338" s="294" t="s">
        <v>316</v>
      </c>
    </row>
    <row r="5339" spans="1:6" hidden="1" outlineLevel="1" collapsed="1" x14ac:dyDescent="0.25">
      <c r="A5339" s="321" t="s">
        <v>282</v>
      </c>
      <c r="B5339" s="321" t="s">
        <v>952</v>
      </c>
      <c r="C5339" s="293">
        <v>2160</v>
      </c>
      <c r="D5339" s="293">
        <v>2160</v>
      </c>
      <c r="E5339" s="293">
        <v>0</v>
      </c>
      <c r="F5339" s="294" t="s">
        <v>316</v>
      </c>
    </row>
    <row r="5340" spans="1:6" hidden="1" outlineLevel="1" collapsed="1" x14ac:dyDescent="0.25">
      <c r="A5340" s="321" t="s">
        <v>282</v>
      </c>
      <c r="B5340" s="321" t="s">
        <v>482</v>
      </c>
      <c r="C5340" s="293">
        <v>10000</v>
      </c>
      <c r="D5340" s="293">
        <v>12000</v>
      </c>
      <c r="E5340" s="293">
        <v>2000</v>
      </c>
      <c r="F5340" s="294" t="s">
        <v>882</v>
      </c>
    </row>
    <row r="5341" spans="1:6" hidden="1" outlineLevel="1" collapsed="1" x14ac:dyDescent="0.25">
      <c r="A5341" s="321" t="s">
        <v>282</v>
      </c>
      <c r="B5341" s="321" t="s">
        <v>597</v>
      </c>
      <c r="C5341" s="293">
        <v>1980</v>
      </c>
      <c r="D5341" s="293">
        <v>2000</v>
      </c>
      <c r="E5341" s="293">
        <v>20</v>
      </c>
      <c r="F5341" s="294" t="s">
        <v>1902</v>
      </c>
    </row>
    <row r="5342" spans="1:6" hidden="1" outlineLevel="1" collapsed="1" x14ac:dyDescent="0.25">
      <c r="A5342" s="321" t="s">
        <v>282</v>
      </c>
      <c r="B5342" s="321" t="s">
        <v>842</v>
      </c>
      <c r="C5342" s="293">
        <v>300</v>
      </c>
      <c r="D5342" s="293">
        <v>300</v>
      </c>
      <c r="E5342" s="293">
        <v>0</v>
      </c>
      <c r="F5342" s="294" t="s">
        <v>316</v>
      </c>
    </row>
    <row r="5343" spans="1:6" hidden="1" outlineLevel="1" collapsed="1" x14ac:dyDescent="0.25">
      <c r="A5343" s="321" t="s">
        <v>282</v>
      </c>
      <c r="B5343" s="321" t="s">
        <v>843</v>
      </c>
      <c r="C5343" s="293">
        <v>60000</v>
      </c>
      <c r="D5343" s="293">
        <v>60000</v>
      </c>
      <c r="E5343" s="293">
        <v>0</v>
      </c>
      <c r="F5343" s="294" t="s">
        <v>316</v>
      </c>
    </row>
    <row r="5344" spans="1:6" hidden="1" outlineLevel="1" collapsed="1" x14ac:dyDescent="0.25">
      <c r="A5344" s="321" t="s">
        <v>282</v>
      </c>
      <c r="B5344" s="321" t="s">
        <v>416</v>
      </c>
      <c r="C5344" s="293">
        <v>750</v>
      </c>
      <c r="D5344" s="293">
        <v>1000</v>
      </c>
      <c r="E5344" s="293">
        <v>250</v>
      </c>
      <c r="F5344" s="294" t="s">
        <v>886</v>
      </c>
    </row>
    <row r="5345" spans="1:6" hidden="1" outlineLevel="1" collapsed="1" x14ac:dyDescent="0.25">
      <c r="A5345" s="321" t="s">
        <v>282</v>
      </c>
      <c r="B5345" s="321" t="s">
        <v>448</v>
      </c>
      <c r="C5345" s="293">
        <v>460731</v>
      </c>
      <c r="D5345" s="293">
        <v>350000</v>
      </c>
      <c r="E5345" s="293">
        <v>-110731</v>
      </c>
      <c r="F5345" s="294" t="s">
        <v>1903</v>
      </c>
    </row>
    <row r="5346" spans="1:6" hidden="1" outlineLevel="1" collapsed="1" x14ac:dyDescent="0.25">
      <c r="A5346" s="321" t="s">
        <v>282</v>
      </c>
      <c r="B5346" s="321" t="s">
        <v>884</v>
      </c>
      <c r="C5346" s="293">
        <v>900</v>
      </c>
      <c r="D5346" s="293">
        <v>1000</v>
      </c>
      <c r="E5346" s="293">
        <v>100</v>
      </c>
      <c r="F5346" s="294" t="s">
        <v>610</v>
      </c>
    </row>
    <row r="5347" spans="1:6" hidden="1" outlineLevel="1" collapsed="1" x14ac:dyDescent="0.25">
      <c r="A5347" s="321" t="s">
        <v>282</v>
      </c>
      <c r="B5347" s="321" t="s">
        <v>901</v>
      </c>
      <c r="C5347" s="293">
        <v>800</v>
      </c>
      <c r="D5347" s="293">
        <v>1000</v>
      </c>
      <c r="E5347" s="293">
        <v>200</v>
      </c>
      <c r="F5347" s="294" t="s">
        <v>1552</v>
      </c>
    </row>
    <row r="5348" spans="1:6" hidden="1" outlineLevel="1" collapsed="1" x14ac:dyDescent="0.25">
      <c r="A5348" s="321" t="s">
        <v>282</v>
      </c>
      <c r="B5348" s="321" t="s">
        <v>616</v>
      </c>
      <c r="C5348" s="293">
        <v>70000</v>
      </c>
      <c r="D5348" s="293">
        <v>100000</v>
      </c>
      <c r="E5348" s="293">
        <v>30000</v>
      </c>
      <c r="F5348" s="294" t="s">
        <v>1447</v>
      </c>
    </row>
    <row r="5349" spans="1:6" hidden="1" outlineLevel="1" collapsed="1" x14ac:dyDescent="0.25">
      <c r="A5349" s="321" t="s">
        <v>282</v>
      </c>
      <c r="B5349" s="321" t="s">
        <v>403</v>
      </c>
      <c r="C5349" s="293">
        <v>1800</v>
      </c>
      <c r="D5349" s="293">
        <v>2000</v>
      </c>
      <c r="E5349" s="293">
        <v>200</v>
      </c>
      <c r="F5349" s="294" t="s">
        <v>610</v>
      </c>
    </row>
    <row r="5350" spans="1:6" hidden="1" outlineLevel="1" collapsed="1" x14ac:dyDescent="0.25">
      <c r="A5350" s="321" t="s">
        <v>282</v>
      </c>
      <c r="B5350" s="321" t="s">
        <v>422</v>
      </c>
      <c r="C5350" s="293">
        <v>19500</v>
      </c>
      <c r="D5350" s="293">
        <v>4500</v>
      </c>
      <c r="E5350" s="293">
        <v>-15000</v>
      </c>
      <c r="F5350" s="294" t="s">
        <v>1904</v>
      </c>
    </row>
    <row r="5351" spans="1:6" hidden="1" outlineLevel="1" collapsed="1" x14ac:dyDescent="0.25">
      <c r="A5351" s="321" t="s">
        <v>282</v>
      </c>
      <c r="B5351" s="321" t="s">
        <v>770</v>
      </c>
      <c r="C5351" s="293">
        <v>67500</v>
      </c>
      <c r="D5351" s="293">
        <v>67500</v>
      </c>
      <c r="E5351" s="293">
        <v>0</v>
      </c>
      <c r="F5351" s="294" t="s">
        <v>316</v>
      </c>
    </row>
    <row r="5352" spans="1:6" collapsed="1" x14ac:dyDescent="0.25">
      <c r="A5352" s="560" t="s">
        <v>1905</v>
      </c>
      <c r="B5352" s="561"/>
      <c r="C5352" s="292">
        <v>41000</v>
      </c>
      <c r="D5352" s="293">
        <v>41000</v>
      </c>
      <c r="E5352" s="293">
        <v>0</v>
      </c>
      <c r="F5352" s="294" t="s">
        <v>316</v>
      </c>
    </row>
    <row r="5353" spans="1:6" hidden="1" outlineLevel="1" collapsed="1" x14ac:dyDescent="0.25">
      <c r="A5353" s="321" t="s">
        <v>282</v>
      </c>
      <c r="B5353" s="321" t="s">
        <v>1906</v>
      </c>
      <c r="C5353" s="293">
        <v>31000</v>
      </c>
      <c r="D5353" s="293">
        <v>31000</v>
      </c>
      <c r="E5353" s="293">
        <v>0</v>
      </c>
      <c r="F5353" s="294" t="s">
        <v>316</v>
      </c>
    </row>
    <row r="5354" spans="1:6" hidden="1" outlineLevel="1" collapsed="1" x14ac:dyDescent="0.25">
      <c r="A5354" s="321" t="s">
        <v>282</v>
      </c>
      <c r="B5354" s="321" t="s">
        <v>1907</v>
      </c>
      <c r="C5354" s="293">
        <v>10000</v>
      </c>
      <c r="D5354" s="293">
        <v>10000</v>
      </c>
      <c r="E5354" s="293">
        <v>0</v>
      </c>
      <c r="F5354" s="294" t="s">
        <v>316</v>
      </c>
    </row>
    <row r="5355" spans="1:6" collapsed="1" x14ac:dyDescent="0.25">
      <c r="A5355" s="560" t="s">
        <v>1908</v>
      </c>
      <c r="B5355" s="561"/>
      <c r="C5355" s="292">
        <v>7954</v>
      </c>
      <c r="D5355" s="293">
        <v>0</v>
      </c>
      <c r="E5355" s="293">
        <v>-7954</v>
      </c>
      <c r="F5355" s="294" t="s">
        <v>286</v>
      </c>
    </row>
    <row r="5356" spans="1:6" hidden="1" outlineLevel="1" collapsed="1" x14ac:dyDescent="0.25">
      <c r="A5356" s="321" t="s">
        <v>282</v>
      </c>
      <c r="B5356" s="321" t="s">
        <v>780</v>
      </c>
      <c r="C5356" s="293">
        <v>7954</v>
      </c>
      <c r="D5356" s="293">
        <v>0</v>
      </c>
      <c r="E5356" s="293">
        <v>-7954</v>
      </c>
      <c r="F5356" s="294" t="s">
        <v>286</v>
      </c>
    </row>
    <row r="5357" spans="1:6" collapsed="1" x14ac:dyDescent="0.25">
      <c r="A5357" s="560" t="s">
        <v>1909</v>
      </c>
      <c r="B5357" s="561"/>
      <c r="C5357" s="292">
        <v>80009.791790999996</v>
      </c>
      <c r="D5357" s="293">
        <v>86050.219096999994</v>
      </c>
      <c r="E5357" s="293">
        <v>6040.4273059999996</v>
      </c>
      <c r="F5357" s="294" t="s">
        <v>2383</v>
      </c>
    </row>
    <row r="5358" spans="1:6" hidden="1" outlineLevel="1" collapsed="1" x14ac:dyDescent="0.25">
      <c r="A5358" s="321" t="s">
        <v>282</v>
      </c>
      <c r="B5358" s="321" t="s">
        <v>942</v>
      </c>
      <c r="C5358" s="293">
        <v>25504.513630000001</v>
      </c>
      <c r="D5358" s="293">
        <v>27181.662973999999</v>
      </c>
      <c r="E5358" s="293">
        <v>1677.1493439999999</v>
      </c>
      <c r="F5358" s="294" t="s">
        <v>790</v>
      </c>
    </row>
    <row r="5359" spans="1:6" hidden="1" outlineLevel="1" collapsed="1" x14ac:dyDescent="0.25">
      <c r="A5359" s="321" t="s">
        <v>282</v>
      </c>
      <c r="B5359" s="321" t="s">
        <v>384</v>
      </c>
      <c r="C5359" s="293">
        <v>3208.4678140000001</v>
      </c>
      <c r="D5359" s="293">
        <v>0</v>
      </c>
      <c r="E5359" s="293">
        <v>-3208.4678140000001</v>
      </c>
      <c r="F5359" s="294" t="s">
        <v>286</v>
      </c>
    </row>
    <row r="5360" spans="1:6" hidden="1" outlineLevel="1" collapsed="1" x14ac:dyDescent="0.25">
      <c r="A5360" s="321" t="s">
        <v>282</v>
      </c>
      <c r="B5360" s="321" t="s">
        <v>385</v>
      </c>
      <c r="C5360" s="293">
        <v>0</v>
      </c>
      <c r="D5360" s="293">
        <v>4221.5840760000001</v>
      </c>
      <c r="E5360" s="293">
        <v>4221.5840760000001</v>
      </c>
      <c r="F5360" s="294" t="s">
        <v>298</v>
      </c>
    </row>
    <row r="5361" spans="1:6" hidden="1" outlineLevel="1" collapsed="1" x14ac:dyDescent="0.25">
      <c r="A5361" s="321" t="s">
        <v>282</v>
      </c>
      <c r="B5361" s="321" t="s">
        <v>386</v>
      </c>
      <c r="C5361" s="293">
        <v>1588.7198450000001</v>
      </c>
      <c r="D5361" s="293">
        <v>0</v>
      </c>
      <c r="E5361" s="293">
        <v>-1588.7198450000001</v>
      </c>
      <c r="F5361" s="294" t="s">
        <v>286</v>
      </c>
    </row>
    <row r="5362" spans="1:6" hidden="1" outlineLevel="1" collapsed="1" x14ac:dyDescent="0.25">
      <c r="A5362" s="321" t="s">
        <v>282</v>
      </c>
      <c r="B5362" s="321" t="s">
        <v>387</v>
      </c>
      <c r="C5362" s="293">
        <v>0</v>
      </c>
      <c r="D5362" s="293">
        <v>1692.7031039999999</v>
      </c>
      <c r="E5362" s="293">
        <v>1692.7031039999999</v>
      </c>
      <c r="F5362" s="294" t="s">
        <v>298</v>
      </c>
    </row>
    <row r="5363" spans="1:6" hidden="1" outlineLevel="1" collapsed="1" x14ac:dyDescent="0.25">
      <c r="A5363" s="321" t="s">
        <v>282</v>
      </c>
      <c r="B5363" s="321" t="s">
        <v>388</v>
      </c>
      <c r="C5363" s="293">
        <v>371.55544600000002</v>
      </c>
      <c r="D5363" s="293">
        <v>395.87411300000002</v>
      </c>
      <c r="E5363" s="293">
        <v>24.318667000000001</v>
      </c>
      <c r="F5363" s="294" t="s">
        <v>682</v>
      </c>
    </row>
    <row r="5364" spans="1:6" hidden="1" outlineLevel="1" collapsed="1" x14ac:dyDescent="0.25">
      <c r="A5364" s="321" t="s">
        <v>282</v>
      </c>
      <c r="B5364" s="321" t="s">
        <v>389</v>
      </c>
      <c r="C5364" s="293">
        <v>85.224959999999996</v>
      </c>
      <c r="D5364" s="293">
        <v>84.408000000000001</v>
      </c>
      <c r="E5364" s="293">
        <v>-0.81696000000000002</v>
      </c>
      <c r="F5364" s="294" t="s">
        <v>364</v>
      </c>
    </row>
    <row r="5365" spans="1:6" hidden="1" outlineLevel="1" collapsed="1" x14ac:dyDescent="0.25">
      <c r="A5365" s="321" t="s">
        <v>282</v>
      </c>
      <c r="B5365" s="321" t="s">
        <v>390</v>
      </c>
      <c r="C5365" s="293">
        <v>3097.0540000000001</v>
      </c>
      <c r="D5365" s="293">
        <v>3191.8560000000002</v>
      </c>
      <c r="E5365" s="293">
        <v>94.802000000000007</v>
      </c>
      <c r="F5365" s="294" t="s">
        <v>391</v>
      </c>
    </row>
    <row r="5366" spans="1:6" hidden="1" outlineLevel="1" collapsed="1" x14ac:dyDescent="0.25">
      <c r="A5366" s="321" t="s">
        <v>282</v>
      </c>
      <c r="B5366" s="321" t="s">
        <v>392</v>
      </c>
      <c r="C5366" s="293">
        <v>46.707839999999997</v>
      </c>
      <c r="D5366" s="293">
        <v>36.576000000000001</v>
      </c>
      <c r="E5366" s="293">
        <v>-10.13184</v>
      </c>
      <c r="F5366" s="294" t="s">
        <v>368</v>
      </c>
    </row>
    <row r="5367" spans="1:6" hidden="1" outlineLevel="1" collapsed="1" x14ac:dyDescent="0.25">
      <c r="A5367" s="321" t="s">
        <v>282</v>
      </c>
      <c r="B5367" s="321" t="s">
        <v>393</v>
      </c>
      <c r="C5367" s="293">
        <v>12.812256</v>
      </c>
      <c r="D5367" s="293">
        <v>13.650829999999999</v>
      </c>
      <c r="E5367" s="293">
        <v>0.83857400000000004</v>
      </c>
      <c r="F5367" s="294" t="s">
        <v>682</v>
      </c>
    </row>
    <row r="5368" spans="1:6" hidden="1" outlineLevel="1" collapsed="1" x14ac:dyDescent="0.25">
      <c r="A5368" s="321" t="s">
        <v>282</v>
      </c>
      <c r="B5368" s="321" t="s">
        <v>394</v>
      </c>
      <c r="C5368" s="293">
        <v>300</v>
      </c>
      <c r="D5368" s="293">
        <v>0</v>
      </c>
      <c r="E5368" s="293">
        <v>-300</v>
      </c>
      <c r="F5368" s="294" t="s">
        <v>286</v>
      </c>
    </row>
    <row r="5369" spans="1:6" hidden="1" outlineLevel="1" collapsed="1" x14ac:dyDescent="0.25">
      <c r="A5369" s="321" t="s">
        <v>282</v>
      </c>
      <c r="B5369" s="321" t="s">
        <v>395</v>
      </c>
      <c r="C5369" s="293">
        <v>0</v>
      </c>
      <c r="D5369" s="293">
        <v>300</v>
      </c>
      <c r="E5369" s="293">
        <v>300</v>
      </c>
      <c r="F5369" s="294" t="s">
        <v>298</v>
      </c>
    </row>
    <row r="5370" spans="1:6" hidden="1" outlineLevel="1" collapsed="1" x14ac:dyDescent="0.25">
      <c r="A5370" s="321" t="s">
        <v>282</v>
      </c>
      <c r="B5370" s="321" t="s">
        <v>396</v>
      </c>
      <c r="C5370" s="293">
        <v>9.9359999999999999</v>
      </c>
      <c r="D5370" s="293">
        <v>0</v>
      </c>
      <c r="E5370" s="293">
        <v>-9.9359999999999999</v>
      </c>
      <c r="F5370" s="294" t="s">
        <v>286</v>
      </c>
    </row>
    <row r="5371" spans="1:6" hidden="1" outlineLevel="1" collapsed="1" x14ac:dyDescent="0.25">
      <c r="A5371" s="321" t="s">
        <v>282</v>
      </c>
      <c r="B5371" s="321" t="s">
        <v>397</v>
      </c>
      <c r="C5371" s="293">
        <v>0</v>
      </c>
      <c r="D5371" s="293">
        <v>9.6959999999999997</v>
      </c>
      <c r="E5371" s="293">
        <v>9.6959999999999997</v>
      </c>
      <c r="F5371" s="294" t="s">
        <v>298</v>
      </c>
    </row>
    <row r="5372" spans="1:6" hidden="1" outlineLevel="1" collapsed="1" x14ac:dyDescent="0.25">
      <c r="A5372" s="321" t="s">
        <v>282</v>
      </c>
      <c r="B5372" s="321" t="s">
        <v>398</v>
      </c>
      <c r="C5372" s="293">
        <v>4.8</v>
      </c>
      <c r="D5372" s="293">
        <v>2.2080000000000002</v>
      </c>
      <c r="E5372" s="293">
        <v>-2.5920000000000001</v>
      </c>
      <c r="F5372" s="294" t="s">
        <v>374</v>
      </c>
    </row>
    <row r="5373" spans="1:6" hidden="1" outlineLevel="1" collapsed="1" x14ac:dyDescent="0.25">
      <c r="A5373" s="321" t="s">
        <v>282</v>
      </c>
      <c r="B5373" s="321" t="s">
        <v>567</v>
      </c>
      <c r="C5373" s="293">
        <v>20525</v>
      </c>
      <c r="D5373" s="293">
        <v>20000</v>
      </c>
      <c r="E5373" s="293">
        <v>-525</v>
      </c>
      <c r="F5373" s="294" t="s">
        <v>1911</v>
      </c>
    </row>
    <row r="5374" spans="1:6" hidden="1" outlineLevel="1" collapsed="1" x14ac:dyDescent="0.25">
      <c r="A5374" s="321" t="s">
        <v>282</v>
      </c>
      <c r="B5374" s="321" t="s">
        <v>426</v>
      </c>
      <c r="C5374" s="293">
        <v>4650</v>
      </c>
      <c r="D5374" s="293">
        <v>8400</v>
      </c>
      <c r="E5374" s="293">
        <v>3750</v>
      </c>
      <c r="F5374" s="294" t="s">
        <v>1912</v>
      </c>
    </row>
    <row r="5375" spans="1:6" hidden="1" outlineLevel="1" collapsed="1" x14ac:dyDescent="0.25">
      <c r="A5375" s="321" t="s">
        <v>282</v>
      </c>
      <c r="B5375" s="321" t="s">
        <v>952</v>
      </c>
      <c r="C5375" s="293">
        <v>720</v>
      </c>
      <c r="D5375" s="293">
        <v>120</v>
      </c>
      <c r="E5375" s="293">
        <v>-600</v>
      </c>
      <c r="F5375" s="294" t="s">
        <v>1537</v>
      </c>
    </row>
    <row r="5376" spans="1:6" hidden="1" outlineLevel="1" collapsed="1" x14ac:dyDescent="0.25">
      <c r="A5376" s="321" t="s">
        <v>282</v>
      </c>
      <c r="B5376" s="321" t="s">
        <v>482</v>
      </c>
      <c r="C5376" s="293">
        <v>1950</v>
      </c>
      <c r="D5376" s="293">
        <v>1000</v>
      </c>
      <c r="E5376" s="293">
        <v>-950</v>
      </c>
      <c r="F5376" s="294" t="s">
        <v>1913</v>
      </c>
    </row>
    <row r="5377" spans="1:6" hidden="1" outlineLevel="1" collapsed="1" x14ac:dyDescent="0.25">
      <c r="A5377" s="321" t="s">
        <v>282</v>
      </c>
      <c r="B5377" s="321" t="s">
        <v>597</v>
      </c>
      <c r="C5377" s="293">
        <v>0</v>
      </c>
      <c r="D5377" s="293">
        <v>1000</v>
      </c>
      <c r="E5377" s="293">
        <v>1000</v>
      </c>
      <c r="F5377" s="294" t="s">
        <v>298</v>
      </c>
    </row>
    <row r="5378" spans="1:6" hidden="1" outlineLevel="1" collapsed="1" x14ac:dyDescent="0.25">
      <c r="A5378" s="321" t="s">
        <v>282</v>
      </c>
      <c r="B5378" s="321" t="s">
        <v>626</v>
      </c>
      <c r="C5378" s="293">
        <v>-350</v>
      </c>
      <c r="D5378" s="293">
        <v>0</v>
      </c>
      <c r="E5378" s="293">
        <v>350</v>
      </c>
      <c r="F5378" s="294" t="s">
        <v>286</v>
      </c>
    </row>
    <row r="5379" spans="1:6" hidden="1" outlineLevel="1" collapsed="1" x14ac:dyDescent="0.25">
      <c r="A5379" s="321" t="s">
        <v>282</v>
      </c>
      <c r="B5379" s="321" t="s">
        <v>405</v>
      </c>
      <c r="C5379" s="293">
        <v>18285</v>
      </c>
      <c r="D5379" s="293">
        <v>18400</v>
      </c>
      <c r="E5379" s="293">
        <v>115</v>
      </c>
      <c r="F5379" s="294" t="s">
        <v>1914</v>
      </c>
    </row>
    <row r="5380" spans="1:6" collapsed="1" x14ac:dyDescent="0.25">
      <c r="A5380" s="560" t="s">
        <v>1915</v>
      </c>
      <c r="B5380" s="561"/>
      <c r="C5380" s="292">
        <v>550000</v>
      </c>
      <c r="D5380" s="293">
        <v>550000</v>
      </c>
      <c r="E5380" s="293">
        <v>0</v>
      </c>
      <c r="F5380" s="294" t="s">
        <v>316</v>
      </c>
    </row>
    <row r="5381" spans="1:6" hidden="1" outlineLevel="1" collapsed="1" x14ac:dyDescent="0.25">
      <c r="A5381" s="321" t="s">
        <v>282</v>
      </c>
      <c r="B5381" s="321" t="s">
        <v>353</v>
      </c>
      <c r="C5381" s="293">
        <v>550000</v>
      </c>
      <c r="D5381" s="293">
        <v>550000</v>
      </c>
      <c r="E5381" s="293">
        <v>0</v>
      </c>
      <c r="F5381" s="294" t="s">
        <v>316</v>
      </c>
    </row>
    <row r="5382" spans="1:6" collapsed="1" x14ac:dyDescent="0.25">
      <c r="A5382" s="560" t="s">
        <v>342</v>
      </c>
      <c r="B5382" s="561"/>
      <c r="C5382" s="292">
        <v>0</v>
      </c>
      <c r="D5382" s="293">
        <v>14999.99</v>
      </c>
      <c r="E5382" s="293">
        <v>14999.99</v>
      </c>
      <c r="F5382" s="294" t="s">
        <v>298</v>
      </c>
    </row>
    <row r="5383" spans="1:6" hidden="1" outlineLevel="1" collapsed="1" x14ac:dyDescent="0.25">
      <c r="A5383" s="321" t="s">
        <v>282</v>
      </c>
      <c r="B5383" s="321" t="s">
        <v>735</v>
      </c>
      <c r="C5383" s="293">
        <v>0</v>
      </c>
      <c r="D5383" s="293">
        <v>10538.73</v>
      </c>
      <c r="E5383" s="293">
        <v>10538.73</v>
      </c>
      <c r="F5383" s="294" t="s">
        <v>298</v>
      </c>
    </row>
    <row r="5384" spans="1:6" hidden="1" outlineLevel="1" collapsed="1" x14ac:dyDescent="0.25">
      <c r="A5384" s="321" t="s">
        <v>282</v>
      </c>
      <c r="B5384" s="321" t="s">
        <v>475</v>
      </c>
      <c r="C5384" s="293">
        <v>0</v>
      </c>
      <c r="D5384" s="293">
        <v>2000</v>
      </c>
      <c r="E5384" s="293">
        <v>2000</v>
      </c>
      <c r="F5384" s="294" t="s">
        <v>298</v>
      </c>
    </row>
    <row r="5385" spans="1:6" hidden="1" outlineLevel="1" collapsed="1" x14ac:dyDescent="0.25">
      <c r="A5385" s="321" t="s">
        <v>282</v>
      </c>
      <c r="B5385" s="321" t="s">
        <v>444</v>
      </c>
      <c r="C5385" s="293">
        <v>0</v>
      </c>
      <c r="D5385" s="293">
        <v>2461.2600000000002</v>
      </c>
      <c r="E5385" s="293">
        <v>2461.2600000000002</v>
      </c>
      <c r="F5385" s="294" t="s">
        <v>298</v>
      </c>
    </row>
    <row r="5386" spans="1:6" collapsed="1" x14ac:dyDescent="0.25">
      <c r="A5386" s="560" t="s">
        <v>1916</v>
      </c>
      <c r="B5386" s="561"/>
      <c r="C5386" s="292">
        <v>0</v>
      </c>
      <c r="D5386" s="293">
        <v>11340</v>
      </c>
      <c r="E5386" s="293">
        <v>11340</v>
      </c>
      <c r="F5386" s="294" t="s">
        <v>298</v>
      </c>
    </row>
    <row r="5387" spans="1:6" hidden="1" outlineLevel="1" collapsed="1" x14ac:dyDescent="0.25">
      <c r="A5387" s="321" t="s">
        <v>282</v>
      </c>
      <c r="B5387" s="321" t="s">
        <v>1026</v>
      </c>
      <c r="C5387" s="293">
        <v>0</v>
      </c>
      <c r="D5387" s="293">
        <v>11340</v>
      </c>
      <c r="E5387" s="293">
        <v>11340</v>
      </c>
      <c r="F5387" s="294" t="s">
        <v>298</v>
      </c>
    </row>
    <row r="5388" spans="1:6" collapsed="1" x14ac:dyDescent="0.25">
      <c r="A5388" s="560" t="s">
        <v>344</v>
      </c>
      <c r="B5388" s="561"/>
      <c r="C5388" s="292">
        <v>0</v>
      </c>
      <c r="D5388" s="293">
        <v>29226</v>
      </c>
      <c r="E5388" s="293">
        <v>29226</v>
      </c>
      <c r="F5388" s="294" t="s">
        <v>298</v>
      </c>
    </row>
    <row r="5389" spans="1:6" hidden="1" outlineLevel="1" collapsed="1" x14ac:dyDescent="0.25">
      <c r="A5389" s="321" t="s">
        <v>282</v>
      </c>
      <c r="B5389" s="321" t="s">
        <v>735</v>
      </c>
      <c r="C5389" s="293">
        <v>0</v>
      </c>
      <c r="D5389" s="293">
        <v>10200</v>
      </c>
      <c r="E5389" s="293">
        <v>10200</v>
      </c>
      <c r="F5389" s="294" t="s">
        <v>298</v>
      </c>
    </row>
    <row r="5390" spans="1:6" hidden="1" outlineLevel="1" collapsed="1" x14ac:dyDescent="0.25">
      <c r="A5390" s="321" t="s">
        <v>282</v>
      </c>
      <c r="B5390" s="321" t="s">
        <v>441</v>
      </c>
      <c r="C5390" s="293">
        <v>0</v>
      </c>
      <c r="D5390" s="293">
        <v>1225</v>
      </c>
      <c r="E5390" s="293">
        <v>1225</v>
      </c>
      <c r="F5390" s="294" t="s">
        <v>298</v>
      </c>
    </row>
    <row r="5391" spans="1:6" hidden="1" outlineLevel="1" collapsed="1" x14ac:dyDescent="0.25">
      <c r="A5391" s="321" t="s">
        <v>282</v>
      </c>
      <c r="B5391" s="321" t="s">
        <v>452</v>
      </c>
      <c r="C5391" s="293">
        <v>0</v>
      </c>
      <c r="D5391" s="293">
        <v>1900</v>
      </c>
      <c r="E5391" s="293">
        <v>1900</v>
      </c>
      <c r="F5391" s="294" t="s">
        <v>298</v>
      </c>
    </row>
    <row r="5392" spans="1:6" hidden="1" outlineLevel="1" collapsed="1" x14ac:dyDescent="0.25">
      <c r="A5392" s="321" t="s">
        <v>282</v>
      </c>
      <c r="B5392" s="321" t="s">
        <v>444</v>
      </c>
      <c r="C5392" s="293">
        <v>0</v>
      </c>
      <c r="D5392" s="293">
        <v>1373</v>
      </c>
      <c r="E5392" s="293">
        <v>1373</v>
      </c>
      <c r="F5392" s="294" t="s">
        <v>298</v>
      </c>
    </row>
    <row r="5393" spans="1:6" hidden="1" outlineLevel="1" collapsed="1" x14ac:dyDescent="0.25">
      <c r="A5393" s="321" t="s">
        <v>282</v>
      </c>
      <c r="B5393" s="321" t="s">
        <v>375</v>
      </c>
      <c r="C5393" s="293">
        <v>0</v>
      </c>
      <c r="D5393" s="293">
        <v>200</v>
      </c>
      <c r="E5393" s="293">
        <v>200</v>
      </c>
      <c r="F5393" s="294" t="s">
        <v>298</v>
      </c>
    </row>
    <row r="5394" spans="1:6" hidden="1" outlineLevel="1" collapsed="1" x14ac:dyDescent="0.25">
      <c r="A5394" s="321" t="s">
        <v>282</v>
      </c>
      <c r="B5394" s="321" t="s">
        <v>482</v>
      </c>
      <c r="C5394" s="293">
        <v>0</v>
      </c>
      <c r="D5394" s="293">
        <v>1149</v>
      </c>
      <c r="E5394" s="293">
        <v>1149</v>
      </c>
      <c r="F5394" s="294" t="s">
        <v>298</v>
      </c>
    </row>
    <row r="5395" spans="1:6" hidden="1" outlineLevel="1" collapsed="1" x14ac:dyDescent="0.25">
      <c r="A5395" s="321" t="s">
        <v>282</v>
      </c>
      <c r="B5395" s="321" t="s">
        <v>405</v>
      </c>
      <c r="C5395" s="293">
        <v>0</v>
      </c>
      <c r="D5395" s="293">
        <v>11979</v>
      </c>
      <c r="E5395" s="293">
        <v>11979</v>
      </c>
      <c r="F5395" s="294" t="s">
        <v>298</v>
      </c>
    </row>
    <row r="5396" spans="1:6" hidden="1" outlineLevel="1" collapsed="1" x14ac:dyDescent="0.25">
      <c r="A5396" s="321" t="s">
        <v>282</v>
      </c>
      <c r="B5396" s="321" t="s">
        <v>1917</v>
      </c>
      <c r="C5396" s="293">
        <v>0</v>
      </c>
      <c r="D5396" s="293">
        <v>1200</v>
      </c>
      <c r="E5396" s="293">
        <v>1200</v>
      </c>
      <c r="F5396" s="294" t="s">
        <v>298</v>
      </c>
    </row>
    <row r="5397" spans="1:6" collapsed="1" x14ac:dyDescent="0.25">
      <c r="A5397" s="560" t="s">
        <v>346</v>
      </c>
      <c r="B5397" s="561"/>
      <c r="C5397" s="292">
        <v>0</v>
      </c>
      <c r="D5397" s="293">
        <v>20878</v>
      </c>
      <c r="E5397" s="293">
        <v>20878</v>
      </c>
      <c r="F5397" s="294" t="s">
        <v>298</v>
      </c>
    </row>
    <row r="5398" spans="1:6" hidden="1" outlineLevel="1" collapsed="1" x14ac:dyDescent="0.25">
      <c r="A5398" s="321" t="s">
        <v>282</v>
      </c>
      <c r="B5398" s="321" t="s">
        <v>735</v>
      </c>
      <c r="C5398" s="293">
        <v>0</v>
      </c>
      <c r="D5398" s="293">
        <v>10200</v>
      </c>
      <c r="E5398" s="293">
        <v>10200</v>
      </c>
      <c r="F5398" s="294" t="s">
        <v>298</v>
      </c>
    </row>
    <row r="5399" spans="1:6" hidden="1" outlineLevel="1" collapsed="1" x14ac:dyDescent="0.25">
      <c r="A5399" s="321" t="s">
        <v>282</v>
      </c>
      <c r="B5399" s="321" t="s">
        <v>375</v>
      </c>
      <c r="C5399" s="293">
        <v>0</v>
      </c>
      <c r="D5399" s="293">
        <v>10103</v>
      </c>
      <c r="E5399" s="293">
        <v>10103</v>
      </c>
      <c r="F5399" s="294" t="s">
        <v>298</v>
      </c>
    </row>
    <row r="5400" spans="1:6" hidden="1" outlineLevel="1" collapsed="1" x14ac:dyDescent="0.25">
      <c r="A5400" s="321" t="s">
        <v>282</v>
      </c>
      <c r="B5400" s="321" t="s">
        <v>482</v>
      </c>
      <c r="C5400" s="293">
        <v>0</v>
      </c>
      <c r="D5400" s="293">
        <v>575</v>
      </c>
      <c r="E5400" s="293">
        <v>575</v>
      </c>
      <c r="F5400" s="294" t="s">
        <v>298</v>
      </c>
    </row>
    <row r="5401" spans="1:6" collapsed="1" x14ac:dyDescent="0.25">
      <c r="A5401" s="560" t="s">
        <v>347</v>
      </c>
      <c r="B5401" s="561"/>
      <c r="C5401" s="292">
        <v>0</v>
      </c>
      <c r="D5401" s="293">
        <v>100000</v>
      </c>
      <c r="E5401" s="293">
        <v>100000</v>
      </c>
      <c r="F5401" s="294" t="s">
        <v>298</v>
      </c>
    </row>
    <row r="5402" spans="1:6" hidden="1" outlineLevel="1" collapsed="1" x14ac:dyDescent="0.25">
      <c r="A5402" s="321" t="s">
        <v>282</v>
      </c>
      <c r="B5402" s="321" t="s">
        <v>441</v>
      </c>
      <c r="C5402" s="293">
        <v>0</v>
      </c>
      <c r="D5402" s="293">
        <v>52660</v>
      </c>
      <c r="E5402" s="293">
        <v>52660</v>
      </c>
      <c r="F5402" s="294" t="s">
        <v>298</v>
      </c>
    </row>
    <row r="5403" spans="1:6" hidden="1" outlineLevel="1" collapsed="1" x14ac:dyDescent="0.25">
      <c r="A5403" s="321" t="s">
        <v>282</v>
      </c>
      <c r="B5403" s="321" t="s">
        <v>444</v>
      </c>
      <c r="C5403" s="293">
        <v>0</v>
      </c>
      <c r="D5403" s="293">
        <v>367</v>
      </c>
      <c r="E5403" s="293">
        <v>367</v>
      </c>
      <c r="F5403" s="294" t="s">
        <v>298</v>
      </c>
    </row>
    <row r="5404" spans="1:6" hidden="1" outlineLevel="1" collapsed="1" x14ac:dyDescent="0.25">
      <c r="A5404" s="321" t="s">
        <v>282</v>
      </c>
      <c r="B5404" s="321" t="s">
        <v>567</v>
      </c>
      <c r="C5404" s="293">
        <v>0</v>
      </c>
      <c r="D5404" s="293">
        <v>28000</v>
      </c>
      <c r="E5404" s="293">
        <v>28000</v>
      </c>
      <c r="F5404" s="294" t="s">
        <v>298</v>
      </c>
    </row>
    <row r="5405" spans="1:6" hidden="1" outlineLevel="1" collapsed="1" x14ac:dyDescent="0.25">
      <c r="A5405" s="321" t="s">
        <v>282</v>
      </c>
      <c r="B5405" s="321" t="s">
        <v>405</v>
      </c>
      <c r="C5405" s="293">
        <v>0</v>
      </c>
      <c r="D5405" s="293">
        <v>8973</v>
      </c>
      <c r="E5405" s="293">
        <v>8973</v>
      </c>
      <c r="F5405" s="294" t="s">
        <v>298</v>
      </c>
    </row>
    <row r="5406" spans="1:6" hidden="1" outlineLevel="1" collapsed="1" x14ac:dyDescent="0.25">
      <c r="A5406" s="321" t="s">
        <v>282</v>
      </c>
      <c r="B5406" s="321" t="s">
        <v>1026</v>
      </c>
      <c r="C5406" s="293">
        <v>0</v>
      </c>
      <c r="D5406" s="293">
        <v>10000</v>
      </c>
      <c r="E5406" s="293">
        <v>10000</v>
      </c>
      <c r="F5406" s="294" t="s">
        <v>298</v>
      </c>
    </row>
    <row r="5407" spans="1:6" collapsed="1" x14ac:dyDescent="0.25">
      <c r="A5407" s="560" t="s">
        <v>348</v>
      </c>
      <c r="B5407" s="561"/>
      <c r="C5407" s="292">
        <v>0</v>
      </c>
      <c r="D5407" s="293">
        <v>57160</v>
      </c>
      <c r="E5407" s="293">
        <v>57160</v>
      </c>
      <c r="F5407" s="294" t="s">
        <v>298</v>
      </c>
    </row>
    <row r="5408" spans="1:6" hidden="1" outlineLevel="1" collapsed="1" x14ac:dyDescent="0.25">
      <c r="A5408" s="321" t="s">
        <v>282</v>
      </c>
      <c r="B5408" s="321" t="s">
        <v>735</v>
      </c>
      <c r="C5408" s="293">
        <v>0</v>
      </c>
      <c r="D5408" s="293">
        <v>26731</v>
      </c>
      <c r="E5408" s="293">
        <v>26731</v>
      </c>
      <c r="F5408" s="294" t="s">
        <v>298</v>
      </c>
    </row>
    <row r="5409" spans="1:6" hidden="1" outlineLevel="1" collapsed="1" x14ac:dyDescent="0.25">
      <c r="A5409" s="321" t="s">
        <v>282</v>
      </c>
      <c r="B5409" s="321" t="s">
        <v>441</v>
      </c>
      <c r="C5409" s="293">
        <v>0</v>
      </c>
      <c r="D5409" s="293">
        <v>7340</v>
      </c>
      <c r="E5409" s="293">
        <v>7340</v>
      </c>
      <c r="F5409" s="294" t="s">
        <v>298</v>
      </c>
    </row>
    <row r="5410" spans="1:6" hidden="1" outlineLevel="1" collapsed="1" x14ac:dyDescent="0.25">
      <c r="A5410" s="321" t="s">
        <v>282</v>
      </c>
      <c r="B5410" s="321" t="s">
        <v>444</v>
      </c>
      <c r="C5410" s="293">
        <v>0</v>
      </c>
      <c r="D5410" s="293">
        <v>3269</v>
      </c>
      <c r="E5410" s="293">
        <v>3269</v>
      </c>
      <c r="F5410" s="294" t="s">
        <v>298</v>
      </c>
    </row>
    <row r="5411" spans="1:6" hidden="1" outlineLevel="1" collapsed="1" x14ac:dyDescent="0.25">
      <c r="A5411" s="321" t="s">
        <v>282</v>
      </c>
      <c r="B5411" s="321" t="s">
        <v>567</v>
      </c>
      <c r="C5411" s="293">
        <v>0</v>
      </c>
      <c r="D5411" s="293">
        <v>13500</v>
      </c>
      <c r="E5411" s="293">
        <v>13500</v>
      </c>
      <c r="F5411" s="294" t="s">
        <v>298</v>
      </c>
    </row>
    <row r="5412" spans="1:6" hidden="1" outlineLevel="1" collapsed="1" x14ac:dyDescent="0.25">
      <c r="A5412" s="321" t="s">
        <v>282</v>
      </c>
      <c r="B5412" s="321" t="s">
        <v>1026</v>
      </c>
      <c r="C5412" s="293">
        <v>0</v>
      </c>
      <c r="D5412" s="293">
        <v>6320</v>
      </c>
      <c r="E5412" s="293">
        <v>6320</v>
      </c>
      <c r="F5412" s="294" t="s">
        <v>298</v>
      </c>
    </row>
    <row r="5413" spans="1:6" x14ac:dyDescent="0.25">
      <c r="A5413" s="296" t="s">
        <v>282</v>
      </c>
      <c r="B5413" s="296" t="s">
        <v>282</v>
      </c>
      <c r="C5413" s="297">
        <v>90733650.570671007</v>
      </c>
      <c r="D5413" s="320">
        <v>98142323.830473006</v>
      </c>
      <c r="E5413" s="297">
        <v>7408673.2598019997</v>
      </c>
      <c r="F5413" s="298" t="s">
        <v>613</v>
      </c>
    </row>
    <row r="5414" spans="1:6" x14ac:dyDescent="0.25">
      <c r="A5414" s="562" t="s">
        <v>16</v>
      </c>
      <c r="B5414" s="561"/>
      <c r="C5414" s="299">
        <v>-1217431.5893290001</v>
      </c>
      <c r="D5414" s="299">
        <v>4439788.670473</v>
      </c>
      <c r="E5414" s="299">
        <v>5657220.2598019997</v>
      </c>
      <c r="F5414" s="300" t="s">
        <v>549</v>
      </c>
    </row>
    <row r="5415" spans="1:6" x14ac:dyDescent="0.25">
      <c r="A5415" s="301" t="s">
        <v>282</v>
      </c>
      <c r="B5415" s="301" t="s">
        <v>282</v>
      </c>
      <c r="C5415" s="302" t="s">
        <v>282</v>
      </c>
      <c r="D5415" s="303" t="s">
        <v>282</v>
      </c>
      <c r="E5415" s="303" t="s">
        <v>282</v>
      </c>
      <c r="F5415" s="304" t="s">
        <v>282</v>
      </c>
    </row>
    <row r="5416" spans="1:6" ht="23.45" customHeight="1" x14ac:dyDescent="0.25"/>
  </sheetData>
  <mergeCells count="324">
    <mergeCell ref="A23:B23"/>
    <mergeCell ref="A25:B25"/>
    <mergeCell ref="A27:B27"/>
    <mergeCell ref="A29:B29"/>
    <mergeCell ref="A31:B31"/>
    <mergeCell ref="A33:B33"/>
    <mergeCell ref="A1:F1"/>
    <mergeCell ref="A3:F3"/>
    <mergeCell ref="A5:B5"/>
    <mergeCell ref="A6:B6"/>
    <mergeCell ref="A7:B7"/>
    <mergeCell ref="A11:B11"/>
    <mergeCell ref="A57:B57"/>
    <mergeCell ref="A59:B59"/>
    <mergeCell ref="A61:B61"/>
    <mergeCell ref="A63:B63"/>
    <mergeCell ref="A65:B65"/>
    <mergeCell ref="A67:B67"/>
    <mergeCell ref="A35:B35"/>
    <mergeCell ref="A47:B47"/>
    <mergeCell ref="A49:B49"/>
    <mergeCell ref="A51:B51"/>
    <mergeCell ref="A53:B53"/>
    <mergeCell ref="A55:B55"/>
    <mergeCell ref="A81:B81"/>
    <mergeCell ref="A85:B85"/>
    <mergeCell ref="A87:B87"/>
    <mergeCell ref="A100:B100"/>
    <mergeCell ref="A134:B134"/>
    <mergeCell ref="A150:B150"/>
    <mergeCell ref="A69:B69"/>
    <mergeCell ref="A71:B71"/>
    <mergeCell ref="A73:B73"/>
    <mergeCell ref="A75:B75"/>
    <mergeCell ref="A77:B77"/>
    <mergeCell ref="A80:B80"/>
    <mergeCell ref="A276:B276"/>
    <mergeCell ref="A284:B284"/>
    <mergeCell ref="A290:B290"/>
    <mergeCell ref="A321:B321"/>
    <mergeCell ref="A327:B327"/>
    <mergeCell ref="A346:B346"/>
    <mergeCell ref="A173:B173"/>
    <mergeCell ref="A204:B204"/>
    <mergeCell ref="A212:B212"/>
    <mergeCell ref="A224:B224"/>
    <mergeCell ref="A238:B238"/>
    <mergeCell ref="A258:B258"/>
    <mergeCell ref="A481:B481"/>
    <mergeCell ref="A497:B497"/>
    <mergeCell ref="A520:B520"/>
    <mergeCell ref="A539:B539"/>
    <mergeCell ref="A571:B571"/>
    <mergeCell ref="A591:B591"/>
    <mergeCell ref="A360:B360"/>
    <mergeCell ref="A379:B379"/>
    <mergeCell ref="A390:B390"/>
    <mergeCell ref="A408:B408"/>
    <mergeCell ref="A431:B431"/>
    <mergeCell ref="A462:B462"/>
    <mergeCell ref="A671:B671"/>
    <mergeCell ref="A685:B685"/>
    <mergeCell ref="A717:B717"/>
    <mergeCell ref="A740:B740"/>
    <mergeCell ref="A754:B754"/>
    <mergeCell ref="A766:B766"/>
    <mergeCell ref="A608:B608"/>
    <mergeCell ref="A611:B611"/>
    <mergeCell ref="A625:B625"/>
    <mergeCell ref="A633:B633"/>
    <mergeCell ref="A652:B652"/>
    <mergeCell ref="A666:B666"/>
    <mergeCell ref="A899:B899"/>
    <mergeCell ref="A911:B911"/>
    <mergeCell ref="A919:B919"/>
    <mergeCell ref="A932:B932"/>
    <mergeCell ref="A945:B945"/>
    <mergeCell ref="A957:B957"/>
    <mergeCell ref="A785:B785"/>
    <mergeCell ref="A791:B791"/>
    <mergeCell ref="A800:B800"/>
    <mergeCell ref="A834:B834"/>
    <mergeCell ref="A870:B870"/>
    <mergeCell ref="A887:B887"/>
    <mergeCell ref="A1057:B1057"/>
    <mergeCell ref="A1073:B1073"/>
    <mergeCell ref="A1109:B1109"/>
    <mergeCell ref="A1125:B1125"/>
    <mergeCell ref="A1143:B1143"/>
    <mergeCell ref="A1153:B1153"/>
    <mergeCell ref="A977:B977"/>
    <mergeCell ref="A989:B989"/>
    <mergeCell ref="A1002:B1002"/>
    <mergeCell ref="A1015:B1015"/>
    <mergeCell ref="A1022:B1022"/>
    <mergeCell ref="A1040:B1040"/>
    <mergeCell ref="A1359:B1359"/>
    <mergeCell ref="A1389:B1389"/>
    <mergeCell ref="A1422:B1422"/>
    <mergeCell ref="A1441:B1441"/>
    <mergeCell ref="A1496:B1496"/>
    <mergeCell ref="A1506:B1506"/>
    <mergeCell ref="A1195:B1195"/>
    <mergeCell ref="A1232:B1232"/>
    <mergeCell ref="A1263:B1263"/>
    <mergeCell ref="A1292:B1292"/>
    <mergeCell ref="A1310:B1310"/>
    <mergeCell ref="A1326:B1326"/>
    <mergeCell ref="A1555:B1555"/>
    <mergeCell ref="A1601:B1601"/>
    <mergeCell ref="A1639:B1639"/>
    <mergeCell ref="A1674:B1674"/>
    <mergeCell ref="A1711:B1711"/>
    <mergeCell ref="A1750:B1750"/>
    <mergeCell ref="A1510:B1510"/>
    <mergeCell ref="A1519:B1519"/>
    <mergeCell ref="A1522:B1522"/>
    <mergeCell ref="A1528:B1528"/>
    <mergeCell ref="A1531:B1531"/>
    <mergeCell ref="A1539:B1539"/>
    <mergeCell ref="A1945:B1945"/>
    <mergeCell ref="A1964:B1964"/>
    <mergeCell ref="A1993:B1993"/>
    <mergeCell ref="A1996:B1996"/>
    <mergeCell ref="A2041:B2041"/>
    <mergeCell ref="A2080:B2080"/>
    <mergeCell ref="A1785:B1785"/>
    <mergeCell ref="A1797:B1797"/>
    <mergeCell ref="A1832:B1832"/>
    <mergeCell ref="A1843:B1843"/>
    <mergeCell ref="A1895:B1895"/>
    <mergeCell ref="A1898:B1898"/>
    <mergeCell ref="A2181:B2181"/>
    <mergeCell ref="A2188:B2188"/>
    <mergeCell ref="A2191:B2191"/>
    <mergeCell ref="A2223:B2223"/>
    <mergeCell ref="A2250:B2250"/>
    <mergeCell ref="A2266:B2266"/>
    <mergeCell ref="A2112:B2112"/>
    <mergeCell ref="A2114:B2114"/>
    <mergeCell ref="A2132:B2132"/>
    <mergeCell ref="A2134:B2134"/>
    <mergeCell ref="A2166:B2166"/>
    <mergeCell ref="A2174:B2174"/>
    <mergeCell ref="A2306:B2306"/>
    <mergeCell ref="A2309:B2309"/>
    <mergeCell ref="A2311:B2311"/>
    <mergeCell ref="A2328:B2328"/>
    <mergeCell ref="A2386:B2386"/>
    <mergeCell ref="A2416:B2416"/>
    <mergeCell ref="A2294:B2294"/>
    <mergeCell ref="A2296:B2296"/>
    <mergeCell ref="A2298:B2298"/>
    <mergeCell ref="A2300:B2300"/>
    <mergeCell ref="A2302:B2302"/>
    <mergeCell ref="A2304:B2304"/>
    <mergeCell ref="A2529:B2529"/>
    <mergeCell ref="A2553:B2553"/>
    <mergeCell ref="A2564:B2564"/>
    <mergeCell ref="A2586:B2586"/>
    <mergeCell ref="A2592:B2592"/>
    <mergeCell ref="A2594:B2594"/>
    <mergeCell ref="A2454:B2454"/>
    <mergeCell ref="A2473:B2473"/>
    <mergeCell ref="A2499:B2499"/>
    <mergeCell ref="A2507:B2507"/>
    <mergeCell ref="A2510:B2510"/>
    <mergeCell ref="A2512:B2512"/>
    <mergeCell ref="A2715:B2715"/>
    <mergeCell ref="A2722:B2722"/>
    <mergeCell ref="A2729:B2729"/>
    <mergeCell ref="A2735:B2735"/>
    <mergeCell ref="A2742:B2742"/>
    <mergeCell ref="A2747:B2747"/>
    <mergeCell ref="A2610:B2610"/>
    <mergeCell ref="A2627:B2627"/>
    <mergeCell ref="A2656:B2656"/>
    <mergeCell ref="A2691:B2691"/>
    <mergeCell ref="A2700:B2700"/>
    <mergeCell ref="A2707:B2707"/>
    <mergeCell ref="A2802:B2802"/>
    <mergeCell ref="A2804:B2804"/>
    <mergeCell ref="A2829:B2829"/>
    <mergeCell ref="A2858:B2858"/>
    <mergeCell ref="A2891:B2891"/>
    <mergeCell ref="A2916:B2916"/>
    <mergeCell ref="A2752:B2752"/>
    <mergeCell ref="A2762:B2762"/>
    <mergeCell ref="A2768:B2768"/>
    <mergeCell ref="A2775:B2775"/>
    <mergeCell ref="A2782:B2782"/>
    <mergeCell ref="A2785:B2785"/>
    <mergeCell ref="A3054:B3054"/>
    <mergeCell ref="A3087:B3087"/>
    <mergeCell ref="A3098:B3098"/>
    <mergeCell ref="A3118:B3118"/>
    <mergeCell ref="A3154:B3154"/>
    <mergeCell ref="A3169:B3169"/>
    <mergeCell ref="A2929:B2929"/>
    <mergeCell ref="A2940:B2940"/>
    <mergeCell ref="A2970:B2970"/>
    <mergeCell ref="A2993:B2993"/>
    <mergeCell ref="A3007:B3007"/>
    <mergeCell ref="A3037:B3037"/>
    <mergeCell ref="A3287:B3287"/>
    <mergeCell ref="A3308:B3308"/>
    <mergeCell ref="A3319:B3319"/>
    <mergeCell ref="A3341:B3341"/>
    <mergeCell ref="A3344:B3344"/>
    <mergeCell ref="A3355:B3355"/>
    <mergeCell ref="A3186:B3186"/>
    <mergeCell ref="A3198:B3198"/>
    <mergeCell ref="A3209:B3209"/>
    <mergeCell ref="A3221:B3221"/>
    <mergeCell ref="A3248:B3248"/>
    <mergeCell ref="A3276:B3276"/>
    <mergeCell ref="A3428:B3428"/>
    <mergeCell ref="A3443:B3443"/>
    <mergeCell ref="A3491:B3491"/>
    <mergeCell ref="A3503:B3503"/>
    <mergeCell ref="A3522:B3522"/>
    <mergeCell ref="A3541:B3541"/>
    <mergeCell ref="A3366:B3366"/>
    <mergeCell ref="A3377:B3377"/>
    <mergeCell ref="A3388:B3388"/>
    <mergeCell ref="A3400:B3400"/>
    <mergeCell ref="A3409:B3409"/>
    <mergeCell ref="A3421:B3421"/>
    <mergeCell ref="A3712:B3712"/>
    <mergeCell ref="A3719:B3719"/>
    <mergeCell ref="A3755:B3755"/>
    <mergeCell ref="A3790:B3790"/>
    <mergeCell ref="A3818:B3818"/>
    <mergeCell ref="A3836:B3836"/>
    <mergeCell ref="A3545:B3545"/>
    <mergeCell ref="A3563:B3563"/>
    <mergeCell ref="A3594:B3594"/>
    <mergeCell ref="A3610:B3610"/>
    <mergeCell ref="A3648:B3648"/>
    <mergeCell ref="A3691:B3691"/>
    <mergeCell ref="A4023:B4023"/>
    <mergeCell ref="A4038:B4038"/>
    <mergeCell ref="A4049:B4049"/>
    <mergeCell ref="A4087:B4087"/>
    <mergeCell ref="A4106:B4106"/>
    <mergeCell ref="A4112:B4112"/>
    <mergeCell ref="A3863:B3863"/>
    <mergeCell ref="A3866:B3866"/>
    <mergeCell ref="A3913:B3913"/>
    <mergeCell ref="A3917:B3917"/>
    <mergeCell ref="A3954:B3954"/>
    <mergeCell ref="A3992:B3992"/>
    <mergeCell ref="A4261:B4261"/>
    <mergeCell ref="A4277:B4277"/>
    <mergeCell ref="A4279:B4279"/>
    <mergeCell ref="A4283:B4283"/>
    <mergeCell ref="A4285:B4285"/>
    <mergeCell ref="A4287:B4287"/>
    <mergeCell ref="A4118:B4118"/>
    <mergeCell ref="A4137:B4137"/>
    <mergeCell ref="A4171:B4171"/>
    <mergeCell ref="A4203:B4203"/>
    <mergeCell ref="A4219:B4219"/>
    <mergeCell ref="A4235:B4235"/>
    <mergeCell ref="A4463:B4463"/>
    <mergeCell ref="A4470:B4470"/>
    <mergeCell ref="A4486:B4486"/>
    <mergeCell ref="A4488:B4488"/>
    <mergeCell ref="A4491:B4491"/>
    <mergeCell ref="A4523:B4523"/>
    <mergeCell ref="A4292:B4292"/>
    <mergeCell ref="A4315:B4315"/>
    <mergeCell ref="A4332:B4332"/>
    <mergeCell ref="A4376:B4376"/>
    <mergeCell ref="A4410:B4410"/>
    <mergeCell ref="A4443:B4443"/>
    <mergeCell ref="A4627:B4627"/>
    <mergeCell ref="A4645:B4645"/>
    <mergeCell ref="A4661:B4661"/>
    <mergeCell ref="A4680:B4680"/>
    <mergeCell ref="A4699:B4699"/>
    <mergeCell ref="A4716:B4716"/>
    <mergeCell ref="A4539:B4539"/>
    <mergeCell ref="A4555:B4555"/>
    <mergeCell ref="A4572:B4572"/>
    <mergeCell ref="A4589:B4589"/>
    <mergeCell ref="A4605:B4605"/>
    <mergeCell ref="A4621:B4621"/>
    <mergeCell ref="A4844:B4844"/>
    <mergeCell ref="A4852:B4852"/>
    <mergeCell ref="A4901:B4901"/>
    <mergeCell ref="A4922:B4922"/>
    <mergeCell ref="A4951:B4951"/>
    <mergeCell ref="A4985:B4985"/>
    <mergeCell ref="A4733:B4733"/>
    <mergeCell ref="A4751:B4751"/>
    <mergeCell ref="A4765:B4765"/>
    <mergeCell ref="A4798:B4798"/>
    <mergeCell ref="A4800:B4800"/>
    <mergeCell ref="A4815:B4815"/>
    <mergeCell ref="A5149:B5149"/>
    <mergeCell ref="A5186:B5186"/>
    <mergeCell ref="A5219:B5219"/>
    <mergeCell ref="A5221:B5221"/>
    <mergeCell ref="A5254:B5254"/>
    <mergeCell ref="A5290:B5290"/>
    <mergeCell ref="A5020:B5020"/>
    <mergeCell ref="A5040:B5040"/>
    <mergeCell ref="A5074:B5074"/>
    <mergeCell ref="A5121:B5121"/>
    <mergeCell ref="A5127:B5127"/>
    <mergeCell ref="A5141:B5141"/>
    <mergeCell ref="A5386:B5386"/>
    <mergeCell ref="A5388:B5388"/>
    <mergeCell ref="A5397:B5397"/>
    <mergeCell ref="A5401:B5401"/>
    <mergeCell ref="A5407:B5407"/>
    <mergeCell ref="A5414:B5414"/>
    <mergeCell ref="A5311:B5311"/>
    <mergeCell ref="A5352:B5352"/>
    <mergeCell ref="A5355:B5355"/>
    <mergeCell ref="A5357:B5357"/>
    <mergeCell ref="A5380:B5380"/>
    <mergeCell ref="A5382:B5382"/>
  </mergeCells>
  <pageMargins left="0.5" right="0.5" top="0.5" bottom="0.89582992125984295" header="0.5" footer="0.5"/>
  <pageSetup orientation="landscape" horizontalDpi="300" verticalDpi="300" r:id="rId1"/>
  <headerFooter alignWithMargins="0">
    <oddFooter>&amp;L&amp;"Arial,Regular"&amp;8 Jul 25, 2017 03:27 PM &amp;C&amp;"Arial,Italic"&amp;8 Revenues and Expenditures by Department &amp;R&amp;"Arial,Regular"&amp;8Page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outlinePr summaryBelow="0" summaryRight="0"/>
  </sheetPr>
  <dimension ref="A1:M5331"/>
  <sheetViews>
    <sheetView showGridLines="0" topLeftCell="B1" workbookViewId="0">
      <pane ySplit="3" topLeftCell="A4" activePane="bottomLeft" state="frozen"/>
      <selection pane="bottomLeft" activeCell="M75" sqref="M75"/>
    </sheetView>
  </sheetViews>
  <sheetFormatPr defaultColWidth="9.140625" defaultRowHeight="15" outlineLevelRow="1" x14ac:dyDescent="0.25"/>
  <cols>
    <col min="1" max="1" width="3.5703125" style="289" customWidth="1"/>
    <col min="2" max="2" width="71.140625" style="289" customWidth="1"/>
    <col min="3" max="6" width="15.140625" style="289" customWidth="1"/>
    <col min="7" max="7" width="0" style="289" hidden="1" customWidth="1"/>
    <col min="8" max="10" width="9.140625" style="289"/>
    <col min="11" max="11" width="24" style="289" customWidth="1"/>
    <col min="12" max="12" width="13.28515625" style="289" customWidth="1"/>
    <col min="13" max="13" width="13.28515625" style="289" bestFit="1" customWidth="1"/>
    <col min="14" max="16384" width="9.140625" style="289"/>
  </cols>
  <sheetData>
    <row r="1" spans="1:6" ht="27" customHeight="1" x14ac:dyDescent="0.25">
      <c r="A1" s="564" t="s">
        <v>274</v>
      </c>
      <c r="B1" s="565"/>
      <c r="C1" s="565"/>
      <c r="D1" s="565"/>
      <c r="E1" s="565"/>
      <c r="F1" s="565"/>
    </row>
    <row r="2" spans="1:6" ht="4.5" customHeight="1" x14ac:dyDescent="0.25"/>
    <row r="3" spans="1:6" ht="18" customHeight="1" x14ac:dyDescent="0.25">
      <c r="A3" s="566" t="s">
        <v>275</v>
      </c>
      <c r="B3" s="561"/>
      <c r="C3" s="561"/>
      <c r="D3" s="561"/>
      <c r="E3" s="561"/>
      <c r="F3" s="561"/>
    </row>
    <row r="4" spans="1:6" ht="2.25" customHeight="1" x14ac:dyDescent="0.25"/>
    <row r="5" spans="1:6" ht="24.75" x14ac:dyDescent="0.25">
      <c r="A5" s="567" t="s">
        <v>276</v>
      </c>
      <c r="B5" s="565"/>
      <c r="C5" s="290" t="s">
        <v>277</v>
      </c>
      <c r="D5" s="290" t="s">
        <v>278</v>
      </c>
      <c r="E5" s="290" t="s">
        <v>279</v>
      </c>
      <c r="F5" s="290" t="s">
        <v>280</v>
      </c>
    </row>
    <row r="6" spans="1:6" x14ac:dyDescent="0.25">
      <c r="A6" s="563" t="s">
        <v>281</v>
      </c>
      <c r="B6" s="561"/>
      <c r="C6" s="291" t="s">
        <v>282</v>
      </c>
      <c r="D6" s="291" t="s">
        <v>282</v>
      </c>
      <c r="E6" s="291" t="s">
        <v>282</v>
      </c>
      <c r="F6" s="291" t="s">
        <v>282</v>
      </c>
    </row>
    <row r="7" spans="1:6" collapsed="1" x14ac:dyDescent="0.25">
      <c r="A7" s="560" t="s">
        <v>283</v>
      </c>
      <c r="B7" s="561"/>
      <c r="C7" s="292">
        <v>322792</v>
      </c>
      <c r="D7" s="293">
        <v>165143</v>
      </c>
      <c r="E7" s="293">
        <v>-157649</v>
      </c>
      <c r="F7" s="294" t="s">
        <v>284</v>
      </c>
    </row>
    <row r="8" spans="1:6" hidden="1" outlineLevel="1" collapsed="1" x14ac:dyDescent="0.25">
      <c r="A8" s="295" t="s">
        <v>282</v>
      </c>
      <c r="B8" s="295" t="s">
        <v>285</v>
      </c>
      <c r="C8" s="293">
        <v>205930</v>
      </c>
      <c r="D8" s="293">
        <v>0</v>
      </c>
      <c r="E8" s="293">
        <v>-205930</v>
      </c>
      <c r="F8" s="294" t="s">
        <v>286</v>
      </c>
    </row>
    <row r="9" spans="1:6" hidden="1" outlineLevel="1" collapsed="1" x14ac:dyDescent="0.25">
      <c r="A9" s="295" t="s">
        <v>282</v>
      </c>
      <c r="B9" s="295" t="s">
        <v>287</v>
      </c>
      <c r="C9" s="293">
        <v>104862</v>
      </c>
      <c r="D9" s="293">
        <v>165143</v>
      </c>
      <c r="E9" s="293">
        <v>60281</v>
      </c>
      <c r="F9" s="294" t="s">
        <v>288</v>
      </c>
    </row>
    <row r="10" spans="1:6" hidden="1" outlineLevel="1" collapsed="1" x14ac:dyDescent="0.25">
      <c r="A10" s="295" t="s">
        <v>282</v>
      </c>
      <c r="B10" s="295" t="s">
        <v>289</v>
      </c>
      <c r="C10" s="293">
        <v>12000</v>
      </c>
      <c r="D10" s="293">
        <v>0</v>
      </c>
      <c r="E10" s="293">
        <v>-12000</v>
      </c>
      <c r="F10" s="294" t="s">
        <v>286</v>
      </c>
    </row>
    <row r="11" spans="1:6" collapsed="1" x14ac:dyDescent="0.25">
      <c r="A11" s="560" t="s">
        <v>290</v>
      </c>
      <c r="B11" s="561"/>
      <c r="C11" s="292">
        <v>49605286.159999996</v>
      </c>
      <c r="D11" s="293">
        <v>63752336.159999996</v>
      </c>
      <c r="E11" s="293">
        <v>14147050</v>
      </c>
      <c r="F11" s="294" t="s">
        <v>291</v>
      </c>
    </row>
    <row r="12" spans="1:6" hidden="1" outlineLevel="1" collapsed="1" x14ac:dyDescent="0.25">
      <c r="A12" s="295" t="s">
        <v>282</v>
      </c>
      <c r="B12" s="295" t="s">
        <v>292</v>
      </c>
      <c r="C12" s="293">
        <v>32792177</v>
      </c>
      <c r="D12" s="293">
        <v>35590605</v>
      </c>
      <c r="E12" s="293">
        <v>2798428</v>
      </c>
      <c r="F12" s="294" t="s">
        <v>293</v>
      </c>
    </row>
    <row r="13" spans="1:6" hidden="1" outlineLevel="1" collapsed="1" x14ac:dyDescent="0.25">
      <c r="A13" s="295" t="s">
        <v>282</v>
      </c>
      <c r="B13" s="295" t="s">
        <v>294</v>
      </c>
      <c r="C13" s="293">
        <v>192116</v>
      </c>
      <c r="D13" s="293">
        <v>0</v>
      </c>
      <c r="E13" s="293">
        <v>-192116</v>
      </c>
      <c r="F13" s="294" t="s">
        <v>286</v>
      </c>
    </row>
    <row r="14" spans="1:6" hidden="1" outlineLevel="1" collapsed="1" x14ac:dyDescent="0.25">
      <c r="A14" s="295" t="s">
        <v>282</v>
      </c>
      <c r="B14" s="295" t="s">
        <v>295</v>
      </c>
      <c r="C14" s="293">
        <v>215528</v>
      </c>
      <c r="D14" s="293">
        <v>219203</v>
      </c>
      <c r="E14" s="293">
        <v>3675</v>
      </c>
      <c r="F14" s="294" t="s">
        <v>296</v>
      </c>
    </row>
    <row r="15" spans="1:6" hidden="1" outlineLevel="1" collapsed="1" x14ac:dyDescent="0.25">
      <c r="A15" s="295" t="s">
        <v>282</v>
      </c>
      <c r="B15" s="295" t="s">
        <v>297</v>
      </c>
      <c r="C15" s="293">
        <v>0</v>
      </c>
      <c r="D15" s="293">
        <v>9577419</v>
      </c>
      <c r="E15" s="293">
        <v>9577419</v>
      </c>
      <c r="F15" s="294" t="s">
        <v>298</v>
      </c>
    </row>
    <row r="16" spans="1:6" hidden="1" outlineLevel="1" collapsed="1" x14ac:dyDescent="0.25">
      <c r="A16" s="295" t="s">
        <v>282</v>
      </c>
      <c r="B16" s="295" t="s">
        <v>299</v>
      </c>
      <c r="C16" s="293">
        <v>12872422</v>
      </c>
      <c r="D16" s="293">
        <v>14004482</v>
      </c>
      <c r="E16" s="293">
        <v>1132060</v>
      </c>
      <c r="F16" s="294" t="s">
        <v>300</v>
      </c>
    </row>
    <row r="17" spans="1:6" hidden="1" outlineLevel="1" collapsed="1" x14ac:dyDescent="0.25">
      <c r="A17" s="295" t="s">
        <v>282</v>
      </c>
      <c r="B17" s="295" t="s">
        <v>301</v>
      </c>
      <c r="C17" s="293">
        <v>2939847</v>
      </c>
      <c r="D17" s="293">
        <v>3198390</v>
      </c>
      <c r="E17" s="293">
        <v>258543</v>
      </c>
      <c r="F17" s="294" t="s">
        <v>300</v>
      </c>
    </row>
    <row r="18" spans="1:6" hidden="1" outlineLevel="1" collapsed="1" x14ac:dyDescent="0.25">
      <c r="A18" s="295" t="s">
        <v>282</v>
      </c>
      <c r="B18" s="295" t="s">
        <v>302</v>
      </c>
      <c r="C18" s="293">
        <v>59229</v>
      </c>
      <c r="D18" s="293">
        <v>0</v>
      </c>
      <c r="E18" s="293">
        <v>-59229</v>
      </c>
      <c r="F18" s="294" t="s">
        <v>286</v>
      </c>
    </row>
    <row r="19" spans="1:6" hidden="1" outlineLevel="1" collapsed="1" x14ac:dyDescent="0.25">
      <c r="A19" s="295" t="s">
        <v>282</v>
      </c>
      <c r="B19" s="295" t="s">
        <v>303</v>
      </c>
      <c r="C19" s="293">
        <v>265094</v>
      </c>
      <c r="D19" s="293">
        <v>0</v>
      </c>
      <c r="E19" s="293">
        <v>-265094</v>
      </c>
      <c r="F19" s="294" t="s">
        <v>286</v>
      </c>
    </row>
    <row r="20" spans="1:6" hidden="1" outlineLevel="1" collapsed="1" x14ac:dyDescent="0.25">
      <c r="A20" s="295" t="s">
        <v>282</v>
      </c>
      <c r="B20" s="295" t="s">
        <v>304</v>
      </c>
      <c r="C20" s="293">
        <v>8905</v>
      </c>
      <c r="D20" s="293">
        <v>0</v>
      </c>
      <c r="E20" s="293">
        <v>-8905</v>
      </c>
      <c r="F20" s="294" t="s">
        <v>286</v>
      </c>
    </row>
    <row r="21" spans="1:6" hidden="1" outlineLevel="1" collapsed="1" x14ac:dyDescent="0.25">
      <c r="A21" s="295" t="s">
        <v>282</v>
      </c>
      <c r="B21" s="295" t="s">
        <v>305</v>
      </c>
      <c r="C21" s="293">
        <v>259766.16</v>
      </c>
      <c r="D21" s="293">
        <v>1162237.1599999999</v>
      </c>
      <c r="E21" s="293">
        <v>902471</v>
      </c>
      <c r="F21" s="294" t="s">
        <v>306</v>
      </c>
    </row>
    <row r="22" spans="1:6" hidden="1" outlineLevel="1" collapsed="1" x14ac:dyDescent="0.25">
      <c r="A22" s="295" t="s">
        <v>282</v>
      </c>
      <c r="B22" s="295" t="s">
        <v>307</v>
      </c>
      <c r="C22" s="293">
        <v>202</v>
      </c>
      <c r="D22" s="293">
        <v>0</v>
      </c>
      <c r="E22" s="293">
        <v>-202</v>
      </c>
      <c r="F22" s="294" t="s">
        <v>286</v>
      </c>
    </row>
    <row r="23" spans="1:6" collapsed="1" x14ac:dyDescent="0.25">
      <c r="A23" s="560" t="s">
        <v>308</v>
      </c>
      <c r="B23" s="561"/>
      <c r="C23" s="292">
        <v>4000</v>
      </c>
      <c r="D23" s="293">
        <v>0</v>
      </c>
      <c r="E23" s="293">
        <v>-4000</v>
      </c>
      <c r="F23" s="294" t="s">
        <v>286</v>
      </c>
    </row>
    <row r="24" spans="1:6" hidden="1" outlineLevel="1" collapsed="1" x14ac:dyDescent="0.25">
      <c r="A24" s="295" t="s">
        <v>282</v>
      </c>
      <c r="B24" s="295" t="s">
        <v>309</v>
      </c>
      <c r="C24" s="293">
        <v>4000</v>
      </c>
      <c r="D24" s="293">
        <v>0</v>
      </c>
      <c r="E24" s="293">
        <v>-4000</v>
      </c>
      <c r="F24" s="294" t="s">
        <v>286</v>
      </c>
    </row>
    <row r="25" spans="1:6" collapsed="1" x14ac:dyDescent="0.25">
      <c r="A25" s="560" t="s">
        <v>310</v>
      </c>
      <c r="B25" s="561"/>
      <c r="C25" s="292">
        <v>70000</v>
      </c>
      <c r="D25" s="293">
        <v>40000</v>
      </c>
      <c r="E25" s="293">
        <v>-30000</v>
      </c>
      <c r="F25" s="294" t="s">
        <v>311</v>
      </c>
    </row>
    <row r="26" spans="1:6" hidden="1" outlineLevel="1" collapsed="1" x14ac:dyDescent="0.25">
      <c r="A26" s="295" t="s">
        <v>282</v>
      </c>
      <c r="B26" s="295" t="s">
        <v>305</v>
      </c>
      <c r="C26" s="293">
        <v>70000</v>
      </c>
      <c r="D26" s="293">
        <v>40000</v>
      </c>
      <c r="E26" s="293">
        <v>-30000</v>
      </c>
      <c r="F26" s="294" t="s">
        <v>311</v>
      </c>
    </row>
    <row r="27" spans="1:6" collapsed="1" x14ac:dyDescent="0.25">
      <c r="A27" s="560" t="s">
        <v>312</v>
      </c>
      <c r="B27" s="561"/>
      <c r="C27" s="292">
        <v>8500</v>
      </c>
      <c r="D27" s="293">
        <v>0</v>
      </c>
      <c r="E27" s="293">
        <v>-8500</v>
      </c>
      <c r="F27" s="294" t="s">
        <v>286</v>
      </c>
    </row>
    <row r="28" spans="1:6" hidden="1" outlineLevel="1" collapsed="1" x14ac:dyDescent="0.25">
      <c r="A28" s="295" t="s">
        <v>282</v>
      </c>
      <c r="B28" s="295" t="s">
        <v>305</v>
      </c>
      <c r="C28" s="293">
        <v>8500</v>
      </c>
      <c r="D28" s="293">
        <v>0</v>
      </c>
      <c r="E28" s="293">
        <v>-8500</v>
      </c>
      <c r="F28" s="294" t="s">
        <v>286</v>
      </c>
    </row>
    <row r="29" spans="1:6" collapsed="1" x14ac:dyDescent="0.25">
      <c r="A29" s="560" t="s">
        <v>313</v>
      </c>
      <c r="B29" s="561"/>
      <c r="C29" s="292">
        <v>30000</v>
      </c>
      <c r="D29" s="293">
        <v>0</v>
      </c>
      <c r="E29" s="293">
        <v>-30000</v>
      </c>
      <c r="F29" s="294" t="s">
        <v>286</v>
      </c>
    </row>
    <row r="30" spans="1:6" hidden="1" outlineLevel="1" collapsed="1" x14ac:dyDescent="0.25">
      <c r="A30" s="295" t="s">
        <v>282</v>
      </c>
      <c r="B30" s="295" t="s">
        <v>314</v>
      </c>
      <c r="C30" s="293">
        <v>30000</v>
      </c>
      <c r="D30" s="293">
        <v>0</v>
      </c>
      <c r="E30" s="293">
        <v>-30000</v>
      </c>
      <c r="F30" s="294" t="s">
        <v>286</v>
      </c>
    </row>
    <row r="31" spans="1:6" collapsed="1" x14ac:dyDescent="0.25">
      <c r="A31" s="560" t="s">
        <v>315</v>
      </c>
      <c r="B31" s="561"/>
      <c r="C31" s="292">
        <v>1519337</v>
      </c>
      <c r="D31" s="293">
        <v>1519337</v>
      </c>
      <c r="E31" s="293">
        <v>0</v>
      </c>
      <c r="F31" s="294" t="s">
        <v>316</v>
      </c>
    </row>
    <row r="32" spans="1:6" hidden="1" outlineLevel="1" collapsed="1" x14ac:dyDescent="0.25">
      <c r="A32" s="295" t="s">
        <v>282</v>
      </c>
      <c r="B32" s="295" t="s">
        <v>317</v>
      </c>
      <c r="C32" s="293">
        <v>1519337</v>
      </c>
      <c r="D32" s="293">
        <v>1519337</v>
      </c>
      <c r="E32" s="293">
        <v>0</v>
      </c>
      <c r="F32" s="294" t="s">
        <v>316</v>
      </c>
    </row>
    <row r="33" spans="1:6" collapsed="1" x14ac:dyDescent="0.25">
      <c r="A33" s="560" t="s">
        <v>318</v>
      </c>
      <c r="B33" s="561"/>
      <c r="C33" s="292">
        <v>25031186.57</v>
      </c>
      <c r="D33" s="293">
        <v>28979830</v>
      </c>
      <c r="E33" s="293">
        <v>3948643.43</v>
      </c>
      <c r="F33" s="294" t="s">
        <v>319</v>
      </c>
    </row>
    <row r="34" spans="1:6" hidden="1" outlineLevel="1" collapsed="1" x14ac:dyDescent="0.25">
      <c r="A34" s="295" t="s">
        <v>282</v>
      </c>
      <c r="B34" s="295" t="s">
        <v>292</v>
      </c>
      <c r="C34" s="293">
        <v>17009815</v>
      </c>
      <c r="D34" s="293">
        <v>17057213</v>
      </c>
      <c r="E34" s="293">
        <v>47398</v>
      </c>
      <c r="F34" s="294" t="s">
        <v>320</v>
      </c>
    </row>
    <row r="35" spans="1:6" hidden="1" outlineLevel="1" collapsed="1" x14ac:dyDescent="0.25">
      <c r="A35" s="295" t="s">
        <v>282</v>
      </c>
      <c r="B35" s="295" t="s">
        <v>294</v>
      </c>
      <c r="C35" s="293">
        <v>20000</v>
      </c>
      <c r="D35" s="293">
        <v>0</v>
      </c>
      <c r="E35" s="293">
        <v>-20000</v>
      </c>
      <c r="F35" s="294" t="s">
        <v>286</v>
      </c>
    </row>
    <row r="36" spans="1:6" hidden="1" outlineLevel="1" collapsed="1" x14ac:dyDescent="0.25">
      <c r="A36" s="295" t="s">
        <v>282</v>
      </c>
      <c r="B36" s="295" t="s">
        <v>295</v>
      </c>
      <c r="C36" s="293">
        <v>101166</v>
      </c>
      <c r="D36" s="293">
        <v>97491</v>
      </c>
      <c r="E36" s="293">
        <v>-3675</v>
      </c>
      <c r="F36" s="294" t="s">
        <v>321</v>
      </c>
    </row>
    <row r="37" spans="1:6" hidden="1" outlineLevel="1" collapsed="1" x14ac:dyDescent="0.25">
      <c r="A37" s="295" t="s">
        <v>282</v>
      </c>
      <c r="B37" s="295" t="s">
        <v>297</v>
      </c>
      <c r="C37" s="293">
        <v>0</v>
      </c>
      <c r="D37" s="293">
        <v>4097074</v>
      </c>
      <c r="E37" s="293">
        <v>4097074</v>
      </c>
      <c r="F37" s="294" t="s">
        <v>298</v>
      </c>
    </row>
    <row r="38" spans="1:6" hidden="1" outlineLevel="1" collapsed="1" x14ac:dyDescent="0.25">
      <c r="A38" s="295" t="s">
        <v>282</v>
      </c>
      <c r="B38" s="295" t="s">
        <v>299</v>
      </c>
      <c r="C38" s="293">
        <v>6042133</v>
      </c>
      <c r="D38" s="293">
        <v>5990904</v>
      </c>
      <c r="E38" s="293">
        <v>-51229</v>
      </c>
      <c r="F38" s="294" t="s">
        <v>322</v>
      </c>
    </row>
    <row r="39" spans="1:6" hidden="1" outlineLevel="1" collapsed="1" x14ac:dyDescent="0.25">
      <c r="A39" s="295" t="s">
        <v>282</v>
      </c>
      <c r="B39" s="295" t="s">
        <v>301</v>
      </c>
      <c r="C39" s="293">
        <v>1379922</v>
      </c>
      <c r="D39" s="293">
        <v>1368223</v>
      </c>
      <c r="E39" s="293">
        <v>-11699</v>
      </c>
      <c r="F39" s="294" t="s">
        <v>322</v>
      </c>
    </row>
    <row r="40" spans="1:6" hidden="1" outlineLevel="1" collapsed="1" x14ac:dyDescent="0.25">
      <c r="A40" s="295" t="s">
        <v>282</v>
      </c>
      <c r="B40" s="295" t="s">
        <v>302</v>
      </c>
      <c r="C40" s="293">
        <v>19500</v>
      </c>
      <c r="D40" s="293">
        <v>27000</v>
      </c>
      <c r="E40" s="293">
        <v>7500</v>
      </c>
      <c r="F40" s="294" t="s">
        <v>323</v>
      </c>
    </row>
    <row r="41" spans="1:6" hidden="1" outlineLevel="1" collapsed="1" x14ac:dyDescent="0.25">
      <c r="A41" s="295" t="s">
        <v>282</v>
      </c>
      <c r="B41" s="295" t="s">
        <v>303</v>
      </c>
      <c r="C41" s="293">
        <v>175000</v>
      </c>
      <c r="D41" s="293">
        <v>0</v>
      </c>
      <c r="E41" s="293">
        <v>-175000</v>
      </c>
      <c r="F41" s="294" t="s">
        <v>286</v>
      </c>
    </row>
    <row r="42" spans="1:6" hidden="1" outlineLevel="1" collapsed="1" x14ac:dyDescent="0.25">
      <c r="A42" s="295" t="s">
        <v>282</v>
      </c>
      <c r="B42" s="295" t="s">
        <v>304</v>
      </c>
      <c r="C42" s="293">
        <v>1000</v>
      </c>
      <c r="D42" s="293">
        <v>0</v>
      </c>
      <c r="E42" s="293">
        <v>-1000</v>
      </c>
      <c r="F42" s="294" t="s">
        <v>286</v>
      </c>
    </row>
    <row r="43" spans="1:6" hidden="1" outlineLevel="1" collapsed="1" x14ac:dyDescent="0.25">
      <c r="A43" s="295" t="s">
        <v>282</v>
      </c>
      <c r="B43" s="295" t="s">
        <v>305</v>
      </c>
      <c r="C43" s="293">
        <v>282650.57</v>
      </c>
      <c r="D43" s="293">
        <v>341925</v>
      </c>
      <c r="E43" s="293">
        <v>59274.43</v>
      </c>
      <c r="F43" s="294" t="s">
        <v>324</v>
      </c>
    </row>
    <row r="44" spans="1:6" collapsed="1" x14ac:dyDescent="0.25">
      <c r="A44" s="560" t="s">
        <v>325</v>
      </c>
      <c r="B44" s="561"/>
      <c r="C44" s="292">
        <v>25000</v>
      </c>
      <c r="D44" s="293">
        <v>0</v>
      </c>
      <c r="E44" s="293">
        <v>-25000</v>
      </c>
      <c r="F44" s="294" t="s">
        <v>286</v>
      </c>
    </row>
    <row r="45" spans="1:6" hidden="1" outlineLevel="1" collapsed="1" x14ac:dyDescent="0.25">
      <c r="A45" s="295" t="s">
        <v>282</v>
      </c>
      <c r="B45" s="295" t="s">
        <v>326</v>
      </c>
      <c r="C45" s="293">
        <v>25000</v>
      </c>
      <c r="D45" s="293">
        <v>0</v>
      </c>
      <c r="E45" s="293">
        <v>-25000</v>
      </c>
      <c r="F45" s="294" t="s">
        <v>286</v>
      </c>
    </row>
    <row r="46" spans="1:6" collapsed="1" x14ac:dyDescent="0.25">
      <c r="A46" s="560" t="s">
        <v>327</v>
      </c>
      <c r="B46" s="561"/>
      <c r="C46" s="292">
        <v>6000</v>
      </c>
      <c r="D46" s="293">
        <v>6500</v>
      </c>
      <c r="E46" s="293">
        <v>500</v>
      </c>
      <c r="F46" s="294" t="s">
        <v>328</v>
      </c>
    </row>
    <row r="47" spans="1:6" hidden="1" outlineLevel="1" collapsed="1" x14ac:dyDescent="0.25">
      <c r="A47" s="295" t="s">
        <v>282</v>
      </c>
      <c r="B47" s="295" t="s">
        <v>305</v>
      </c>
      <c r="C47" s="293">
        <v>6000</v>
      </c>
      <c r="D47" s="293">
        <v>6500</v>
      </c>
      <c r="E47" s="293">
        <v>500</v>
      </c>
      <c r="F47" s="294" t="s">
        <v>328</v>
      </c>
    </row>
    <row r="48" spans="1:6" collapsed="1" x14ac:dyDescent="0.25">
      <c r="A48" s="560" t="s">
        <v>329</v>
      </c>
      <c r="B48" s="561"/>
      <c r="C48" s="292">
        <v>1500</v>
      </c>
      <c r="D48" s="293">
        <v>1500</v>
      </c>
      <c r="E48" s="293">
        <v>0</v>
      </c>
      <c r="F48" s="294" t="s">
        <v>316</v>
      </c>
    </row>
    <row r="49" spans="1:11" hidden="1" outlineLevel="1" collapsed="1" x14ac:dyDescent="0.25">
      <c r="A49" s="295" t="s">
        <v>282</v>
      </c>
      <c r="B49" s="295" t="s">
        <v>330</v>
      </c>
      <c r="C49" s="293">
        <v>1500</v>
      </c>
      <c r="D49" s="293">
        <v>1500</v>
      </c>
      <c r="E49" s="293">
        <v>0</v>
      </c>
      <c r="F49" s="294" t="s">
        <v>316</v>
      </c>
    </row>
    <row r="50" spans="1:11" collapsed="1" x14ac:dyDescent="0.25">
      <c r="A50" s="560" t="s">
        <v>331</v>
      </c>
      <c r="B50" s="561"/>
      <c r="C50" s="292">
        <v>106.43</v>
      </c>
      <c r="D50" s="293">
        <v>0</v>
      </c>
      <c r="E50" s="293">
        <v>-106.43</v>
      </c>
      <c r="F50" s="294" t="s">
        <v>286</v>
      </c>
    </row>
    <row r="51" spans="1:11" hidden="1" outlineLevel="1" collapsed="1" x14ac:dyDescent="0.25">
      <c r="A51" s="295" t="s">
        <v>282</v>
      </c>
      <c r="B51" s="295" t="s">
        <v>305</v>
      </c>
      <c r="C51" s="293">
        <v>106.43</v>
      </c>
      <c r="D51" s="293">
        <v>0</v>
      </c>
      <c r="E51" s="293">
        <v>-106.43</v>
      </c>
      <c r="F51" s="294" t="s">
        <v>286</v>
      </c>
    </row>
    <row r="52" spans="1:11" collapsed="1" x14ac:dyDescent="0.25">
      <c r="A52" s="560" t="s">
        <v>332</v>
      </c>
      <c r="B52" s="561"/>
      <c r="C52" s="292">
        <v>229220</v>
      </c>
      <c r="D52" s="293">
        <v>150000</v>
      </c>
      <c r="E52" s="293">
        <v>-79220</v>
      </c>
      <c r="F52" s="294" t="s">
        <v>333</v>
      </c>
    </row>
    <row r="53" spans="1:11" hidden="1" outlineLevel="1" collapsed="1" x14ac:dyDescent="0.25">
      <c r="A53" s="295" t="s">
        <v>282</v>
      </c>
      <c r="B53" s="295" t="s">
        <v>305</v>
      </c>
      <c r="C53" s="293">
        <v>229220</v>
      </c>
      <c r="D53" s="293">
        <v>150000</v>
      </c>
      <c r="E53" s="293">
        <v>-79220</v>
      </c>
      <c r="F53" s="294" t="s">
        <v>333</v>
      </c>
    </row>
    <row r="54" spans="1:11" collapsed="1" x14ac:dyDescent="0.25">
      <c r="A54" s="560" t="s">
        <v>334</v>
      </c>
      <c r="B54" s="561"/>
      <c r="C54" s="292">
        <v>703215</v>
      </c>
      <c r="D54" s="293">
        <v>703215</v>
      </c>
      <c r="E54" s="293">
        <v>0</v>
      </c>
      <c r="F54" s="294" t="s">
        <v>316</v>
      </c>
    </row>
    <row r="55" spans="1:11" hidden="1" outlineLevel="1" collapsed="1" x14ac:dyDescent="0.25">
      <c r="A55" s="295" t="s">
        <v>282</v>
      </c>
      <c r="B55" s="295" t="s">
        <v>317</v>
      </c>
      <c r="C55" s="293">
        <v>703215</v>
      </c>
      <c r="D55" s="293">
        <v>703215</v>
      </c>
      <c r="E55" s="293">
        <v>0</v>
      </c>
      <c r="F55" s="294" t="s">
        <v>316</v>
      </c>
    </row>
    <row r="56" spans="1:11" collapsed="1" x14ac:dyDescent="0.25">
      <c r="A56" s="560" t="s">
        <v>335</v>
      </c>
      <c r="B56" s="561"/>
      <c r="C56" s="292">
        <v>38263</v>
      </c>
      <c r="D56" s="293">
        <v>46431</v>
      </c>
      <c r="E56" s="293">
        <v>8168</v>
      </c>
      <c r="F56" s="294" t="s">
        <v>336</v>
      </c>
    </row>
    <row r="57" spans="1:11" hidden="1" outlineLevel="1" collapsed="1" x14ac:dyDescent="0.25">
      <c r="A57" s="295" t="s">
        <v>282</v>
      </c>
      <c r="B57" s="295" t="s">
        <v>337</v>
      </c>
      <c r="C57" s="293">
        <v>38263</v>
      </c>
      <c r="D57" s="293">
        <v>46431</v>
      </c>
      <c r="E57" s="293">
        <v>8168</v>
      </c>
      <c r="F57" s="294" t="s">
        <v>336</v>
      </c>
    </row>
    <row r="58" spans="1:11" ht="18.75" collapsed="1" x14ac:dyDescent="0.3">
      <c r="A58" s="560" t="s">
        <v>338</v>
      </c>
      <c r="B58" s="561"/>
      <c r="C58" s="292">
        <v>1421344</v>
      </c>
      <c r="D58" s="293">
        <v>0</v>
      </c>
      <c r="E58" s="293">
        <v>-1421344</v>
      </c>
      <c r="F58" s="294" t="s">
        <v>286</v>
      </c>
      <c r="K58" s="306" t="s">
        <v>1925</v>
      </c>
    </row>
    <row r="59" spans="1:11" hidden="1" outlineLevel="1" collapsed="1" x14ac:dyDescent="0.25">
      <c r="A59" s="295" t="s">
        <v>282</v>
      </c>
      <c r="B59" s="295" t="s">
        <v>339</v>
      </c>
      <c r="C59" s="293">
        <v>1421344</v>
      </c>
      <c r="D59" s="293">
        <v>0</v>
      </c>
      <c r="E59" s="293">
        <v>-1421344</v>
      </c>
      <c r="F59" s="294" t="s">
        <v>286</v>
      </c>
    </row>
    <row r="60" spans="1:11" collapsed="1" x14ac:dyDescent="0.25">
      <c r="A60" s="560" t="s">
        <v>340</v>
      </c>
      <c r="B60" s="561"/>
      <c r="C60" s="292">
        <v>8803223</v>
      </c>
      <c r="D60" s="293">
        <v>0</v>
      </c>
      <c r="E60" s="293">
        <v>-8803223</v>
      </c>
      <c r="F60" s="294" t="s">
        <v>286</v>
      </c>
    </row>
    <row r="61" spans="1:11" hidden="1" outlineLevel="1" collapsed="1" x14ac:dyDescent="0.25">
      <c r="A61" s="295" t="s">
        <v>282</v>
      </c>
      <c r="B61" s="295" t="s">
        <v>297</v>
      </c>
      <c r="C61" s="293">
        <v>8803223</v>
      </c>
      <c r="D61" s="293">
        <v>0</v>
      </c>
      <c r="E61" s="293">
        <v>-8803223</v>
      </c>
      <c r="F61" s="294" t="s">
        <v>286</v>
      </c>
    </row>
    <row r="62" spans="1:11" collapsed="1" x14ac:dyDescent="0.25">
      <c r="A62" s="560" t="s">
        <v>341</v>
      </c>
      <c r="B62" s="561"/>
      <c r="C62" s="292">
        <v>4132109</v>
      </c>
      <c r="D62" s="293">
        <v>0</v>
      </c>
      <c r="E62" s="293">
        <v>-4132109</v>
      </c>
      <c r="F62" s="294" t="s">
        <v>286</v>
      </c>
    </row>
    <row r="63" spans="1:11" hidden="1" outlineLevel="1" collapsed="1" x14ac:dyDescent="0.25">
      <c r="A63" s="295" t="s">
        <v>282</v>
      </c>
      <c r="B63" s="295" t="s">
        <v>297</v>
      </c>
      <c r="C63" s="293">
        <v>4132109</v>
      </c>
      <c r="D63" s="293">
        <v>0</v>
      </c>
      <c r="E63" s="293">
        <v>-4132109</v>
      </c>
      <c r="F63" s="294" t="s">
        <v>286</v>
      </c>
    </row>
    <row r="64" spans="1:11" collapsed="1" x14ac:dyDescent="0.25">
      <c r="A64" s="560" t="s">
        <v>342</v>
      </c>
      <c r="B64" s="561"/>
      <c r="C64" s="292">
        <v>0</v>
      </c>
      <c r="D64" s="293">
        <v>15000</v>
      </c>
      <c r="E64" s="293">
        <v>15000</v>
      </c>
      <c r="F64" s="294" t="s">
        <v>298</v>
      </c>
    </row>
    <row r="65" spans="1:13" hidden="1" outlineLevel="1" collapsed="1" x14ac:dyDescent="0.25">
      <c r="A65" s="295" t="s">
        <v>282</v>
      </c>
      <c r="B65" s="295" t="s">
        <v>343</v>
      </c>
      <c r="C65" s="293">
        <v>0</v>
      </c>
      <c r="D65" s="293">
        <v>15000</v>
      </c>
      <c r="E65" s="293">
        <v>15000</v>
      </c>
      <c r="F65" s="294" t="s">
        <v>298</v>
      </c>
    </row>
    <row r="66" spans="1:13" collapsed="1" x14ac:dyDescent="0.25">
      <c r="A66" s="560" t="s">
        <v>344</v>
      </c>
      <c r="B66" s="561"/>
      <c r="C66" s="292">
        <v>0</v>
      </c>
      <c r="D66" s="293">
        <v>29226</v>
      </c>
      <c r="E66" s="293">
        <v>29226</v>
      </c>
      <c r="F66" s="294" t="s">
        <v>298</v>
      </c>
      <c r="K66" s="312" t="s">
        <v>1926</v>
      </c>
      <c r="L66" s="312" t="s">
        <v>1921</v>
      </c>
      <c r="M66" s="313" t="s">
        <v>1922</v>
      </c>
    </row>
    <row r="67" spans="1:13" hidden="1" outlineLevel="1" collapsed="1" x14ac:dyDescent="0.25">
      <c r="A67" s="295" t="s">
        <v>282</v>
      </c>
      <c r="B67" s="295" t="s">
        <v>345</v>
      </c>
      <c r="C67" s="293">
        <v>0</v>
      </c>
      <c r="D67" s="293">
        <v>29226</v>
      </c>
      <c r="E67" s="293">
        <v>29226</v>
      </c>
      <c r="F67" s="294" t="s">
        <v>298</v>
      </c>
      <c r="K67" s="307"/>
      <c r="L67" s="310"/>
      <c r="M67" s="308"/>
    </row>
    <row r="68" spans="1:13" collapsed="1" x14ac:dyDescent="0.25">
      <c r="A68" s="560" t="s">
        <v>346</v>
      </c>
      <c r="B68" s="561"/>
      <c r="C68" s="292">
        <v>0</v>
      </c>
      <c r="D68" s="293">
        <v>20878</v>
      </c>
      <c r="E68" s="293">
        <v>20878</v>
      </c>
      <c r="F68" s="294" t="s">
        <v>298</v>
      </c>
      <c r="K68" s="307" t="s">
        <v>1918</v>
      </c>
      <c r="L68" s="311">
        <f>Tentative!N49</f>
        <v>112810321.50252691</v>
      </c>
      <c r="M68" s="309">
        <f>Tentative!N71</f>
        <v>118685447.40914987</v>
      </c>
    </row>
    <row r="69" spans="1:13" hidden="1" outlineLevel="1" collapsed="1" x14ac:dyDescent="0.25">
      <c r="A69" s="295" t="s">
        <v>282</v>
      </c>
      <c r="B69" s="295" t="s">
        <v>345</v>
      </c>
      <c r="C69" s="293">
        <v>0</v>
      </c>
      <c r="D69" s="293">
        <v>20878</v>
      </c>
      <c r="E69" s="293">
        <v>20878</v>
      </c>
      <c r="F69" s="294" t="s">
        <v>298</v>
      </c>
      <c r="K69" s="307"/>
      <c r="L69" s="311"/>
      <c r="M69" s="309"/>
    </row>
    <row r="70" spans="1:13" collapsed="1" x14ac:dyDescent="0.25">
      <c r="A70" s="560" t="s">
        <v>347</v>
      </c>
      <c r="B70" s="561"/>
      <c r="C70" s="292">
        <v>0</v>
      </c>
      <c r="D70" s="293">
        <v>15000</v>
      </c>
      <c r="E70" s="293">
        <v>15000</v>
      </c>
      <c r="F70" s="294" t="s">
        <v>298</v>
      </c>
      <c r="K70" s="307" t="s">
        <v>1919</v>
      </c>
      <c r="L70" s="317">
        <f>D74</f>
        <v>95484396.159999996</v>
      </c>
      <c r="M70" s="319">
        <f>D5327</f>
        <v>95303825.966783002</v>
      </c>
    </row>
    <row r="71" spans="1:13" hidden="1" outlineLevel="1" collapsed="1" x14ac:dyDescent="0.25">
      <c r="A71" s="295" t="s">
        <v>282</v>
      </c>
      <c r="B71" s="295" t="s">
        <v>343</v>
      </c>
      <c r="C71" s="293">
        <v>0</v>
      </c>
      <c r="D71" s="293">
        <v>15000</v>
      </c>
      <c r="E71" s="293">
        <v>15000</v>
      </c>
      <c r="F71" s="294" t="s">
        <v>298</v>
      </c>
      <c r="K71" s="307"/>
      <c r="L71" s="311"/>
      <c r="M71" s="309"/>
    </row>
    <row r="72" spans="1:13" collapsed="1" x14ac:dyDescent="0.25">
      <c r="A72" s="560" t="s">
        <v>348</v>
      </c>
      <c r="B72" s="561"/>
      <c r="C72" s="292">
        <v>0</v>
      </c>
      <c r="D72" s="293">
        <v>40000</v>
      </c>
      <c r="E72" s="293">
        <v>40000</v>
      </c>
      <c r="F72" s="294" t="s">
        <v>298</v>
      </c>
      <c r="K72" s="307" t="s">
        <v>1920</v>
      </c>
      <c r="L72" s="311">
        <f>L68-L70</f>
        <v>17325925.342526913</v>
      </c>
      <c r="M72" s="309"/>
    </row>
    <row r="73" spans="1:13" hidden="1" outlineLevel="1" collapsed="1" x14ac:dyDescent="0.25">
      <c r="A73" s="295" t="s">
        <v>282</v>
      </c>
      <c r="B73" s="295" t="s">
        <v>343</v>
      </c>
      <c r="C73" s="293">
        <v>0</v>
      </c>
      <c r="D73" s="293">
        <v>40000</v>
      </c>
      <c r="E73" s="293">
        <v>40000</v>
      </c>
      <c r="F73" s="294" t="s">
        <v>298</v>
      </c>
      <c r="K73" s="307"/>
      <c r="L73" s="311"/>
      <c r="M73" s="309"/>
    </row>
    <row r="74" spans="1:13" x14ac:dyDescent="0.25">
      <c r="A74" s="296" t="s">
        <v>282</v>
      </c>
      <c r="B74" s="296" t="s">
        <v>282</v>
      </c>
      <c r="C74" s="297">
        <v>91951082.159999996</v>
      </c>
      <c r="D74" s="318">
        <v>95484396.159999996</v>
      </c>
      <c r="E74" s="297">
        <v>3533314</v>
      </c>
      <c r="F74" s="298" t="s">
        <v>349</v>
      </c>
      <c r="K74" s="307" t="s">
        <v>1923</v>
      </c>
      <c r="L74" s="311"/>
      <c r="M74" s="309">
        <v>320000</v>
      </c>
    </row>
    <row r="75" spans="1:13" x14ac:dyDescent="0.25">
      <c r="A75" s="563" t="s">
        <v>350</v>
      </c>
      <c r="B75" s="561"/>
      <c r="C75" s="291" t="s">
        <v>282</v>
      </c>
      <c r="D75" s="291" t="s">
        <v>282</v>
      </c>
      <c r="E75" s="291" t="s">
        <v>282</v>
      </c>
      <c r="F75" s="291" t="s">
        <v>282</v>
      </c>
      <c r="K75" s="307" t="s">
        <v>1924</v>
      </c>
      <c r="L75" s="311"/>
      <c r="M75" s="309">
        <v>360000</v>
      </c>
    </row>
    <row r="76" spans="1:13" collapsed="1" x14ac:dyDescent="0.25">
      <c r="A76" s="560" t="s">
        <v>283</v>
      </c>
      <c r="B76" s="561"/>
      <c r="C76" s="292">
        <v>680000</v>
      </c>
      <c r="D76" s="293">
        <v>680000</v>
      </c>
      <c r="E76" s="293">
        <v>0</v>
      </c>
      <c r="F76" s="294" t="s">
        <v>316</v>
      </c>
      <c r="K76" s="316" t="s">
        <v>1920</v>
      </c>
      <c r="L76" s="314">
        <f>L68-L70+(SUM(L74:L75))</f>
        <v>17325925.342526913</v>
      </c>
      <c r="M76" s="315">
        <f>M68-M70+(SUM(M74:M75))</f>
        <v>24061621.442366868</v>
      </c>
    </row>
    <row r="77" spans="1:13" hidden="1" outlineLevel="1" collapsed="1" x14ac:dyDescent="0.25">
      <c r="A77" s="295" t="s">
        <v>282</v>
      </c>
      <c r="B77" s="295" t="s">
        <v>351</v>
      </c>
      <c r="C77" s="293">
        <v>160000</v>
      </c>
      <c r="D77" s="293">
        <v>220000</v>
      </c>
      <c r="E77" s="293">
        <v>60000</v>
      </c>
      <c r="F77" s="294" t="s">
        <v>352</v>
      </c>
      <c r="L77" s="305"/>
      <c r="M77" s="305"/>
    </row>
    <row r="78" spans="1:13" hidden="1" outlineLevel="1" collapsed="1" x14ac:dyDescent="0.25">
      <c r="A78" s="295" t="s">
        <v>282</v>
      </c>
      <c r="B78" s="295" t="s">
        <v>353</v>
      </c>
      <c r="C78" s="293">
        <v>520000</v>
      </c>
      <c r="D78" s="293">
        <v>460000</v>
      </c>
      <c r="E78" s="293">
        <v>-60000</v>
      </c>
      <c r="F78" s="294" t="s">
        <v>354</v>
      </c>
      <c r="L78" s="305"/>
      <c r="M78" s="305"/>
    </row>
    <row r="79" spans="1:13" hidden="1" outlineLevel="1" collapsed="1" x14ac:dyDescent="0.25">
      <c r="A79" s="295" t="s">
        <v>282</v>
      </c>
      <c r="B79" s="295" t="s">
        <v>355</v>
      </c>
      <c r="C79" s="293">
        <v>0</v>
      </c>
      <c r="D79" s="293">
        <v>0</v>
      </c>
      <c r="E79" s="293">
        <v>0</v>
      </c>
      <c r="F79" s="294" t="s">
        <v>316</v>
      </c>
      <c r="L79" s="305"/>
      <c r="M79" s="305"/>
    </row>
    <row r="80" spans="1:13" collapsed="1" x14ac:dyDescent="0.25">
      <c r="A80" s="560" t="s">
        <v>290</v>
      </c>
      <c r="B80" s="561"/>
      <c r="C80" s="292">
        <v>0</v>
      </c>
      <c r="D80" s="293">
        <v>0</v>
      </c>
      <c r="E80" s="293">
        <v>0</v>
      </c>
      <c r="F80" s="294" t="s">
        <v>316</v>
      </c>
      <c r="L80" s="305"/>
      <c r="M80" s="305"/>
    </row>
    <row r="81" spans="1:13" hidden="1" outlineLevel="1" collapsed="1" x14ac:dyDescent="0.25">
      <c r="A81" s="295" t="s">
        <v>282</v>
      </c>
      <c r="B81" s="295" t="s">
        <v>355</v>
      </c>
      <c r="C81" s="293">
        <v>0</v>
      </c>
      <c r="D81" s="293">
        <v>0</v>
      </c>
      <c r="E81" s="293">
        <v>0</v>
      </c>
      <c r="F81" s="294" t="s">
        <v>316</v>
      </c>
      <c r="L81" s="305"/>
      <c r="M81" s="305"/>
    </row>
    <row r="82" spans="1:13" collapsed="1" x14ac:dyDescent="0.25">
      <c r="A82" s="560" t="s">
        <v>356</v>
      </c>
      <c r="B82" s="561"/>
      <c r="C82" s="292">
        <v>121778.03516</v>
      </c>
      <c r="D82" s="293">
        <v>126934.53118000001</v>
      </c>
      <c r="E82" s="293">
        <v>5156.4960199999996</v>
      </c>
      <c r="F82" s="294" t="s">
        <v>357</v>
      </c>
      <c r="L82" s="305"/>
      <c r="M82" s="305"/>
    </row>
    <row r="83" spans="1:13" hidden="1" outlineLevel="1" collapsed="1" x14ac:dyDescent="0.25">
      <c r="A83" s="295" t="s">
        <v>282</v>
      </c>
      <c r="B83" s="295" t="s">
        <v>358</v>
      </c>
      <c r="C83" s="293">
        <v>90581.52</v>
      </c>
      <c r="D83" s="293">
        <v>93492.462</v>
      </c>
      <c r="E83" s="293">
        <v>2910.942</v>
      </c>
      <c r="F83" s="294" t="s">
        <v>359</v>
      </c>
    </row>
    <row r="84" spans="1:13" hidden="1" outlineLevel="1" collapsed="1" x14ac:dyDescent="0.25">
      <c r="A84" s="295" t="s">
        <v>282</v>
      </c>
      <c r="B84" s="295" t="s">
        <v>360</v>
      </c>
      <c r="C84" s="293">
        <v>11820.888360000001</v>
      </c>
      <c r="D84" s="293">
        <v>13490.96226</v>
      </c>
      <c r="E84" s="293">
        <v>1670.0739000000001</v>
      </c>
      <c r="F84" s="294" t="s">
        <v>361</v>
      </c>
    </row>
    <row r="85" spans="1:13" hidden="1" outlineLevel="1" collapsed="1" x14ac:dyDescent="0.25">
      <c r="A85" s="295" t="s">
        <v>282</v>
      </c>
      <c r="B85" s="295" t="s">
        <v>362</v>
      </c>
      <c r="C85" s="293">
        <v>1313.4320399999999</v>
      </c>
      <c r="D85" s="293">
        <v>1355.6406899999999</v>
      </c>
      <c r="E85" s="293">
        <v>42.208649999999999</v>
      </c>
      <c r="F85" s="294" t="s">
        <v>359</v>
      </c>
    </row>
    <row r="86" spans="1:13" hidden="1" outlineLevel="1" collapsed="1" x14ac:dyDescent="0.25">
      <c r="A86" s="295" t="s">
        <v>282</v>
      </c>
      <c r="B86" s="295" t="s">
        <v>363</v>
      </c>
      <c r="C86" s="293">
        <v>426.12479999999999</v>
      </c>
      <c r="D86" s="293">
        <v>422.04</v>
      </c>
      <c r="E86" s="293">
        <v>-4.0848000000000004</v>
      </c>
      <c r="F86" s="294" t="s">
        <v>364</v>
      </c>
    </row>
    <row r="87" spans="1:13" hidden="1" outlineLevel="1" collapsed="1" x14ac:dyDescent="0.25">
      <c r="A87" s="295" t="s">
        <v>282</v>
      </c>
      <c r="B87" s="295" t="s">
        <v>365</v>
      </c>
      <c r="C87" s="293">
        <v>15358.56</v>
      </c>
      <c r="D87" s="293">
        <v>15959.28</v>
      </c>
      <c r="E87" s="293">
        <v>600.72</v>
      </c>
      <c r="F87" s="294" t="s">
        <v>366</v>
      </c>
    </row>
    <row r="88" spans="1:13" hidden="1" outlineLevel="1" collapsed="1" x14ac:dyDescent="0.25">
      <c r="A88" s="295" t="s">
        <v>282</v>
      </c>
      <c r="B88" s="295" t="s">
        <v>367</v>
      </c>
      <c r="C88" s="293">
        <v>233.53919999999999</v>
      </c>
      <c r="D88" s="293">
        <v>182.88</v>
      </c>
      <c r="E88" s="293">
        <v>-50.659199999999998</v>
      </c>
      <c r="F88" s="294" t="s">
        <v>368</v>
      </c>
    </row>
    <row r="89" spans="1:13" hidden="1" outlineLevel="1" collapsed="1" x14ac:dyDescent="0.25">
      <c r="A89" s="295" t="s">
        <v>282</v>
      </c>
      <c r="B89" s="295" t="s">
        <v>369</v>
      </c>
      <c r="C89" s="293">
        <v>45.290759999999999</v>
      </c>
      <c r="D89" s="293">
        <v>46.746229999999997</v>
      </c>
      <c r="E89" s="293">
        <v>1.45547</v>
      </c>
      <c r="F89" s="294" t="s">
        <v>359</v>
      </c>
    </row>
    <row r="90" spans="1:13" hidden="1" outlineLevel="1" collapsed="1" x14ac:dyDescent="0.25">
      <c r="A90" s="295" t="s">
        <v>282</v>
      </c>
      <c r="B90" s="295" t="s">
        <v>370</v>
      </c>
      <c r="C90" s="293">
        <v>1500</v>
      </c>
      <c r="D90" s="293">
        <v>1500</v>
      </c>
      <c r="E90" s="293">
        <v>0</v>
      </c>
      <c r="F90" s="294" t="s">
        <v>316</v>
      </c>
    </row>
    <row r="91" spans="1:13" hidden="1" outlineLevel="1" collapsed="1" x14ac:dyDescent="0.25">
      <c r="A91" s="295" t="s">
        <v>282</v>
      </c>
      <c r="B91" s="295" t="s">
        <v>371</v>
      </c>
      <c r="C91" s="293">
        <v>49.68</v>
      </c>
      <c r="D91" s="293">
        <v>48.48</v>
      </c>
      <c r="E91" s="293">
        <v>-1.2</v>
      </c>
      <c r="F91" s="294" t="s">
        <v>372</v>
      </c>
    </row>
    <row r="92" spans="1:13" hidden="1" outlineLevel="1" collapsed="1" x14ac:dyDescent="0.25">
      <c r="A92" s="295" t="s">
        <v>282</v>
      </c>
      <c r="B92" s="295" t="s">
        <v>373</v>
      </c>
      <c r="C92" s="293">
        <v>24</v>
      </c>
      <c r="D92" s="293">
        <v>11.04</v>
      </c>
      <c r="E92" s="293">
        <v>-12.96</v>
      </c>
      <c r="F92" s="294" t="s">
        <v>374</v>
      </c>
    </row>
    <row r="93" spans="1:13" hidden="1" outlineLevel="1" collapsed="1" x14ac:dyDescent="0.25">
      <c r="A93" s="295" t="s">
        <v>282</v>
      </c>
      <c r="B93" s="295" t="s">
        <v>375</v>
      </c>
      <c r="C93" s="293">
        <v>200</v>
      </c>
      <c r="D93" s="293">
        <v>200</v>
      </c>
      <c r="E93" s="293">
        <v>0</v>
      </c>
      <c r="F93" s="294" t="s">
        <v>316</v>
      </c>
    </row>
    <row r="94" spans="1:13" hidden="1" outlineLevel="1" collapsed="1" x14ac:dyDescent="0.25">
      <c r="A94" s="295" t="s">
        <v>282</v>
      </c>
      <c r="B94" s="295" t="s">
        <v>376</v>
      </c>
      <c r="C94" s="293">
        <v>225</v>
      </c>
      <c r="D94" s="293">
        <v>225</v>
      </c>
      <c r="E94" s="293">
        <v>0</v>
      </c>
      <c r="F94" s="294" t="s">
        <v>316</v>
      </c>
    </row>
    <row r="95" spans="1:13" collapsed="1" x14ac:dyDescent="0.25">
      <c r="A95" s="560" t="s">
        <v>377</v>
      </c>
      <c r="B95" s="561"/>
      <c r="C95" s="292">
        <v>444233.87725100003</v>
      </c>
      <c r="D95" s="293">
        <v>461567.76836599997</v>
      </c>
      <c r="E95" s="293">
        <v>17333.891114999999</v>
      </c>
      <c r="F95" s="294" t="s">
        <v>378</v>
      </c>
    </row>
    <row r="96" spans="1:13" hidden="1" outlineLevel="1" collapsed="1" x14ac:dyDescent="0.25">
      <c r="A96" s="295" t="s">
        <v>282</v>
      </c>
      <c r="B96" s="295" t="s">
        <v>358</v>
      </c>
      <c r="C96" s="293">
        <v>267383.28000000003</v>
      </c>
      <c r="D96" s="293">
        <v>273535.51679999998</v>
      </c>
      <c r="E96" s="293">
        <v>6152.2367999999997</v>
      </c>
      <c r="F96" s="294" t="s">
        <v>379</v>
      </c>
    </row>
    <row r="97" spans="1:6" hidden="1" outlineLevel="1" collapsed="1" x14ac:dyDescent="0.25">
      <c r="A97" s="295" t="s">
        <v>282</v>
      </c>
      <c r="B97" s="295" t="s">
        <v>380</v>
      </c>
      <c r="C97" s="293">
        <v>53457.469268000001</v>
      </c>
      <c r="D97" s="293">
        <v>55049.039515999997</v>
      </c>
      <c r="E97" s="293">
        <v>1591.570248</v>
      </c>
      <c r="F97" s="294" t="s">
        <v>381</v>
      </c>
    </row>
    <row r="98" spans="1:6" hidden="1" outlineLevel="1" collapsed="1" x14ac:dyDescent="0.25">
      <c r="A98" s="295" t="s">
        <v>282</v>
      </c>
      <c r="B98" s="295" t="s">
        <v>382</v>
      </c>
      <c r="C98" s="293">
        <v>1150</v>
      </c>
      <c r="D98" s="293">
        <v>0</v>
      </c>
      <c r="E98" s="293">
        <v>-1150</v>
      </c>
      <c r="F98" s="294" t="s">
        <v>286</v>
      </c>
    </row>
    <row r="99" spans="1:6" hidden="1" outlineLevel="1" collapsed="1" x14ac:dyDescent="0.25">
      <c r="A99" s="295" t="s">
        <v>282</v>
      </c>
      <c r="B99" s="295" t="s">
        <v>360</v>
      </c>
      <c r="C99" s="293">
        <v>34893.518040000003</v>
      </c>
      <c r="D99" s="293">
        <v>39471.175060000001</v>
      </c>
      <c r="E99" s="293">
        <v>4577.6570199999996</v>
      </c>
      <c r="F99" s="294" t="s">
        <v>383</v>
      </c>
    </row>
    <row r="100" spans="1:6" hidden="1" outlineLevel="1" collapsed="1" x14ac:dyDescent="0.25">
      <c r="A100" s="295" t="s">
        <v>282</v>
      </c>
      <c r="B100" s="295" t="s">
        <v>384</v>
      </c>
      <c r="C100" s="293">
        <v>6624.3096240000004</v>
      </c>
      <c r="D100" s="293">
        <v>0</v>
      </c>
      <c r="E100" s="293">
        <v>-6624.3096240000004</v>
      </c>
      <c r="F100" s="294" t="s">
        <v>286</v>
      </c>
    </row>
    <row r="101" spans="1:6" hidden="1" outlineLevel="1" collapsed="1" x14ac:dyDescent="0.25">
      <c r="A101" s="295" t="s">
        <v>282</v>
      </c>
      <c r="B101" s="295" t="s">
        <v>385</v>
      </c>
      <c r="C101" s="293">
        <v>0</v>
      </c>
      <c r="D101" s="293">
        <v>8571.3482399999994</v>
      </c>
      <c r="E101" s="293">
        <v>8571.3482399999994</v>
      </c>
      <c r="F101" s="294" t="s">
        <v>298</v>
      </c>
    </row>
    <row r="102" spans="1:6" hidden="1" outlineLevel="1" collapsed="1" x14ac:dyDescent="0.25">
      <c r="A102" s="295" t="s">
        <v>282</v>
      </c>
      <c r="B102" s="295" t="s">
        <v>386</v>
      </c>
      <c r="C102" s="293">
        <v>3314.3630880000001</v>
      </c>
      <c r="D102" s="293">
        <v>0</v>
      </c>
      <c r="E102" s="293">
        <v>-3314.3630880000001</v>
      </c>
      <c r="F102" s="294" t="s">
        <v>286</v>
      </c>
    </row>
    <row r="103" spans="1:6" hidden="1" outlineLevel="1" collapsed="1" x14ac:dyDescent="0.25">
      <c r="A103" s="295" t="s">
        <v>282</v>
      </c>
      <c r="B103" s="295" t="s">
        <v>387</v>
      </c>
      <c r="C103" s="293">
        <v>0</v>
      </c>
      <c r="D103" s="293">
        <v>3413.0404440000002</v>
      </c>
      <c r="E103" s="293">
        <v>3413.0404440000002</v>
      </c>
      <c r="F103" s="294" t="s">
        <v>298</v>
      </c>
    </row>
    <row r="104" spans="1:6" hidden="1" outlineLevel="1" collapsed="1" x14ac:dyDescent="0.25">
      <c r="A104" s="295" t="s">
        <v>282</v>
      </c>
      <c r="B104" s="295" t="s">
        <v>362</v>
      </c>
      <c r="C104" s="293">
        <v>3877.0575600000002</v>
      </c>
      <c r="D104" s="293">
        <v>3966.2649799999999</v>
      </c>
      <c r="E104" s="293">
        <v>89.207419999999999</v>
      </c>
      <c r="F104" s="294" t="s">
        <v>379</v>
      </c>
    </row>
    <row r="105" spans="1:6" hidden="1" outlineLevel="1" collapsed="1" x14ac:dyDescent="0.25">
      <c r="A105" s="295" t="s">
        <v>282</v>
      </c>
      <c r="B105" s="295" t="s">
        <v>388</v>
      </c>
      <c r="C105" s="293">
        <v>775.13330299999996</v>
      </c>
      <c r="D105" s="293">
        <v>798.21106799999995</v>
      </c>
      <c r="E105" s="293">
        <v>23.077764999999999</v>
      </c>
      <c r="F105" s="294" t="s">
        <v>381</v>
      </c>
    </row>
    <row r="106" spans="1:6" hidden="1" outlineLevel="1" collapsed="1" x14ac:dyDescent="0.25">
      <c r="A106" s="295" t="s">
        <v>282</v>
      </c>
      <c r="B106" s="295" t="s">
        <v>363</v>
      </c>
      <c r="C106" s="293">
        <v>1278.3743999999999</v>
      </c>
      <c r="D106" s="293">
        <v>1266.1199999999999</v>
      </c>
      <c r="E106" s="293">
        <v>-12.2544</v>
      </c>
      <c r="F106" s="294" t="s">
        <v>364</v>
      </c>
    </row>
    <row r="107" spans="1:6" hidden="1" outlineLevel="1" collapsed="1" x14ac:dyDescent="0.25">
      <c r="A107" s="295" t="s">
        <v>282</v>
      </c>
      <c r="B107" s="295" t="s">
        <v>365</v>
      </c>
      <c r="C107" s="293">
        <v>46075.68</v>
      </c>
      <c r="D107" s="293">
        <v>47877.84</v>
      </c>
      <c r="E107" s="293">
        <v>1802.16</v>
      </c>
      <c r="F107" s="294" t="s">
        <v>366</v>
      </c>
    </row>
    <row r="108" spans="1:6" hidden="1" outlineLevel="1" collapsed="1" x14ac:dyDescent="0.25">
      <c r="A108" s="295" t="s">
        <v>282</v>
      </c>
      <c r="B108" s="295" t="s">
        <v>367</v>
      </c>
      <c r="C108" s="293">
        <v>700.61760000000004</v>
      </c>
      <c r="D108" s="293">
        <v>548.64</v>
      </c>
      <c r="E108" s="293">
        <v>-151.9776</v>
      </c>
      <c r="F108" s="294" t="s">
        <v>368</v>
      </c>
    </row>
    <row r="109" spans="1:6" hidden="1" outlineLevel="1" collapsed="1" x14ac:dyDescent="0.25">
      <c r="A109" s="295" t="s">
        <v>282</v>
      </c>
      <c r="B109" s="295" t="s">
        <v>389</v>
      </c>
      <c r="C109" s="293">
        <v>426.12479999999999</v>
      </c>
      <c r="D109" s="293">
        <v>422.04</v>
      </c>
      <c r="E109" s="293">
        <v>-4.0848000000000004</v>
      </c>
      <c r="F109" s="294" t="s">
        <v>364</v>
      </c>
    </row>
    <row r="110" spans="1:6" hidden="1" outlineLevel="1" collapsed="1" x14ac:dyDescent="0.25">
      <c r="A110" s="295" t="s">
        <v>282</v>
      </c>
      <c r="B110" s="295" t="s">
        <v>390</v>
      </c>
      <c r="C110" s="293">
        <v>15485.27</v>
      </c>
      <c r="D110" s="293">
        <v>15959.28</v>
      </c>
      <c r="E110" s="293">
        <v>474.01</v>
      </c>
      <c r="F110" s="294" t="s">
        <v>391</v>
      </c>
    </row>
    <row r="111" spans="1:6" hidden="1" outlineLevel="1" collapsed="1" x14ac:dyDescent="0.25">
      <c r="A111" s="295" t="s">
        <v>282</v>
      </c>
      <c r="B111" s="295" t="s">
        <v>392</v>
      </c>
      <c r="C111" s="293">
        <v>233.53919999999999</v>
      </c>
      <c r="D111" s="293">
        <v>182.88</v>
      </c>
      <c r="E111" s="293">
        <v>-50.659199999999998</v>
      </c>
      <c r="F111" s="294" t="s">
        <v>368</v>
      </c>
    </row>
    <row r="112" spans="1:6" hidden="1" outlineLevel="1" collapsed="1" x14ac:dyDescent="0.25">
      <c r="A112" s="295" t="s">
        <v>282</v>
      </c>
      <c r="B112" s="295" t="s">
        <v>369</v>
      </c>
      <c r="C112" s="293">
        <v>133.69164000000001</v>
      </c>
      <c r="D112" s="293">
        <v>136.76775000000001</v>
      </c>
      <c r="E112" s="293">
        <v>3.0761099999999999</v>
      </c>
      <c r="F112" s="294" t="s">
        <v>379</v>
      </c>
    </row>
    <row r="113" spans="1:6" hidden="1" outlineLevel="1" collapsed="1" x14ac:dyDescent="0.25">
      <c r="A113" s="295" t="s">
        <v>282</v>
      </c>
      <c r="B113" s="295" t="s">
        <v>393</v>
      </c>
      <c r="C113" s="293">
        <v>26.728728</v>
      </c>
      <c r="D113" s="293">
        <v>27.524508000000001</v>
      </c>
      <c r="E113" s="293">
        <v>0.79578000000000004</v>
      </c>
      <c r="F113" s="294" t="s">
        <v>381</v>
      </c>
    </row>
    <row r="114" spans="1:6" hidden="1" outlineLevel="1" collapsed="1" x14ac:dyDescent="0.25">
      <c r="A114" s="295" t="s">
        <v>282</v>
      </c>
      <c r="B114" s="295" t="s">
        <v>370</v>
      </c>
      <c r="C114" s="293">
        <v>4500</v>
      </c>
      <c r="D114" s="293">
        <v>4500</v>
      </c>
      <c r="E114" s="293">
        <v>0</v>
      </c>
      <c r="F114" s="294" t="s">
        <v>316</v>
      </c>
    </row>
    <row r="115" spans="1:6" hidden="1" outlineLevel="1" collapsed="1" x14ac:dyDescent="0.25">
      <c r="A115" s="295" t="s">
        <v>282</v>
      </c>
      <c r="B115" s="295" t="s">
        <v>394</v>
      </c>
      <c r="C115" s="293">
        <v>1500</v>
      </c>
      <c r="D115" s="293">
        <v>0</v>
      </c>
      <c r="E115" s="293">
        <v>-1500</v>
      </c>
      <c r="F115" s="294" t="s">
        <v>286</v>
      </c>
    </row>
    <row r="116" spans="1:6" hidden="1" outlineLevel="1" collapsed="1" x14ac:dyDescent="0.25">
      <c r="A116" s="295" t="s">
        <v>282</v>
      </c>
      <c r="B116" s="295" t="s">
        <v>395</v>
      </c>
      <c r="C116" s="293">
        <v>0</v>
      </c>
      <c r="D116" s="293">
        <v>1500</v>
      </c>
      <c r="E116" s="293">
        <v>1500</v>
      </c>
      <c r="F116" s="294" t="s">
        <v>298</v>
      </c>
    </row>
    <row r="117" spans="1:6" hidden="1" outlineLevel="1" collapsed="1" x14ac:dyDescent="0.25">
      <c r="A117" s="295" t="s">
        <v>282</v>
      </c>
      <c r="B117" s="295" t="s">
        <v>371</v>
      </c>
      <c r="C117" s="293">
        <v>149.04</v>
      </c>
      <c r="D117" s="293">
        <v>145.44</v>
      </c>
      <c r="E117" s="293">
        <v>-3.6</v>
      </c>
      <c r="F117" s="294" t="s">
        <v>372</v>
      </c>
    </row>
    <row r="118" spans="1:6" hidden="1" outlineLevel="1" collapsed="1" x14ac:dyDescent="0.25">
      <c r="A118" s="295" t="s">
        <v>282</v>
      </c>
      <c r="B118" s="295" t="s">
        <v>396</v>
      </c>
      <c r="C118" s="293">
        <v>49.68</v>
      </c>
      <c r="D118" s="293">
        <v>0</v>
      </c>
      <c r="E118" s="293">
        <v>-49.68</v>
      </c>
      <c r="F118" s="294" t="s">
        <v>286</v>
      </c>
    </row>
    <row r="119" spans="1:6" hidden="1" outlineLevel="1" collapsed="1" x14ac:dyDescent="0.25">
      <c r="A119" s="295" t="s">
        <v>282</v>
      </c>
      <c r="B119" s="295" t="s">
        <v>397</v>
      </c>
      <c r="C119" s="293">
        <v>0</v>
      </c>
      <c r="D119" s="293">
        <v>48.48</v>
      </c>
      <c r="E119" s="293">
        <v>48.48</v>
      </c>
      <c r="F119" s="294" t="s">
        <v>298</v>
      </c>
    </row>
    <row r="120" spans="1:6" hidden="1" outlineLevel="1" collapsed="1" x14ac:dyDescent="0.25">
      <c r="A120" s="295" t="s">
        <v>282</v>
      </c>
      <c r="B120" s="295" t="s">
        <v>373</v>
      </c>
      <c r="C120" s="293">
        <v>72</v>
      </c>
      <c r="D120" s="293">
        <v>33.119999999999997</v>
      </c>
      <c r="E120" s="293">
        <v>-38.880000000000003</v>
      </c>
      <c r="F120" s="294" t="s">
        <v>374</v>
      </c>
    </row>
    <row r="121" spans="1:6" hidden="1" outlineLevel="1" collapsed="1" x14ac:dyDescent="0.25">
      <c r="A121" s="295" t="s">
        <v>282</v>
      </c>
      <c r="B121" s="295" t="s">
        <v>398</v>
      </c>
      <c r="C121" s="293">
        <v>24</v>
      </c>
      <c r="D121" s="293">
        <v>11.04</v>
      </c>
      <c r="E121" s="293">
        <v>-12.96</v>
      </c>
      <c r="F121" s="294" t="s">
        <v>374</v>
      </c>
    </row>
    <row r="122" spans="1:6" hidden="1" outlineLevel="1" collapsed="1" x14ac:dyDescent="0.25">
      <c r="A122" s="295" t="s">
        <v>282</v>
      </c>
      <c r="B122" s="295" t="s">
        <v>399</v>
      </c>
      <c r="C122" s="293">
        <v>208</v>
      </c>
      <c r="D122" s="293">
        <v>50</v>
      </c>
      <c r="E122" s="293">
        <v>-158</v>
      </c>
      <c r="F122" s="294" t="s">
        <v>400</v>
      </c>
    </row>
    <row r="123" spans="1:6" hidden="1" outlineLevel="1" collapsed="1" x14ac:dyDescent="0.25">
      <c r="A123" s="295" t="s">
        <v>282</v>
      </c>
      <c r="B123" s="295" t="s">
        <v>375</v>
      </c>
      <c r="C123" s="293">
        <v>337.8</v>
      </c>
      <c r="D123" s="293">
        <v>0</v>
      </c>
      <c r="E123" s="293">
        <v>-337.8</v>
      </c>
      <c r="F123" s="294" t="s">
        <v>286</v>
      </c>
    </row>
    <row r="124" spans="1:6" hidden="1" outlineLevel="1" collapsed="1" x14ac:dyDescent="0.25">
      <c r="A124" s="295" t="s">
        <v>282</v>
      </c>
      <c r="B124" s="295" t="s">
        <v>376</v>
      </c>
      <c r="C124" s="293">
        <v>452</v>
      </c>
      <c r="D124" s="293">
        <v>452</v>
      </c>
      <c r="E124" s="293">
        <v>0</v>
      </c>
      <c r="F124" s="294" t="s">
        <v>316</v>
      </c>
    </row>
    <row r="125" spans="1:6" hidden="1" outlineLevel="1" collapsed="1" x14ac:dyDescent="0.25">
      <c r="A125" s="295" t="s">
        <v>282</v>
      </c>
      <c r="B125" s="295" t="s">
        <v>401</v>
      </c>
      <c r="C125" s="293">
        <v>241.2</v>
      </c>
      <c r="D125" s="293">
        <v>737</v>
      </c>
      <c r="E125" s="293">
        <v>495.8</v>
      </c>
      <c r="F125" s="294" t="s">
        <v>402</v>
      </c>
    </row>
    <row r="126" spans="1:6" hidden="1" outlineLevel="1" collapsed="1" x14ac:dyDescent="0.25">
      <c r="A126" s="295" t="s">
        <v>282</v>
      </c>
      <c r="B126" s="295" t="s">
        <v>403</v>
      </c>
      <c r="C126" s="293">
        <v>865</v>
      </c>
      <c r="D126" s="293">
        <v>865</v>
      </c>
      <c r="E126" s="293">
        <v>0</v>
      </c>
      <c r="F126" s="294" t="s">
        <v>316</v>
      </c>
    </row>
    <row r="127" spans="1:6" hidden="1" outlineLevel="1" collapsed="1" x14ac:dyDescent="0.25">
      <c r="A127" s="295" t="s">
        <v>282</v>
      </c>
      <c r="B127" s="295" t="s">
        <v>404</v>
      </c>
      <c r="C127" s="293">
        <v>0</v>
      </c>
      <c r="D127" s="293">
        <v>1500</v>
      </c>
      <c r="E127" s="293">
        <v>1500</v>
      </c>
      <c r="F127" s="294" t="s">
        <v>298</v>
      </c>
    </row>
    <row r="128" spans="1:6" hidden="1" outlineLevel="1" collapsed="1" x14ac:dyDescent="0.25">
      <c r="A128" s="295" t="s">
        <v>282</v>
      </c>
      <c r="B128" s="295" t="s">
        <v>405</v>
      </c>
      <c r="C128" s="293">
        <v>0</v>
      </c>
      <c r="D128" s="293">
        <v>500</v>
      </c>
      <c r="E128" s="293">
        <v>500</v>
      </c>
      <c r="F128" s="294" t="s">
        <v>298</v>
      </c>
    </row>
    <row r="129" spans="1:6" collapsed="1" x14ac:dyDescent="0.25">
      <c r="A129" s="560" t="s">
        <v>406</v>
      </c>
      <c r="B129" s="561"/>
      <c r="C129" s="292">
        <v>76366.496025</v>
      </c>
      <c r="D129" s="293">
        <v>83258.127779000002</v>
      </c>
      <c r="E129" s="293">
        <v>6891.631754</v>
      </c>
      <c r="F129" s="294" t="s">
        <v>407</v>
      </c>
    </row>
    <row r="130" spans="1:6" hidden="1" outlineLevel="1" collapsed="1" x14ac:dyDescent="0.25">
      <c r="A130" s="295" t="s">
        <v>282</v>
      </c>
      <c r="B130" s="295" t="s">
        <v>380</v>
      </c>
      <c r="C130" s="293">
        <v>48759.462956000003</v>
      </c>
      <c r="D130" s="293">
        <v>52740.411178000002</v>
      </c>
      <c r="E130" s="293">
        <v>3980.948222</v>
      </c>
      <c r="F130" s="294" t="s">
        <v>408</v>
      </c>
    </row>
    <row r="131" spans="1:6" hidden="1" outlineLevel="1" collapsed="1" x14ac:dyDescent="0.25">
      <c r="A131" s="295" t="s">
        <v>282</v>
      </c>
      <c r="B131" s="295" t="s">
        <v>384</v>
      </c>
      <c r="C131" s="293">
        <v>6133.9404359999999</v>
      </c>
      <c r="D131" s="293">
        <v>0</v>
      </c>
      <c r="E131" s="293">
        <v>-6133.9404359999999</v>
      </c>
      <c r="F131" s="294" t="s">
        <v>286</v>
      </c>
    </row>
    <row r="132" spans="1:6" hidden="1" outlineLevel="1" collapsed="1" x14ac:dyDescent="0.25">
      <c r="A132" s="295" t="s">
        <v>282</v>
      </c>
      <c r="B132" s="295" t="s">
        <v>385</v>
      </c>
      <c r="C132" s="293">
        <v>0</v>
      </c>
      <c r="D132" s="293">
        <v>8332.9849610000001</v>
      </c>
      <c r="E132" s="293">
        <v>8332.9849610000001</v>
      </c>
      <c r="F132" s="294" t="s">
        <v>298</v>
      </c>
    </row>
    <row r="133" spans="1:6" hidden="1" outlineLevel="1" collapsed="1" x14ac:dyDescent="0.25">
      <c r="A133" s="295" t="s">
        <v>282</v>
      </c>
      <c r="B133" s="295" t="s">
        <v>386</v>
      </c>
      <c r="C133" s="293">
        <v>3023.0867020000001</v>
      </c>
      <c r="D133" s="293">
        <v>0</v>
      </c>
      <c r="E133" s="293">
        <v>-3023.0867020000001</v>
      </c>
      <c r="F133" s="294" t="s">
        <v>286</v>
      </c>
    </row>
    <row r="134" spans="1:6" hidden="1" outlineLevel="1" collapsed="1" x14ac:dyDescent="0.25">
      <c r="A134" s="295" t="s">
        <v>282</v>
      </c>
      <c r="B134" s="295" t="s">
        <v>387</v>
      </c>
      <c r="C134" s="293">
        <v>0</v>
      </c>
      <c r="D134" s="293">
        <v>3269.9054890000002</v>
      </c>
      <c r="E134" s="293">
        <v>3269.9054890000002</v>
      </c>
      <c r="F134" s="294" t="s">
        <v>298</v>
      </c>
    </row>
    <row r="135" spans="1:6" hidden="1" outlineLevel="1" collapsed="1" x14ac:dyDescent="0.25">
      <c r="A135" s="295" t="s">
        <v>282</v>
      </c>
      <c r="B135" s="295" t="s">
        <v>388</v>
      </c>
      <c r="C135" s="293">
        <v>707.01220799999999</v>
      </c>
      <c r="D135" s="293">
        <v>764.735952</v>
      </c>
      <c r="E135" s="293">
        <v>57.723744000000003</v>
      </c>
      <c r="F135" s="294" t="s">
        <v>408</v>
      </c>
    </row>
    <row r="136" spans="1:6" hidden="1" outlineLevel="1" collapsed="1" x14ac:dyDescent="0.25">
      <c r="A136" s="295" t="s">
        <v>282</v>
      </c>
      <c r="B136" s="295" t="s">
        <v>389</v>
      </c>
      <c r="C136" s="293">
        <v>426.12479999999999</v>
      </c>
      <c r="D136" s="293">
        <v>422.04</v>
      </c>
      <c r="E136" s="293">
        <v>-4.0848000000000004</v>
      </c>
      <c r="F136" s="294" t="s">
        <v>364</v>
      </c>
    </row>
    <row r="137" spans="1:6" hidden="1" outlineLevel="1" collapsed="1" x14ac:dyDescent="0.25">
      <c r="A137" s="295" t="s">
        <v>282</v>
      </c>
      <c r="B137" s="295" t="s">
        <v>390</v>
      </c>
      <c r="C137" s="293">
        <v>15485.27</v>
      </c>
      <c r="D137" s="293">
        <v>15959.28</v>
      </c>
      <c r="E137" s="293">
        <v>474.01</v>
      </c>
      <c r="F137" s="294" t="s">
        <v>391</v>
      </c>
    </row>
    <row r="138" spans="1:6" hidden="1" outlineLevel="1" collapsed="1" x14ac:dyDescent="0.25">
      <c r="A138" s="295" t="s">
        <v>282</v>
      </c>
      <c r="B138" s="295" t="s">
        <v>392</v>
      </c>
      <c r="C138" s="293">
        <v>233.53919999999999</v>
      </c>
      <c r="D138" s="293">
        <v>182.88</v>
      </c>
      <c r="E138" s="293">
        <v>-50.659199999999998</v>
      </c>
      <c r="F138" s="294" t="s">
        <v>368</v>
      </c>
    </row>
    <row r="139" spans="1:6" hidden="1" outlineLevel="1" collapsed="1" x14ac:dyDescent="0.25">
      <c r="A139" s="295" t="s">
        <v>282</v>
      </c>
      <c r="B139" s="295" t="s">
        <v>393</v>
      </c>
      <c r="C139" s="293">
        <v>24.379722999999998</v>
      </c>
      <c r="D139" s="293">
        <v>26.370199</v>
      </c>
      <c r="E139" s="293">
        <v>1.9904759999999999</v>
      </c>
      <c r="F139" s="294" t="s">
        <v>408</v>
      </c>
    </row>
    <row r="140" spans="1:6" hidden="1" outlineLevel="1" collapsed="1" x14ac:dyDescent="0.25">
      <c r="A140" s="295" t="s">
        <v>282</v>
      </c>
      <c r="B140" s="295" t="s">
        <v>394</v>
      </c>
      <c r="C140" s="293">
        <v>1500</v>
      </c>
      <c r="D140" s="293">
        <v>0</v>
      </c>
      <c r="E140" s="293">
        <v>-1500</v>
      </c>
      <c r="F140" s="294" t="s">
        <v>286</v>
      </c>
    </row>
    <row r="141" spans="1:6" hidden="1" outlineLevel="1" collapsed="1" x14ac:dyDescent="0.25">
      <c r="A141" s="295" t="s">
        <v>282</v>
      </c>
      <c r="B141" s="295" t="s">
        <v>395</v>
      </c>
      <c r="C141" s="293">
        <v>0</v>
      </c>
      <c r="D141" s="293">
        <v>1500</v>
      </c>
      <c r="E141" s="293">
        <v>1500</v>
      </c>
      <c r="F141" s="294" t="s">
        <v>298</v>
      </c>
    </row>
    <row r="142" spans="1:6" hidden="1" outlineLevel="1" collapsed="1" x14ac:dyDescent="0.25">
      <c r="A142" s="295" t="s">
        <v>282</v>
      </c>
      <c r="B142" s="295" t="s">
        <v>396</v>
      </c>
      <c r="C142" s="293">
        <v>49.68</v>
      </c>
      <c r="D142" s="293">
        <v>0</v>
      </c>
      <c r="E142" s="293">
        <v>-49.68</v>
      </c>
      <c r="F142" s="294" t="s">
        <v>286</v>
      </c>
    </row>
    <row r="143" spans="1:6" hidden="1" outlineLevel="1" collapsed="1" x14ac:dyDescent="0.25">
      <c r="A143" s="295" t="s">
        <v>282</v>
      </c>
      <c r="B143" s="295" t="s">
        <v>397</v>
      </c>
      <c r="C143" s="293">
        <v>0</v>
      </c>
      <c r="D143" s="293">
        <v>48.48</v>
      </c>
      <c r="E143" s="293">
        <v>48.48</v>
      </c>
      <c r="F143" s="294" t="s">
        <v>298</v>
      </c>
    </row>
    <row r="144" spans="1:6" hidden="1" outlineLevel="1" collapsed="1" x14ac:dyDescent="0.25">
      <c r="A144" s="295" t="s">
        <v>282</v>
      </c>
      <c r="B144" s="295" t="s">
        <v>398</v>
      </c>
      <c r="C144" s="293">
        <v>24</v>
      </c>
      <c r="D144" s="293">
        <v>11.04</v>
      </c>
      <c r="E144" s="293">
        <v>-12.96</v>
      </c>
      <c r="F144" s="294" t="s">
        <v>374</v>
      </c>
    </row>
    <row r="145" spans="1:6" collapsed="1" x14ac:dyDescent="0.25">
      <c r="A145" s="560" t="s">
        <v>409</v>
      </c>
      <c r="B145" s="561"/>
      <c r="C145" s="292">
        <v>119620.44756</v>
      </c>
      <c r="D145" s="293">
        <v>128090.53372000001</v>
      </c>
      <c r="E145" s="293">
        <v>8470.0861600000007</v>
      </c>
      <c r="F145" s="294" t="s">
        <v>410</v>
      </c>
    </row>
    <row r="146" spans="1:6" hidden="1" outlineLevel="1" collapsed="1" x14ac:dyDescent="0.25">
      <c r="A146" s="295" t="s">
        <v>282</v>
      </c>
      <c r="B146" s="295" t="s">
        <v>358</v>
      </c>
      <c r="C146" s="293">
        <v>81094.320000000007</v>
      </c>
      <c r="D146" s="293">
        <v>84394.732799999998</v>
      </c>
      <c r="E146" s="293">
        <v>3300.4128000000001</v>
      </c>
      <c r="F146" s="294" t="s">
        <v>411</v>
      </c>
    </row>
    <row r="147" spans="1:6" hidden="1" outlineLevel="1" collapsed="1" x14ac:dyDescent="0.25">
      <c r="A147" s="295" t="s">
        <v>282</v>
      </c>
      <c r="B147" s="295" t="s">
        <v>412</v>
      </c>
      <c r="C147" s="293">
        <v>9000</v>
      </c>
      <c r="D147" s="293">
        <v>9000</v>
      </c>
      <c r="E147" s="293">
        <v>0</v>
      </c>
      <c r="F147" s="294" t="s">
        <v>316</v>
      </c>
    </row>
    <row r="148" spans="1:6" hidden="1" outlineLevel="1" collapsed="1" x14ac:dyDescent="0.25">
      <c r="A148" s="295" t="s">
        <v>282</v>
      </c>
      <c r="B148" s="295" t="s">
        <v>360</v>
      </c>
      <c r="C148" s="293">
        <v>10582.80876</v>
      </c>
      <c r="D148" s="293">
        <v>12178.15994</v>
      </c>
      <c r="E148" s="293">
        <v>1595.3511800000001</v>
      </c>
      <c r="F148" s="294" t="s">
        <v>413</v>
      </c>
    </row>
    <row r="149" spans="1:6" hidden="1" outlineLevel="1" collapsed="1" x14ac:dyDescent="0.25">
      <c r="A149" s="295" t="s">
        <v>282</v>
      </c>
      <c r="B149" s="295" t="s">
        <v>362</v>
      </c>
      <c r="C149" s="293">
        <v>1306.3676399999999</v>
      </c>
      <c r="D149" s="293">
        <v>1354.22362</v>
      </c>
      <c r="E149" s="293">
        <v>47.855980000000002</v>
      </c>
      <c r="F149" s="294" t="s">
        <v>414</v>
      </c>
    </row>
    <row r="150" spans="1:6" hidden="1" outlineLevel="1" collapsed="1" x14ac:dyDescent="0.25">
      <c r="A150" s="295" t="s">
        <v>282</v>
      </c>
      <c r="B150" s="295" t="s">
        <v>363</v>
      </c>
      <c r="C150" s="293">
        <v>426.12479999999999</v>
      </c>
      <c r="D150" s="293">
        <v>422.04</v>
      </c>
      <c r="E150" s="293">
        <v>-4.0848000000000004</v>
      </c>
      <c r="F150" s="294" t="s">
        <v>364</v>
      </c>
    </row>
    <row r="151" spans="1:6" hidden="1" outlineLevel="1" collapsed="1" x14ac:dyDescent="0.25">
      <c r="A151" s="295" t="s">
        <v>282</v>
      </c>
      <c r="B151" s="295" t="s">
        <v>365</v>
      </c>
      <c r="C151" s="293">
        <v>15358.56</v>
      </c>
      <c r="D151" s="293">
        <v>15959.28</v>
      </c>
      <c r="E151" s="293">
        <v>600.72</v>
      </c>
      <c r="F151" s="294" t="s">
        <v>366</v>
      </c>
    </row>
    <row r="152" spans="1:6" hidden="1" outlineLevel="1" collapsed="1" x14ac:dyDescent="0.25">
      <c r="A152" s="295" t="s">
        <v>282</v>
      </c>
      <c r="B152" s="295" t="s">
        <v>367</v>
      </c>
      <c r="C152" s="293">
        <v>233.53919999999999</v>
      </c>
      <c r="D152" s="293">
        <v>182.88</v>
      </c>
      <c r="E152" s="293">
        <v>-50.659199999999998</v>
      </c>
      <c r="F152" s="294" t="s">
        <v>368</v>
      </c>
    </row>
    <row r="153" spans="1:6" hidden="1" outlineLevel="1" collapsed="1" x14ac:dyDescent="0.25">
      <c r="A153" s="295" t="s">
        <v>282</v>
      </c>
      <c r="B153" s="295" t="s">
        <v>369</v>
      </c>
      <c r="C153" s="293">
        <v>45.047159999999998</v>
      </c>
      <c r="D153" s="293">
        <v>46.697360000000003</v>
      </c>
      <c r="E153" s="293">
        <v>1.6501999999999999</v>
      </c>
      <c r="F153" s="294" t="s">
        <v>414</v>
      </c>
    </row>
    <row r="154" spans="1:6" hidden="1" outlineLevel="1" collapsed="1" x14ac:dyDescent="0.25">
      <c r="A154" s="295" t="s">
        <v>282</v>
      </c>
      <c r="B154" s="295" t="s">
        <v>370</v>
      </c>
      <c r="C154" s="293">
        <v>1500</v>
      </c>
      <c r="D154" s="293">
        <v>1500</v>
      </c>
      <c r="E154" s="293">
        <v>0</v>
      </c>
      <c r="F154" s="294" t="s">
        <v>316</v>
      </c>
    </row>
    <row r="155" spans="1:6" hidden="1" outlineLevel="1" collapsed="1" x14ac:dyDescent="0.25">
      <c r="A155" s="295" t="s">
        <v>282</v>
      </c>
      <c r="B155" s="295" t="s">
        <v>371</v>
      </c>
      <c r="C155" s="293">
        <v>49.68</v>
      </c>
      <c r="D155" s="293">
        <v>48.48</v>
      </c>
      <c r="E155" s="293">
        <v>-1.2</v>
      </c>
      <c r="F155" s="294" t="s">
        <v>372</v>
      </c>
    </row>
    <row r="156" spans="1:6" hidden="1" outlineLevel="1" collapsed="1" x14ac:dyDescent="0.25">
      <c r="A156" s="295" t="s">
        <v>282</v>
      </c>
      <c r="B156" s="295" t="s">
        <v>373</v>
      </c>
      <c r="C156" s="293">
        <v>24</v>
      </c>
      <c r="D156" s="293">
        <v>11.04</v>
      </c>
      <c r="E156" s="293">
        <v>-12.96</v>
      </c>
      <c r="F156" s="294" t="s">
        <v>374</v>
      </c>
    </row>
    <row r="157" spans="1:6" hidden="1" outlineLevel="1" collapsed="1" x14ac:dyDescent="0.25">
      <c r="A157" s="295" t="s">
        <v>282</v>
      </c>
      <c r="B157" s="295" t="s">
        <v>376</v>
      </c>
      <c r="C157" s="293">
        <v>0</v>
      </c>
      <c r="D157" s="293">
        <v>230</v>
      </c>
      <c r="E157" s="293">
        <v>230</v>
      </c>
      <c r="F157" s="294" t="s">
        <v>298</v>
      </c>
    </row>
    <row r="158" spans="1:6" hidden="1" outlineLevel="1" collapsed="1" x14ac:dyDescent="0.25">
      <c r="A158" s="295" t="s">
        <v>282</v>
      </c>
      <c r="B158" s="295" t="s">
        <v>415</v>
      </c>
      <c r="C158" s="293">
        <v>0</v>
      </c>
      <c r="D158" s="293">
        <v>180</v>
      </c>
      <c r="E158" s="293">
        <v>180</v>
      </c>
      <c r="F158" s="294" t="s">
        <v>298</v>
      </c>
    </row>
    <row r="159" spans="1:6" hidden="1" outlineLevel="1" collapsed="1" x14ac:dyDescent="0.25">
      <c r="A159" s="295" t="s">
        <v>282</v>
      </c>
      <c r="B159" s="295" t="s">
        <v>416</v>
      </c>
      <c r="C159" s="293">
        <v>0</v>
      </c>
      <c r="D159" s="293">
        <v>702</v>
      </c>
      <c r="E159" s="293">
        <v>702</v>
      </c>
      <c r="F159" s="294" t="s">
        <v>298</v>
      </c>
    </row>
    <row r="160" spans="1:6" hidden="1" outlineLevel="1" collapsed="1" x14ac:dyDescent="0.25">
      <c r="A160" s="295" t="s">
        <v>282</v>
      </c>
      <c r="B160" s="295" t="s">
        <v>403</v>
      </c>
      <c r="C160" s="293">
        <v>0</v>
      </c>
      <c r="D160" s="293">
        <v>1881</v>
      </c>
      <c r="E160" s="293">
        <v>1881</v>
      </c>
      <c r="F160" s="294" t="s">
        <v>298</v>
      </c>
    </row>
    <row r="161" spans="1:6" collapsed="1" x14ac:dyDescent="0.25">
      <c r="A161" s="560" t="s">
        <v>417</v>
      </c>
      <c r="B161" s="561"/>
      <c r="C161" s="292">
        <v>435003.51742500003</v>
      </c>
      <c r="D161" s="293">
        <v>456114.03347899998</v>
      </c>
      <c r="E161" s="293">
        <v>21110.516054</v>
      </c>
      <c r="F161" s="294" t="s">
        <v>418</v>
      </c>
    </row>
    <row r="162" spans="1:6" hidden="1" outlineLevel="1" collapsed="1" x14ac:dyDescent="0.25">
      <c r="A162" s="295" t="s">
        <v>282</v>
      </c>
      <c r="B162" s="295" t="s">
        <v>358</v>
      </c>
      <c r="C162" s="293">
        <v>263446.8</v>
      </c>
      <c r="D162" s="293">
        <v>271451.51880000002</v>
      </c>
      <c r="E162" s="293">
        <v>8004.7187999999996</v>
      </c>
      <c r="F162" s="294" t="s">
        <v>419</v>
      </c>
    </row>
    <row r="163" spans="1:6" hidden="1" outlineLevel="1" collapsed="1" x14ac:dyDescent="0.25">
      <c r="A163" s="295" t="s">
        <v>282</v>
      </c>
      <c r="B163" s="295" t="s">
        <v>380</v>
      </c>
      <c r="C163" s="293">
        <v>48759.462956000003</v>
      </c>
      <c r="D163" s="293">
        <v>52740.411178000002</v>
      </c>
      <c r="E163" s="293">
        <v>3980.948222</v>
      </c>
      <c r="F163" s="294" t="s">
        <v>408</v>
      </c>
    </row>
    <row r="164" spans="1:6" hidden="1" outlineLevel="1" collapsed="1" x14ac:dyDescent="0.25">
      <c r="A164" s="295" t="s">
        <v>282</v>
      </c>
      <c r="B164" s="295" t="s">
        <v>382</v>
      </c>
      <c r="C164" s="293">
        <v>292</v>
      </c>
      <c r="D164" s="293">
        <v>0</v>
      </c>
      <c r="E164" s="293">
        <v>-292</v>
      </c>
      <c r="F164" s="294" t="s">
        <v>286</v>
      </c>
    </row>
    <row r="165" spans="1:6" hidden="1" outlineLevel="1" collapsed="1" x14ac:dyDescent="0.25">
      <c r="A165" s="295" t="s">
        <v>282</v>
      </c>
      <c r="B165" s="295" t="s">
        <v>360</v>
      </c>
      <c r="C165" s="293">
        <v>34379.807399999998</v>
      </c>
      <c r="D165" s="293">
        <v>39170.454149999998</v>
      </c>
      <c r="E165" s="293">
        <v>4790.6467499999999</v>
      </c>
      <c r="F165" s="294" t="s">
        <v>420</v>
      </c>
    </row>
    <row r="166" spans="1:6" hidden="1" outlineLevel="1" collapsed="1" x14ac:dyDescent="0.25">
      <c r="A166" s="295" t="s">
        <v>282</v>
      </c>
      <c r="B166" s="295" t="s">
        <v>384</v>
      </c>
      <c r="C166" s="293">
        <v>6133.9404359999999</v>
      </c>
      <c r="D166" s="293">
        <v>0</v>
      </c>
      <c r="E166" s="293">
        <v>-6133.9404359999999</v>
      </c>
      <c r="F166" s="294" t="s">
        <v>286</v>
      </c>
    </row>
    <row r="167" spans="1:6" hidden="1" outlineLevel="1" collapsed="1" x14ac:dyDescent="0.25">
      <c r="A167" s="295" t="s">
        <v>282</v>
      </c>
      <c r="B167" s="295" t="s">
        <v>385</v>
      </c>
      <c r="C167" s="293">
        <v>0</v>
      </c>
      <c r="D167" s="293">
        <v>8332.9849610000001</v>
      </c>
      <c r="E167" s="293">
        <v>8332.9849610000001</v>
      </c>
      <c r="F167" s="294" t="s">
        <v>298</v>
      </c>
    </row>
    <row r="168" spans="1:6" hidden="1" outlineLevel="1" collapsed="1" x14ac:dyDescent="0.25">
      <c r="A168" s="295" t="s">
        <v>282</v>
      </c>
      <c r="B168" s="295" t="s">
        <v>386</v>
      </c>
      <c r="C168" s="293">
        <v>3023.0867020000001</v>
      </c>
      <c r="D168" s="293">
        <v>0</v>
      </c>
      <c r="E168" s="293">
        <v>-3023.0867020000001</v>
      </c>
      <c r="F168" s="294" t="s">
        <v>286</v>
      </c>
    </row>
    <row r="169" spans="1:6" hidden="1" outlineLevel="1" collapsed="1" x14ac:dyDescent="0.25">
      <c r="A169" s="295" t="s">
        <v>282</v>
      </c>
      <c r="B169" s="295" t="s">
        <v>387</v>
      </c>
      <c r="C169" s="293">
        <v>0</v>
      </c>
      <c r="D169" s="293">
        <v>3269.9054890000002</v>
      </c>
      <c r="E169" s="293">
        <v>3269.9054890000002</v>
      </c>
      <c r="F169" s="294" t="s">
        <v>298</v>
      </c>
    </row>
    <row r="170" spans="1:6" hidden="1" outlineLevel="1" collapsed="1" x14ac:dyDescent="0.25">
      <c r="A170" s="295" t="s">
        <v>282</v>
      </c>
      <c r="B170" s="295" t="s">
        <v>362</v>
      </c>
      <c r="C170" s="293">
        <v>3819.9785999999999</v>
      </c>
      <c r="D170" s="293">
        <v>3936.047</v>
      </c>
      <c r="E170" s="293">
        <v>116.0684</v>
      </c>
      <c r="F170" s="294" t="s">
        <v>419</v>
      </c>
    </row>
    <row r="171" spans="1:6" hidden="1" outlineLevel="1" collapsed="1" x14ac:dyDescent="0.25">
      <c r="A171" s="295" t="s">
        <v>282</v>
      </c>
      <c r="B171" s="295" t="s">
        <v>388</v>
      </c>
      <c r="C171" s="293">
        <v>707.01220799999999</v>
      </c>
      <c r="D171" s="293">
        <v>764.735952</v>
      </c>
      <c r="E171" s="293">
        <v>57.723744000000003</v>
      </c>
      <c r="F171" s="294" t="s">
        <v>408</v>
      </c>
    </row>
    <row r="172" spans="1:6" hidden="1" outlineLevel="1" collapsed="1" x14ac:dyDescent="0.25">
      <c r="A172" s="295" t="s">
        <v>282</v>
      </c>
      <c r="B172" s="295" t="s">
        <v>363</v>
      </c>
      <c r="C172" s="293">
        <v>1278.3743999999999</v>
      </c>
      <c r="D172" s="293">
        <v>1266.1199999999999</v>
      </c>
      <c r="E172" s="293">
        <v>-12.2544</v>
      </c>
      <c r="F172" s="294" t="s">
        <v>364</v>
      </c>
    </row>
    <row r="173" spans="1:6" hidden="1" outlineLevel="1" collapsed="1" x14ac:dyDescent="0.25">
      <c r="A173" s="295" t="s">
        <v>282</v>
      </c>
      <c r="B173" s="295" t="s">
        <v>365</v>
      </c>
      <c r="C173" s="293">
        <v>46075.68</v>
      </c>
      <c r="D173" s="293">
        <v>47877.84</v>
      </c>
      <c r="E173" s="293">
        <v>1802.16</v>
      </c>
      <c r="F173" s="294" t="s">
        <v>366</v>
      </c>
    </row>
    <row r="174" spans="1:6" hidden="1" outlineLevel="1" collapsed="1" x14ac:dyDescent="0.25">
      <c r="A174" s="295" t="s">
        <v>282</v>
      </c>
      <c r="B174" s="295" t="s">
        <v>367</v>
      </c>
      <c r="C174" s="293">
        <v>700.61760000000004</v>
      </c>
      <c r="D174" s="293">
        <v>548.64</v>
      </c>
      <c r="E174" s="293">
        <v>-151.9776</v>
      </c>
      <c r="F174" s="294" t="s">
        <v>368</v>
      </c>
    </row>
    <row r="175" spans="1:6" hidden="1" outlineLevel="1" collapsed="1" x14ac:dyDescent="0.25">
      <c r="A175" s="295" t="s">
        <v>282</v>
      </c>
      <c r="B175" s="295" t="s">
        <v>389</v>
      </c>
      <c r="C175" s="293">
        <v>426.12479999999999</v>
      </c>
      <c r="D175" s="293">
        <v>422.04</v>
      </c>
      <c r="E175" s="293">
        <v>-4.0848000000000004</v>
      </c>
      <c r="F175" s="294" t="s">
        <v>364</v>
      </c>
    </row>
    <row r="176" spans="1:6" hidden="1" outlineLevel="1" collapsed="1" x14ac:dyDescent="0.25">
      <c r="A176" s="295" t="s">
        <v>282</v>
      </c>
      <c r="B176" s="295" t="s">
        <v>390</v>
      </c>
      <c r="C176" s="293">
        <v>15485.27</v>
      </c>
      <c r="D176" s="293">
        <v>15959.28</v>
      </c>
      <c r="E176" s="293">
        <v>474.01</v>
      </c>
      <c r="F176" s="294" t="s">
        <v>391</v>
      </c>
    </row>
    <row r="177" spans="1:6" hidden="1" outlineLevel="1" collapsed="1" x14ac:dyDescent="0.25">
      <c r="A177" s="295" t="s">
        <v>282</v>
      </c>
      <c r="B177" s="295" t="s">
        <v>392</v>
      </c>
      <c r="C177" s="293">
        <v>233.53919999999999</v>
      </c>
      <c r="D177" s="293">
        <v>182.88</v>
      </c>
      <c r="E177" s="293">
        <v>-50.659199999999998</v>
      </c>
      <c r="F177" s="294" t="s">
        <v>368</v>
      </c>
    </row>
    <row r="178" spans="1:6" hidden="1" outlineLevel="1" collapsed="1" x14ac:dyDescent="0.25">
      <c r="A178" s="295" t="s">
        <v>282</v>
      </c>
      <c r="B178" s="295" t="s">
        <v>369</v>
      </c>
      <c r="C178" s="293">
        <v>131.7234</v>
      </c>
      <c r="D178" s="293">
        <v>135.72575000000001</v>
      </c>
      <c r="E178" s="293">
        <v>4.0023499999999999</v>
      </c>
      <c r="F178" s="294" t="s">
        <v>419</v>
      </c>
    </row>
    <row r="179" spans="1:6" hidden="1" outlineLevel="1" collapsed="1" x14ac:dyDescent="0.25">
      <c r="A179" s="295" t="s">
        <v>282</v>
      </c>
      <c r="B179" s="295" t="s">
        <v>393</v>
      </c>
      <c r="C179" s="293">
        <v>24.379722999999998</v>
      </c>
      <c r="D179" s="293">
        <v>26.370199</v>
      </c>
      <c r="E179" s="293">
        <v>1.9904759999999999</v>
      </c>
      <c r="F179" s="294" t="s">
        <v>408</v>
      </c>
    </row>
    <row r="180" spans="1:6" hidden="1" outlineLevel="1" collapsed="1" x14ac:dyDescent="0.25">
      <c r="A180" s="295" t="s">
        <v>282</v>
      </c>
      <c r="B180" s="295" t="s">
        <v>370</v>
      </c>
      <c r="C180" s="293">
        <v>4500</v>
      </c>
      <c r="D180" s="293">
        <v>4500</v>
      </c>
      <c r="E180" s="293">
        <v>0</v>
      </c>
      <c r="F180" s="294" t="s">
        <v>316</v>
      </c>
    </row>
    <row r="181" spans="1:6" hidden="1" outlineLevel="1" collapsed="1" x14ac:dyDescent="0.25">
      <c r="A181" s="295" t="s">
        <v>282</v>
      </c>
      <c r="B181" s="295" t="s">
        <v>394</v>
      </c>
      <c r="C181" s="293">
        <v>1500</v>
      </c>
      <c r="D181" s="293">
        <v>0</v>
      </c>
      <c r="E181" s="293">
        <v>-1500</v>
      </c>
      <c r="F181" s="294" t="s">
        <v>286</v>
      </c>
    </row>
    <row r="182" spans="1:6" hidden="1" outlineLevel="1" collapsed="1" x14ac:dyDescent="0.25">
      <c r="A182" s="295" t="s">
        <v>282</v>
      </c>
      <c r="B182" s="295" t="s">
        <v>395</v>
      </c>
      <c r="C182" s="293">
        <v>0</v>
      </c>
      <c r="D182" s="293">
        <v>1500</v>
      </c>
      <c r="E182" s="293">
        <v>1500</v>
      </c>
      <c r="F182" s="294" t="s">
        <v>298</v>
      </c>
    </row>
    <row r="183" spans="1:6" hidden="1" outlineLevel="1" collapsed="1" x14ac:dyDescent="0.25">
      <c r="A183" s="295" t="s">
        <v>282</v>
      </c>
      <c r="B183" s="295" t="s">
        <v>371</v>
      </c>
      <c r="C183" s="293">
        <v>149.04</v>
      </c>
      <c r="D183" s="293">
        <v>145.44</v>
      </c>
      <c r="E183" s="293">
        <v>-3.6</v>
      </c>
      <c r="F183" s="294" t="s">
        <v>372</v>
      </c>
    </row>
    <row r="184" spans="1:6" hidden="1" outlineLevel="1" collapsed="1" x14ac:dyDescent="0.25">
      <c r="A184" s="295" t="s">
        <v>282</v>
      </c>
      <c r="B184" s="295" t="s">
        <v>396</v>
      </c>
      <c r="C184" s="293">
        <v>49.68</v>
      </c>
      <c r="D184" s="293">
        <v>0</v>
      </c>
      <c r="E184" s="293">
        <v>-49.68</v>
      </c>
      <c r="F184" s="294" t="s">
        <v>286</v>
      </c>
    </row>
    <row r="185" spans="1:6" hidden="1" outlineLevel="1" collapsed="1" x14ac:dyDescent="0.25">
      <c r="A185" s="295" t="s">
        <v>282</v>
      </c>
      <c r="B185" s="295" t="s">
        <v>397</v>
      </c>
      <c r="C185" s="293">
        <v>0</v>
      </c>
      <c r="D185" s="293">
        <v>48.48</v>
      </c>
      <c r="E185" s="293">
        <v>48.48</v>
      </c>
      <c r="F185" s="294" t="s">
        <v>298</v>
      </c>
    </row>
    <row r="186" spans="1:6" hidden="1" outlineLevel="1" collapsed="1" x14ac:dyDescent="0.25">
      <c r="A186" s="295" t="s">
        <v>282</v>
      </c>
      <c r="B186" s="295" t="s">
        <v>373</v>
      </c>
      <c r="C186" s="293">
        <v>72</v>
      </c>
      <c r="D186" s="293">
        <v>33.119999999999997</v>
      </c>
      <c r="E186" s="293">
        <v>-38.880000000000003</v>
      </c>
      <c r="F186" s="294" t="s">
        <v>374</v>
      </c>
    </row>
    <row r="187" spans="1:6" hidden="1" outlineLevel="1" collapsed="1" x14ac:dyDescent="0.25">
      <c r="A187" s="295" t="s">
        <v>282</v>
      </c>
      <c r="B187" s="295" t="s">
        <v>398</v>
      </c>
      <c r="C187" s="293">
        <v>24</v>
      </c>
      <c r="D187" s="293">
        <v>11.04</v>
      </c>
      <c r="E187" s="293">
        <v>-12.96</v>
      </c>
      <c r="F187" s="294" t="s">
        <v>374</v>
      </c>
    </row>
    <row r="188" spans="1:6" hidden="1" outlineLevel="1" collapsed="1" x14ac:dyDescent="0.25">
      <c r="A188" s="295" t="s">
        <v>282</v>
      </c>
      <c r="B188" s="295" t="s">
        <v>375</v>
      </c>
      <c r="C188" s="293">
        <v>0</v>
      </c>
      <c r="D188" s="293">
        <v>0</v>
      </c>
      <c r="E188" s="293">
        <v>0</v>
      </c>
      <c r="F188" s="294" t="s">
        <v>316</v>
      </c>
    </row>
    <row r="189" spans="1:6" hidden="1" outlineLevel="1" collapsed="1" x14ac:dyDescent="0.25">
      <c r="A189" s="295" t="s">
        <v>282</v>
      </c>
      <c r="B189" s="295" t="s">
        <v>376</v>
      </c>
      <c r="C189" s="293">
        <v>450</v>
      </c>
      <c r="D189" s="293">
        <v>1950</v>
      </c>
      <c r="E189" s="293">
        <v>1500</v>
      </c>
      <c r="F189" s="294" t="s">
        <v>421</v>
      </c>
    </row>
    <row r="190" spans="1:6" hidden="1" outlineLevel="1" collapsed="1" x14ac:dyDescent="0.25">
      <c r="A190" s="295" t="s">
        <v>282</v>
      </c>
      <c r="B190" s="295" t="s">
        <v>403</v>
      </c>
      <c r="C190" s="293">
        <v>1841</v>
      </c>
      <c r="D190" s="293">
        <v>1841</v>
      </c>
      <c r="E190" s="293">
        <v>0</v>
      </c>
      <c r="F190" s="294" t="s">
        <v>316</v>
      </c>
    </row>
    <row r="191" spans="1:6" hidden="1" outlineLevel="1" collapsed="1" x14ac:dyDescent="0.25">
      <c r="A191" s="295" t="s">
        <v>282</v>
      </c>
      <c r="B191" s="295" t="s">
        <v>422</v>
      </c>
      <c r="C191" s="293">
        <v>1500</v>
      </c>
      <c r="D191" s="293">
        <v>0</v>
      </c>
      <c r="E191" s="293">
        <v>-1500</v>
      </c>
      <c r="F191" s="294" t="s">
        <v>286</v>
      </c>
    </row>
    <row r="192" spans="1:6" collapsed="1" x14ac:dyDescent="0.25">
      <c r="A192" s="560" t="s">
        <v>423</v>
      </c>
      <c r="B192" s="561"/>
      <c r="C192" s="292">
        <v>6631</v>
      </c>
      <c r="D192" s="293">
        <v>6631</v>
      </c>
      <c r="E192" s="293">
        <v>0</v>
      </c>
      <c r="F192" s="294" t="s">
        <v>316</v>
      </c>
    </row>
    <row r="193" spans="1:6" hidden="1" outlineLevel="1" collapsed="1" x14ac:dyDescent="0.25">
      <c r="A193" s="295" t="s">
        <v>282</v>
      </c>
      <c r="B193" s="295" t="s">
        <v>424</v>
      </c>
      <c r="C193" s="293">
        <v>1777</v>
      </c>
      <c r="D193" s="293">
        <v>1777</v>
      </c>
      <c r="E193" s="293">
        <v>0</v>
      </c>
      <c r="F193" s="294" t="s">
        <v>316</v>
      </c>
    </row>
    <row r="194" spans="1:6" hidden="1" outlineLevel="1" collapsed="1" x14ac:dyDescent="0.25">
      <c r="A194" s="295" t="s">
        <v>282</v>
      </c>
      <c r="B194" s="295" t="s">
        <v>425</v>
      </c>
      <c r="C194" s="293">
        <v>108</v>
      </c>
      <c r="D194" s="293">
        <v>108</v>
      </c>
      <c r="E194" s="293">
        <v>0</v>
      </c>
      <c r="F194" s="294" t="s">
        <v>316</v>
      </c>
    </row>
    <row r="195" spans="1:6" hidden="1" outlineLevel="1" collapsed="1" x14ac:dyDescent="0.25">
      <c r="A195" s="295" t="s">
        <v>282</v>
      </c>
      <c r="B195" s="295" t="s">
        <v>375</v>
      </c>
      <c r="C195" s="293">
        <v>1440</v>
      </c>
      <c r="D195" s="293">
        <v>1440</v>
      </c>
      <c r="E195" s="293">
        <v>0</v>
      </c>
      <c r="F195" s="294" t="s">
        <v>316</v>
      </c>
    </row>
    <row r="196" spans="1:6" hidden="1" outlineLevel="1" collapsed="1" x14ac:dyDescent="0.25">
      <c r="A196" s="295" t="s">
        <v>282</v>
      </c>
      <c r="B196" s="295" t="s">
        <v>376</v>
      </c>
      <c r="C196" s="293">
        <v>1310</v>
      </c>
      <c r="D196" s="293">
        <v>1310</v>
      </c>
      <c r="E196" s="293">
        <v>0</v>
      </c>
      <c r="F196" s="294" t="s">
        <v>316</v>
      </c>
    </row>
    <row r="197" spans="1:6" hidden="1" outlineLevel="1" collapsed="1" x14ac:dyDescent="0.25">
      <c r="A197" s="295" t="s">
        <v>282</v>
      </c>
      <c r="B197" s="295" t="s">
        <v>426</v>
      </c>
      <c r="C197" s="293">
        <v>998</v>
      </c>
      <c r="D197" s="293">
        <v>998</v>
      </c>
      <c r="E197" s="293">
        <v>0</v>
      </c>
      <c r="F197" s="294" t="s">
        <v>316</v>
      </c>
    </row>
    <row r="198" spans="1:6" hidden="1" outlineLevel="1" collapsed="1" x14ac:dyDescent="0.25">
      <c r="A198" s="295" t="s">
        <v>282</v>
      </c>
      <c r="B198" s="295" t="s">
        <v>422</v>
      </c>
      <c r="C198" s="293">
        <v>998</v>
      </c>
      <c r="D198" s="293">
        <v>998</v>
      </c>
      <c r="E198" s="293">
        <v>0</v>
      </c>
      <c r="F198" s="294" t="s">
        <v>316</v>
      </c>
    </row>
    <row r="199" spans="1:6" collapsed="1" x14ac:dyDescent="0.25">
      <c r="A199" s="560" t="s">
        <v>427</v>
      </c>
      <c r="B199" s="561"/>
      <c r="C199" s="292">
        <v>242867.47940000001</v>
      </c>
      <c r="D199" s="293">
        <v>252046.89848999999</v>
      </c>
      <c r="E199" s="293">
        <v>9179.4190899999994</v>
      </c>
      <c r="F199" s="294" t="s">
        <v>428</v>
      </c>
    </row>
    <row r="200" spans="1:6" hidden="1" outlineLevel="1" collapsed="1" x14ac:dyDescent="0.25">
      <c r="A200" s="295" t="s">
        <v>282</v>
      </c>
      <c r="B200" s="295" t="s">
        <v>358</v>
      </c>
      <c r="C200" s="293">
        <v>180610.8</v>
      </c>
      <c r="D200" s="293">
        <v>185461.44959999999</v>
      </c>
      <c r="E200" s="293">
        <v>4850.6495999999997</v>
      </c>
      <c r="F200" s="294" t="s">
        <v>429</v>
      </c>
    </row>
    <row r="201" spans="1:6" hidden="1" outlineLevel="1" collapsed="1" x14ac:dyDescent="0.25">
      <c r="A201" s="295" t="s">
        <v>282</v>
      </c>
      <c r="B201" s="295" t="s">
        <v>360</v>
      </c>
      <c r="C201" s="293">
        <v>23569.7094</v>
      </c>
      <c r="D201" s="293">
        <v>26762.087169999999</v>
      </c>
      <c r="E201" s="293">
        <v>3192.3777700000001</v>
      </c>
      <c r="F201" s="294" t="s">
        <v>430</v>
      </c>
    </row>
    <row r="202" spans="1:6" hidden="1" outlineLevel="1" collapsed="1" x14ac:dyDescent="0.25">
      <c r="A202" s="295" t="s">
        <v>282</v>
      </c>
      <c r="B202" s="295" t="s">
        <v>362</v>
      </c>
      <c r="C202" s="293">
        <v>2618.8566000000001</v>
      </c>
      <c r="D202" s="293">
        <v>2689.19101</v>
      </c>
      <c r="E202" s="293">
        <v>70.334410000000005</v>
      </c>
      <c r="F202" s="294" t="s">
        <v>429</v>
      </c>
    </row>
    <row r="203" spans="1:6" hidden="1" outlineLevel="1" collapsed="1" x14ac:dyDescent="0.25">
      <c r="A203" s="295" t="s">
        <v>282</v>
      </c>
      <c r="B203" s="295" t="s">
        <v>363</v>
      </c>
      <c r="C203" s="293">
        <v>852.24959999999999</v>
      </c>
      <c r="D203" s="293">
        <v>844.08</v>
      </c>
      <c r="E203" s="293">
        <v>-8.1696000000000009</v>
      </c>
      <c r="F203" s="294" t="s">
        <v>364</v>
      </c>
    </row>
    <row r="204" spans="1:6" hidden="1" outlineLevel="1" collapsed="1" x14ac:dyDescent="0.25">
      <c r="A204" s="295" t="s">
        <v>282</v>
      </c>
      <c r="B204" s="295" t="s">
        <v>365</v>
      </c>
      <c r="C204" s="293">
        <v>30717.119999999999</v>
      </c>
      <c r="D204" s="293">
        <v>31918.560000000001</v>
      </c>
      <c r="E204" s="293">
        <v>1201.44</v>
      </c>
      <c r="F204" s="294" t="s">
        <v>366</v>
      </c>
    </row>
    <row r="205" spans="1:6" hidden="1" outlineLevel="1" collapsed="1" x14ac:dyDescent="0.25">
      <c r="A205" s="295" t="s">
        <v>282</v>
      </c>
      <c r="B205" s="295" t="s">
        <v>367</v>
      </c>
      <c r="C205" s="293">
        <v>467.07839999999999</v>
      </c>
      <c r="D205" s="293">
        <v>365.76</v>
      </c>
      <c r="E205" s="293">
        <v>-101.3184</v>
      </c>
      <c r="F205" s="294" t="s">
        <v>368</v>
      </c>
    </row>
    <row r="206" spans="1:6" hidden="1" outlineLevel="1" collapsed="1" x14ac:dyDescent="0.25">
      <c r="A206" s="295" t="s">
        <v>282</v>
      </c>
      <c r="B206" s="295" t="s">
        <v>369</v>
      </c>
      <c r="C206" s="293">
        <v>90.305400000000006</v>
      </c>
      <c r="D206" s="293">
        <v>92.730710000000002</v>
      </c>
      <c r="E206" s="293">
        <v>2.4253100000000001</v>
      </c>
      <c r="F206" s="294" t="s">
        <v>429</v>
      </c>
    </row>
    <row r="207" spans="1:6" hidden="1" outlineLevel="1" collapsed="1" x14ac:dyDescent="0.25">
      <c r="A207" s="295" t="s">
        <v>282</v>
      </c>
      <c r="B207" s="295" t="s">
        <v>370</v>
      </c>
      <c r="C207" s="293">
        <v>3000</v>
      </c>
      <c r="D207" s="293">
        <v>3000</v>
      </c>
      <c r="E207" s="293">
        <v>0</v>
      </c>
      <c r="F207" s="294" t="s">
        <v>316</v>
      </c>
    </row>
    <row r="208" spans="1:6" hidden="1" outlineLevel="1" collapsed="1" x14ac:dyDescent="0.25">
      <c r="A208" s="295" t="s">
        <v>282</v>
      </c>
      <c r="B208" s="295" t="s">
        <v>371</v>
      </c>
      <c r="C208" s="293">
        <v>99.36</v>
      </c>
      <c r="D208" s="293">
        <v>96.96</v>
      </c>
      <c r="E208" s="293">
        <v>-2.4</v>
      </c>
      <c r="F208" s="294" t="s">
        <v>372</v>
      </c>
    </row>
    <row r="209" spans="1:6" hidden="1" outlineLevel="1" collapsed="1" x14ac:dyDescent="0.25">
      <c r="A209" s="295" t="s">
        <v>282</v>
      </c>
      <c r="B209" s="295" t="s">
        <v>373</v>
      </c>
      <c r="C209" s="293">
        <v>48</v>
      </c>
      <c r="D209" s="293">
        <v>22.08</v>
      </c>
      <c r="E209" s="293">
        <v>-25.92</v>
      </c>
      <c r="F209" s="294" t="s">
        <v>374</v>
      </c>
    </row>
    <row r="210" spans="1:6" hidden="1" outlineLevel="1" collapsed="1" x14ac:dyDescent="0.25">
      <c r="A210" s="295" t="s">
        <v>282</v>
      </c>
      <c r="B210" s="295" t="s">
        <v>431</v>
      </c>
      <c r="C210" s="293">
        <v>794</v>
      </c>
      <c r="D210" s="293">
        <v>794</v>
      </c>
      <c r="E210" s="293">
        <v>0</v>
      </c>
      <c r="F210" s="294" t="s">
        <v>316</v>
      </c>
    </row>
    <row r="211" spans="1:6" collapsed="1" x14ac:dyDescent="0.25">
      <c r="A211" s="560" t="s">
        <v>432</v>
      </c>
      <c r="B211" s="561"/>
      <c r="C211" s="292">
        <v>236181.4442</v>
      </c>
      <c r="D211" s="293">
        <v>246672.73717000001</v>
      </c>
      <c r="E211" s="293">
        <v>10491.29297</v>
      </c>
      <c r="F211" s="294" t="s">
        <v>433</v>
      </c>
    </row>
    <row r="212" spans="1:6" hidden="1" outlineLevel="1" collapsed="1" x14ac:dyDescent="0.25">
      <c r="A212" s="295" t="s">
        <v>282</v>
      </c>
      <c r="B212" s="295" t="s">
        <v>358</v>
      </c>
      <c r="C212" s="293">
        <v>168716.4</v>
      </c>
      <c r="D212" s="293">
        <v>174840.24600000001</v>
      </c>
      <c r="E212" s="293">
        <v>6123.8459999999995</v>
      </c>
      <c r="F212" s="294" t="s">
        <v>434</v>
      </c>
    </row>
    <row r="213" spans="1:6" hidden="1" outlineLevel="1" collapsed="1" x14ac:dyDescent="0.25">
      <c r="A213" s="295" t="s">
        <v>282</v>
      </c>
      <c r="B213" s="295" t="s">
        <v>412</v>
      </c>
      <c r="C213" s="293">
        <v>7000</v>
      </c>
      <c r="D213" s="293">
        <v>7000</v>
      </c>
      <c r="E213" s="293">
        <v>0</v>
      </c>
      <c r="F213" s="294" t="s">
        <v>316</v>
      </c>
    </row>
    <row r="214" spans="1:6" hidden="1" outlineLevel="1" collapsed="1" x14ac:dyDescent="0.25">
      <c r="A214" s="295" t="s">
        <v>282</v>
      </c>
      <c r="B214" s="295" t="s">
        <v>360</v>
      </c>
      <c r="C214" s="293">
        <v>22017.4902</v>
      </c>
      <c r="D214" s="293">
        <v>25229.447489999999</v>
      </c>
      <c r="E214" s="293">
        <v>3211.9572899999998</v>
      </c>
      <c r="F214" s="294" t="s">
        <v>435</v>
      </c>
    </row>
    <row r="215" spans="1:6" hidden="1" outlineLevel="1" collapsed="1" x14ac:dyDescent="0.25">
      <c r="A215" s="295" t="s">
        <v>282</v>
      </c>
      <c r="B215" s="295" t="s">
        <v>362</v>
      </c>
      <c r="C215" s="293">
        <v>2547.8878</v>
      </c>
      <c r="D215" s="293">
        <v>2636.6835599999999</v>
      </c>
      <c r="E215" s="293">
        <v>88.795760000000001</v>
      </c>
      <c r="F215" s="294" t="s">
        <v>436</v>
      </c>
    </row>
    <row r="216" spans="1:6" hidden="1" outlineLevel="1" collapsed="1" x14ac:dyDescent="0.25">
      <c r="A216" s="295" t="s">
        <v>282</v>
      </c>
      <c r="B216" s="295" t="s">
        <v>363</v>
      </c>
      <c r="C216" s="293">
        <v>852.24959999999999</v>
      </c>
      <c r="D216" s="293">
        <v>844.08</v>
      </c>
      <c r="E216" s="293">
        <v>-8.1696000000000009</v>
      </c>
      <c r="F216" s="294" t="s">
        <v>364</v>
      </c>
    </row>
    <row r="217" spans="1:6" hidden="1" outlineLevel="1" collapsed="1" x14ac:dyDescent="0.25">
      <c r="A217" s="295" t="s">
        <v>282</v>
      </c>
      <c r="B217" s="295" t="s">
        <v>365</v>
      </c>
      <c r="C217" s="293">
        <v>30717.119999999999</v>
      </c>
      <c r="D217" s="293">
        <v>31918.560000000001</v>
      </c>
      <c r="E217" s="293">
        <v>1201.44</v>
      </c>
      <c r="F217" s="294" t="s">
        <v>366</v>
      </c>
    </row>
    <row r="218" spans="1:6" hidden="1" outlineLevel="1" collapsed="1" x14ac:dyDescent="0.25">
      <c r="A218" s="295" t="s">
        <v>282</v>
      </c>
      <c r="B218" s="295" t="s">
        <v>367</v>
      </c>
      <c r="C218" s="293">
        <v>467.07839999999999</v>
      </c>
      <c r="D218" s="293">
        <v>365.76</v>
      </c>
      <c r="E218" s="293">
        <v>-101.3184</v>
      </c>
      <c r="F218" s="294" t="s">
        <v>368</v>
      </c>
    </row>
    <row r="219" spans="1:6" hidden="1" outlineLevel="1" collapsed="1" x14ac:dyDescent="0.25">
      <c r="A219" s="295" t="s">
        <v>282</v>
      </c>
      <c r="B219" s="295" t="s">
        <v>369</v>
      </c>
      <c r="C219" s="293">
        <v>87.858199999999997</v>
      </c>
      <c r="D219" s="293">
        <v>90.920119999999997</v>
      </c>
      <c r="E219" s="293">
        <v>3.0619200000000002</v>
      </c>
      <c r="F219" s="294" t="s">
        <v>436</v>
      </c>
    </row>
    <row r="220" spans="1:6" hidden="1" outlineLevel="1" collapsed="1" x14ac:dyDescent="0.25">
      <c r="A220" s="295" t="s">
        <v>282</v>
      </c>
      <c r="B220" s="295" t="s">
        <v>370</v>
      </c>
      <c r="C220" s="293">
        <v>3000</v>
      </c>
      <c r="D220" s="293">
        <v>3000</v>
      </c>
      <c r="E220" s="293">
        <v>0</v>
      </c>
      <c r="F220" s="294" t="s">
        <v>316</v>
      </c>
    </row>
    <row r="221" spans="1:6" hidden="1" outlineLevel="1" collapsed="1" x14ac:dyDescent="0.25">
      <c r="A221" s="295" t="s">
        <v>282</v>
      </c>
      <c r="B221" s="295" t="s">
        <v>371</v>
      </c>
      <c r="C221" s="293">
        <v>99.36</v>
      </c>
      <c r="D221" s="293">
        <v>96.96</v>
      </c>
      <c r="E221" s="293">
        <v>-2.4</v>
      </c>
      <c r="F221" s="294" t="s">
        <v>372</v>
      </c>
    </row>
    <row r="222" spans="1:6" hidden="1" outlineLevel="1" collapsed="1" x14ac:dyDescent="0.25">
      <c r="A222" s="295" t="s">
        <v>282</v>
      </c>
      <c r="B222" s="295" t="s">
        <v>373</v>
      </c>
      <c r="C222" s="293">
        <v>48</v>
      </c>
      <c r="D222" s="293">
        <v>22.08</v>
      </c>
      <c r="E222" s="293">
        <v>-25.92</v>
      </c>
      <c r="F222" s="294" t="s">
        <v>374</v>
      </c>
    </row>
    <row r="223" spans="1:6" hidden="1" outlineLevel="1" collapsed="1" x14ac:dyDescent="0.25">
      <c r="A223" s="295" t="s">
        <v>282</v>
      </c>
      <c r="B223" s="295" t="s">
        <v>375</v>
      </c>
      <c r="C223" s="293">
        <v>363</v>
      </c>
      <c r="D223" s="293">
        <v>314</v>
      </c>
      <c r="E223" s="293">
        <v>-49</v>
      </c>
      <c r="F223" s="294" t="s">
        <v>437</v>
      </c>
    </row>
    <row r="224" spans="1:6" hidden="1" outlineLevel="1" collapsed="1" x14ac:dyDescent="0.25">
      <c r="A224" s="295" t="s">
        <v>282</v>
      </c>
      <c r="B224" s="295" t="s">
        <v>376</v>
      </c>
      <c r="C224" s="293">
        <v>265</v>
      </c>
      <c r="D224" s="293">
        <v>314</v>
      </c>
      <c r="E224" s="293">
        <v>49</v>
      </c>
      <c r="F224" s="294" t="s">
        <v>438</v>
      </c>
    </row>
    <row r="225" spans="1:6" collapsed="1" x14ac:dyDescent="0.25">
      <c r="A225" s="560" t="s">
        <v>439</v>
      </c>
      <c r="B225" s="561"/>
      <c r="C225" s="292">
        <v>619500.53527999995</v>
      </c>
      <c r="D225" s="293">
        <v>644743.03093000001</v>
      </c>
      <c r="E225" s="293">
        <v>25242.495650000001</v>
      </c>
      <c r="F225" s="294" t="s">
        <v>411</v>
      </c>
    </row>
    <row r="226" spans="1:6" hidden="1" outlineLevel="1" collapsed="1" x14ac:dyDescent="0.25">
      <c r="A226" s="295" t="s">
        <v>282</v>
      </c>
      <c r="B226" s="295" t="s">
        <v>358</v>
      </c>
      <c r="C226" s="293">
        <v>476144.16</v>
      </c>
      <c r="D226" s="293">
        <v>490889.32199999999</v>
      </c>
      <c r="E226" s="293">
        <v>14745.162</v>
      </c>
      <c r="F226" s="294" t="s">
        <v>440</v>
      </c>
    </row>
    <row r="227" spans="1:6" hidden="1" outlineLevel="1" collapsed="1" x14ac:dyDescent="0.25">
      <c r="A227" s="295" t="s">
        <v>282</v>
      </c>
      <c r="B227" s="295" t="s">
        <v>412</v>
      </c>
      <c r="C227" s="293">
        <v>7000</v>
      </c>
      <c r="D227" s="293">
        <v>7000</v>
      </c>
      <c r="E227" s="293">
        <v>0</v>
      </c>
      <c r="F227" s="294" t="s">
        <v>316</v>
      </c>
    </row>
    <row r="228" spans="1:6" hidden="1" outlineLevel="1" collapsed="1" x14ac:dyDescent="0.25">
      <c r="A228" s="295" t="s">
        <v>282</v>
      </c>
      <c r="B228" s="295" t="s">
        <v>441</v>
      </c>
      <c r="C228" s="293">
        <v>980</v>
      </c>
      <c r="D228" s="293">
        <v>980</v>
      </c>
      <c r="E228" s="293">
        <v>0</v>
      </c>
      <c r="F228" s="294" t="s">
        <v>316</v>
      </c>
    </row>
    <row r="229" spans="1:6" hidden="1" outlineLevel="1" collapsed="1" x14ac:dyDescent="0.25">
      <c r="A229" s="295" t="s">
        <v>282</v>
      </c>
      <c r="B229" s="295" t="s">
        <v>360</v>
      </c>
      <c r="C229" s="293">
        <v>62136.812879999998</v>
      </c>
      <c r="D229" s="293">
        <v>70835.329140000002</v>
      </c>
      <c r="E229" s="293">
        <v>8698.5162600000003</v>
      </c>
      <c r="F229" s="294" t="s">
        <v>442</v>
      </c>
    </row>
    <row r="230" spans="1:6" hidden="1" outlineLevel="1" collapsed="1" x14ac:dyDescent="0.25">
      <c r="A230" s="295" t="s">
        <v>282</v>
      </c>
      <c r="B230" s="295" t="s">
        <v>362</v>
      </c>
      <c r="C230" s="293">
        <v>7005.5903200000002</v>
      </c>
      <c r="D230" s="293">
        <v>7219.3951500000003</v>
      </c>
      <c r="E230" s="293">
        <v>213.80483000000001</v>
      </c>
      <c r="F230" s="294" t="s">
        <v>443</v>
      </c>
    </row>
    <row r="231" spans="1:6" hidden="1" outlineLevel="1" collapsed="1" x14ac:dyDescent="0.25">
      <c r="A231" s="295" t="s">
        <v>282</v>
      </c>
      <c r="B231" s="295" t="s">
        <v>363</v>
      </c>
      <c r="C231" s="293">
        <v>2130.6239999999998</v>
      </c>
      <c r="D231" s="293">
        <v>2110.1999999999998</v>
      </c>
      <c r="E231" s="293">
        <v>-20.423999999999999</v>
      </c>
      <c r="F231" s="294" t="s">
        <v>364</v>
      </c>
    </row>
    <row r="232" spans="1:6" hidden="1" outlineLevel="1" collapsed="1" x14ac:dyDescent="0.25">
      <c r="A232" s="295" t="s">
        <v>282</v>
      </c>
      <c r="B232" s="295" t="s">
        <v>365</v>
      </c>
      <c r="C232" s="293">
        <v>46075.68</v>
      </c>
      <c r="D232" s="293">
        <v>47877.84</v>
      </c>
      <c r="E232" s="293">
        <v>1802.16</v>
      </c>
      <c r="F232" s="294" t="s">
        <v>366</v>
      </c>
    </row>
    <row r="233" spans="1:6" hidden="1" outlineLevel="1" collapsed="1" x14ac:dyDescent="0.25">
      <c r="A233" s="295" t="s">
        <v>282</v>
      </c>
      <c r="B233" s="295" t="s">
        <v>367</v>
      </c>
      <c r="C233" s="293">
        <v>1167.6959999999999</v>
      </c>
      <c r="D233" s="293">
        <v>914.4</v>
      </c>
      <c r="E233" s="293">
        <v>-253.29599999999999</v>
      </c>
      <c r="F233" s="294" t="s">
        <v>368</v>
      </c>
    </row>
    <row r="234" spans="1:6" hidden="1" outlineLevel="1" collapsed="1" x14ac:dyDescent="0.25">
      <c r="A234" s="295" t="s">
        <v>282</v>
      </c>
      <c r="B234" s="295" t="s">
        <v>444</v>
      </c>
      <c r="C234" s="293">
        <v>0</v>
      </c>
      <c r="D234" s="293">
        <v>120</v>
      </c>
      <c r="E234" s="293">
        <v>120</v>
      </c>
      <c r="F234" s="294" t="s">
        <v>298</v>
      </c>
    </row>
    <row r="235" spans="1:6" hidden="1" outlineLevel="1" collapsed="1" x14ac:dyDescent="0.25">
      <c r="A235" s="295" t="s">
        <v>282</v>
      </c>
      <c r="B235" s="295" t="s">
        <v>369</v>
      </c>
      <c r="C235" s="293">
        <v>241.57208</v>
      </c>
      <c r="D235" s="293">
        <v>248.94463999999999</v>
      </c>
      <c r="E235" s="293">
        <v>7.37256</v>
      </c>
      <c r="F235" s="294" t="s">
        <v>443</v>
      </c>
    </row>
    <row r="236" spans="1:6" hidden="1" outlineLevel="1" collapsed="1" x14ac:dyDescent="0.25">
      <c r="A236" s="295" t="s">
        <v>282</v>
      </c>
      <c r="B236" s="295" t="s">
        <v>370</v>
      </c>
      <c r="C236" s="293">
        <v>7500</v>
      </c>
      <c r="D236" s="293">
        <v>7500</v>
      </c>
      <c r="E236" s="293">
        <v>0</v>
      </c>
      <c r="F236" s="294" t="s">
        <v>316</v>
      </c>
    </row>
    <row r="237" spans="1:6" hidden="1" outlineLevel="1" collapsed="1" x14ac:dyDescent="0.25">
      <c r="A237" s="295" t="s">
        <v>282</v>
      </c>
      <c r="B237" s="295" t="s">
        <v>371</v>
      </c>
      <c r="C237" s="293">
        <v>248.4</v>
      </c>
      <c r="D237" s="293">
        <v>242.4</v>
      </c>
      <c r="E237" s="293">
        <v>-6</v>
      </c>
      <c r="F237" s="294" t="s">
        <v>372</v>
      </c>
    </row>
    <row r="238" spans="1:6" hidden="1" outlineLevel="1" collapsed="1" x14ac:dyDescent="0.25">
      <c r="A238" s="295" t="s">
        <v>282</v>
      </c>
      <c r="B238" s="295" t="s">
        <v>373</v>
      </c>
      <c r="C238" s="293">
        <v>120</v>
      </c>
      <c r="D238" s="293">
        <v>55.2</v>
      </c>
      <c r="E238" s="293">
        <v>-64.8</v>
      </c>
      <c r="F238" s="294" t="s">
        <v>374</v>
      </c>
    </row>
    <row r="239" spans="1:6" hidden="1" outlineLevel="1" collapsed="1" x14ac:dyDescent="0.25">
      <c r="A239" s="295" t="s">
        <v>282</v>
      </c>
      <c r="B239" s="295" t="s">
        <v>445</v>
      </c>
      <c r="C239" s="293">
        <v>6000</v>
      </c>
      <c r="D239" s="293">
        <v>6000</v>
      </c>
      <c r="E239" s="293">
        <v>0</v>
      </c>
      <c r="F239" s="294" t="s">
        <v>316</v>
      </c>
    </row>
    <row r="240" spans="1:6" hidden="1" outlineLevel="1" collapsed="1" x14ac:dyDescent="0.25">
      <c r="A240" s="295" t="s">
        <v>282</v>
      </c>
      <c r="B240" s="295" t="s">
        <v>376</v>
      </c>
      <c r="C240" s="293">
        <v>941</v>
      </c>
      <c r="D240" s="293">
        <v>950</v>
      </c>
      <c r="E240" s="293">
        <v>9</v>
      </c>
      <c r="F240" s="294" t="s">
        <v>446</v>
      </c>
    </row>
    <row r="241" spans="1:6" hidden="1" outlineLevel="1" collapsed="1" x14ac:dyDescent="0.25">
      <c r="A241" s="295" t="s">
        <v>282</v>
      </c>
      <c r="B241" s="295" t="s">
        <v>426</v>
      </c>
      <c r="C241" s="293">
        <v>559</v>
      </c>
      <c r="D241" s="293">
        <v>550</v>
      </c>
      <c r="E241" s="293">
        <v>-9</v>
      </c>
      <c r="F241" s="294" t="s">
        <v>447</v>
      </c>
    </row>
    <row r="242" spans="1:6" hidden="1" outlineLevel="1" collapsed="1" x14ac:dyDescent="0.25">
      <c r="A242" s="295" t="s">
        <v>282</v>
      </c>
      <c r="B242" s="295" t="s">
        <v>448</v>
      </c>
      <c r="C242" s="293">
        <v>750</v>
      </c>
      <c r="D242" s="293">
        <v>750</v>
      </c>
      <c r="E242" s="293">
        <v>0</v>
      </c>
      <c r="F242" s="294" t="s">
        <v>316</v>
      </c>
    </row>
    <row r="243" spans="1:6" hidden="1" outlineLevel="1" collapsed="1" x14ac:dyDescent="0.25">
      <c r="A243" s="295" t="s">
        <v>282</v>
      </c>
      <c r="B243" s="295" t="s">
        <v>405</v>
      </c>
      <c r="C243" s="293">
        <v>500</v>
      </c>
      <c r="D243" s="293">
        <v>500</v>
      </c>
      <c r="E243" s="293">
        <v>0</v>
      </c>
      <c r="F243" s="294" t="s">
        <v>316</v>
      </c>
    </row>
    <row r="244" spans="1:6" collapsed="1" x14ac:dyDescent="0.25">
      <c r="A244" s="560" t="s">
        <v>449</v>
      </c>
      <c r="B244" s="561"/>
      <c r="C244" s="292">
        <v>250263.18705199999</v>
      </c>
      <c r="D244" s="293">
        <v>249846.697212</v>
      </c>
      <c r="E244" s="293">
        <v>-416.48984000000002</v>
      </c>
      <c r="F244" s="294" t="s">
        <v>450</v>
      </c>
    </row>
    <row r="245" spans="1:6" hidden="1" outlineLevel="1" collapsed="1" x14ac:dyDescent="0.25">
      <c r="A245" s="295" t="s">
        <v>282</v>
      </c>
      <c r="B245" s="295" t="s">
        <v>358</v>
      </c>
      <c r="C245" s="293">
        <v>163300.19998800001</v>
      </c>
      <c r="D245" s="293">
        <v>167891.190588</v>
      </c>
      <c r="E245" s="293">
        <v>4590.9906000000001</v>
      </c>
      <c r="F245" s="294" t="s">
        <v>451</v>
      </c>
    </row>
    <row r="246" spans="1:6" hidden="1" outlineLevel="1" collapsed="1" x14ac:dyDescent="0.25">
      <c r="A246" s="295" t="s">
        <v>282</v>
      </c>
      <c r="B246" s="295" t="s">
        <v>452</v>
      </c>
      <c r="C246" s="293">
        <v>1260</v>
      </c>
      <c r="D246" s="293">
        <v>1260</v>
      </c>
      <c r="E246" s="293">
        <v>0</v>
      </c>
      <c r="F246" s="294" t="s">
        <v>316</v>
      </c>
    </row>
    <row r="247" spans="1:6" hidden="1" outlineLevel="1" collapsed="1" x14ac:dyDescent="0.25">
      <c r="A247" s="295" t="s">
        <v>282</v>
      </c>
      <c r="B247" s="295" t="s">
        <v>453</v>
      </c>
      <c r="C247" s="293">
        <v>24200</v>
      </c>
      <c r="D247" s="293">
        <v>15000</v>
      </c>
      <c r="E247" s="293">
        <v>-9200</v>
      </c>
      <c r="F247" s="294" t="s">
        <v>454</v>
      </c>
    </row>
    <row r="248" spans="1:6" hidden="1" outlineLevel="1" collapsed="1" x14ac:dyDescent="0.25">
      <c r="A248" s="295" t="s">
        <v>282</v>
      </c>
      <c r="B248" s="295" t="s">
        <v>360</v>
      </c>
      <c r="C248" s="293">
        <v>21310.676088</v>
      </c>
      <c r="D248" s="293">
        <v>24226.698791999999</v>
      </c>
      <c r="E248" s="293">
        <v>2916.022704</v>
      </c>
      <c r="F248" s="294" t="s">
        <v>455</v>
      </c>
    </row>
    <row r="249" spans="1:6" hidden="1" outlineLevel="1" collapsed="1" x14ac:dyDescent="0.25">
      <c r="A249" s="295" t="s">
        <v>282</v>
      </c>
      <c r="B249" s="295" t="s">
        <v>362</v>
      </c>
      <c r="C249" s="293">
        <v>2367.8528879999999</v>
      </c>
      <c r="D249" s="293">
        <v>2434.4222519999998</v>
      </c>
      <c r="E249" s="293">
        <v>66.569363999999993</v>
      </c>
      <c r="F249" s="294" t="s">
        <v>451</v>
      </c>
    </row>
    <row r="250" spans="1:6" hidden="1" outlineLevel="1" collapsed="1" x14ac:dyDescent="0.25">
      <c r="A250" s="295" t="s">
        <v>282</v>
      </c>
      <c r="B250" s="295" t="s">
        <v>363</v>
      </c>
      <c r="C250" s="293">
        <v>852.24959999999999</v>
      </c>
      <c r="D250" s="293">
        <v>844.08</v>
      </c>
      <c r="E250" s="293">
        <v>-8.1696000000000009</v>
      </c>
      <c r="F250" s="294" t="s">
        <v>364</v>
      </c>
    </row>
    <row r="251" spans="1:6" hidden="1" outlineLevel="1" collapsed="1" x14ac:dyDescent="0.25">
      <c r="A251" s="295" t="s">
        <v>282</v>
      </c>
      <c r="B251" s="295" t="s">
        <v>365</v>
      </c>
      <c r="C251" s="293">
        <v>30717.119999999999</v>
      </c>
      <c r="D251" s="293">
        <v>31918.560000000001</v>
      </c>
      <c r="E251" s="293">
        <v>1201.44</v>
      </c>
      <c r="F251" s="294" t="s">
        <v>366</v>
      </c>
    </row>
    <row r="252" spans="1:6" hidden="1" outlineLevel="1" collapsed="1" x14ac:dyDescent="0.25">
      <c r="A252" s="295" t="s">
        <v>282</v>
      </c>
      <c r="B252" s="295" t="s">
        <v>367</v>
      </c>
      <c r="C252" s="293">
        <v>467.07839999999999</v>
      </c>
      <c r="D252" s="293">
        <v>365.76</v>
      </c>
      <c r="E252" s="293">
        <v>-101.3184</v>
      </c>
      <c r="F252" s="294" t="s">
        <v>368</v>
      </c>
    </row>
    <row r="253" spans="1:6" hidden="1" outlineLevel="1" collapsed="1" x14ac:dyDescent="0.25">
      <c r="A253" s="295" t="s">
        <v>282</v>
      </c>
      <c r="B253" s="295" t="s">
        <v>444</v>
      </c>
      <c r="C253" s="293">
        <v>1350</v>
      </c>
      <c r="D253" s="293">
        <v>1350</v>
      </c>
      <c r="E253" s="293">
        <v>0</v>
      </c>
      <c r="F253" s="294" t="s">
        <v>316</v>
      </c>
    </row>
    <row r="254" spans="1:6" hidden="1" outlineLevel="1" collapsed="1" x14ac:dyDescent="0.25">
      <c r="A254" s="295" t="s">
        <v>282</v>
      </c>
      <c r="B254" s="295" t="s">
        <v>369</v>
      </c>
      <c r="C254" s="293">
        <v>81.650087999999997</v>
      </c>
      <c r="D254" s="293">
        <v>83.945580000000007</v>
      </c>
      <c r="E254" s="293">
        <v>2.2954919999999999</v>
      </c>
      <c r="F254" s="294" t="s">
        <v>451</v>
      </c>
    </row>
    <row r="255" spans="1:6" hidden="1" outlineLevel="1" collapsed="1" x14ac:dyDescent="0.25">
      <c r="A255" s="295" t="s">
        <v>282</v>
      </c>
      <c r="B255" s="295" t="s">
        <v>370</v>
      </c>
      <c r="C255" s="293">
        <v>3000</v>
      </c>
      <c r="D255" s="293">
        <v>3000</v>
      </c>
      <c r="E255" s="293">
        <v>0</v>
      </c>
      <c r="F255" s="294" t="s">
        <v>316</v>
      </c>
    </row>
    <row r="256" spans="1:6" hidden="1" outlineLevel="1" collapsed="1" x14ac:dyDescent="0.25">
      <c r="A256" s="295" t="s">
        <v>282</v>
      </c>
      <c r="B256" s="295" t="s">
        <v>371</v>
      </c>
      <c r="C256" s="293">
        <v>99.36</v>
      </c>
      <c r="D256" s="293">
        <v>96.96</v>
      </c>
      <c r="E256" s="293">
        <v>-2.4</v>
      </c>
      <c r="F256" s="294" t="s">
        <v>372</v>
      </c>
    </row>
    <row r="257" spans="1:6" hidden="1" outlineLevel="1" collapsed="1" x14ac:dyDescent="0.25">
      <c r="A257" s="295" t="s">
        <v>282</v>
      </c>
      <c r="B257" s="295" t="s">
        <v>373</v>
      </c>
      <c r="C257" s="293">
        <v>48</v>
      </c>
      <c r="D257" s="293">
        <v>22.08</v>
      </c>
      <c r="E257" s="293">
        <v>-25.92</v>
      </c>
      <c r="F257" s="294" t="s">
        <v>374</v>
      </c>
    </row>
    <row r="258" spans="1:6" hidden="1" outlineLevel="1" collapsed="1" x14ac:dyDescent="0.25">
      <c r="A258" s="295" t="s">
        <v>282</v>
      </c>
      <c r="B258" s="295" t="s">
        <v>376</v>
      </c>
      <c r="C258" s="293">
        <v>209</v>
      </c>
      <c r="D258" s="293">
        <v>353</v>
      </c>
      <c r="E258" s="293">
        <v>144</v>
      </c>
      <c r="F258" s="294" t="s">
        <v>456</v>
      </c>
    </row>
    <row r="259" spans="1:6" hidden="1" outlineLevel="1" collapsed="1" x14ac:dyDescent="0.25">
      <c r="A259" s="295" t="s">
        <v>282</v>
      </c>
      <c r="B259" s="295" t="s">
        <v>448</v>
      </c>
      <c r="C259" s="293">
        <v>1000</v>
      </c>
      <c r="D259" s="293">
        <v>1000</v>
      </c>
      <c r="E259" s="293">
        <v>0</v>
      </c>
      <c r="F259" s="294" t="s">
        <v>316</v>
      </c>
    </row>
    <row r="260" spans="1:6" collapsed="1" x14ac:dyDescent="0.25">
      <c r="A260" s="560" t="s">
        <v>457</v>
      </c>
      <c r="B260" s="561"/>
      <c r="C260" s="292">
        <v>3778</v>
      </c>
      <c r="D260" s="293">
        <v>3613</v>
      </c>
      <c r="E260" s="293">
        <v>-165</v>
      </c>
      <c r="F260" s="294" t="s">
        <v>458</v>
      </c>
    </row>
    <row r="261" spans="1:6" hidden="1" outlineLevel="1" collapsed="1" x14ac:dyDescent="0.25">
      <c r="A261" s="295" t="s">
        <v>282</v>
      </c>
      <c r="B261" s="295" t="s">
        <v>441</v>
      </c>
      <c r="C261" s="293">
        <v>1838</v>
      </c>
      <c r="D261" s="293">
        <v>1838</v>
      </c>
      <c r="E261" s="293">
        <v>0</v>
      </c>
      <c r="F261" s="294" t="s">
        <v>316</v>
      </c>
    </row>
    <row r="262" spans="1:6" hidden="1" outlineLevel="1" collapsed="1" x14ac:dyDescent="0.25">
      <c r="A262" s="295" t="s">
        <v>282</v>
      </c>
      <c r="B262" s="295" t="s">
        <v>452</v>
      </c>
      <c r="C262" s="293">
        <v>850</v>
      </c>
      <c r="D262" s="293">
        <v>850</v>
      </c>
      <c r="E262" s="293">
        <v>0</v>
      </c>
      <c r="F262" s="294" t="s">
        <v>316</v>
      </c>
    </row>
    <row r="263" spans="1:6" hidden="1" outlineLevel="1" collapsed="1" x14ac:dyDescent="0.25">
      <c r="A263" s="295" t="s">
        <v>282</v>
      </c>
      <c r="B263" s="295" t="s">
        <v>444</v>
      </c>
      <c r="C263" s="293">
        <v>390</v>
      </c>
      <c r="D263" s="293">
        <v>225</v>
      </c>
      <c r="E263" s="293">
        <v>-165</v>
      </c>
      <c r="F263" s="294" t="s">
        <v>459</v>
      </c>
    </row>
    <row r="264" spans="1:6" hidden="1" outlineLevel="1" collapsed="1" x14ac:dyDescent="0.25">
      <c r="A264" s="295" t="s">
        <v>282</v>
      </c>
      <c r="B264" s="295" t="s">
        <v>375</v>
      </c>
      <c r="C264" s="293">
        <v>100</v>
      </c>
      <c r="D264" s="293">
        <v>100</v>
      </c>
      <c r="E264" s="293">
        <v>0</v>
      </c>
      <c r="F264" s="294" t="s">
        <v>316</v>
      </c>
    </row>
    <row r="265" spans="1:6" hidden="1" outlineLevel="1" collapsed="1" x14ac:dyDescent="0.25">
      <c r="A265" s="295" t="s">
        <v>282</v>
      </c>
      <c r="B265" s="295" t="s">
        <v>376</v>
      </c>
      <c r="C265" s="293">
        <v>100</v>
      </c>
      <c r="D265" s="293">
        <v>100</v>
      </c>
      <c r="E265" s="293">
        <v>0</v>
      </c>
      <c r="F265" s="294" t="s">
        <v>316</v>
      </c>
    </row>
    <row r="266" spans="1:6" hidden="1" outlineLevel="1" collapsed="1" x14ac:dyDescent="0.25">
      <c r="A266" s="295" t="s">
        <v>282</v>
      </c>
      <c r="B266" s="295" t="s">
        <v>405</v>
      </c>
      <c r="C266" s="293">
        <v>500</v>
      </c>
      <c r="D266" s="293">
        <v>500</v>
      </c>
      <c r="E266" s="293">
        <v>0</v>
      </c>
      <c r="F266" s="294" t="s">
        <v>316</v>
      </c>
    </row>
    <row r="267" spans="1:6" collapsed="1" x14ac:dyDescent="0.25">
      <c r="A267" s="560" t="s">
        <v>460</v>
      </c>
      <c r="B267" s="561"/>
      <c r="C267" s="292">
        <v>100</v>
      </c>
      <c r="D267" s="293">
        <v>100</v>
      </c>
      <c r="E267" s="293">
        <v>0</v>
      </c>
      <c r="F267" s="294" t="s">
        <v>316</v>
      </c>
    </row>
    <row r="268" spans="1:6" hidden="1" outlineLevel="1" collapsed="1" x14ac:dyDescent="0.25">
      <c r="A268" s="295" t="s">
        <v>282</v>
      </c>
      <c r="B268" s="295" t="s">
        <v>375</v>
      </c>
      <c r="C268" s="293">
        <v>25</v>
      </c>
      <c r="D268" s="293">
        <v>25</v>
      </c>
      <c r="E268" s="293">
        <v>0</v>
      </c>
      <c r="F268" s="294" t="s">
        <v>316</v>
      </c>
    </row>
    <row r="269" spans="1:6" hidden="1" outlineLevel="1" collapsed="1" x14ac:dyDescent="0.25">
      <c r="A269" s="295" t="s">
        <v>282</v>
      </c>
      <c r="B269" s="295" t="s">
        <v>376</v>
      </c>
      <c r="C269" s="293">
        <v>25</v>
      </c>
      <c r="D269" s="293">
        <v>25</v>
      </c>
      <c r="E269" s="293">
        <v>0</v>
      </c>
      <c r="F269" s="294" t="s">
        <v>316</v>
      </c>
    </row>
    <row r="270" spans="1:6" hidden="1" outlineLevel="1" collapsed="1" x14ac:dyDescent="0.25">
      <c r="A270" s="295" t="s">
        <v>282</v>
      </c>
      <c r="B270" s="295" t="s">
        <v>401</v>
      </c>
      <c r="C270" s="293">
        <v>25</v>
      </c>
      <c r="D270" s="293">
        <v>25</v>
      </c>
      <c r="E270" s="293">
        <v>0</v>
      </c>
      <c r="F270" s="294" t="s">
        <v>316</v>
      </c>
    </row>
    <row r="271" spans="1:6" hidden="1" outlineLevel="1" collapsed="1" x14ac:dyDescent="0.25">
      <c r="A271" s="295" t="s">
        <v>282</v>
      </c>
      <c r="B271" s="295" t="s">
        <v>405</v>
      </c>
      <c r="C271" s="293">
        <v>12</v>
      </c>
      <c r="D271" s="293">
        <v>12</v>
      </c>
      <c r="E271" s="293">
        <v>0</v>
      </c>
      <c r="F271" s="294" t="s">
        <v>316</v>
      </c>
    </row>
    <row r="272" spans="1:6" hidden="1" outlineLevel="1" collapsed="1" x14ac:dyDescent="0.25">
      <c r="A272" s="295" t="s">
        <v>282</v>
      </c>
      <c r="B272" s="295" t="s">
        <v>422</v>
      </c>
      <c r="C272" s="293">
        <v>13</v>
      </c>
      <c r="D272" s="293">
        <v>13</v>
      </c>
      <c r="E272" s="293">
        <v>0</v>
      </c>
      <c r="F272" s="294" t="s">
        <v>316</v>
      </c>
    </row>
    <row r="273" spans="1:6" collapsed="1" x14ac:dyDescent="0.25">
      <c r="A273" s="560" t="s">
        <v>461</v>
      </c>
      <c r="B273" s="561"/>
      <c r="C273" s="292">
        <v>1147875.6371520001</v>
      </c>
      <c r="D273" s="293">
        <v>1197406.4967680001</v>
      </c>
      <c r="E273" s="293">
        <v>49530.859616000002</v>
      </c>
      <c r="F273" s="294" t="s">
        <v>462</v>
      </c>
    </row>
    <row r="274" spans="1:6" hidden="1" outlineLevel="1" collapsed="1" x14ac:dyDescent="0.25">
      <c r="A274" s="295" t="s">
        <v>282</v>
      </c>
      <c r="B274" s="295" t="s">
        <v>358</v>
      </c>
      <c r="C274" s="293">
        <v>802220.64</v>
      </c>
      <c r="D274" s="293">
        <v>829948.61040000001</v>
      </c>
      <c r="E274" s="293">
        <v>27727.970399999998</v>
      </c>
      <c r="F274" s="294" t="s">
        <v>463</v>
      </c>
    </row>
    <row r="275" spans="1:6" hidden="1" outlineLevel="1" collapsed="1" x14ac:dyDescent="0.25">
      <c r="A275" s="295" t="s">
        <v>282</v>
      </c>
      <c r="B275" s="295" t="s">
        <v>412</v>
      </c>
      <c r="C275" s="293">
        <v>8000</v>
      </c>
      <c r="D275" s="293">
        <v>8000</v>
      </c>
      <c r="E275" s="293">
        <v>0</v>
      </c>
      <c r="F275" s="294" t="s">
        <v>316</v>
      </c>
    </row>
    <row r="276" spans="1:6" hidden="1" outlineLevel="1" collapsed="1" x14ac:dyDescent="0.25">
      <c r="A276" s="295" t="s">
        <v>282</v>
      </c>
      <c r="B276" s="295" t="s">
        <v>464</v>
      </c>
      <c r="C276" s="293">
        <v>40087.469276000003</v>
      </c>
      <c r="D276" s="293">
        <v>41270.396467999999</v>
      </c>
      <c r="E276" s="293">
        <v>1182.9271920000001</v>
      </c>
      <c r="F276" s="294" t="s">
        <v>465</v>
      </c>
    </row>
    <row r="277" spans="1:6" hidden="1" outlineLevel="1" collapsed="1" x14ac:dyDescent="0.25">
      <c r="A277" s="295" t="s">
        <v>282</v>
      </c>
      <c r="B277" s="295" t="s">
        <v>360</v>
      </c>
      <c r="C277" s="293">
        <v>94434.059519999995</v>
      </c>
      <c r="D277" s="293">
        <v>107956.73321999999</v>
      </c>
      <c r="E277" s="293">
        <v>13522.673699999999</v>
      </c>
      <c r="F277" s="294" t="s">
        <v>466</v>
      </c>
    </row>
    <row r="278" spans="1:6" hidden="1" outlineLevel="1" collapsed="1" x14ac:dyDescent="0.25">
      <c r="A278" s="295" t="s">
        <v>282</v>
      </c>
      <c r="B278" s="295" t="s">
        <v>384</v>
      </c>
      <c r="C278" s="293">
        <v>4923.4936319999997</v>
      </c>
      <c r="D278" s="293">
        <v>0</v>
      </c>
      <c r="E278" s="293">
        <v>-4923.4936319999997</v>
      </c>
      <c r="F278" s="294" t="s">
        <v>286</v>
      </c>
    </row>
    <row r="279" spans="1:6" hidden="1" outlineLevel="1" collapsed="1" x14ac:dyDescent="0.25">
      <c r="A279" s="295" t="s">
        <v>282</v>
      </c>
      <c r="B279" s="295" t="s">
        <v>385</v>
      </c>
      <c r="C279" s="293">
        <v>0</v>
      </c>
      <c r="D279" s="293">
        <v>6370.6226399999996</v>
      </c>
      <c r="E279" s="293">
        <v>6370.6226399999996</v>
      </c>
      <c r="F279" s="294" t="s">
        <v>298</v>
      </c>
    </row>
    <row r="280" spans="1:6" hidden="1" outlineLevel="1" collapsed="1" x14ac:dyDescent="0.25">
      <c r="A280" s="295" t="s">
        <v>282</v>
      </c>
      <c r="B280" s="295" t="s">
        <v>386</v>
      </c>
      <c r="C280" s="293">
        <v>2485.423092</v>
      </c>
      <c r="D280" s="293">
        <v>0</v>
      </c>
      <c r="E280" s="293">
        <v>-2485.423092</v>
      </c>
      <c r="F280" s="294" t="s">
        <v>286</v>
      </c>
    </row>
    <row r="281" spans="1:6" hidden="1" outlineLevel="1" collapsed="1" x14ac:dyDescent="0.25">
      <c r="A281" s="295" t="s">
        <v>282</v>
      </c>
      <c r="B281" s="295" t="s">
        <v>387</v>
      </c>
      <c r="C281" s="293">
        <v>0</v>
      </c>
      <c r="D281" s="293">
        <v>2558.764572</v>
      </c>
      <c r="E281" s="293">
        <v>2558.764572</v>
      </c>
      <c r="F281" s="294" t="s">
        <v>298</v>
      </c>
    </row>
    <row r="282" spans="1:6" hidden="1" outlineLevel="1" collapsed="1" x14ac:dyDescent="0.25">
      <c r="A282" s="295" t="s">
        <v>282</v>
      </c>
      <c r="B282" s="295" t="s">
        <v>362</v>
      </c>
      <c r="C282" s="293">
        <v>10608.673280000001</v>
      </c>
      <c r="D282" s="293">
        <v>10964.04314</v>
      </c>
      <c r="E282" s="293">
        <v>355.36986000000002</v>
      </c>
      <c r="F282" s="294" t="s">
        <v>467</v>
      </c>
    </row>
    <row r="283" spans="1:6" hidden="1" outlineLevel="1" collapsed="1" x14ac:dyDescent="0.25">
      <c r="A283" s="295" t="s">
        <v>282</v>
      </c>
      <c r="B283" s="295" t="s">
        <v>388</v>
      </c>
      <c r="C283" s="293">
        <v>581.26829999999995</v>
      </c>
      <c r="D283" s="293">
        <v>598.42074000000002</v>
      </c>
      <c r="E283" s="293">
        <v>17.152439999999999</v>
      </c>
      <c r="F283" s="294" t="s">
        <v>465</v>
      </c>
    </row>
    <row r="284" spans="1:6" hidden="1" outlineLevel="1" collapsed="1" x14ac:dyDescent="0.25">
      <c r="A284" s="295" t="s">
        <v>282</v>
      </c>
      <c r="B284" s="295" t="s">
        <v>363</v>
      </c>
      <c r="C284" s="293">
        <v>3835.1232</v>
      </c>
      <c r="D284" s="293">
        <v>3798.36</v>
      </c>
      <c r="E284" s="293">
        <v>-36.763199999999998</v>
      </c>
      <c r="F284" s="294" t="s">
        <v>364</v>
      </c>
    </row>
    <row r="285" spans="1:6" hidden="1" outlineLevel="1" collapsed="1" x14ac:dyDescent="0.25">
      <c r="A285" s="295" t="s">
        <v>282</v>
      </c>
      <c r="B285" s="295" t="s">
        <v>365</v>
      </c>
      <c r="C285" s="293">
        <v>138227.04</v>
      </c>
      <c r="D285" s="293">
        <v>143633.51999999999</v>
      </c>
      <c r="E285" s="293">
        <v>5406.48</v>
      </c>
      <c r="F285" s="294" t="s">
        <v>366</v>
      </c>
    </row>
    <row r="286" spans="1:6" hidden="1" outlineLevel="1" collapsed="1" x14ac:dyDescent="0.25">
      <c r="A286" s="295" t="s">
        <v>282</v>
      </c>
      <c r="B286" s="295" t="s">
        <v>367</v>
      </c>
      <c r="C286" s="293">
        <v>2101.8528000000001</v>
      </c>
      <c r="D286" s="293">
        <v>1645.92</v>
      </c>
      <c r="E286" s="293">
        <v>-455.93279999999999</v>
      </c>
      <c r="F286" s="294" t="s">
        <v>368</v>
      </c>
    </row>
    <row r="287" spans="1:6" hidden="1" outlineLevel="1" collapsed="1" x14ac:dyDescent="0.25">
      <c r="A287" s="295" t="s">
        <v>282</v>
      </c>
      <c r="B287" s="295" t="s">
        <v>389</v>
      </c>
      <c r="C287" s="293">
        <v>426.12479999999999</v>
      </c>
      <c r="D287" s="293">
        <v>422.04</v>
      </c>
      <c r="E287" s="293">
        <v>-4.0848000000000004</v>
      </c>
      <c r="F287" s="294" t="s">
        <v>364</v>
      </c>
    </row>
    <row r="288" spans="1:6" hidden="1" outlineLevel="1" collapsed="1" x14ac:dyDescent="0.25">
      <c r="A288" s="295" t="s">
        <v>282</v>
      </c>
      <c r="B288" s="295" t="s">
        <v>390</v>
      </c>
      <c r="C288" s="293">
        <v>15485.27</v>
      </c>
      <c r="D288" s="293">
        <v>15959.28</v>
      </c>
      <c r="E288" s="293">
        <v>474.01</v>
      </c>
      <c r="F288" s="294" t="s">
        <v>391</v>
      </c>
    </row>
    <row r="289" spans="1:6" hidden="1" outlineLevel="1" collapsed="1" x14ac:dyDescent="0.25">
      <c r="A289" s="295" t="s">
        <v>282</v>
      </c>
      <c r="B289" s="295" t="s">
        <v>392</v>
      </c>
      <c r="C289" s="293">
        <v>233.53919999999999</v>
      </c>
      <c r="D289" s="293">
        <v>182.88</v>
      </c>
      <c r="E289" s="293">
        <v>-50.659199999999998</v>
      </c>
      <c r="F289" s="294" t="s">
        <v>368</v>
      </c>
    </row>
    <row r="290" spans="1:6" hidden="1" outlineLevel="1" collapsed="1" x14ac:dyDescent="0.25">
      <c r="A290" s="295" t="s">
        <v>282</v>
      </c>
      <c r="B290" s="295" t="s">
        <v>369</v>
      </c>
      <c r="C290" s="293">
        <v>365.81632000000002</v>
      </c>
      <c r="D290" s="293">
        <v>378.07040000000001</v>
      </c>
      <c r="E290" s="293">
        <v>12.25408</v>
      </c>
      <c r="F290" s="294" t="s">
        <v>467</v>
      </c>
    </row>
    <row r="291" spans="1:6" hidden="1" outlineLevel="1" collapsed="1" x14ac:dyDescent="0.25">
      <c r="A291" s="295" t="s">
        <v>282</v>
      </c>
      <c r="B291" s="295" t="s">
        <v>393</v>
      </c>
      <c r="C291" s="293">
        <v>20.043731999999999</v>
      </c>
      <c r="D291" s="293">
        <v>20.635187999999999</v>
      </c>
      <c r="E291" s="293">
        <v>0.59145599999999998</v>
      </c>
      <c r="F291" s="294" t="s">
        <v>465</v>
      </c>
    </row>
    <row r="292" spans="1:6" hidden="1" outlineLevel="1" collapsed="1" x14ac:dyDescent="0.25">
      <c r="A292" s="295" t="s">
        <v>282</v>
      </c>
      <c r="B292" s="295" t="s">
        <v>370</v>
      </c>
      <c r="C292" s="293">
        <v>13500</v>
      </c>
      <c r="D292" s="293">
        <v>13500</v>
      </c>
      <c r="E292" s="293">
        <v>0</v>
      </c>
      <c r="F292" s="294" t="s">
        <v>316</v>
      </c>
    </row>
    <row r="293" spans="1:6" hidden="1" outlineLevel="1" collapsed="1" x14ac:dyDescent="0.25">
      <c r="A293" s="295" t="s">
        <v>282</v>
      </c>
      <c r="B293" s="295" t="s">
        <v>394</v>
      </c>
      <c r="C293" s="293">
        <v>1500</v>
      </c>
      <c r="D293" s="293">
        <v>0</v>
      </c>
      <c r="E293" s="293">
        <v>-1500</v>
      </c>
      <c r="F293" s="294" t="s">
        <v>286</v>
      </c>
    </row>
    <row r="294" spans="1:6" hidden="1" outlineLevel="1" collapsed="1" x14ac:dyDescent="0.25">
      <c r="A294" s="295" t="s">
        <v>282</v>
      </c>
      <c r="B294" s="295" t="s">
        <v>395</v>
      </c>
      <c r="C294" s="293">
        <v>0</v>
      </c>
      <c r="D294" s="293">
        <v>1500</v>
      </c>
      <c r="E294" s="293">
        <v>1500</v>
      </c>
      <c r="F294" s="294" t="s">
        <v>298</v>
      </c>
    </row>
    <row r="295" spans="1:6" hidden="1" outlineLevel="1" collapsed="1" x14ac:dyDescent="0.25">
      <c r="A295" s="295" t="s">
        <v>282</v>
      </c>
      <c r="B295" s="295" t="s">
        <v>371</v>
      </c>
      <c r="C295" s="293">
        <v>447.12</v>
      </c>
      <c r="D295" s="293">
        <v>436.32</v>
      </c>
      <c r="E295" s="293">
        <v>-10.8</v>
      </c>
      <c r="F295" s="294" t="s">
        <v>372</v>
      </c>
    </row>
    <row r="296" spans="1:6" hidden="1" outlineLevel="1" collapsed="1" x14ac:dyDescent="0.25">
      <c r="A296" s="295" t="s">
        <v>282</v>
      </c>
      <c r="B296" s="295" t="s">
        <v>396</v>
      </c>
      <c r="C296" s="293">
        <v>49.68</v>
      </c>
      <c r="D296" s="293">
        <v>0</v>
      </c>
      <c r="E296" s="293">
        <v>-49.68</v>
      </c>
      <c r="F296" s="294" t="s">
        <v>286</v>
      </c>
    </row>
    <row r="297" spans="1:6" hidden="1" outlineLevel="1" collapsed="1" x14ac:dyDescent="0.25">
      <c r="A297" s="295" t="s">
        <v>282</v>
      </c>
      <c r="B297" s="295" t="s">
        <v>397</v>
      </c>
      <c r="C297" s="293">
        <v>0</v>
      </c>
      <c r="D297" s="293">
        <v>48.48</v>
      </c>
      <c r="E297" s="293">
        <v>48.48</v>
      </c>
      <c r="F297" s="294" t="s">
        <v>298</v>
      </c>
    </row>
    <row r="298" spans="1:6" hidden="1" outlineLevel="1" collapsed="1" x14ac:dyDescent="0.25">
      <c r="A298" s="295" t="s">
        <v>282</v>
      </c>
      <c r="B298" s="295" t="s">
        <v>373</v>
      </c>
      <c r="C298" s="293">
        <v>216</v>
      </c>
      <c r="D298" s="293">
        <v>99.36</v>
      </c>
      <c r="E298" s="293">
        <v>-116.64</v>
      </c>
      <c r="F298" s="294" t="s">
        <v>374</v>
      </c>
    </row>
    <row r="299" spans="1:6" hidden="1" outlineLevel="1" collapsed="1" x14ac:dyDescent="0.25">
      <c r="A299" s="295" t="s">
        <v>282</v>
      </c>
      <c r="B299" s="295" t="s">
        <v>398</v>
      </c>
      <c r="C299" s="293">
        <v>24</v>
      </c>
      <c r="D299" s="293">
        <v>11.04</v>
      </c>
      <c r="E299" s="293">
        <v>-12.96</v>
      </c>
      <c r="F299" s="294" t="s">
        <v>374</v>
      </c>
    </row>
    <row r="300" spans="1:6" hidden="1" outlineLevel="1" collapsed="1" x14ac:dyDescent="0.25">
      <c r="A300" s="295" t="s">
        <v>282</v>
      </c>
      <c r="B300" s="295" t="s">
        <v>375</v>
      </c>
      <c r="C300" s="293">
        <v>3998</v>
      </c>
      <c r="D300" s="293">
        <v>3998</v>
      </c>
      <c r="E300" s="293">
        <v>0</v>
      </c>
      <c r="F300" s="294" t="s">
        <v>316</v>
      </c>
    </row>
    <row r="301" spans="1:6" hidden="1" outlineLevel="1" collapsed="1" x14ac:dyDescent="0.25">
      <c r="A301" s="295" t="s">
        <v>282</v>
      </c>
      <c r="B301" s="295" t="s">
        <v>376</v>
      </c>
      <c r="C301" s="293">
        <v>265</v>
      </c>
      <c r="D301" s="293">
        <v>265</v>
      </c>
      <c r="E301" s="293">
        <v>0</v>
      </c>
      <c r="F301" s="294" t="s">
        <v>316</v>
      </c>
    </row>
    <row r="302" spans="1:6" hidden="1" outlineLevel="1" collapsed="1" x14ac:dyDescent="0.25">
      <c r="A302" s="295" t="s">
        <v>282</v>
      </c>
      <c r="B302" s="295" t="s">
        <v>403</v>
      </c>
      <c r="C302" s="293">
        <v>2993</v>
      </c>
      <c r="D302" s="293">
        <v>2993</v>
      </c>
      <c r="E302" s="293">
        <v>0</v>
      </c>
      <c r="F302" s="294" t="s">
        <v>316</v>
      </c>
    </row>
    <row r="303" spans="1:6" hidden="1" outlineLevel="1" collapsed="1" x14ac:dyDescent="0.25">
      <c r="A303" s="295" t="s">
        <v>282</v>
      </c>
      <c r="B303" s="295" t="s">
        <v>422</v>
      </c>
      <c r="C303" s="293">
        <v>847</v>
      </c>
      <c r="D303" s="293">
        <v>847</v>
      </c>
      <c r="E303" s="293">
        <v>0</v>
      </c>
      <c r="F303" s="294" t="s">
        <v>316</v>
      </c>
    </row>
    <row r="304" spans="1:6" collapsed="1" x14ac:dyDescent="0.25">
      <c r="A304" s="560" t="s">
        <v>468</v>
      </c>
      <c r="B304" s="561"/>
      <c r="C304" s="292">
        <v>194955.69</v>
      </c>
      <c r="D304" s="293">
        <v>206664</v>
      </c>
      <c r="E304" s="293">
        <v>11708.31</v>
      </c>
      <c r="F304" s="294" t="s">
        <v>469</v>
      </c>
    </row>
    <row r="305" spans="1:6" hidden="1" outlineLevel="1" collapsed="1" x14ac:dyDescent="0.25">
      <c r="A305" s="295" t="s">
        <v>282</v>
      </c>
      <c r="B305" s="295" t="s">
        <v>470</v>
      </c>
      <c r="C305" s="293">
        <v>49348</v>
      </c>
      <c r="D305" s="293">
        <v>49348</v>
      </c>
      <c r="E305" s="293">
        <v>0</v>
      </c>
      <c r="F305" s="294" t="s">
        <v>316</v>
      </c>
    </row>
    <row r="306" spans="1:6" hidden="1" outlineLevel="1" collapsed="1" x14ac:dyDescent="0.25">
      <c r="A306" s="295" t="s">
        <v>282</v>
      </c>
      <c r="B306" s="295" t="s">
        <v>471</v>
      </c>
      <c r="C306" s="293">
        <v>123087</v>
      </c>
      <c r="D306" s="293">
        <v>134795</v>
      </c>
      <c r="E306" s="293">
        <v>11708</v>
      </c>
      <c r="F306" s="294" t="s">
        <v>472</v>
      </c>
    </row>
    <row r="307" spans="1:6" hidden="1" outlineLevel="1" collapsed="1" x14ac:dyDescent="0.25">
      <c r="A307" s="295" t="s">
        <v>282</v>
      </c>
      <c r="B307" s="295" t="s">
        <v>444</v>
      </c>
      <c r="C307" s="293">
        <v>22520.69</v>
      </c>
      <c r="D307" s="293">
        <v>22521</v>
      </c>
      <c r="E307" s="293">
        <v>0.31</v>
      </c>
      <c r="F307" s="294" t="s">
        <v>316</v>
      </c>
    </row>
    <row r="308" spans="1:6" collapsed="1" x14ac:dyDescent="0.25">
      <c r="A308" s="560" t="s">
        <v>473</v>
      </c>
      <c r="B308" s="561"/>
      <c r="C308" s="292">
        <v>89707.4571</v>
      </c>
      <c r="D308" s="293">
        <v>94155.213915</v>
      </c>
      <c r="E308" s="293">
        <v>4447.7568149999997</v>
      </c>
      <c r="F308" s="294" t="s">
        <v>474</v>
      </c>
    </row>
    <row r="309" spans="1:6" hidden="1" outlineLevel="1" collapsed="1" x14ac:dyDescent="0.25">
      <c r="A309" s="295" t="s">
        <v>282</v>
      </c>
      <c r="B309" s="295" t="s">
        <v>380</v>
      </c>
      <c r="C309" s="293">
        <v>59544.365755999999</v>
      </c>
      <c r="D309" s="293">
        <v>61301.776471999998</v>
      </c>
      <c r="E309" s="293">
        <v>1757.4107160000001</v>
      </c>
      <c r="F309" s="294" t="s">
        <v>465</v>
      </c>
    </row>
    <row r="310" spans="1:6" hidden="1" outlineLevel="1" collapsed="1" x14ac:dyDescent="0.25">
      <c r="A310" s="295" t="s">
        <v>282</v>
      </c>
      <c r="B310" s="295" t="s">
        <v>475</v>
      </c>
      <c r="C310" s="293">
        <v>0</v>
      </c>
      <c r="D310" s="293">
        <v>500</v>
      </c>
      <c r="E310" s="293">
        <v>500</v>
      </c>
      <c r="F310" s="294" t="s">
        <v>298</v>
      </c>
    </row>
    <row r="311" spans="1:6" hidden="1" outlineLevel="1" collapsed="1" x14ac:dyDescent="0.25">
      <c r="A311" s="295" t="s">
        <v>282</v>
      </c>
      <c r="B311" s="295" t="s">
        <v>476</v>
      </c>
      <c r="C311" s="293">
        <v>500</v>
      </c>
      <c r="D311" s="293">
        <v>0</v>
      </c>
      <c r="E311" s="293">
        <v>-500</v>
      </c>
      <c r="F311" s="294" t="s">
        <v>286</v>
      </c>
    </row>
    <row r="312" spans="1:6" hidden="1" outlineLevel="1" collapsed="1" x14ac:dyDescent="0.25">
      <c r="A312" s="295" t="s">
        <v>282</v>
      </c>
      <c r="B312" s="295" t="s">
        <v>384</v>
      </c>
      <c r="C312" s="293">
        <v>7314.5612039999996</v>
      </c>
      <c r="D312" s="293">
        <v>0</v>
      </c>
      <c r="E312" s="293">
        <v>-7314.5612039999996</v>
      </c>
      <c r="F312" s="294" t="s">
        <v>286</v>
      </c>
    </row>
    <row r="313" spans="1:6" hidden="1" outlineLevel="1" collapsed="1" x14ac:dyDescent="0.25">
      <c r="A313" s="295" t="s">
        <v>282</v>
      </c>
      <c r="B313" s="295" t="s">
        <v>385</v>
      </c>
      <c r="C313" s="293">
        <v>0</v>
      </c>
      <c r="D313" s="293">
        <v>9464.4806759999992</v>
      </c>
      <c r="E313" s="293">
        <v>9464.4806759999992</v>
      </c>
      <c r="F313" s="294" t="s">
        <v>298</v>
      </c>
    </row>
    <row r="314" spans="1:6" hidden="1" outlineLevel="1" collapsed="1" x14ac:dyDescent="0.25">
      <c r="A314" s="295" t="s">
        <v>282</v>
      </c>
      <c r="B314" s="295" t="s">
        <v>386</v>
      </c>
      <c r="C314" s="293">
        <v>3691.7506680000001</v>
      </c>
      <c r="D314" s="293">
        <v>0</v>
      </c>
      <c r="E314" s="293">
        <v>-3691.7506680000001</v>
      </c>
      <c r="F314" s="294" t="s">
        <v>286</v>
      </c>
    </row>
    <row r="315" spans="1:6" hidden="1" outlineLevel="1" collapsed="1" x14ac:dyDescent="0.25">
      <c r="A315" s="295" t="s">
        <v>282</v>
      </c>
      <c r="B315" s="295" t="s">
        <v>387</v>
      </c>
      <c r="C315" s="293">
        <v>0</v>
      </c>
      <c r="D315" s="293">
        <v>3800.7101389999998</v>
      </c>
      <c r="E315" s="293">
        <v>3800.7101389999998</v>
      </c>
      <c r="F315" s="294" t="s">
        <v>298</v>
      </c>
    </row>
    <row r="316" spans="1:6" hidden="1" outlineLevel="1" collapsed="1" x14ac:dyDescent="0.25">
      <c r="A316" s="295" t="s">
        <v>282</v>
      </c>
      <c r="B316" s="295" t="s">
        <v>388</v>
      </c>
      <c r="C316" s="293">
        <v>863.39329199999997</v>
      </c>
      <c r="D316" s="293">
        <v>888.87574800000004</v>
      </c>
      <c r="E316" s="293">
        <v>25.482455999999999</v>
      </c>
      <c r="F316" s="294" t="s">
        <v>465</v>
      </c>
    </row>
    <row r="317" spans="1:6" hidden="1" outlineLevel="1" collapsed="1" x14ac:dyDescent="0.25">
      <c r="A317" s="295" t="s">
        <v>282</v>
      </c>
      <c r="B317" s="295" t="s">
        <v>444</v>
      </c>
      <c r="C317" s="293">
        <v>45</v>
      </c>
      <c r="D317" s="293">
        <v>45</v>
      </c>
      <c r="E317" s="293">
        <v>0</v>
      </c>
      <c r="F317" s="294" t="s">
        <v>316</v>
      </c>
    </row>
    <row r="318" spans="1:6" hidden="1" outlineLevel="1" collapsed="1" x14ac:dyDescent="0.25">
      <c r="A318" s="295" t="s">
        <v>282</v>
      </c>
      <c r="B318" s="295" t="s">
        <v>389</v>
      </c>
      <c r="C318" s="293">
        <v>426.12479999999999</v>
      </c>
      <c r="D318" s="293">
        <v>422.04</v>
      </c>
      <c r="E318" s="293">
        <v>-4.0848000000000004</v>
      </c>
      <c r="F318" s="294" t="s">
        <v>364</v>
      </c>
    </row>
    <row r="319" spans="1:6" hidden="1" outlineLevel="1" collapsed="1" x14ac:dyDescent="0.25">
      <c r="A319" s="295" t="s">
        <v>282</v>
      </c>
      <c r="B319" s="295" t="s">
        <v>390</v>
      </c>
      <c r="C319" s="293">
        <v>15485.27</v>
      </c>
      <c r="D319" s="293">
        <v>15959.28</v>
      </c>
      <c r="E319" s="293">
        <v>474.01</v>
      </c>
      <c r="F319" s="294" t="s">
        <v>391</v>
      </c>
    </row>
    <row r="320" spans="1:6" hidden="1" outlineLevel="1" collapsed="1" x14ac:dyDescent="0.25">
      <c r="A320" s="295" t="s">
        <v>282</v>
      </c>
      <c r="B320" s="295" t="s">
        <v>392</v>
      </c>
      <c r="C320" s="293">
        <v>233.53919999999999</v>
      </c>
      <c r="D320" s="293">
        <v>182.88</v>
      </c>
      <c r="E320" s="293">
        <v>-50.659199999999998</v>
      </c>
      <c r="F320" s="294" t="s">
        <v>368</v>
      </c>
    </row>
    <row r="321" spans="1:6" hidden="1" outlineLevel="1" collapsed="1" x14ac:dyDescent="0.25">
      <c r="A321" s="295" t="s">
        <v>282</v>
      </c>
      <c r="B321" s="295" t="s">
        <v>393</v>
      </c>
      <c r="C321" s="293">
        <v>29.772179999999999</v>
      </c>
      <c r="D321" s="293">
        <v>30.650880000000001</v>
      </c>
      <c r="E321" s="293">
        <v>0.87870000000000004</v>
      </c>
      <c r="F321" s="294" t="s">
        <v>465</v>
      </c>
    </row>
    <row r="322" spans="1:6" hidden="1" outlineLevel="1" collapsed="1" x14ac:dyDescent="0.25">
      <c r="A322" s="295" t="s">
        <v>282</v>
      </c>
      <c r="B322" s="295" t="s">
        <v>394</v>
      </c>
      <c r="C322" s="293">
        <v>1500</v>
      </c>
      <c r="D322" s="293">
        <v>0</v>
      </c>
      <c r="E322" s="293">
        <v>-1500</v>
      </c>
      <c r="F322" s="294" t="s">
        <v>286</v>
      </c>
    </row>
    <row r="323" spans="1:6" hidden="1" outlineLevel="1" collapsed="1" x14ac:dyDescent="0.25">
      <c r="A323" s="295" t="s">
        <v>282</v>
      </c>
      <c r="B323" s="295" t="s">
        <v>395</v>
      </c>
      <c r="C323" s="293">
        <v>0</v>
      </c>
      <c r="D323" s="293">
        <v>1500</v>
      </c>
      <c r="E323" s="293">
        <v>1500</v>
      </c>
      <c r="F323" s="294" t="s">
        <v>298</v>
      </c>
    </row>
    <row r="324" spans="1:6" hidden="1" outlineLevel="1" collapsed="1" x14ac:dyDescent="0.25">
      <c r="A324" s="295" t="s">
        <v>282</v>
      </c>
      <c r="B324" s="295" t="s">
        <v>396</v>
      </c>
      <c r="C324" s="293">
        <v>49.68</v>
      </c>
      <c r="D324" s="293">
        <v>0</v>
      </c>
      <c r="E324" s="293">
        <v>-49.68</v>
      </c>
      <c r="F324" s="294" t="s">
        <v>286</v>
      </c>
    </row>
    <row r="325" spans="1:6" hidden="1" outlineLevel="1" collapsed="1" x14ac:dyDescent="0.25">
      <c r="A325" s="295" t="s">
        <v>282</v>
      </c>
      <c r="B325" s="295" t="s">
        <v>397</v>
      </c>
      <c r="C325" s="293">
        <v>0</v>
      </c>
      <c r="D325" s="293">
        <v>48.48</v>
      </c>
      <c r="E325" s="293">
        <v>48.48</v>
      </c>
      <c r="F325" s="294" t="s">
        <v>298</v>
      </c>
    </row>
    <row r="326" spans="1:6" hidden="1" outlineLevel="1" collapsed="1" x14ac:dyDescent="0.25">
      <c r="A326" s="295" t="s">
        <v>282</v>
      </c>
      <c r="B326" s="295" t="s">
        <v>398</v>
      </c>
      <c r="C326" s="293">
        <v>24</v>
      </c>
      <c r="D326" s="293">
        <v>11.04</v>
      </c>
      <c r="E326" s="293">
        <v>-12.96</v>
      </c>
      <c r="F326" s="294" t="s">
        <v>374</v>
      </c>
    </row>
    <row r="327" spans="1:6" collapsed="1" x14ac:dyDescent="0.25">
      <c r="A327" s="560" t="s">
        <v>477</v>
      </c>
      <c r="B327" s="561"/>
      <c r="C327" s="292">
        <v>17494.406491999998</v>
      </c>
      <c r="D327" s="293">
        <v>35916.772700000001</v>
      </c>
      <c r="E327" s="293">
        <v>18422.366207999999</v>
      </c>
      <c r="F327" s="294" t="s">
        <v>478</v>
      </c>
    </row>
    <row r="328" spans="1:6" hidden="1" outlineLevel="1" collapsed="1" x14ac:dyDescent="0.25">
      <c r="A328" s="295" t="s">
        <v>282</v>
      </c>
      <c r="B328" s="295" t="s">
        <v>380</v>
      </c>
      <c r="C328" s="293">
        <v>10898.538085</v>
      </c>
      <c r="D328" s="293">
        <v>27799.791501</v>
      </c>
      <c r="E328" s="293">
        <v>16901.253416</v>
      </c>
      <c r="F328" s="294" t="s">
        <v>479</v>
      </c>
    </row>
    <row r="329" spans="1:6" hidden="1" outlineLevel="1" collapsed="1" x14ac:dyDescent="0.25">
      <c r="A329" s="295" t="s">
        <v>282</v>
      </c>
      <c r="B329" s="295" t="s">
        <v>386</v>
      </c>
      <c r="C329" s="293">
        <v>675.70935699999995</v>
      </c>
      <c r="D329" s="293">
        <v>0</v>
      </c>
      <c r="E329" s="293">
        <v>-675.70935699999995</v>
      </c>
      <c r="F329" s="294" t="s">
        <v>286</v>
      </c>
    </row>
    <row r="330" spans="1:6" hidden="1" outlineLevel="1" collapsed="1" x14ac:dyDescent="0.25">
      <c r="A330" s="295" t="s">
        <v>282</v>
      </c>
      <c r="B330" s="295" t="s">
        <v>387</v>
      </c>
      <c r="C330" s="293">
        <v>0</v>
      </c>
      <c r="D330" s="293">
        <v>1723.5870629999999</v>
      </c>
      <c r="E330" s="293">
        <v>1723.5870629999999</v>
      </c>
      <c r="F330" s="294" t="s">
        <v>298</v>
      </c>
    </row>
    <row r="331" spans="1:6" hidden="1" outlineLevel="1" collapsed="1" x14ac:dyDescent="0.25">
      <c r="A331" s="295" t="s">
        <v>282</v>
      </c>
      <c r="B331" s="295" t="s">
        <v>388</v>
      </c>
      <c r="C331" s="293">
        <v>158.028796</v>
      </c>
      <c r="D331" s="293">
        <v>403.09696700000001</v>
      </c>
      <c r="E331" s="293">
        <v>245.06817100000001</v>
      </c>
      <c r="F331" s="294" t="s">
        <v>479</v>
      </c>
    </row>
    <row r="332" spans="1:6" hidden="1" outlineLevel="1" collapsed="1" x14ac:dyDescent="0.25">
      <c r="A332" s="295" t="s">
        <v>282</v>
      </c>
      <c r="B332" s="295" t="s">
        <v>480</v>
      </c>
      <c r="C332" s="293">
        <v>141.680992</v>
      </c>
      <c r="D332" s="293">
        <v>361.39728200000002</v>
      </c>
      <c r="E332" s="293">
        <v>219.71628999999999</v>
      </c>
      <c r="F332" s="294" t="s">
        <v>479</v>
      </c>
    </row>
    <row r="333" spans="1:6" hidden="1" outlineLevel="1" collapsed="1" x14ac:dyDescent="0.25">
      <c r="A333" s="295" t="s">
        <v>282</v>
      </c>
      <c r="B333" s="295" t="s">
        <v>393</v>
      </c>
      <c r="C333" s="293">
        <v>5.4492620000000001</v>
      </c>
      <c r="D333" s="293">
        <v>13.899887</v>
      </c>
      <c r="E333" s="293">
        <v>8.4506250000000005</v>
      </c>
      <c r="F333" s="294" t="s">
        <v>479</v>
      </c>
    </row>
    <row r="334" spans="1:6" hidden="1" outlineLevel="1" collapsed="1" x14ac:dyDescent="0.25">
      <c r="A334" s="295" t="s">
        <v>282</v>
      </c>
      <c r="B334" s="295" t="s">
        <v>376</v>
      </c>
      <c r="C334" s="293">
        <v>1191</v>
      </c>
      <c r="D334" s="293">
        <v>835</v>
      </c>
      <c r="E334" s="293">
        <v>-356</v>
      </c>
      <c r="F334" s="294" t="s">
        <v>481</v>
      </c>
    </row>
    <row r="335" spans="1:6" hidden="1" outlineLevel="1" collapsed="1" x14ac:dyDescent="0.25">
      <c r="A335" s="295" t="s">
        <v>282</v>
      </c>
      <c r="B335" s="295" t="s">
        <v>426</v>
      </c>
      <c r="C335" s="293">
        <v>0</v>
      </c>
      <c r="D335" s="293">
        <v>356</v>
      </c>
      <c r="E335" s="293">
        <v>356</v>
      </c>
      <c r="F335" s="294" t="s">
        <v>298</v>
      </c>
    </row>
    <row r="336" spans="1:6" hidden="1" outlineLevel="1" collapsed="1" x14ac:dyDescent="0.25">
      <c r="A336" s="295" t="s">
        <v>282</v>
      </c>
      <c r="B336" s="295" t="s">
        <v>482</v>
      </c>
      <c r="C336" s="293">
        <v>499</v>
      </c>
      <c r="D336" s="293">
        <v>499</v>
      </c>
      <c r="E336" s="293">
        <v>0</v>
      </c>
      <c r="F336" s="294" t="s">
        <v>316</v>
      </c>
    </row>
    <row r="337" spans="1:6" hidden="1" outlineLevel="1" collapsed="1" x14ac:dyDescent="0.25">
      <c r="A337" s="295" t="s">
        <v>282</v>
      </c>
      <c r="B337" s="295" t="s">
        <v>483</v>
      </c>
      <c r="C337" s="293">
        <v>421</v>
      </c>
      <c r="D337" s="293">
        <v>421</v>
      </c>
      <c r="E337" s="293">
        <v>0</v>
      </c>
      <c r="F337" s="294" t="s">
        <v>316</v>
      </c>
    </row>
    <row r="338" spans="1:6" hidden="1" outlineLevel="1" collapsed="1" x14ac:dyDescent="0.25">
      <c r="A338" s="295" t="s">
        <v>282</v>
      </c>
      <c r="B338" s="295" t="s">
        <v>403</v>
      </c>
      <c r="C338" s="293">
        <v>1777</v>
      </c>
      <c r="D338" s="293">
        <v>2507</v>
      </c>
      <c r="E338" s="293">
        <v>730</v>
      </c>
      <c r="F338" s="294" t="s">
        <v>484</v>
      </c>
    </row>
    <row r="339" spans="1:6" hidden="1" outlineLevel="1" collapsed="1" x14ac:dyDescent="0.25">
      <c r="A339" s="295" t="s">
        <v>282</v>
      </c>
      <c r="B339" s="295" t="s">
        <v>405</v>
      </c>
      <c r="C339" s="293">
        <v>997</v>
      </c>
      <c r="D339" s="293">
        <v>997</v>
      </c>
      <c r="E339" s="293">
        <v>0</v>
      </c>
      <c r="F339" s="294" t="s">
        <v>316</v>
      </c>
    </row>
    <row r="340" spans="1:6" hidden="1" outlineLevel="1" collapsed="1" x14ac:dyDescent="0.25">
      <c r="A340" s="295" t="s">
        <v>282</v>
      </c>
      <c r="B340" s="295" t="s">
        <v>422</v>
      </c>
      <c r="C340" s="293">
        <v>730</v>
      </c>
      <c r="D340" s="293">
        <v>0</v>
      </c>
      <c r="E340" s="293">
        <v>-730</v>
      </c>
      <c r="F340" s="294" t="s">
        <v>286</v>
      </c>
    </row>
    <row r="341" spans="1:6" collapsed="1" x14ac:dyDescent="0.25">
      <c r="A341" s="560" t="s">
        <v>485</v>
      </c>
      <c r="B341" s="561"/>
      <c r="C341" s="292">
        <v>212648.58807999999</v>
      </c>
      <c r="D341" s="293">
        <v>224432.12943</v>
      </c>
      <c r="E341" s="293">
        <v>11783.54135</v>
      </c>
      <c r="F341" s="294" t="s">
        <v>486</v>
      </c>
    </row>
    <row r="342" spans="1:6" hidden="1" outlineLevel="1" collapsed="1" x14ac:dyDescent="0.25">
      <c r="A342" s="295" t="s">
        <v>282</v>
      </c>
      <c r="B342" s="295" t="s">
        <v>358</v>
      </c>
      <c r="C342" s="293">
        <v>144233.76</v>
      </c>
      <c r="D342" s="293">
        <v>150421.53839999999</v>
      </c>
      <c r="E342" s="293">
        <v>6187.7784000000001</v>
      </c>
      <c r="F342" s="294" t="s">
        <v>487</v>
      </c>
    </row>
    <row r="343" spans="1:6" hidden="1" outlineLevel="1" collapsed="1" x14ac:dyDescent="0.25">
      <c r="A343" s="295" t="s">
        <v>282</v>
      </c>
      <c r="B343" s="295" t="s">
        <v>412</v>
      </c>
      <c r="C343" s="293">
        <v>7000</v>
      </c>
      <c r="D343" s="293">
        <v>7000</v>
      </c>
      <c r="E343" s="293">
        <v>0</v>
      </c>
      <c r="F343" s="294" t="s">
        <v>316</v>
      </c>
    </row>
    <row r="344" spans="1:6" hidden="1" outlineLevel="1" collapsed="1" x14ac:dyDescent="0.25">
      <c r="A344" s="295" t="s">
        <v>282</v>
      </c>
      <c r="B344" s="295" t="s">
        <v>488</v>
      </c>
      <c r="C344" s="293">
        <v>1000</v>
      </c>
      <c r="D344" s="293">
        <v>1000</v>
      </c>
      <c r="E344" s="293">
        <v>0</v>
      </c>
      <c r="F344" s="294" t="s">
        <v>316</v>
      </c>
    </row>
    <row r="345" spans="1:6" hidden="1" outlineLevel="1" collapsed="1" x14ac:dyDescent="0.25">
      <c r="A345" s="295" t="s">
        <v>282</v>
      </c>
      <c r="B345" s="295" t="s">
        <v>360</v>
      </c>
      <c r="C345" s="293">
        <v>18822.505679999998</v>
      </c>
      <c r="D345" s="293">
        <v>21705.827979999998</v>
      </c>
      <c r="E345" s="293">
        <v>2883.3222999999998</v>
      </c>
      <c r="F345" s="294" t="s">
        <v>489</v>
      </c>
    </row>
    <row r="346" spans="1:6" hidden="1" outlineLevel="1" collapsed="1" x14ac:dyDescent="0.25">
      <c r="A346" s="295" t="s">
        <v>282</v>
      </c>
      <c r="B346" s="295" t="s">
        <v>362</v>
      </c>
      <c r="C346" s="293">
        <v>2192.8895200000002</v>
      </c>
      <c r="D346" s="293">
        <v>2282.61229</v>
      </c>
      <c r="E346" s="293">
        <v>89.722769999999997</v>
      </c>
      <c r="F346" s="294" t="s">
        <v>490</v>
      </c>
    </row>
    <row r="347" spans="1:6" hidden="1" outlineLevel="1" collapsed="1" x14ac:dyDescent="0.25">
      <c r="A347" s="295" t="s">
        <v>282</v>
      </c>
      <c r="B347" s="295" t="s">
        <v>363</v>
      </c>
      <c r="C347" s="293">
        <v>816.73919999999998</v>
      </c>
      <c r="D347" s="293">
        <v>844.08</v>
      </c>
      <c r="E347" s="293">
        <v>27.340800000000002</v>
      </c>
      <c r="F347" s="294" t="s">
        <v>467</v>
      </c>
    </row>
    <row r="348" spans="1:6" hidden="1" outlineLevel="1" collapsed="1" x14ac:dyDescent="0.25">
      <c r="A348" s="295" t="s">
        <v>282</v>
      </c>
      <c r="B348" s="295" t="s">
        <v>365</v>
      </c>
      <c r="C348" s="293">
        <v>29437.24</v>
      </c>
      <c r="D348" s="293">
        <v>31918.560000000001</v>
      </c>
      <c r="E348" s="293">
        <v>2481.3200000000002</v>
      </c>
      <c r="F348" s="294" t="s">
        <v>491</v>
      </c>
    </row>
    <row r="349" spans="1:6" hidden="1" outlineLevel="1" collapsed="1" x14ac:dyDescent="0.25">
      <c r="A349" s="295" t="s">
        <v>282</v>
      </c>
      <c r="B349" s="295" t="s">
        <v>367</v>
      </c>
      <c r="C349" s="293">
        <v>447.61680000000001</v>
      </c>
      <c r="D349" s="293">
        <v>365.76</v>
      </c>
      <c r="E349" s="293">
        <v>-81.856800000000007</v>
      </c>
      <c r="F349" s="294" t="s">
        <v>492</v>
      </c>
    </row>
    <row r="350" spans="1:6" hidden="1" outlineLevel="1" collapsed="1" x14ac:dyDescent="0.25">
      <c r="A350" s="295" t="s">
        <v>282</v>
      </c>
      <c r="B350" s="295" t="s">
        <v>444</v>
      </c>
      <c r="C350" s="293">
        <v>0</v>
      </c>
      <c r="D350" s="293">
        <v>90</v>
      </c>
      <c r="E350" s="293">
        <v>90</v>
      </c>
      <c r="F350" s="294" t="s">
        <v>298</v>
      </c>
    </row>
    <row r="351" spans="1:6" hidden="1" outlineLevel="1" collapsed="1" x14ac:dyDescent="0.25">
      <c r="A351" s="295" t="s">
        <v>282</v>
      </c>
      <c r="B351" s="295" t="s">
        <v>369</v>
      </c>
      <c r="C351" s="293">
        <v>75.616879999999995</v>
      </c>
      <c r="D351" s="293">
        <v>78.710759999999993</v>
      </c>
      <c r="E351" s="293">
        <v>3.09388</v>
      </c>
      <c r="F351" s="294" t="s">
        <v>490</v>
      </c>
    </row>
    <row r="352" spans="1:6" hidden="1" outlineLevel="1" collapsed="1" x14ac:dyDescent="0.25">
      <c r="A352" s="295" t="s">
        <v>282</v>
      </c>
      <c r="B352" s="295" t="s">
        <v>370</v>
      </c>
      <c r="C352" s="293">
        <v>2875</v>
      </c>
      <c r="D352" s="293">
        <v>3000</v>
      </c>
      <c r="E352" s="293">
        <v>125</v>
      </c>
      <c r="F352" s="294" t="s">
        <v>493</v>
      </c>
    </row>
    <row r="353" spans="1:6" hidden="1" outlineLevel="1" collapsed="1" x14ac:dyDescent="0.25">
      <c r="A353" s="295" t="s">
        <v>282</v>
      </c>
      <c r="B353" s="295" t="s">
        <v>371</v>
      </c>
      <c r="C353" s="293">
        <v>95.22</v>
      </c>
      <c r="D353" s="293">
        <v>96.96</v>
      </c>
      <c r="E353" s="293">
        <v>1.74</v>
      </c>
      <c r="F353" s="294" t="s">
        <v>494</v>
      </c>
    </row>
    <row r="354" spans="1:6" hidden="1" outlineLevel="1" collapsed="1" x14ac:dyDescent="0.25">
      <c r="A354" s="295" t="s">
        <v>282</v>
      </c>
      <c r="B354" s="295" t="s">
        <v>373</v>
      </c>
      <c r="C354" s="293">
        <v>46</v>
      </c>
      <c r="D354" s="293">
        <v>22.08</v>
      </c>
      <c r="E354" s="293">
        <v>-23.92</v>
      </c>
      <c r="F354" s="294" t="s">
        <v>495</v>
      </c>
    </row>
    <row r="355" spans="1:6" hidden="1" outlineLevel="1" collapsed="1" x14ac:dyDescent="0.25">
      <c r="A355" s="295" t="s">
        <v>282</v>
      </c>
      <c r="B355" s="295" t="s">
        <v>496</v>
      </c>
      <c r="C355" s="293">
        <v>1917</v>
      </c>
      <c r="D355" s="293">
        <v>1917</v>
      </c>
      <c r="E355" s="293">
        <v>0</v>
      </c>
      <c r="F355" s="294" t="s">
        <v>316</v>
      </c>
    </row>
    <row r="356" spans="1:6" hidden="1" outlineLevel="1" collapsed="1" x14ac:dyDescent="0.25">
      <c r="A356" s="295" t="s">
        <v>282</v>
      </c>
      <c r="B356" s="295" t="s">
        <v>376</v>
      </c>
      <c r="C356" s="293">
        <v>3190</v>
      </c>
      <c r="D356" s="293">
        <v>3190</v>
      </c>
      <c r="E356" s="293">
        <v>0</v>
      </c>
      <c r="F356" s="294" t="s">
        <v>316</v>
      </c>
    </row>
    <row r="357" spans="1:6" hidden="1" outlineLevel="1" collapsed="1" x14ac:dyDescent="0.25">
      <c r="A357" s="295" t="s">
        <v>282</v>
      </c>
      <c r="B357" s="295" t="s">
        <v>426</v>
      </c>
      <c r="C357" s="293">
        <v>499</v>
      </c>
      <c r="D357" s="293">
        <v>499</v>
      </c>
      <c r="E357" s="293">
        <v>0</v>
      </c>
      <c r="F357" s="294" t="s">
        <v>316</v>
      </c>
    </row>
    <row r="358" spans="1:6" collapsed="1" x14ac:dyDescent="0.25">
      <c r="A358" s="560" t="s">
        <v>497</v>
      </c>
      <c r="B358" s="561"/>
      <c r="C358" s="292">
        <v>184944.89310799999</v>
      </c>
      <c r="D358" s="293">
        <v>203866.38854399999</v>
      </c>
      <c r="E358" s="293">
        <v>18921.495436000001</v>
      </c>
      <c r="F358" s="294" t="s">
        <v>498</v>
      </c>
    </row>
    <row r="359" spans="1:6" hidden="1" outlineLevel="1" collapsed="1" x14ac:dyDescent="0.25">
      <c r="A359" s="295" t="s">
        <v>282</v>
      </c>
      <c r="B359" s="295" t="s">
        <v>358</v>
      </c>
      <c r="C359" s="293">
        <v>132018.39997699999</v>
      </c>
      <c r="D359" s="293">
        <v>144586.343976</v>
      </c>
      <c r="E359" s="293">
        <v>12567.943998999999</v>
      </c>
      <c r="F359" s="294" t="s">
        <v>499</v>
      </c>
    </row>
    <row r="360" spans="1:6" hidden="1" outlineLevel="1" collapsed="1" x14ac:dyDescent="0.25">
      <c r="A360" s="295" t="s">
        <v>282</v>
      </c>
      <c r="B360" s="295" t="s">
        <v>360</v>
      </c>
      <c r="C360" s="293">
        <v>17228.401177</v>
      </c>
      <c r="D360" s="293">
        <v>20863.809431999998</v>
      </c>
      <c r="E360" s="293">
        <v>3635.4082549999998</v>
      </c>
      <c r="F360" s="294" t="s">
        <v>500</v>
      </c>
    </row>
    <row r="361" spans="1:6" hidden="1" outlineLevel="1" collapsed="1" x14ac:dyDescent="0.25">
      <c r="A361" s="295" t="s">
        <v>282</v>
      </c>
      <c r="B361" s="295" t="s">
        <v>362</v>
      </c>
      <c r="C361" s="293">
        <v>1914.266777</v>
      </c>
      <c r="D361" s="293">
        <v>2096.501976</v>
      </c>
      <c r="E361" s="293">
        <v>182.23519899999999</v>
      </c>
      <c r="F361" s="294" t="s">
        <v>499</v>
      </c>
    </row>
    <row r="362" spans="1:6" hidden="1" outlineLevel="1" collapsed="1" x14ac:dyDescent="0.25">
      <c r="A362" s="295" t="s">
        <v>282</v>
      </c>
      <c r="B362" s="295" t="s">
        <v>363</v>
      </c>
      <c r="C362" s="293">
        <v>816.73919999999998</v>
      </c>
      <c r="D362" s="293">
        <v>844.08</v>
      </c>
      <c r="E362" s="293">
        <v>27.340800000000002</v>
      </c>
      <c r="F362" s="294" t="s">
        <v>467</v>
      </c>
    </row>
    <row r="363" spans="1:6" hidden="1" outlineLevel="1" collapsed="1" x14ac:dyDescent="0.25">
      <c r="A363" s="295" t="s">
        <v>282</v>
      </c>
      <c r="B363" s="295" t="s">
        <v>365</v>
      </c>
      <c r="C363" s="293">
        <v>29437.24</v>
      </c>
      <c r="D363" s="293">
        <v>31918.560000000001</v>
      </c>
      <c r="E363" s="293">
        <v>2481.3200000000002</v>
      </c>
      <c r="F363" s="294" t="s">
        <v>491</v>
      </c>
    </row>
    <row r="364" spans="1:6" hidden="1" outlineLevel="1" collapsed="1" x14ac:dyDescent="0.25">
      <c r="A364" s="295" t="s">
        <v>282</v>
      </c>
      <c r="B364" s="295" t="s">
        <v>367</v>
      </c>
      <c r="C364" s="293">
        <v>447.61680000000001</v>
      </c>
      <c r="D364" s="293">
        <v>365.76</v>
      </c>
      <c r="E364" s="293">
        <v>-81.856800000000007</v>
      </c>
      <c r="F364" s="294" t="s">
        <v>492</v>
      </c>
    </row>
    <row r="365" spans="1:6" hidden="1" outlineLevel="1" collapsed="1" x14ac:dyDescent="0.25">
      <c r="A365" s="295" t="s">
        <v>282</v>
      </c>
      <c r="B365" s="295" t="s">
        <v>369</v>
      </c>
      <c r="C365" s="293">
        <v>66.009176999999994</v>
      </c>
      <c r="D365" s="293">
        <v>72.29316</v>
      </c>
      <c r="E365" s="293">
        <v>6.2839830000000001</v>
      </c>
      <c r="F365" s="294" t="s">
        <v>499</v>
      </c>
    </row>
    <row r="366" spans="1:6" hidden="1" outlineLevel="1" collapsed="1" x14ac:dyDescent="0.25">
      <c r="A366" s="295" t="s">
        <v>282</v>
      </c>
      <c r="B366" s="295" t="s">
        <v>370</v>
      </c>
      <c r="C366" s="293">
        <v>2875</v>
      </c>
      <c r="D366" s="293">
        <v>3000</v>
      </c>
      <c r="E366" s="293">
        <v>125</v>
      </c>
      <c r="F366" s="294" t="s">
        <v>493</v>
      </c>
    </row>
    <row r="367" spans="1:6" hidden="1" outlineLevel="1" collapsed="1" x14ac:dyDescent="0.25">
      <c r="A367" s="295" t="s">
        <v>282</v>
      </c>
      <c r="B367" s="295" t="s">
        <v>371</v>
      </c>
      <c r="C367" s="293">
        <v>95.22</v>
      </c>
      <c r="D367" s="293">
        <v>96.96</v>
      </c>
      <c r="E367" s="293">
        <v>1.74</v>
      </c>
      <c r="F367" s="294" t="s">
        <v>494</v>
      </c>
    </row>
    <row r="368" spans="1:6" hidden="1" outlineLevel="1" collapsed="1" x14ac:dyDescent="0.25">
      <c r="A368" s="295" t="s">
        <v>282</v>
      </c>
      <c r="B368" s="295" t="s">
        <v>373</v>
      </c>
      <c r="C368" s="293">
        <v>46</v>
      </c>
      <c r="D368" s="293">
        <v>22.08</v>
      </c>
      <c r="E368" s="293">
        <v>-23.92</v>
      </c>
      <c r="F368" s="294" t="s">
        <v>495</v>
      </c>
    </row>
    <row r="369" spans="1:6" collapsed="1" x14ac:dyDescent="0.25">
      <c r="A369" s="560" t="s">
        <v>501</v>
      </c>
      <c r="B369" s="561"/>
      <c r="C369" s="292">
        <v>104059.18852</v>
      </c>
      <c r="D369" s="293">
        <v>101841.2473</v>
      </c>
      <c r="E369" s="293">
        <v>-2217.9412200000002</v>
      </c>
      <c r="F369" s="294" t="s">
        <v>502</v>
      </c>
    </row>
    <row r="370" spans="1:6" hidden="1" outlineLevel="1" collapsed="1" x14ac:dyDescent="0.25">
      <c r="A370" s="295" t="s">
        <v>282</v>
      </c>
      <c r="B370" s="295" t="s">
        <v>358</v>
      </c>
      <c r="C370" s="293">
        <v>65971.44</v>
      </c>
      <c r="D370" s="293">
        <v>69102.499200000006</v>
      </c>
      <c r="E370" s="293">
        <v>3131.0592000000001</v>
      </c>
      <c r="F370" s="294" t="s">
        <v>503</v>
      </c>
    </row>
    <row r="371" spans="1:6" hidden="1" outlineLevel="1" collapsed="1" x14ac:dyDescent="0.25">
      <c r="A371" s="295" t="s">
        <v>282</v>
      </c>
      <c r="B371" s="295" t="s">
        <v>360</v>
      </c>
      <c r="C371" s="293">
        <v>8609.2729199999994</v>
      </c>
      <c r="D371" s="293">
        <v>9971.4906300000002</v>
      </c>
      <c r="E371" s="293">
        <v>1362.2177099999999</v>
      </c>
      <c r="F371" s="294" t="s">
        <v>504</v>
      </c>
    </row>
    <row r="372" spans="1:6" hidden="1" outlineLevel="1" collapsed="1" x14ac:dyDescent="0.25">
      <c r="A372" s="295" t="s">
        <v>282</v>
      </c>
      <c r="B372" s="295" t="s">
        <v>362</v>
      </c>
      <c r="C372" s="293">
        <v>956.58587999999997</v>
      </c>
      <c r="D372" s="293">
        <v>1001.98623</v>
      </c>
      <c r="E372" s="293">
        <v>45.400350000000003</v>
      </c>
      <c r="F372" s="294" t="s">
        <v>503</v>
      </c>
    </row>
    <row r="373" spans="1:6" hidden="1" outlineLevel="1" collapsed="1" x14ac:dyDescent="0.25">
      <c r="A373" s="295" t="s">
        <v>282</v>
      </c>
      <c r="B373" s="295" t="s">
        <v>363</v>
      </c>
      <c r="C373" s="293">
        <v>426.12479999999999</v>
      </c>
      <c r="D373" s="293">
        <v>422.04</v>
      </c>
      <c r="E373" s="293">
        <v>-4.0848000000000004</v>
      </c>
      <c r="F373" s="294" t="s">
        <v>364</v>
      </c>
    </row>
    <row r="374" spans="1:6" hidden="1" outlineLevel="1" collapsed="1" x14ac:dyDescent="0.25">
      <c r="A374" s="295" t="s">
        <v>282</v>
      </c>
      <c r="B374" s="295" t="s">
        <v>365</v>
      </c>
      <c r="C374" s="293">
        <v>15358.56</v>
      </c>
      <c r="D374" s="293">
        <v>15959.28</v>
      </c>
      <c r="E374" s="293">
        <v>600.72</v>
      </c>
      <c r="F374" s="294" t="s">
        <v>366</v>
      </c>
    </row>
    <row r="375" spans="1:6" hidden="1" outlineLevel="1" collapsed="1" x14ac:dyDescent="0.25">
      <c r="A375" s="295" t="s">
        <v>282</v>
      </c>
      <c r="B375" s="295" t="s">
        <v>367</v>
      </c>
      <c r="C375" s="293">
        <v>233.53919999999999</v>
      </c>
      <c r="D375" s="293">
        <v>182.88</v>
      </c>
      <c r="E375" s="293">
        <v>-50.659199999999998</v>
      </c>
      <c r="F375" s="294" t="s">
        <v>368</v>
      </c>
    </row>
    <row r="376" spans="1:6" hidden="1" outlineLevel="1" collapsed="1" x14ac:dyDescent="0.25">
      <c r="A376" s="295" t="s">
        <v>282</v>
      </c>
      <c r="B376" s="295" t="s">
        <v>369</v>
      </c>
      <c r="C376" s="293">
        <v>32.985720000000001</v>
      </c>
      <c r="D376" s="293">
        <v>34.55124</v>
      </c>
      <c r="E376" s="293">
        <v>1.56552</v>
      </c>
      <c r="F376" s="294" t="s">
        <v>503</v>
      </c>
    </row>
    <row r="377" spans="1:6" hidden="1" outlineLevel="1" collapsed="1" x14ac:dyDescent="0.25">
      <c r="A377" s="295" t="s">
        <v>282</v>
      </c>
      <c r="B377" s="295" t="s">
        <v>370</v>
      </c>
      <c r="C377" s="293">
        <v>1500</v>
      </c>
      <c r="D377" s="293">
        <v>1500</v>
      </c>
      <c r="E377" s="293">
        <v>0</v>
      </c>
      <c r="F377" s="294" t="s">
        <v>316</v>
      </c>
    </row>
    <row r="378" spans="1:6" hidden="1" outlineLevel="1" collapsed="1" x14ac:dyDescent="0.25">
      <c r="A378" s="295" t="s">
        <v>282</v>
      </c>
      <c r="B378" s="295" t="s">
        <v>371</v>
      </c>
      <c r="C378" s="293">
        <v>49.68</v>
      </c>
      <c r="D378" s="293">
        <v>48.48</v>
      </c>
      <c r="E378" s="293">
        <v>-1.2</v>
      </c>
      <c r="F378" s="294" t="s">
        <v>372</v>
      </c>
    </row>
    <row r="379" spans="1:6" hidden="1" outlineLevel="1" collapsed="1" x14ac:dyDescent="0.25">
      <c r="A379" s="295" t="s">
        <v>282</v>
      </c>
      <c r="B379" s="295" t="s">
        <v>373</v>
      </c>
      <c r="C379" s="293">
        <v>24</v>
      </c>
      <c r="D379" s="293">
        <v>11.04</v>
      </c>
      <c r="E379" s="293">
        <v>-12.96</v>
      </c>
      <c r="F379" s="294" t="s">
        <v>374</v>
      </c>
    </row>
    <row r="380" spans="1:6" hidden="1" outlineLevel="1" collapsed="1" x14ac:dyDescent="0.25">
      <c r="A380" s="295" t="s">
        <v>282</v>
      </c>
      <c r="B380" s="295" t="s">
        <v>505</v>
      </c>
      <c r="C380" s="293">
        <v>544</v>
      </c>
      <c r="D380" s="293">
        <v>544</v>
      </c>
      <c r="E380" s="293">
        <v>0</v>
      </c>
      <c r="F380" s="294" t="s">
        <v>316</v>
      </c>
    </row>
    <row r="381" spans="1:6" hidden="1" outlineLevel="1" collapsed="1" x14ac:dyDescent="0.25">
      <c r="A381" s="295" t="s">
        <v>282</v>
      </c>
      <c r="B381" s="295" t="s">
        <v>376</v>
      </c>
      <c r="C381" s="293">
        <v>1427</v>
      </c>
      <c r="D381" s="293">
        <v>1427</v>
      </c>
      <c r="E381" s="293">
        <v>0</v>
      </c>
      <c r="F381" s="294" t="s">
        <v>316</v>
      </c>
    </row>
    <row r="382" spans="1:6" hidden="1" outlineLevel="1" collapsed="1" x14ac:dyDescent="0.25">
      <c r="A382" s="295" t="s">
        <v>282</v>
      </c>
      <c r="B382" s="295" t="s">
        <v>506</v>
      </c>
      <c r="C382" s="293">
        <v>350</v>
      </c>
      <c r="D382" s="293">
        <v>0</v>
      </c>
      <c r="E382" s="293">
        <v>-350</v>
      </c>
      <c r="F382" s="294" t="s">
        <v>286</v>
      </c>
    </row>
    <row r="383" spans="1:6" hidden="1" outlineLevel="1" collapsed="1" x14ac:dyDescent="0.25">
      <c r="A383" s="295" t="s">
        <v>282</v>
      </c>
      <c r="B383" s="295" t="s">
        <v>448</v>
      </c>
      <c r="C383" s="293">
        <v>1286</v>
      </c>
      <c r="D383" s="293">
        <v>1636</v>
      </c>
      <c r="E383" s="293">
        <v>350</v>
      </c>
      <c r="F383" s="294" t="s">
        <v>507</v>
      </c>
    </row>
    <row r="384" spans="1:6" hidden="1" outlineLevel="1" collapsed="1" x14ac:dyDescent="0.25">
      <c r="A384" s="295" t="s">
        <v>282</v>
      </c>
      <c r="B384" s="295" t="s">
        <v>422</v>
      </c>
      <c r="C384" s="293">
        <v>7290</v>
      </c>
      <c r="D384" s="293">
        <v>0</v>
      </c>
      <c r="E384" s="293">
        <v>-7290</v>
      </c>
      <c r="F384" s="294" t="s">
        <v>286</v>
      </c>
    </row>
    <row r="385" spans="1:6" collapsed="1" x14ac:dyDescent="0.25">
      <c r="A385" s="560" t="s">
        <v>508</v>
      </c>
      <c r="B385" s="561"/>
      <c r="C385" s="292">
        <v>629236.9976</v>
      </c>
      <c r="D385" s="293">
        <v>646286.15394999995</v>
      </c>
      <c r="E385" s="293">
        <v>17049.156350000001</v>
      </c>
      <c r="F385" s="294" t="s">
        <v>509</v>
      </c>
    </row>
    <row r="386" spans="1:6" hidden="1" outlineLevel="1" collapsed="1" x14ac:dyDescent="0.25">
      <c r="A386" s="295" t="s">
        <v>282</v>
      </c>
      <c r="B386" s="295" t="s">
        <v>358</v>
      </c>
      <c r="C386" s="293">
        <v>459067.2</v>
      </c>
      <c r="D386" s="293">
        <v>465953.20799999998</v>
      </c>
      <c r="E386" s="293">
        <v>6886.0079999999998</v>
      </c>
      <c r="F386" s="294" t="s">
        <v>510</v>
      </c>
    </row>
    <row r="387" spans="1:6" hidden="1" outlineLevel="1" collapsed="1" x14ac:dyDescent="0.25">
      <c r="A387" s="295" t="s">
        <v>282</v>
      </c>
      <c r="B387" s="295" t="s">
        <v>412</v>
      </c>
      <c r="C387" s="293">
        <v>7000</v>
      </c>
      <c r="D387" s="293">
        <v>7000</v>
      </c>
      <c r="E387" s="293">
        <v>0</v>
      </c>
      <c r="F387" s="294" t="s">
        <v>316</v>
      </c>
    </row>
    <row r="388" spans="1:6" hidden="1" outlineLevel="1" collapsed="1" x14ac:dyDescent="0.25">
      <c r="A388" s="295" t="s">
        <v>282</v>
      </c>
      <c r="B388" s="295" t="s">
        <v>488</v>
      </c>
      <c r="C388" s="293">
        <v>800</v>
      </c>
      <c r="D388" s="293">
        <v>800</v>
      </c>
      <c r="E388" s="293">
        <v>0</v>
      </c>
      <c r="F388" s="294" t="s">
        <v>316</v>
      </c>
    </row>
    <row r="389" spans="1:6" hidden="1" outlineLevel="1" collapsed="1" x14ac:dyDescent="0.25">
      <c r="A389" s="295" t="s">
        <v>282</v>
      </c>
      <c r="B389" s="295" t="s">
        <v>360</v>
      </c>
      <c r="C389" s="293">
        <v>59908.2696</v>
      </c>
      <c r="D389" s="293">
        <v>67237.047890000002</v>
      </c>
      <c r="E389" s="293">
        <v>7328.7782900000002</v>
      </c>
      <c r="F389" s="294" t="s">
        <v>511</v>
      </c>
    </row>
    <row r="390" spans="1:6" hidden="1" outlineLevel="1" collapsed="1" x14ac:dyDescent="0.25">
      <c r="A390" s="295" t="s">
        <v>282</v>
      </c>
      <c r="B390" s="295" t="s">
        <v>362</v>
      </c>
      <c r="C390" s="293">
        <v>6757.9744000000001</v>
      </c>
      <c r="D390" s="293">
        <v>6857.8215</v>
      </c>
      <c r="E390" s="293">
        <v>99.847099999999998</v>
      </c>
      <c r="F390" s="294" t="s">
        <v>512</v>
      </c>
    </row>
    <row r="391" spans="1:6" hidden="1" outlineLevel="1" collapsed="1" x14ac:dyDescent="0.25">
      <c r="A391" s="295" t="s">
        <v>282</v>
      </c>
      <c r="B391" s="295" t="s">
        <v>363</v>
      </c>
      <c r="C391" s="293">
        <v>2130.6239999999998</v>
      </c>
      <c r="D391" s="293">
        <v>2110.1999999999998</v>
      </c>
      <c r="E391" s="293">
        <v>-20.423999999999999</v>
      </c>
      <c r="F391" s="294" t="s">
        <v>364</v>
      </c>
    </row>
    <row r="392" spans="1:6" hidden="1" outlineLevel="1" collapsed="1" x14ac:dyDescent="0.25">
      <c r="A392" s="295" t="s">
        <v>282</v>
      </c>
      <c r="B392" s="295" t="s">
        <v>365</v>
      </c>
      <c r="C392" s="293">
        <v>76792.800000000003</v>
      </c>
      <c r="D392" s="293">
        <v>79796.399999999994</v>
      </c>
      <c r="E392" s="293">
        <v>3003.6</v>
      </c>
      <c r="F392" s="294" t="s">
        <v>366</v>
      </c>
    </row>
    <row r="393" spans="1:6" hidden="1" outlineLevel="1" collapsed="1" x14ac:dyDescent="0.25">
      <c r="A393" s="295" t="s">
        <v>282</v>
      </c>
      <c r="B393" s="295" t="s">
        <v>367</v>
      </c>
      <c r="C393" s="293">
        <v>1167.6959999999999</v>
      </c>
      <c r="D393" s="293">
        <v>914.4</v>
      </c>
      <c r="E393" s="293">
        <v>-253.29599999999999</v>
      </c>
      <c r="F393" s="294" t="s">
        <v>368</v>
      </c>
    </row>
    <row r="394" spans="1:6" hidden="1" outlineLevel="1" collapsed="1" x14ac:dyDescent="0.25">
      <c r="A394" s="295" t="s">
        <v>282</v>
      </c>
      <c r="B394" s="295" t="s">
        <v>444</v>
      </c>
      <c r="C394" s="293">
        <v>0</v>
      </c>
      <c r="D394" s="293">
        <v>72</v>
      </c>
      <c r="E394" s="293">
        <v>72</v>
      </c>
      <c r="F394" s="294" t="s">
        <v>298</v>
      </c>
    </row>
    <row r="395" spans="1:6" hidden="1" outlineLevel="1" collapsed="1" x14ac:dyDescent="0.25">
      <c r="A395" s="295" t="s">
        <v>282</v>
      </c>
      <c r="B395" s="295" t="s">
        <v>369</v>
      </c>
      <c r="C395" s="293">
        <v>233.03360000000001</v>
      </c>
      <c r="D395" s="293">
        <v>236.47656000000001</v>
      </c>
      <c r="E395" s="293">
        <v>3.4429599999999998</v>
      </c>
      <c r="F395" s="294" t="s">
        <v>512</v>
      </c>
    </row>
    <row r="396" spans="1:6" hidden="1" outlineLevel="1" collapsed="1" x14ac:dyDescent="0.25">
      <c r="A396" s="295" t="s">
        <v>282</v>
      </c>
      <c r="B396" s="295" t="s">
        <v>370</v>
      </c>
      <c r="C396" s="293">
        <v>7500</v>
      </c>
      <c r="D396" s="293">
        <v>7500</v>
      </c>
      <c r="E396" s="293">
        <v>0</v>
      </c>
      <c r="F396" s="294" t="s">
        <v>316</v>
      </c>
    </row>
    <row r="397" spans="1:6" hidden="1" outlineLevel="1" collapsed="1" x14ac:dyDescent="0.25">
      <c r="A397" s="295" t="s">
        <v>282</v>
      </c>
      <c r="B397" s="295" t="s">
        <v>371</v>
      </c>
      <c r="C397" s="293">
        <v>248.4</v>
      </c>
      <c r="D397" s="293">
        <v>242.4</v>
      </c>
      <c r="E397" s="293">
        <v>-6</v>
      </c>
      <c r="F397" s="294" t="s">
        <v>372</v>
      </c>
    </row>
    <row r="398" spans="1:6" hidden="1" outlineLevel="1" collapsed="1" x14ac:dyDescent="0.25">
      <c r="A398" s="295" t="s">
        <v>282</v>
      </c>
      <c r="B398" s="295" t="s">
        <v>373</v>
      </c>
      <c r="C398" s="293">
        <v>120</v>
      </c>
      <c r="D398" s="293">
        <v>55.2</v>
      </c>
      <c r="E398" s="293">
        <v>-64.8</v>
      </c>
      <c r="F398" s="294" t="s">
        <v>374</v>
      </c>
    </row>
    <row r="399" spans="1:6" hidden="1" outlineLevel="1" collapsed="1" x14ac:dyDescent="0.25">
      <c r="A399" s="295" t="s">
        <v>282</v>
      </c>
      <c r="B399" s="295" t="s">
        <v>375</v>
      </c>
      <c r="C399" s="293">
        <v>446</v>
      </c>
      <c r="D399" s="293">
        <v>99</v>
      </c>
      <c r="E399" s="293">
        <v>-347</v>
      </c>
      <c r="F399" s="294" t="s">
        <v>513</v>
      </c>
    </row>
    <row r="400" spans="1:6" hidden="1" outlineLevel="1" collapsed="1" x14ac:dyDescent="0.25">
      <c r="A400" s="295" t="s">
        <v>282</v>
      </c>
      <c r="B400" s="295" t="s">
        <v>376</v>
      </c>
      <c r="C400" s="293">
        <v>9</v>
      </c>
      <c r="D400" s="293">
        <v>9</v>
      </c>
      <c r="E400" s="293">
        <v>0</v>
      </c>
      <c r="F400" s="294" t="s">
        <v>316</v>
      </c>
    </row>
    <row r="401" spans="1:6" hidden="1" outlineLevel="1" collapsed="1" x14ac:dyDescent="0.25">
      <c r="A401" s="295" t="s">
        <v>282</v>
      </c>
      <c r="B401" s="295" t="s">
        <v>415</v>
      </c>
      <c r="C401" s="293">
        <v>699</v>
      </c>
      <c r="D401" s="293">
        <v>699</v>
      </c>
      <c r="E401" s="293">
        <v>0</v>
      </c>
      <c r="F401" s="294" t="s">
        <v>316</v>
      </c>
    </row>
    <row r="402" spans="1:6" hidden="1" outlineLevel="1" collapsed="1" x14ac:dyDescent="0.25">
      <c r="A402" s="295" t="s">
        <v>282</v>
      </c>
      <c r="B402" s="295" t="s">
        <v>483</v>
      </c>
      <c r="C402" s="293">
        <v>2892</v>
      </c>
      <c r="D402" s="293">
        <v>2892</v>
      </c>
      <c r="E402" s="293">
        <v>0</v>
      </c>
      <c r="F402" s="294" t="s">
        <v>316</v>
      </c>
    </row>
    <row r="403" spans="1:6" hidden="1" outlineLevel="1" collapsed="1" x14ac:dyDescent="0.25">
      <c r="A403" s="295" t="s">
        <v>282</v>
      </c>
      <c r="B403" s="295" t="s">
        <v>448</v>
      </c>
      <c r="C403" s="293">
        <v>747</v>
      </c>
      <c r="D403" s="293">
        <v>998</v>
      </c>
      <c r="E403" s="293">
        <v>251</v>
      </c>
      <c r="F403" s="294" t="s">
        <v>514</v>
      </c>
    </row>
    <row r="404" spans="1:6" hidden="1" outlineLevel="1" collapsed="1" x14ac:dyDescent="0.25">
      <c r="A404" s="295" t="s">
        <v>282</v>
      </c>
      <c r="B404" s="295" t="s">
        <v>515</v>
      </c>
      <c r="C404" s="293">
        <v>1318</v>
      </c>
      <c r="D404" s="293">
        <v>1318</v>
      </c>
      <c r="E404" s="293">
        <v>0</v>
      </c>
      <c r="F404" s="294" t="s">
        <v>316</v>
      </c>
    </row>
    <row r="405" spans="1:6" hidden="1" outlineLevel="1" collapsed="1" x14ac:dyDescent="0.25">
      <c r="A405" s="295" t="s">
        <v>282</v>
      </c>
      <c r="B405" s="295" t="s">
        <v>403</v>
      </c>
      <c r="C405" s="293">
        <v>1400</v>
      </c>
      <c r="D405" s="293">
        <v>1496</v>
      </c>
      <c r="E405" s="293">
        <v>96</v>
      </c>
      <c r="F405" s="294" t="s">
        <v>516</v>
      </c>
    </row>
    <row r="406" spans="1:6" collapsed="1" x14ac:dyDescent="0.25">
      <c r="A406" s="560" t="s">
        <v>517</v>
      </c>
      <c r="B406" s="561"/>
      <c r="C406" s="292">
        <v>161182.53142799999</v>
      </c>
      <c r="D406" s="293">
        <v>161303.888106</v>
      </c>
      <c r="E406" s="293">
        <v>121.356678</v>
      </c>
      <c r="F406" s="294" t="s">
        <v>518</v>
      </c>
    </row>
    <row r="407" spans="1:6" hidden="1" outlineLevel="1" collapsed="1" x14ac:dyDescent="0.25">
      <c r="A407" s="295" t="s">
        <v>282</v>
      </c>
      <c r="B407" s="295" t="s">
        <v>358</v>
      </c>
      <c r="C407" s="293">
        <v>66990.960000000006</v>
      </c>
      <c r="D407" s="293">
        <v>70151.684399999998</v>
      </c>
      <c r="E407" s="293">
        <v>3160.7244000000001</v>
      </c>
      <c r="F407" s="294" t="s">
        <v>519</v>
      </c>
    </row>
    <row r="408" spans="1:6" hidden="1" outlineLevel="1" collapsed="1" x14ac:dyDescent="0.25">
      <c r="A408" s="295" t="s">
        <v>282</v>
      </c>
      <c r="B408" s="295" t="s">
        <v>441</v>
      </c>
      <c r="C408" s="293">
        <v>5390</v>
      </c>
      <c r="D408" s="293">
        <v>0</v>
      </c>
      <c r="E408" s="293">
        <v>-5390</v>
      </c>
      <c r="F408" s="294" t="s">
        <v>286</v>
      </c>
    </row>
    <row r="409" spans="1:6" hidden="1" outlineLevel="1" collapsed="1" x14ac:dyDescent="0.25">
      <c r="A409" s="295" t="s">
        <v>282</v>
      </c>
      <c r="B409" s="295" t="s">
        <v>380</v>
      </c>
      <c r="C409" s="293">
        <v>44151.262691999997</v>
      </c>
      <c r="D409" s="293">
        <v>45485.733132000001</v>
      </c>
      <c r="E409" s="293">
        <v>1334.4704400000001</v>
      </c>
      <c r="F409" s="294" t="s">
        <v>520</v>
      </c>
    </row>
    <row r="410" spans="1:6" hidden="1" outlineLevel="1" collapsed="1" x14ac:dyDescent="0.25">
      <c r="A410" s="295" t="s">
        <v>282</v>
      </c>
      <c r="B410" s="295" t="s">
        <v>360</v>
      </c>
      <c r="C410" s="293">
        <v>8742.3202799999999</v>
      </c>
      <c r="D410" s="293">
        <v>10122.88805</v>
      </c>
      <c r="E410" s="293">
        <v>1380.5677700000001</v>
      </c>
      <c r="F410" s="294" t="s">
        <v>521</v>
      </c>
    </row>
    <row r="411" spans="1:6" hidden="1" outlineLevel="1" collapsed="1" x14ac:dyDescent="0.25">
      <c r="A411" s="295" t="s">
        <v>282</v>
      </c>
      <c r="B411" s="295" t="s">
        <v>384</v>
      </c>
      <c r="C411" s="293">
        <v>5554.2288479999997</v>
      </c>
      <c r="D411" s="293">
        <v>0</v>
      </c>
      <c r="E411" s="293">
        <v>-5554.2288479999997</v>
      </c>
      <c r="F411" s="294" t="s">
        <v>286</v>
      </c>
    </row>
    <row r="412" spans="1:6" hidden="1" outlineLevel="1" collapsed="1" x14ac:dyDescent="0.25">
      <c r="A412" s="295" t="s">
        <v>282</v>
      </c>
      <c r="B412" s="295" t="s">
        <v>385</v>
      </c>
      <c r="C412" s="293">
        <v>0</v>
      </c>
      <c r="D412" s="293">
        <v>7186.7458319999996</v>
      </c>
      <c r="E412" s="293">
        <v>7186.7458319999996</v>
      </c>
      <c r="F412" s="294" t="s">
        <v>298</v>
      </c>
    </row>
    <row r="413" spans="1:6" hidden="1" outlineLevel="1" collapsed="1" x14ac:dyDescent="0.25">
      <c r="A413" s="295" t="s">
        <v>282</v>
      </c>
      <c r="B413" s="295" t="s">
        <v>386</v>
      </c>
      <c r="C413" s="293">
        <v>2737.3782839999999</v>
      </c>
      <c r="D413" s="293">
        <v>0</v>
      </c>
      <c r="E413" s="293">
        <v>-2737.3782839999999</v>
      </c>
      <c r="F413" s="294" t="s">
        <v>286</v>
      </c>
    </row>
    <row r="414" spans="1:6" hidden="1" outlineLevel="1" collapsed="1" x14ac:dyDescent="0.25">
      <c r="A414" s="295" t="s">
        <v>282</v>
      </c>
      <c r="B414" s="295" t="s">
        <v>387</v>
      </c>
      <c r="C414" s="293">
        <v>0</v>
      </c>
      <c r="D414" s="293">
        <v>2820.115452</v>
      </c>
      <c r="E414" s="293">
        <v>2820.115452</v>
      </c>
      <c r="F414" s="294" t="s">
        <v>298</v>
      </c>
    </row>
    <row r="415" spans="1:6" hidden="1" outlineLevel="1" collapsed="1" x14ac:dyDescent="0.25">
      <c r="A415" s="295" t="s">
        <v>282</v>
      </c>
      <c r="B415" s="295" t="s">
        <v>362</v>
      </c>
      <c r="C415" s="293">
        <v>971.36892</v>
      </c>
      <c r="D415" s="293">
        <v>1017.19942</v>
      </c>
      <c r="E415" s="293">
        <v>45.830500000000001</v>
      </c>
      <c r="F415" s="294" t="s">
        <v>519</v>
      </c>
    </row>
    <row r="416" spans="1:6" hidden="1" outlineLevel="1" collapsed="1" x14ac:dyDescent="0.25">
      <c r="A416" s="295" t="s">
        <v>282</v>
      </c>
      <c r="B416" s="295" t="s">
        <v>388</v>
      </c>
      <c r="C416" s="293">
        <v>640.19330400000001</v>
      </c>
      <c r="D416" s="293">
        <v>659.54312400000003</v>
      </c>
      <c r="E416" s="293">
        <v>19.349820000000001</v>
      </c>
      <c r="F416" s="294" t="s">
        <v>520</v>
      </c>
    </row>
    <row r="417" spans="1:6" hidden="1" outlineLevel="1" collapsed="1" x14ac:dyDescent="0.25">
      <c r="A417" s="295" t="s">
        <v>282</v>
      </c>
      <c r="B417" s="295" t="s">
        <v>363</v>
      </c>
      <c r="C417" s="293">
        <v>426.12479999999999</v>
      </c>
      <c r="D417" s="293">
        <v>422.04</v>
      </c>
      <c r="E417" s="293">
        <v>-4.0848000000000004</v>
      </c>
      <c r="F417" s="294" t="s">
        <v>364</v>
      </c>
    </row>
    <row r="418" spans="1:6" hidden="1" outlineLevel="1" collapsed="1" x14ac:dyDescent="0.25">
      <c r="A418" s="295" t="s">
        <v>282</v>
      </c>
      <c r="B418" s="295" t="s">
        <v>365</v>
      </c>
      <c r="C418" s="293">
        <v>15358.56</v>
      </c>
      <c r="D418" s="293">
        <v>15959.28</v>
      </c>
      <c r="E418" s="293">
        <v>600.72</v>
      </c>
      <c r="F418" s="294" t="s">
        <v>366</v>
      </c>
    </row>
    <row r="419" spans="1:6" hidden="1" outlineLevel="1" collapsed="1" x14ac:dyDescent="0.25">
      <c r="A419" s="295" t="s">
        <v>282</v>
      </c>
      <c r="B419" s="295" t="s">
        <v>367</v>
      </c>
      <c r="C419" s="293">
        <v>233.53919999999999</v>
      </c>
      <c r="D419" s="293">
        <v>182.88</v>
      </c>
      <c r="E419" s="293">
        <v>-50.659199999999998</v>
      </c>
      <c r="F419" s="294" t="s">
        <v>368</v>
      </c>
    </row>
    <row r="420" spans="1:6" hidden="1" outlineLevel="1" collapsed="1" x14ac:dyDescent="0.25">
      <c r="A420" s="295" t="s">
        <v>282</v>
      </c>
      <c r="B420" s="295" t="s">
        <v>389</v>
      </c>
      <c r="C420" s="293">
        <v>426.12479999999999</v>
      </c>
      <c r="D420" s="293">
        <v>422.04</v>
      </c>
      <c r="E420" s="293">
        <v>-4.0848000000000004</v>
      </c>
      <c r="F420" s="294" t="s">
        <v>364</v>
      </c>
    </row>
    <row r="421" spans="1:6" hidden="1" outlineLevel="1" collapsed="1" x14ac:dyDescent="0.25">
      <c r="A421" s="295" t="s">
        <v>282</v>
      </c>
      <c r="B421" s="295" t="s">
        <v>392</v>
      </c>
      <c r="C421" s="293">
        <v>233.53919999999999</v>
      </c>
      <c r="D421" s="293">
        <v>182.88</v>
      </c>
      <c r="E421" s="293">
        <v>-50.659199999999998</v>
      </c>
      <c r="F421" s="294" t="s">
        <v>368</v>
      </c>
    </row>
    <row r="422" spans="1:6" hidden="1" outlineLevel="1" collapsed="1" x14ac:dyDescent="0.25">
      <c r="A422" s="295" t="s">
        <v>282</v>
      </c>
      <c r="B422" s="295" t="s">
        <v>369</v>
      </c>
      <c r="C422" s="293">
        <v>33.495480000000001</v>
      </c>
      <c r="D422" s="293">
        <v>35.075839999999999</v>
      </c>
      <c r="E422" s="293">
        <v>1.58036</v>
      </c>
      <c r="F422" s="294" t="s">
        <v>519</v>
      </c>
    </row>
    <row r="423" spans="1:6" hidden="1" outlineLevel="1" collapsed="1" x14ac:dyDescent="0.25">
      <c r="A423" s="295" t="s">
        <v>282</v>
      </c>
      <c r="B423" s="295" t="s">
        <v>393</v>
      </c>
      <c r="C423" s="293">
        <v>22.075620000000001</v>
      </c>
      <c r="D423" s="293">
        <v>22.742856</v>
      </c>
      <c r="E423" s="293">
        <v>0.66723600000000005</v>
      </c>
      <c r="F423" s="294" t="s">
        <v>520</v>
      </c>
    </row>
    <row r="424" spans="1:6" hidden="1" outlineLevel="1" collapsed="1" x14ac:dyDescent="0.25">
      <c r="A424" s="295" t="s">
        <v>282</v>
      </c>
      <c r="B424" s="295" t="s">
        <v>370</v>
      </c>
      <c r="C424" s="293">
        <v>1500</v>
      </c>
      <c r="D424" s="293">
        <v>1500</v>
      </c>
      <c r="E424" s="293">
        <v>0</v>
      </c>
      <c r="F424" s="294" t="s">
        <v>316</v>
      </c>
    </row>
    <row r="425" spans="1:6" hidden="1" outlineLevel="1" collapsed="1" x14ac:dyDescent="0.25">
      <c r="A425" s="295" t="s">
        <v>282</v>
      </c>
      <c r="B425" s="295" t="s">
        <v>394</v>
      </c>
      <c r="C425" s="293">
        <v>1500</v>
      </c>
      <c r="D425" s="293">
        <v>0</v>
      </c>
      <c r="E425" s="293">
        <v>-1500</v>
      </c>
      <c r="F425" s="294" t="s">
        <v>286</v>
      </c>
    </row>
    <row r="426" spans="1:6" hidden="1" outlineLevel="1" collapsed="1" x14ac:dyDescent="0.25">
      <c r="A426" s="295" t="s">
        <v>282</v>
      </c>
      <c r="B426" s="295" t="s">
        <v>395</v>
      </c>
      <c r="C426" s="293">
        <v>0</v>
      </c>
      <c r="D426" s="293">
        <v>1500</v>
      </c>
      <c r="E426" s="293">
        <v>1500</v>
      </c>
      <c r="F426" s="294" t="s">
        <v>298</v>
      </c>
    </row>
    <row r="427" spans="1:6" hidden="1" outlineLevel="1" collapsed="1" x14ac:dyDescent="0.25">
      <c r="A427" s="295" t="s">
        <v>282</v>
      </c>
      <c r="B427" s="295" t="s">
        <v>371</v>
      </c>
      <c r="C427" s="293">
        <v>49.68</v>
      </c>
      <c r="D427" s="293">
        <v>48.48</v>
      </c>
      <c r="E427" s="293">
        <v>-1.2</v>
      </c>
      <c r="F427" s="294" t="s">
        <v>372</v>
      </c>
    </row>
    <row r="428" spans="1:6" hidden="1" outlineLevel="1" collapsed="1" x14ac:dyDescent="0.25">
      <c r="A428" s="295" t="s">
        <v>282</v>
      </c>
      <c r="B428" s="295" t="s">
        <v>396</v>
      </c>
      <c r="C428" s="293">
        <v>49.68</v>
      </c>
      <c r="D428" s="293">
        <v>0</v>
      </c>
      <c r="E428" s="293">
        <v>-49.68</v>
      </c>
      <c r="F428" s="294" t="s">
        <v>286</v>
      </c>
    </row>
    <row r="429" spans="1:6" hidden="1" outlineLevel="1" collapsed="1" x14ac:dyDescent="0.25">
      <c r="A429" s="295" t="s">
        <v>282</v>
      </c>
      <c r="B429" s="295" t="s">
        <v>397</v>
      </c>
      <c r="C429" s="293">
        <v>0</v>
      </c>
      <c r="D429" s="293">
        <v>48.48</v>
      </c>
      <c r="E429" s="293">
        <v>48.48</v>
      </c>
      <c r="F429" s="294" t="s">
        <v>298</v>
      </c>
    </row>
    <row r="430" spans="1:6" hidden="1" outlineLevel="1" collapsed="1" x14ac:dyDescent="0.25">
      <c r="A430" s="295" t="s">
        <v>282</v>
      </c>
      <c r="B430" s="295" t="s">
        <v>373</v>
      </c>
      <c r="C430" s="293">
        <v>24</v>
      </c>
      <c r="D430" s="293">
        <v>11.04</v>
      </c>
      <c r="E430" s="293">
        <v>-12.96</v>
      </c>
      <c r="F430" s="294" t="s">
        <v>374</v>
      </c>
    </row>
    <row r="431" spans="1:6" hidden="1" outlineLevel="1" collapsed="1" x14ac:dyDescent="0.25">
      <c r="A431" s="295" t="s">
        <v>282</v>
      </c>
      <c r="B431" s="295" t="s">
        <v>398</v>
      </c>
      <c r="C431" s="293">
        <v>24</v>
      </c>
      <c r="D431" s="293">
        <v>11.04</v>
      </c>
      <c r="E431" s="293">
        <v>-12.96</v>
      </c>
      <c r="F431" s="294" t="s">
        <v>374</v>
      </c>
    </row>
    <row r="432" spans="1:6" hidden="1" outlineLevel="1" collapsed="1" x14ac:dyDescent="0.25">
      <c r="A432" s="295" t="s">
        <v>282</v>
      </c>
      <c r="B432" s="295" t="s">
        <v>522</v>
      </c>
      <c r="C432" s="293">
        <v>3000</v>
      </c>
      <c r="D432" s="293">
        <v>3000</v>
      </c>
      <c r="E432" s="293">
        <v>0</v>
      </c>
      <c r="F432" s="294" t="s">
        <v>316</v>
      </c>
    </row>
    <row r="433" spans="1:6" hidden="1" outlineLevel="1" collapsed="1" x14ac:dyDescent="0.25">
      <c r="A433" s="295" t="s">
        <v>282</v>
      </c>
      <c r="B433" s="295" t="s">
        <v>523</v>
      </c>
      <c r="C433" s="293">
        <v>444</v>
      </c>
      <c r="D433" s="293">
        <v>444</v>
      </c>
      <c r="E433" s="293">
        <v>0</v>
      </c>
      <c r="F433" s="294" t="s">
        <v>316</v>
      </c>
    </row>
    <row r="434" spans="1:6" hidden="1" outlineLevel="1" collapsed="1" x14ac:dyDescent="0.25">
      <c r="A434" s="295" t="s">
        <v>282</v>
      </c>
      <c r="B434" s="295" t="s">
        <v>375</v>
      </c>
      <c r="C434" s="293">
        <v>2610</v>
      </c>
      <c r="D434" s="293">
        <v>0</v>
      </c>
      <c r="E434" s="293">
        <v>-2610</v>
      </c>
      <c r="F434" s="294" t="s">
        <v>286</v>
      </c>
    </row>
    <row r="435" spans="1:6" hidden="1" outlineLevel="1" collapsed="1" x14ac:dyDescent="0.25">
      <c r="A435" s="295" t="s">
        <v>282</v>
      </c>
      <c r="B435" s="295" t="s">
        <v>483</v>
      </c>
      <c r="C435" s="293">
        <v>70</v>
      </c>
      <c r="D435" s="293">
        <v>70</v>
      </c>
      <c r="E435" s="293">
        <v>0</v>
      </c>
      <c r="F435" s="294" t="s">
        <v>316</v>
      </c>
    </row>
    <row r="436" spans="1:6" collapsed="1" x14ac:dyDescent="0.25">
      <c r="A436" s="560" t="s">
        <v>524</v>
      </c>
      <c r="B436" s="561"/>
      <c r="C436" s="292">
        <v>85047.986915999994</v>
      </c>
      <c r="D436" s="293">
        <v>90773.011845999994</v>
      </c>
      <c r="E436" s="293">
        <v>5725.0249299999996</v>
      </c>
      <c r="F436" s="294" t="s">
        <v>525</v>
      </c>
    </row>
    <row r="437" spans="1:6" hidden="1" outlineLevel="1" collapsed="1" x14ac:dyDescent="0.25">
      <c r="A437" s="295" t="s">
        <v>282</v>
      </c>
      <c r="B437" s="295" t="s">
        <v>358</v>
      </c>
      <c r="C437" s="293">
        <v>52738.919988000001</v>
      </c>
      <c r="D437" s="293">
        <v>55671.491388000002</v>
      </c>
      <c r="E437" s="293">
        <v>2932.5713999999998</v>
      </c>
      <c r="F437" s="294" t="s">
        <v>526</v>
      </c>
    </row>
    <row r="438" spans="1:6" hidden="1" outlineLevel="1" collapsed="1" x14ac:dyDescent="0.25">
      <c r="A438" s="295" t="s">
        <v>282</v>
      </c>
      <c r="B438" s="295" t="s">
        <v>384</v>
      </c>
      <c r="C438" s="293">
        <v>6634.5561239999997</v>
      </c>
      <c r="D438" s="293">
        <v>0</v>
      </c>
      <c r="E438" s="293">
        <v>-6634.5561239999997</v>
      </c>
      <c r="F438" s="294" t="s">
        <v>286</v>
      </c>
    </row>
    <row r="439" spans="1:6" hidden="1" outlineLevel="1" collapsed="1" x14ac:dyDescent="0.25">
      <c r="A439" s="295" t="s">
        <v>282</v>
      </c>
      <c r="B439" s="295" t="s">
        <v>385</v>
      </c>
      <c r="C439" s="293">
        <v>0</v>
      </c>
      <c r="D439" s="293">
        <v>8796.0956339999993</v>
      </c>
      <c r="E439" s="293">
        <v>8796.0956339999993</v>
      </c>
      <c r="F439" s="294" t="s">
        <v>298</v>
      </c>
    </row>
    <row r="440" spans="1:6" hidden="1" outlineLevel="1" collapsed="1" x14ac:dyDescent="0.25">
      <c r="A440" s="295" t="s">
        <v>282</v>
      </c>
      <c r="B440" s="295" t="s">
        <v>386</v>
      </c>
      <c r="C440" s="293">
        <v>3269.813028</v>
      </c>
      <c r="D440" s="293">
        <v>0</v>
      </c>
      <c r="E440" s="293">
        <v>-3269.813028</v>
      </c>
      <c r="F440" s="294" t="s">
        <v>286</v>
      </c>
    </row>
    <row r="441" spans="1:6" hidden="1" outlineLevel="1" collapsed="1" x14ac:dyDescent="0.25">
      <c r="A441" s="295" t="s">
        <v>282</v>
      </c>
      <c r="B441" s="295" t="s">
        <v>387</v>
      </c>
      <c r="C441" s="293">
        <v>0</v>
      </c>
      <c r="D441" s="293">
        <v>3451.632462</v>
      </c>
      <c r="E441" s="293">
        <v>3451.632462</v>
      </c>
      <c r="F441" s="294" t="s">
        <v>298</v>
      </c>
    </row>
    <row r="442" spans="1:6" hidden="1" outlineLevel="1" collapsed="1" x14ac:dyDescent="0.25">
      <c r="A442" s="295" t="s">
        <v>282</v>
      </c>
      <c r="B442" s="295" t="s">
        <v>388</v>
      </c>
      <c r="C442" s="293">
        <v>764.71432800000002</v>
      </c>
      <c r="D442" s="293">
        <v>807.23662200000001</v>
      </c>
      <c r="E442" s="293">
        <v>42.522294000000002</v>
      </c>
      <c r="F442" s="294" t="s">
        <v>526</v>
      </c>
    </row>
    <row r="443" spans="1:6" hidden="1" outlineLevel="1" collapsed="1" x14ac:dyDescent="0.25">
      <c r="A443" s="295" t="s">
        <v>282</v>
      </c>
      <c r="B443" s="295" t="s">
        <v>389</v>
      </c>
      <c r="C443" s="293">
        <v>426.12479999999999</v>
      </c>
      <c r="D443" s="293">
        <v>422.04</v>
      </c>
      <c r="E443" s="293">
        <v>-4.0848000000000004</v>
      </c>
      <c r="F443" s="294" t="s">
        <v>364</v>
      </c>
    </row>
    <row r="444" spans="1:6" hidden="1" outlineLevel="1" collapsed="1" x14ac:dyDescent="0.25">
      <c r="A444" s="295" t="s">
        <v>282</v>
      </c>
      <c r="B444" s="295" t="s">
        <v>390</v>
      </c>
      <c r="C444" s="293">
        <v>15485.27</v>
      </c>
      <c r="D444" s="293">
        <v>15959.28</v>
      </c>
      <c r="E444" s="293">
        <v>474.01</v>
      </c>
      <c r="F444" s="294" t="s">
        <v>391</v>
      </c>
    </row>
    <row r="445" spans="1:6" hidden="1" outlineLevel="1" collapsed="1" x14ac:dyDescent="0.25">
      <c r="A445" s="295" t="s">
        <v>282</v>
      </c>
      <c r="B445" s="295" t="s">
        <v>392</v>
      </c>
      <c r="C445" s="293">
        <v>233.53919999999999</v>
      </c>
      <c r="D445" s="293">
        <v>182.88</v>
      </c>
      <c r="E445" s="293">
        <v>-50.659199999999998</v>
      </c>
      <c r="F445" s="294" t="s">
        <v>368</v>
      </c>
    </row>
    <row r="446" spans="1:6" hidden="1" outlineLevel="1" collapsed="1" x14ac:dyDescent="0.25">
      <c r="A446" s="295" t="s">
        <v>282</v>
      </c>
      <c r="B446" s="295" t="s">
        <v>393</v>
      </c>
      <c r="C446" s="293">
        <v>26.369447999999998</v>
      </c>
      <c r="D446" s="293">
        <v>27.835740000000001</v>
      </c>
      <c r="E446" s="293">
        <v>1.4662919999999999</v>
      </c>
      <c r="F446" s="294" t="s">
        <v>526</v>
      </c>
    </row>
    <row r="447" spans="1:6" hidden="1" outlineLevel="1" collapsed="1" x14ac:dyDescent="0.25">
      <c r="A447" s="295" t="s">
        <v>282</v>
      </c>
      <c r="B447" s="295" t="s">
        <v>394</v>
      </c>
      <c r="C447" s="293">
        <v>1500</v>
      </c>
      <c r="D447" s="293">
        <v>0</v>
      </c>
      <c r="E447" s="293">
        <v>-1500</v>
      </c>
      <c r="F447" s="294" t="s">
        <v>286</v>
      </c>
    </row>
    <row r="448" spans="1:6" hidden="1" outlineLevel="1" collapsed="1" x14ac:dyDescent="0.25">
      <c r="A448" s="295" t="s">
        <v>282</v>
      </c>
      <c r="B448" s="295" t="s">
        <v>395</v>
      </c>
      <c r="C448" s="293">
        <v>0</v>
      </c>
      <c r="D448" s="293">
        <v>1500</v>
      </c>
      <c r="E448" s="293">
        <v>1500</v>
      </c>
      <c r="F448" s="294" t="s">
        <v>298</v>
      </c>
    </row>
    <row r="449" spans="1:6" hidden="1" outlineLevel="1" collapsed="1" x14ac:dyDescent="0.25">
      <c r="A449" s="295" t="s">
        <v>282</v>
      </c>
      <c r="B449" s="295" t="s">
        <v>396</v>
      </c>
      <c r="C449" s="293">
        <v>49.68</v>
      </c>
      <c r="D449" s="293">
        <v>0</v>
      </c>
      <c r="E449" s="293">
        <v>-49.68</v>
      </c>
      <c r="F449" s="294" t="s">
        <v>286</v>
      </c>
    </row>
    <row r="450" spans="1:6" hidden="1" outlineLevel="1" collapsed="1" x14ac:dyDescent="0.25">
      <c r="A450" s="295" t="s">
        <v>282</v>
      </c>
      <c r="B450" s="295" t="s">
        <v>397</v>
      </c>
      <c r="C450" s="293">
        <v>0</v>
      </c>
      <c r="D450" s="293">
        <v>48.48</v>
      </c>
      <c r="E450" s="293">
        <v>48.48</v>
      </c>
      <c r="F450" s="294" t="s">
        <v>298</v>
      </c>
    </row>
    <row r="451" spans="1:6" hidden="1" outlineLevel="1" collapsed="1" x14ac:dyDescent="0.25">
      <c r="A451" s="295" t="s">
        <v>282</v>
      </c>
      <c r="B451" s="295" t="s">
        <v>398</v>
      </c>
      <c r="C451" s="293">
        <v>24</v>
      </c>
      <c r="D451" s="293">
        <v>11.04</v>
      </c>
      <c r="E451" s="293">
        <v>-12.96</v>
      </c>
      <c r="F451" s="294" t="s">
        <v>374</v>
      </c>
    </row>
    <row r="452" spans="1:6" hidden="1" outlineLevel="1" collapsed="1" x14ac:dyDescent="0.25">
      <c r="A452" s="295" t="s">
        <v>282</v>
      </c>
      <c r="B452" s="295" t="s">
        <v>375</v>
      </c>
      <c r="C452" s="293">
        <v>0</v>
      </c>
      <c r="D452" s="293">
        <v>1900</v>
      </c>
      <c r="E452" s="293">
        <v>1900</v>
      </c>
      <c r="F452" s="294" t="s">
        <v>298</v>
      </c>
    </row>
    <row r="453" spans="1:6" hidden="1" outlineLevel="1" collapsed="1" x14ac:dyDescent="0.25">
      <c r="A453" s="295" t="s">
        <v>282</v>
      </c>
      <c r="B453" s="295" t="s">
        <v>403</v>
      </c>
      <c r="C453" s="293">
        <v>3382</v>
      </c>
      <c r="D453" s="293">
        <v>1995</v>
      </c>
      <c r="E453" s="293">
        <v>-1387</v>
      </c>
      <c r="F453" s="294" t="s">
        <v>527</v>
      </c>
    </row>
    <row r="454" spans="1:6" hidden="1" outlineLevel="1" collapsed="1" x14ac:dyDescent="0.25">
      <c r="A454" s="295" t="s">
        <v>282</v>
      </c>
      <c r="B454" s="295" t="s">
        <v>422</v>
      </c>
      <c r="C454" s="293">
        <v>513</v>
      </c>
      <c r="D454" s="293">
        <v>0</v>
      </c>
      <c r="E454" s="293">
        <v>-513</v>
      </c>
      <c r="F454" s="294" t="s">
        <v>286</v>
      </c>
    </row>
    <row r="455" spans="1:6" collapsed="1" x14ac:dyDescent="0.25">
      <c r="A455" s="560" t="s">
        <v>528</v>
      </c>
      <c r="B455" s="561"/>
      <c r="C455" s="292">
        <v>81082.817592000007</v>
      </c>
      <c r="D455" s="293">
        <v>191632.61397000001</v>
      </c>
      <c r="E455" s="293">
        <v>110549.796378</v>
      </c>
      <c r="F455" s="294" t="s">
        <v>529</v>
      </c>
    </row>
    <row r="456" spans="1:6" hidden="1" outlineLevel="1" collapsed="1" x14ac:dyDescent="0.25">
      <c r="A456" s="295" t="s">
        <v>282</v>
      </c>
      <c r="B456" s="295" t="s">
        <v>358</v>
      </c>
      <c r="C456" s="293">
        <v>53284.079987999998</v>
      </c>
      <c r="D456" s="293">
        <v>123703.246788</v>
      </c>
      <c r="E456" s="293">
        <v>70419.166800000006</v>
      </c>
      <c r="F456" s="294" t="s">
        <v>530</v>
      </c>
    </row>
    <row r="457" spans="1:6" hidden="1" outlineLevel="1" collapsed="1" x14ac:dyDescent="0.25">
      <c r="A457" s="295" t="s">
        <v>282</v>
      </c>
      <c r="B457" s="295" t="s">
        <v>412</v>
      </c>
      <c r="C457" s="293">
        <v>0</v>
      </c>
      <c r="D457" s="293">
        <v>6000</v>
      </c>
      <c r="E457" s="293">
        <v>6000</v>
      </c>
      <c r="F457" s="294" t="s">
        <v>298</v>
      </c>
    </row>
    <row r="458" spans="1:6" hidden="1" outlineLevel="1" collapsed="1" x14ac:dyDescent="0.25">
      <c r="A458" s="295" t="s">
        <v>282</v>
      </c>
      <c r="B458" s="295" t="s">
        <v>360</v>
      </c>
      <c r="C458" s="293">
        <v>6953.5724280000004</v>
      </c>
      <c r="D458" s="293">
        <v>17850.378502</v>
      </c>
      <c r="E458" s="293">
        <v>10896.806074</v>
      </c>
      <c r="F458" s="294" t="s">
        <v>531</v>
      </c>
    </row>
    <row r="459" spans="1:6" hidden="1" outlineLevel="1" collapsed="1" x14ac:dyDescent="0.25">
      <c r="A459" s="295" t="s">
        <v>282</v>
      </c>
      <c r="B459" s="295" t="s">
        <v>362</v>
      </c>
      <c r="C459" s="293">
        <v>772.619148</v>
      </c>
      <c r="D459" s="293">
        <v>1793.6970679999999</v>
      </c>
      <c r="E459" s="293">
        <v>1021.0779199999999</v>
      </c>
      <c r="F459" s="294" t="s">
        <v>530</v>
      </c>
    </row>
    <row r="460" spans="1:6" hidden="1" outlineLevel="1" collapsed="1" x14ac:dyDescent="0.25">
      <c r="A460" s="295" t="s">
        <v>282</v>
      </c>
      <c r="B460" s="295" t="s">
        <v>363</v>
      </c>
      <c r="C460" s="293">
        <v>426.12479999999999</v>
      </c>
      <c r="D460" s="293">
        <v>844.08</v>
      </c>
      <c r="E460" s="293">
        <v>417.95519999999999</v>
      </c>
      <c r="F460" s="294" t="s">
        <v>532</v>
      </c>
    </row>
    <row r="461" spans="1:6" hidden="1" outlineLevel="1" collapsed="1" x14ac:dyDescent="0.25">
      <c r="A461" s="295" t="s">
        <v>282</v>
      </c>
      <c r="B461" s="295" t="s">
        <v>365</v>
      </c>
      <c r="C461" s="293">
        <v>15358.56</v>
      </c>
      <c r="D461" s="293">
        <v>31918.560000000001</v>
      </c>
      <c r="E461" s="293">
        <v>16560</v>
      </c>
      <c r="F461" s="294" t="s">
        <v>533</v>
      </c>
    </row>
    <row r="462" spans="1:6" hidden="1" outlineLevel="1" collapsed="1" x14ac:dyDescent="0.25">
      <c r="A462" s="295" t="s">
        <v>282</v>
      </c>
      <c r="B462" s="295" t="s">
        <v>367</v>
      </c>
      <c r="C462" s="293">
        <v>233.53919999999999</v>
      </c>
      <c r="D462" s="293">
        <v>365.76</v>
      </c>
      <c r="E462" s="293">
        <v>132.2208</v>
      </c>
      <c r="F462" s="294" t="s">
        <v>534</v>
      </c>
    </row>
    <row r="463" spans="1:6" hidden="1" outlineLevel="1" collapsed="1" x14ac:dyDescent="0.25">
      <c r="A463" s="295" t="s">
        <v>282</v>
      </c>
      <c r="B463" s="295" t="s">
        <v>369</v>
      </c>
      <c r="C463" s="293">
        <v>26.642028</v>
      </c>
      <c r="D463" s="293">
        <v>61.851612000000003</v>
      </c>
      <c r="E463" s="293">
        <v>35.209584</v>
      </c>
      <c r="F463" s="294" t="s">
        <v>530</v>
      </c>
    </row>
    <row r="464" spans="1:6" hidden="1" outlineLevel="1" collapsed="1" x14ac:dyDescent="0.25">
      <c r="A464" s="295" t="s">
        <v>282</v>
      </c>
      <c r="B464" s="295" t="s">
        <v>370</v>
      </c>
      <c r="C464" s="293">
        <v>1500</v>
      </c>
      <c r="D464" s="293">
        <v>3000</v>
      </c>
      <c r="E464" s="293">
        <v>1500</v>
      </c>
      <c r="F464" s="294" t="s">
        <v>298</v>
      </c>
    </row>
    <row r="465" spans="1:6" hidden="1" outlineLevel="1" collapsed="1" x14ac:dyDescent="0.25">
      <c r="A465" s="295" t="s">
        <v>282</v>
      </c>
      <c r="B465" s="295" t="s">
        <v>371</v>
      </c>
      <c r="C465" s="293">
        <v>49.68</v>
      </c>
      <c r="D465" s="293">
        <v>96.96</v>
      </c>
      <c r="E465" s="293">
        <v>47.28</v>
      </c>
      <c r="F465" s="294" t="s">
        <v>535</v>
      </c>
    </row>
    <row r="466" spans="1:6" hidden="1" outlineLevel="1" collapsed="1" x14ac:dyDescent="0.25">
      <c r="A466" s="295" t="s">
        <v>282</v>
      </c>
      <c r="B466" s="295" t="s">
        <v>373</v>
      </c>
      <c r="C466" s="293">
        <v>24</v>
      </c>
      <c r="D466" s="293">
        <v>22.08</v>
      </c>
      <c r="E466" s="293">
        <v>-1.92</v>
      </c>
      <c r="F466" s="294" t="s">
        <v>536</v>
      </c>
    </row>
    <row r="467" spans="1:6" hidden="1" outlineLevel="1" collapsed="1" x14ac:dyDescent="0.25">
      <c r="A467" s="295" t="s">
        <v>282</v>
      </c>
      <c r="B467" s="295" t="s">
        <v>375</v>
      </c>
      <c r="C467" s="293">
        <v>2454</v>
      </c>
      <c r="D467" s="293">
        <v>2454</v>
      </c>
      <c r="E467" s="293">
        <v>0</v>
      </c>
      <c r="F467" s="294" t="s">
        <v>316</v>
      </c>
    </row>
    <row r="468" spans="1:6" hidden="1" outlineLevel="1" collapsed="1" x14ac:dyDescent="0.25">
      <c r="A468" s="295" t="s">
        <v>282</v>
      </c>
      <c r="B468" s="295" t="s">
        <v>415</v>
      </c>
      <c r="C468" s="293">
        <v>0</v>
      </c>
      <c r="D468" s="293">
        <v>829</v>
      </c>
      <c r="E468" s="293">
        <v>829</v>
      </c>
      <c r="F468" s="294" t="s">
        <v>298</v>
      </c>
    </row>
    <row r="469" spans="1:6" hidden="1" outlineLevel="1" collapsed="1" x14ac:dyDescent="0.25">
      <c r="A469" s="295" t="s">
        <v>282</v>
      </c>
      <c r="B469" s="295" t="s">
        <v>403</v>
      </c>
      <c r="C469" s="293">
        <v>0</v>
      </c>
      <c r="D469" s="293">
        <v>2693</v>
      </c>
      <c r="E469" s="293">
        <v>2693</v>
      </c>
      <c r="F469" s="294" t="s">
        <v>298</v>
      </c>
    </row>
    <row r="470" spans="1:6" collapsed="1" x14ac:dyDescent="0.25">
      <c r="A470" s="560" t="s">
        <v>537</v>
      </c>
      <c r="B470" s="561"/>
      <c r="C470" s="292">
        <v>251946.6274</v>
      </c>
      <c r="D470" s="293">
        <v>260766.37015999999</v>
      </c>
      <c r="E470" s="293">
        <v>8819.7427599999992</v>
      </c>
      <c r="F470" s="294" t="s">
        <v>538</v>
      </c>
    </row>
    <row r="471" spans="1:6" hidden="1" outlineLevel="1" collapsed="1" x14ac:dyDescent="0.25">
      <c r="A471" s="295" t="s">
        <v>282</v>
      </c>
      <c r="B471" s="295" t="s">
        <v>358</v>
      </c>
      <c r="C471" s="293">
        <v>185566.8</v>
      </c>
      <c r="D471" s="293">
        <v>192273.96720000001</v>
      </c>
      <c r="E471" s="293">
        <v>6707.1671999999999</v>
      </c>
      <c r="F471" s="294" t="s">
        <v>539</v>
      </c>
    </row>
    <row r="472" spans="1:6" hidden="1" outlineLevel="1" collapsed="1" x14ac:dyDescent="0.25">
      <c r="A472" s="295" t="s">
        <v>282</v>
      </c>
      <c r="B472" s="295" t="s">
        <v>412</v>
      </c>
      <c r="C472" s="293">
        <v>5000</v>
      </c>
      <c r="D472" s="293">
        <v>5000</v>
      </c>
      <c r="E472" s="293">
        <v>0</v>
      </c>
      <c r="F472" s="294" t="s">
        <v>316</v>
      </c>
    </row>
    <row r="473" spans="1:6" hidden="1" outlineLevel="1" collapsed="1" x14ac:dyDescent="0.25">
      <c r="A473" s="295" t="s">
        <v>282</v>
      </c>
      <c r="B473" s="295" t="s">
        <v>488</v>
      </c>
      <c r="C473" s="293">
        <v>2323</v>
      </c>
      <c r="D473" s="293">
        <v>0</v>
      </c>
      <c r="E473" s="293">
        <v>-2323</v>
      </c>
      <c r="F473" s="294" t="s">
        <v>286</v>
      </c>
    </row>
    <row r="474" spans="1:6" hidden="1" outlineLevel="1" collapsed="1" x14ac:dyDescent="0.25">
      <c r="A474" s="295" t="s">
        <v>282</v>
      </c>
      <c r="B474" s="295" t="s">
        <v>360</v>
      </c>
      <c r="C474" s="293">
        <v>24216.467400000001</v>
      </c>
      <c r="D474" s="293">
        <v>27745.133460000001</v>
      </c>
      <c r="E474" s="293">
        <v>3528.66606</v>
      </c>
      <c r="F474" s="294" t="s">
        <v>540</v>
      </c>
    </row>
    <row r="475" spans="1:6" hidden="1" outlineLevel="1" collapsed="1" x14ac:dyDescent="0.25">
      <c r="A475" s="295" t="s">
        <v>282</v>
      </c>
      <c r="B475" s="295" t="s">
        <v>362</v>
      </c>
      <c r="C475" s="293">
        <v>2763.2186000000002</v>
      </c>
      <c r="D475" s="293">
        <v>2860.4725199999998</v>
      </c>
      <c r="E475" s="293">
        <v>97.253919999999994</v>
      </c>
      <c r="F475" s="294" t="s">
        <v>541</v>
      </c>
    </row>
    <row r="476" spans="1:6" hidden="1" outlineLevel="1" collapsed="1" x14ac:dyDescent="0.25">
      <c r="A476" s="295" t="s">
        <v>282</v>
      </c>
      <c r="B476" s="295" t="s">
        <v>363</v>
      </c>
      <c r="C476" s="293">
        <v>852.24959999999999</v>
      </c>
      <c r="D476" s="293">
        <v>844.08</v>
      </c>
      <c r="E476" s="293">
        <v>-8.1696000000000009</v>
      </c>
      <c r="F476" s="294" t="s">
        <v>364</v>
      </c>
    </row>
    <row r="477" spans="1:6" hidden="1" outlineLevel="1" collapsed="1" x14ac:dyDescent="0.25">
      <c r="A477" s="295" t="s">
        <v>282</v>
      </c>
      <c r="B477" s="295" t="s">
        <v>365</v>
      </c>
      <c r="C477" s="293">
        <v>15358.56</v>
      </c>
      <c r="D477" s="293">
        <v>15959.28</v>
      </c>
      <c r="E477" s="293">
        <v>600.72</v>
      </c>
      <c r="F477" s="294" t="s">
        <v>366</v>
      </c>
    </row>
    <row r="478" spans="1:6" hidden="1" outlineLevel="1" collapsed="1" x14ac:dyDescent="0.25">
      <c r="A478" s="295" t="s">
        <v>282</v>
      </c>
      <c r="B478" s="295" t="s">
        <v>367</v>
      </c>
      <c r="C478" s="293">
        <v>467.07839999999999</v>
      </c>
      <c r="D478" s="293">
        <v>365.76</v>
      </c>
      <c r="E478" s="293">
        <v>-101.3184</v>
      </c>
      <c r="F478" s="294" t="s">
        <v>368</v>
      </c>
    </row>
    <row r="479" spans="1:6" hidden="1" outlineLevel="1" collapsed="1" x14ac:dyDescent="0.25">
      <c r="A479" s="295" t="s">
        <v>282</v>
      </c>
      <c r="B479" s="295" t="s">
        <v>369</v>
      </c>
      <c r="C479" s="293">
        <v>95.2834</v>
      </c>
      <c r="D479" s="293">
        <v>98.636979999999994</v>
      </c>
      <c r="E479" s="293">
        <v>3.35358</v>
      </c>
      <c r="F479" s="294" t="s">
        <v>541</v>
      </c>
    </row>
    <row r="480" spans="1:6" hidden="1" outlineLevel="1" collapsed="1" x14ac:dyDescent="0.25">
      <c r="A480" s="295" t="s">
        <v>282</v>
      </c>
      <c r="B480" s="295" t="s">
        <v>370</v>
      </c>
      <c r="C480" s="293">
        <v>3000</v>
      </c>
      <c r="D480" s="293">
        <v>3000</v>
      </c>
      <c r="E480" s="293">
        <v>0</v>
      </c>
      <c r="F480" s="294" t="s">
        <v>316</v>
      </c>
    </row>
    <row r="481" spans="1:6" hidden="1" outlineLevel="1" collapsed="1" x14ac:dyDescent="0.25">
      <c r="A481" s="295" t="s">
        <v>282</v>
      </c>
      <c r="B481" s="295" t="s">
        <v>371</v>
      </c>
      <c r="C481" s="293">
        <v>99.36</v>
      </c>
      <c r="D481" s="293">
        <v>96.96</v>
      </c>
      <c r="E481" s="293">
        <v>-2.4</v>
      </c>
      <c r="F481" s="294" t="s">
        <v>372</v>
      </c>
    </row>
    <row r="482" spans="1:6" hidden="1" outlineLevel="1" collapsed="1" x14ac:dyDescent="0.25">
      <c r="A482" s="295" t="s">
        <v>282</v>
      </c>
      <c r="B482" s="295" t="s">
        <v>373</v>
      </c>
      <c r="C482" s="293">
        <v>48</v>
      </c>
      <c r="D482" s="293">
        <v>22.08</v>
      </c>
      <c r="E482" s="293">
        <v>-25.92</v>
      </c>
      <c r="F482" s="294" t="s">
        <v>374</v>
      </c>
    </row>
    <row r="483" spans="1:6" hidden="1" outlineLevel="1" collapsed="1" x14ac:dyDescent="0.25">
      <c r="A483" s="295" t="s">
        <v>282</v>
      </c>
      <c r="B483" s="295" t="s">
        <v>445</v>
      </c>
      <c r="C483" s="293">
        <v>3000</v>
      </c>
      <c r="D483" s="293">
        <v>3000</v>
      </c>
      <c r="E483" s="293">
        <v>0</v>
      </c>
      <c r="F483" s="294" t="s">
        <v>316</v>
      </c>
    </row>
    <row r="484" spans="1:6" hidden="1" outlineLevel="1" collapsed="1" x14ac:dyDescent="0.25">
      <c r="A484" s="295" t="s">
        <v>282</v>
      </c>
      <c r="B484" s="295" t="s">
        <v>399</v>
      </c>
      <c r="C484" s="293">
        <v>207</v>
      </c>
      <c r="D484" s="293">
        <v>207</v>
      </c>
      <c r="E484" s="293">
        <v>0</v>
      </c>
      <c r="F484" s="294" t="s">
        <v>316</v>
      </c>
    </row>
    <row r="485" spans="1:6" hidden="1" outlineLevel="1" collapsed="1" x14ac:dyDescent="0.25">
      <c r="A485" s="295" t="s">
        <v>282</v>
      </c>
      <c r="B485" s="295" t="s">
        <v>375</v>
      </c>
      <c r="C485" s="293">
        <v>4658.6099999999997</v>
      </c>
      <c r="D485" s="293">
        <v>2679</v>
      </c>
      <c r="E485" s="293">
        <v>-1979.61</v>
      </c>
      <c r="F485" s="294" t="s">
        <v>542</v>
      </c>
    </row>
    <row r="486" spans="1:6" hidden="1" outlineLevel="1" collapsed="1" x14ac:dyDescent="0.25">
      <c r="A486" s="295" t="s">
        <v>282</v>
      </c>
      <c r="B486" s="295" t="s">
        <v>496</v>
      </c>
      <c r="C486" s="293">
        <v>65</v>
      </c>
      <c r="D486" s="293">
        <v>65</v>
      </c>
      <c r="E486" s="293">
        <v>0</v>
      </c>
      <c r="F486" s="294" t="s">
        <v>316</v>
      </c>
    </row>
    <row r="487" spans="1:6" hidden="1" outlineLevel="1" collapsed="1" x14ac:dyDescent="0.25">
      <c r="A487" s="295" t="s">
        <v>282</v>
      </c>
      <c r="B487" s="295" t="s">
        <v>376</v>
      </c>
      <c r="C487" s="293">
        <v>171</v>
      </c>
      <c r="D487" s="293">
        <v>171</v>
      </c>
      <c r="E487" s="293">
        <v>0</v>
      </c>
      <c r="F487" s="294" t="s">
        <v>316</v>
      </c>
    </row>
    <row r="488" spans="1:6" hidden="1" outlineLevel="1" collapsed="1" x14ac:dyDescent="0.25">
      <c r="A488" s="295" t="s">
        <v>282</v>
      </c>
      <c r="B488" s="295" t="s">
        <v>401</v>
      </c>
      <c r="C488" s="293">
        <v>0</v>
      </c>
      <c r="D488" s="293">
        <v>898</v>
      </c>
      <c r="E488" s="293">
        <v>898</v>
      </c>
      <c r="F488" s="294" t="s">
        <v>298</v>
      </c>
    </row>
    <row r="489" spans="1:6" hidden="1" outlineLevel="1" collapsed="1" x14ac:dyDescent="0.25">
      <c r="A489" s="295" t="s">
        <v>282</v>
      </c>
      <c r="B489" s="295" t="s">
        <v>543</v>
      </c>
      <c r="C489" s="293">
        <v>0</v>
      </c>
      <c r="D489" s="293">
        <v>1425</v>
      </c>
      <c r="E489" s="293">
        <v>1425</v>
      </c>
      <c r="F489" s="294" t="s">
        <v>298</v>
      </c>
    </row>
    <row r="490" spans="1:6" hidden="1" outlineLevel="1" collapsed="1" x14ac:dyDescent="0.25">
      <c r="A490" s="295" t="s">
        <v>282</v>
      </c>
      <c r="B490" s="295" t="s">
        <v>448</v>
      </c>
      <c r="C490" s="293">
        <v>0</v>
      </c>
      <c r="D490" s="293">
        <v>0</v>
      </c>
      <c r="E490" s="293">
        <v>0</v>
      </c>
      <c r="F490" s="294" t="s">
        <v>316</v>
      </c>
    </row>
    <row r="491" spans="1:6" hidden="1" outlineLevel="1" collapsed="1" x14ac:dyDescent="0.25">
      <c r="A491" s="295" t="s">
        <v>282</v>
      </c>
      <c r="B491" s="295" t="s">
        <v>405</v>
      </c>
      <c r="C491" s="293">
        <v>120</v>
      </c>
      <c r="D491" s="293">
        <v>120</v>
      </c>
      <c r="E491" s="293">
        <v>0</v>
      </c>
      <c r="F491" s="294" t="s">
        <v>316</v>
      </c>
    </row>
    <row r="492" spans="1:6" hidden="1" outlineLevel="1" collapsed="1" x14ac:dyDescent="0.25">
      <c r="A492" s="295" t="s">
        <v>282</v>
      </c>
      <c r="B492" s="295" t="s">
        <v>422</v>
      </c>
      <c r="C492" s="293">
        <v>3935</v>
      </c>
      <c r="D492" s="293">
        <v>3935</v>
      </c>
      <c r="E492" s="293">
        <v>0</v>
      </c>
      <c r="F492" s="294" t="s">
        <v>316</v>
      </c>
    </row>
    <row r="493" spans="1:6" collapsed="1" x14ac:dyDescent="0.25">
      <c r="A493" s="560" t="s">
        <v>544</v>
      </c>
      <c r="B493" s="561"/>
      <c r="C493" s="292">
        <v>131374.006884</v>
      </c>
      <c r="D493" s="293">
        <v>139877.129372</v>
      </c>
      <c r="E493" s="293">
        <v>8503.1224880000009</v>
      </c>
      <c r="F493" s="294" t="s">
        <v>545</v>
      </c>
    </row>
    <row r="494" spans="1:6" hidden="1" outlineLevel="1" collapsed="1" x14ac:dyDescent="0.25">
      <c r="A494" s="295" t="s">
        <v>282</v>
      </c>
      <c r="B494" s="295" t="s">
        <v>546</v>
      </c>
      <c r="C494" s="293">
        <v>50455.649916000002</v>
      </c>
      <c r="D494" s="293">
        <v>53780.837747999998</v>
      </c>
      <c r="E494" s="293">
        <v>3325.1878320000001</v>
      </c>
      <c r="F494" s="294" t="s">
        <v>547</v>
      </c>
    </row>
    <row r="495" spans="1:6" hidden="1" outlineLevel="1" collapsed="1" x14ac:dyDescent="0.25">
      <c r="A495" s="295" t="s">
        <v>282</v>
      </c>
      <c r="B495" s="295" t="s">
        <v>380</v>
      </c>
      <c r="C495" s="293">
        <v>39484.679276000003</v>
      </c>
      <c r="D495" s="293">
        <v>40667.606467999998</v>
      </c>
      <c r="E495" s="293">
        <v>1182.9271920000001</v>
      </c>
      <c r="F495" s="294" t="s">
        <v>548</v>
      </c>
    </row>
    <row r="496" spans="1:6" hidden="1" outlineLevel="1" collapsed="1" x14ac:dyDescent="0.25">
      <c r="A496" s="295" t="s">
        <v>282</v>
      </c>
      <c r="B496" s="295" t="s">
        <v>475</v>
      </c>
      <c r="C496" s="293">
        <v>285.5</v>
      </c>
      <c r="D496" s="293">
        <v>0</v>
      </c>
      <c r="E496" s="293">
        <v>-285.5</v>
      </c>
      <c r="F496" s="294" t="s">
        <v>286</v>
      </c>
    </row>
    <row r="497" spans="1:6" hidden="1" outlineLevel="1" collapsed="1" x14ac:dyDescent="0.25">
      <c r="A497" s="295" t="s">
        <v>282</v>
      </c>
      <c r="B497" s="295" t="s">
        <v>384</v>
      </c>
      <c r="C497" s="293">
        <v>11270.814383999999</v>
      </c>
      <c r="D497" s="293">
        <v>0</v>
      </c>
      <c r="E497" s="293">
        <v>-11270.814383999999</v>
      </c>
      <c r="F497" s="294" t="s">
        <v>286</v>
      </c>
    </row>
    <row r="498" spans="1:6" hidden="1" outlineLevel="1" collapsed="1" x14ac:dyDescent="0.25">
      <c r="A498" s="295" t="s">
        <v>282</v>
      </c>
      <c r="B498" s="295" t="s">
        <v>385</v>
      </c>
      <c r="C498" s="293">
        <v>0</v>
      </c>
      <c r="D498" s="293">
        <v>14867.994995999999</v>
      </c>
      <c r="E498" s="293">
        <v>14867.994995999999</v>
      </c>
      <c r="F498" s="294" t="s">
        <v>298</v>
      </c>
    </row>
    <row r="499" spans="1:6" hidden="1" outlineLevel="1" collapsed="1" x14ac:dyDescent="0.25">
      <c r="A499" s="295" t="s">
        <v>282</v>
      </c>
      <c r="B499" s="295" t="s">
        <v>386</v>
      </c>
      <c r="C499" s="293">
        <v>5576.3004000000001</v>
      </c>
      <c r="D499" s="293">
        <v>0</v>
      </c>
      <c r="E499" s="293">
        <v>-5576.3004000000001</v>
      </c>
      <c r="F499" s="294" t="s">
        <v>286</v>
      </c>
    </row>
    <row r="500" spans="1:6" hidden="1" outlineLevel="1" collapsed="1" x14ac:dyDescent="0.25">
      <c r="A500" s="295" t="s">
        <v>282</v>
      </c>
      <c r="B500" s="295" t="s">
        <v>387</v>
      </c>
      <c r="C500" s="293">
        <v>0</v>
      </c>
      <c r="D500" s="293">
        <v>5855.8035239999999</v>
      </c>
      <c r="E500" s="293">
        <v>5855.8035239999999</v>
      </c>
      <c r="F500" s="294" t="s">
        <v>298</v>
      </c>
    </row>
    <row r="501" spans="1:6" hidden="1" outlineLevel="1" collapsed="1" x14ac:dyDescent="0.25">
      <c r="A501" s="295" t="s">
        <v>282</v>
      </c>
      <c r="B501" s="295" t="s">
        <v>388</v>
      </c>
      <c r="C501" s="293">
        <v>1304.1347639999999</v>
      </c>
      <c r="D501" s="293">
        <v>1369.502424</v>
      </c>
      <c r="E501" s="293">
        <v>65.367660000000001</v>
      </c>
      <c r="F501" s="294" t="s">
        <v>549</v>
      </c>
    </row>
    <row r="502" spans="1:6" hidden="1" outlineLevel="1" collapsed="1" x14ac:dyDescent="0.25">
      <c r="A502" s="295" t="s">
        <v>282</v>
      </c>
      <c r="B502" s="295" t="s">
        <v>389</v>
      </c>
      <c r="C502" s="293">
        <v>852.24959999999999</v>
      </c>
      <c r="D502" s="293">
        <v>844.08</v>
      </c>
      <c r="E502" s="293">
        <v>-8.1696000000000009</v>
      </c>
      <c r="F502" s="294" t="s">
        <v>364</v>
      </c>
    </row>
    <row r="503" spans="1:6" hidden="1" outlineLevel="1" collapsed="1" x14ac:dyDescent="0.25">
      <c r="A503" s="295" t="s">
        <v>282</v>
      </c>
      <c r="B503" s="295" t="s">
        <v>390</v>
      </c>
      <c r="C503" s="293">
        <v>15485.27</v>
      </c>
      <c r="D503" s="293">
        <v>15959.28</v>
      </c>
      <c r="E503" s="293">
        <v>474.01</v>
      </c>
      <c r="F503" s="294" t="s">
        <v>391</v>
      </c>
    </row>
    <row r="504" spans="1:6" hidden="1" outlineLevel="1" collapsed="1" x14ac:dyDescent="0.25">
      <c r="A504" s="295" t="s">
        <v>282</v>
      </c>
      <c r="B504" s="295" t="s">
        <v>392</v>
      </c>
      <c r="C504" s="293">
        <v>467.07839999999999</v>
      </c>
      <c r="D504" s="293">
        <v>365.76</v>
      </c>
      <c r="E504" s="293">
        <v>-101.3184</v>
      </c>
      <c r="F504" s="294" t="s">
        <v>368</v>
      </c>
    </row>
    <row r="505" spans="1:6" hidden="1" outlineLevel="1" collapsed="1" x14ac:dyDescent="0.25">
      <c r="A505" s="295" t="s">
        <v>282</v>
      </c>
      <c r="B505" s="295" t="s">
        <v>393</v>
      </c>
      <c r="C505" s="293">
        <v>44.970143999999998</v>
      </c>
      <c r="D505" s="293">
        <v>47.224212000000001</v>
      </c>
      <c r="E505" s="293">
        <v>2.2540680000000002</v>
      </c>
      <c r="F505" s="294" t="s">
        <v>549</v>
      </c>
    </row>
    <row r="506" spans="1:6" hidden="1" outlineLevel="1" collapsed="1" x14ac:dyDescent="0.25">
      <c r="A506" s="295" t="s">
        <v>282</v>
      </c>
      <c r="B506" s="295" t="s">
        <v>394</v>
      </c>
      <c r="C506" s="293">
        <v>3000</v>
      </c>
      <c r="D506" s="293">
        <v>0</v>
      </c>
      <c r="E506" s="293">
        <v>-3000</v>
      </c>
      <c r="F506" s="294" t="s">
        <v>286</v>
      </c>
    </row>
    <row r="507" spans="1:6" hidden="1" outlineLevel="1" collapsed="1" x14ac:dyDescent="0.25">
      <c r="A507" s="295" t="s">
        <v>282</v>
      </c>
      <c r="B507" s="295" t="s">
        <v>395</v>
      </c>
      <c r="C507" s="293">
        <v>0</v>
      </c>
      <c r="D507" s="293">
        <v>3000</v>
      </c>
      <c r="E507" s="293">
        <v>3000</v>
      </c>
      <c r="F507" s="294" t="s">
        <v>298</v>
      </c>
    </row>
    <row r="508" spans="1:6" hidden="1" outlineLevel="1" collapsed="1" x14ac:dyDescent="0.25">
      <c r="A508" s="295" t="s">
        <v>282</v>
      </c>
      <c r="B508" s="295" t="s">
        <v>396</v>
      </c>
      <c r="C508" s="293">
        <v>99.36</v>
      </c>
      <c r="D508" s="293">
        <v>0</v>
      </c>
      <c r="E508" s="293">
        <v>-99.36</v>
      </c>
      <c r="F508" s="294" t="s">
        <v>286</v>
      </c>
    </row>
    <row r="509" spans="1:6" hidden="1" outlineLevel="1" collapsed="1" x14ac:dyDescent="0.25">
      <c r="A509" s="295" t="s">
        <v>282</v>
      </c>
      <c r="B509" s="295" t="s">
        <v>397</v>
      </c>
      <c r="C509" s="293">
        <v>0</v>
      </c>
      <c r="D509" s="293">
        <v>96.96</v>
      </c>
      <c r="E509" s="293">
        <v>96.96</v>
      </c>
      <c r="F509" s="294" t="s">
        <v>298</v>
      </c>
    </row>
    <row r="510" spans="1:6" hidden="1" outlineLevel="1" collapsed="1" x14ac:dyDescent="0.25">
      <c r="A510" s="295" t="s">
        <v>282</v>
      </c>
      <c r="B510" s="295" t="s">
        <v>398</v>
      </c>
      <c r="C510" s="293">
        <v>48</v>
      </c>
      <c r="D510" s="293">
        <v>22.08</v>
      </c>
      <c r="E510" s="293">
        <v>-25.92</v>
      </c>
      <c r="F510" s="294" t="s">
        <v>374</v>
      </c>
    </row>
    <row r="511" spans="1:6" hidden="1" outlineLevel="1" collapsed="1" x14ac:dyDescent="0.25">
      <c r="A511" s="295" t="s">
        <v>282</v>
      </c>
      <c r="B511" s="295" t="s">
        <v>522</v>
      </c>
      <c r="C511" s="293">
        <v>3000</v>
      </c>
      <c r="D511" s="293">
        <v>3000</v>
      </c>
      <c r="E511" s="293">
        <v>0</v>
      </c>
      <c r="F511" s="294" t="s">
        <v>316</v>
      </c>
    </row>
    <row r="512" spans="1:6" collapsed="1" x14ac:dyDescent="0.25">
      <c r="A512" s="560" t="s">
        <v>550</v>
      </c>
      <c r="B512" s="561"/>
      <c r="C512" s="292">
        <v>453432.34323200001</v>
      </c>
      <c r="D512" s="293">
        <v>469477.02327499999</v>
      </c>
      <c r="E512" s="293">
        <v>16044.680043</v>
      </c>
      <c r="F512" s="294" t="s">
        <v>551</v>
      </c>
    </row>
    <row r="513" spans="1:6" hidden="1" outlineLevel="1" collapsed="1" x14ac:dyDescent="0.25">
      <c r="A513" s="295" t="s">
        <v>282</v>
      </c>
      <c r="B513" s="295" t="s">
        <v>358</v>
      </c>
      <c r="C513" s="293">
        <v>284446.08000000002</v>
      </c>
      <c r="D513" s="293">
        <v>291860.32679999998</v>
      </c>
      <c r="E513" s="293">
        <v>7414.2467999999999</v>
      </c>
      <c r="F513" s="294" t="s">
        <v>552</v>
      </c>
    </row>
    <row r="514" spans="1:6" hidden="1" outlineLevel="1" collapsed="1" x14ac:dyDescent="0.25">
      <c r="A514" s="295" t="s">
        <v>282</v>
      </c>
      <c r="B514" s="295" t="s">
        <v>412</v>
      </c>
      <c r="C514" s="293">
        <v>7000</v>
      </c>
      <c r="D514" s="293">
        <v>7000</v>
      </c>
      <c r="E514" s="293">
        <v>0</v>
      </c>
      <c r="F514" s="294" t="s">
        <v>316</v>
      </c>
    </row>
    <row r="515" spans="1:6" hidden="1" outlineLevel="1" collapsed="1" x14ac:dyDescent="0.25">
      <c r="A515" s="295" t="s">
        <v>282</v>
      </c>
      <c r="B515" s="295" t="s">
        <v>380</v>
      </c>
      <c r="C515" s="293">
        <v>34877.355020000003</v>
      </c>
      <c r="D515" s="293">
        <v>35911.875679999997</v>
      </c>
      <c r="E515" s="293">
        <v>1034.5206599999999</v>
      </c>
      <c r="F515" s="294" t="s">
        <v>553</v>
      </c>
    </row>
    <row r="516" spans="1:6" hidden="1" outlineLevel="1" collapsed="1" x14ac:dyDescent="0.25">
      <c r="A516" s="295" t="s">
        <v>282</v>
      </c>
      <c r="B516" s="295" t="s">
        <v>453</v>
      </c>
      <c r="C516" s="293">
        <v>2970</v>
      </c>
      <c r="D516" s="293">
        <v>2970</v>
      </c>
      <c r="E516" s="293">
        <v>0</v>
      </c>
      <c r="F516" s="294" t="s">
        <v>316</v>
      </c>
    </row>
    <row r="517" spans="1:6" hidden="1" outlineLevel="1" collapsed="1" x14ac:dyDescent="0.25">
      <c r="A517" s="295" t="s">
        <v>282</v>
      </c>
      <c r="B517" s="295" t="s">
        <v>360</v>
      </c>
      <c r="C517" s="293">
        <v>37120.21344</v>
      </c>
      <c r="D517" s="293">
        <v>42115.44515</v>
      </c>
      <c r="E517" s="293">
        <v>4995.23171</v>
      </c>
      <c r="F517" s="294" t="s">
        <v>554</v>
      </c>
    </row>
    <row r="518" spans="1:6" hidden="1" outlineLevel="1" collapsed="1" x14ac:dyDescent="0.25">
      <c r="A518" s="295" t="s">
        <v>282</v>
      </c>
      <c r="B518" s="295" t="s">
        <v>384</v>
      </c>
      <c r="C518" s="293">
        <v>4305.8012520000002</v>
      </c>
      <c r="D518" s="293">
        <v>0</v>
      </c>
      <c r="E518" s="293">
        <v>-4305.8012520000002</v>
      </c>
      <c r="F518" s="294" t="s">
        <v>286</v>
      </c>
    </row>
    <row r="519" spans="1:6" hidden="1" outlineLevel="1" collapsed="1" x14ac:dyDescent="0.25">
      <c r="A519" s="295" t="s">
        <v>282</v>
      </c>
      <c r="B519" s="295" t="s">
        <v>385</v>
      </c>
      <c r="C519" s="293">
        <v>0</v>
      </c>
      <c r="D519" s="293">
        <v>5571.3763559999998</v>
      </c>
      <c r="E519" s="293">
        <v>5571.3763559999998</v>
      </c>
      <c r="F519" s="294" t="s">
        <v>298</v>
      </c>
    </row>
    <row r="520" spans="1:6" hidden="1" outlineLevel="1" collapsed="1" x14ac:dyDescent="0.25">
      <c r="A520" s="295" t="s">
        <v>282</v>
      </c>
      <c r="B520" s="295" t="s">
        <v>386</v>
      </c>
      <c r="C520" s="293">
        <v>2162.3960040000002</v>
      </c>
      <c r="D520" s="293">
        <v>0</v>
      </c>
      <c r="E520" s="293">
        <v>-2162.3960040000002</v>
      </c>
      <c r="F520" s="294" t="s">
        <v>286</v>
      </c>
    </row>
    <row r="521" spans="1:6" hidden="1" outlineLevel="1" collapsed="1" x14ac:dyDescent="0.25">
      <c r="A521" s="295" t="s">
        <v>282</v>
      </c>
      <c r="B521" s="295" t="s">
        <v>387</v>
      </c>
      <c r="C521" s="293">
        <v>0</v>
      </c>
      <c r="D521" s="293">
        <v>2226.5362909999999</v>
      </c>
      <c r="E521" s="293">
        <v>2226.5362909999999</v>
      </c>
      <c r="F521" s="294" t="s">
        <v>298</v>
      </c>
    </row>
    <row r="522" spans="1:6" hidden="1" outlineLevel="1" collapsed="1" x14ac:dyDescent="0.25">
      <c r="A522" s="295" t="s">
        <v>282</v>
      </c>
      <c r="B522" s="295" t="s">
        <v>362</v>
      </c>
      <c r="C522" s="293">
        <v>4225.9681600000004</v>
      </c>
      <c r="D522" s="293">
        <v>4333.4747200000002</v>
      </c>
      <c r="E522" s="293">
        <v>107.50655999999999</v>
      </c>
      <c r="F522" s="294" t="s">
        <v>555</v>
      </c>
    </row>
    <row r="523" spans="1:6" hidden="1" outlineLevel="1" collapsed="1" x14ac:dyDescent="0.25">
      <c r="A523" s="295" t="s">
        <v>282</v>
      </c>
      <c r="B523" s="295" t="s">
        <v>388</v>
      </c>
      <c r="C523" s="293">
        <v>505.72163999999998</v>
      </c>
      <c r="D523" s="293">
        <v>520.72219199999995</v>
      </c>
      <c r="E523" s="293">
        <v>15.000552000000001</v>
      </c>
      <c r="F523" s="294" t="s">
        <v>553</v>
      </c>
    </row>
    <row r="524" spans="1:6" hidden="1" outlineLevel="1" collapsed="1" x14ac:dyDescent="0.25">
      <c r="A524" s="295" t="s">
        <v>282</v>
      </c>
      <c r="B524" s="295" t="s">
        <v>363</v>
      </c>
      <c r="C524" s="293">
        <v>1278.3743999999999</v>
      </c>
      <c r="D524" s="293">
        <v>1266.1199999999999</v>
      </c>
      <c r="E524" s="293">
        <v>-12.2544</v>
      </c>
      <c r="F524" s="294" t="s">
        <v>364</v>
      </c>
    </row>
    <row r="525" spans="1:6" hidden="1" outlineLevel="1" collapsed="1" x14ac:dyDescent="0.25">
      <c r="A525" s="295" t="s">
        <v>282</v>
      </c>
      <c r="B525" s="295" t="s">
        <v>365</v>
      </c>
      <c r="C525" s="293">
        <v>46075.68</v>
      </c>
      <c r="D525" s="293">
        <v>47877.84</v>
      </c>
      <c r="E525" s="293">
        <v>1802.16</v>
      </c>
      <c r="F525" s="294" t="s">
        <v>366</v>
      </c>
    </row>
    <row r="526" spans="1:6" hidden="1" outlineLevel="1" collapsed="1" x14ac:dyDescent="0.25">
      <c r="A526" s="295" t="s">
        <v>282</v>
      </c>
      <c r="B526" s="295" t="s">
        <v>367</v>
      </c>
      <c r="C526" s="293">
        <v>700.61760000000004</v>
      </c>
      <c r="D526" s="293">
        <v>548.64</v>
      </c>
      <c r="E526" s="293">
        <v>-151.9776</v>
      </c>
      <c r="F526" s="294" t="s">
        <v>368</v>
      </c>
    </row>
    <row r="527" spans="1:6" hidden="1" outlineLevel="1" collapsed="1" x14ac:dyDescent="0.25">
      <c r="A527" s="295" t="s">
        <v>282</v>
      </c>
      <c r="B527" s="295" t="s">
        <v>444</v>
      </c>
      <c r="C527" s="293">
        <v>267</v>
      </c>
      <c r="D527" s="293">
        <v>267</v>
      </c>
      <c r="E527" s="293">
        <v>0</v>
      </c>
      <c r="F527" s="294" t="s">
        <v>316</v>
      </c>
    </row>
    <row r="528" spans="1:6" hidden="1" outlineLevel="1" collapsed="1" x14ac:dyDescent="0.25">
      <c r="A528" s="295" t="s">
        <v>282</v>
      </c>
      <c r="B528" s="295" t="s">
        <v>389</v>
      </c>
      <c r="C528" s="293">
        <v>426.12479999999999</v>
      </c>
      <c r="D528" s="293">
        <v>422.04</v>
      </c>
      <c r="E528" s="293">
        <v>-4.0848000000000004</v>
      </c>
      <c r="F528" s="294" t="s">
        <v>364</v>
      </c>
    </row>
    <row r="529" spans="1:6" hidden="1" outlineLevel="1" collapsed="1" x14ac:dyDescent="0.25">
      <c r="A529" s="295" t="s">
        <v>282</v>
      </c>
      <c r="B529" s="295" t="s">
        <v>390</v>
      </c>
      <c r="C529" s="293">
        <v>15485.27</v>
      </c>
      <c r="D529" s="293">
        <v>15959.28</v>
      </c>
      <c r="E529" s="293">
        <v>474.01</v>
      </c>
      <c r="F529" s="294" t="s">
        <v>391</v>
      </c>
    </row>
    <row r="530" spans="1:6" hidden="1" outlineLevel="1" collapsed="1" x14ac:dyDescent="0.25">
      <c r="A530" s="295" t="s">
        <v>282</v>
      </c>
      <c r="B530" s="295" t="s">
        <v>392</v>
      </c>
      <c r="C530" s="293">
        <v>233.53919999999999</v>
      </c>
      <c r="D530" s="293">
        <v>182.88</v>
      </c>
      <c r="E530" s="293">
        <v>-50.659199999999998</v>
      </c>
      <c r="F530" s="294" t="s">
        <v>368</v>
      </c>
    </row>
    <row r="531" spans="1:6" hidden="1" outlineLevel="1" collapsed="1" x14ac:dyDescent="0.25">
      <c r="A531" s="295" t="s">
        <v>282</v>
      </c>
      <c r="B531" s="295" t="s">
        <v>369</v>
      </c>
      <c r="C531" s="293">
        <v>145.72304</v>
      </c>
      <c r="D531" s="293">
        <v>149.43015</v>
      </c>
      <c r="E531" s="293">
        <v>3.7071100000000001</v>
      </c>
      <c r="F531" s="294" t="s">
        <v>555</v>
      </c>
    </row>
    <row r="532" spans="1:6" hidden="1" outlineLevel="1" collapsed="1" x14ac:dyDescent="0.25">
      <c r="A532" s="295" t="s">
        <v>282</v>
      </c>
      <c r="B532" s="295" t="s">
        <v>393</v>
      </c>
      <c r="C532" s="293">
        <v>17.438676000000001</v>
      </c>
      <c r="D532" s="293">
        <v>17.955936000000001</v>
      </c>
      <c r="E532" s="293">
        <v>0.51726000000000005</v>
      </c>
      <c r="F532" s="294" t="s">
        <v>553</v>
      </c>
    </row>
    <row r="533" spans="1:6" hidden="1" outlineLevel="1" collapsed="1" x14ac:dyDescent="0.25">
      <c r="A533" s="295" t="s">
        <v>282</v>
      </c>
      <c r="B533" s="295" t="s">
        <v>370</v>
      </c>
      <c r="C533" s="293">
        <v>4500</v>
      </c>
      <c r="D533" s="293">
        <v>4500</v>
      </c>
      <c r="E533" s="293">
        <v>0</v>
      </c>
      <c r="F533" s="294" t="s">
        <v>316</v>
      </c>
    </row>
    <row r="534" spans="1:6" hidden="1" outlineLevel="1" collapsed="1" x14ac:dyDescent="0.25">
      <c r="A534" s="295" t="s">
        <v>282</v>
      </c>
      <c r="B534" s="295" t="s">
        <v>394</v>
      </c>
      <c r="C534" s="293">
        <v>1500</v>
      </c>
      <c r="D534" s="293">
        <v>0</v>
      </c>
      <c r="E534" s="293">
        <v>-1500</v>
      </c>
      <c r="F534" s="294" t="s">
        <v>286</v>
      </c>
    </row>
    <row r="535" spans="1:6" hidden="1" outlineLevel="1" collapsed="1" x14ac:dyDescent="0.25">
      <c r="A535" s="295" t="s">
        <v>282</v>
      </c>
      <c r="B535" s="295" t="s">
        <v>395</v>
      </c>
      <c r="C535" s="293">
        <v>0</v>
      </c>
      <c r="D535" s="293">
        <v>1500</v>
      </c>
      <c r="E535" s="293">
        <v>1500</v>
      </c>
      <c r="F535" s="294" t="s">
        <v>298</v>
      </c>
    </row>
    <row r="536" spans="1:6" hidden="1" outlineLevel="1" collapsed="1" x14ac:dyDescent="0.25">
      <c r="A536" s="295" t="s">
        <v>282</v>
      </c>
      <c r="B536" s="295" t="s">
        <v>371</v>
      </c>
      <c r="C536" s="293">
        <v>149.04</v>
      </c>
      <c r="D536" s="293">
        <v>145.44</v>
      </c>
      <c r="E536" s="293">
        <v>-3.6</v>
      </c>
      <c r="F536" s="294" t="s">
        <v>372</v>
      </c>
    </row>
    <row r="537" spans="1:6" hidden="1" outlineLevel="1" collapsed="1" x14ac:dyDescent="0.25">
      <c r="A537" s="295" t="s">
        <v>282</v>
      </c>
      <c r="B537" s="295" t="s">
        <v>396</v>
      </c>
      <c r="C537" s="293">
        <v>49.68</v>
      </c>
      <c r="D537" s="293">
        <v>0</v>
      </c>
      <c r="E537" s="293">
        <v>-49.68</v>
      </c>
      <c r="F537" s="294" t="s">
        <v>286</v>
      </c>
    </row>
    <row r="538" spans="1:6" hidden="1" outlineLevel="1" collapsed="1" x14ac:dyDescent="0.25">
      <c r="A538" s="295" t="s">
        <v>282</v>
      </c>
      <c r="B538" s="295" t="s">
        <v>397</v>
      </c>
      <c r="C538" s="293">
        <v>0</v>
      </c>
      <c r="D538" s="293">
        <v>48.48</v>
      </c>
      <c r="E538" s="293">
        <v>48.48</v>
      </c>
      <c r="F538" s="294" t="s">
        <v>298</v>
      </c>
    </row>
    <row r="539" spans="1:6" hidden="1" outlineLevel="1" collapsed="1" x14ac:dyDescent="0.25">
      <c r="A539" s="295" t="s">
        <v>282</v>
      </c>
      <c r="B539" s="295" t="s">
        <v>373</v>
      </c>
      <c r="C539" s="293">
        <v>72</v>
      </c>
      <c r="D539" s="293">
        <v>33.119999999999997</v>
      </c>
      <c r="E539" s="293">
        <v>-38.880000000000003</v>
      </c>
      <c r="F539" s="294" t="s">
        <v>374</v>
      </c>
    </row>
    <row r="540" spans="1:6" hidden="1" outlineLevel="1" collapsed="1" x14ac:dyDescent="0.25">
      <c r="A540" s="295" t="s">
        <v>282</v>
      </c>
      <c r="B540" s="295" t="s">
        <v>398</v>
      </c>
      <c r="C540" s="293">
        <v>24</v>
      </c>
      <c r="D540" s="293">
        <v>11.04</v>
      </c>
      <c r="E540" s="293">
        <v>-12.96</v>
      </c>
      <c r="F540" s="294" t="s">
        <v>374</v>
      </c>
    </row>
    <row r="541" spans="1:6" hidden="1" outlineLevel="1" collapsed="1" x14ac:dyDescent="0.25">
      <c r="A541" s="295" t="s">
        <v>282</v>
      </c>
      <c r="B541" s="295" t="s">
        <v>376</v>
      </c>
      <c r="C541" s="293">
        <v>2076.84</v>
      </c>
      <c r="D541" s="293">
        <v>1853</v>
      </c>
      <c r="E541" s="293">
        <v>-223.84</v>
      </c>
      <c r="F541" s="294" t="s">
        <v>556</v>
      </c>
    </row>
    <row r="542" spans="1:6" hidden="1" outlineLevel="1" collapsed="1" x14ac:dyDescent="0.25">
      <c r="A542" s="295" t="s">
        <v>282</v>
      </c>
      <c r="B542" s="295" t="s">
        <v>557</v>
      </c>
      <c r="C542" s="293">
        <v>429</v>
      </c>
      <c r="D542" s="293">
        <v>285</v>
      </c>
      <c r="E542" s="293">
        <v>-144</v>
      </c>
      <c r="F542" s="294" t="s">
        <v>558</v>
      </c>
    </row>
    <row r="543" spans="1:6" hidden="1" outlineLevel="1" collapsed="1" x14ac:dyDescent="0.25">
      <c r="A543" s="295" t="s">
        <v>282</v>
      </c>
      <c r="B543" s="295" t="s">
        <v>422</v>
      </c>
      <c r="C543" s="293">
        <v>2388.48</v>
      </c>
      <c r="D543" s="293">
        <v>1900</v>
      </c>
      <c r="E543" s="293">
        <v>-488.48</v>
      </c>
      <c r="F543" s="294" t="s">
        <v>559</v>
      </c>
    </row>
    <row r="544" spans="1:6" collapsed="1" x14ac:dyDescent="0.25">
      <c r="A544" s="560" t="s">
        <v>560</v>
      </c>
      <c r="B544" s="561"/>
      <c r="C544" s="292">
        <v>129322.94768</v>
      </c>
      <c r="D544" s="293">
        <v>134007.69803999999</v>
      </c>
      <c r="E544" s="293">
        <v>4684.75036</v>
      </c>
      <c r="F544" s="294" t="s">
        <v>561</v>
      </c>
    </row>
    <row r="545" spans="1:6" hidden="1" outlineLevel="1" collapsed="1" x14ac:dyDescent="0.25">
      <c r="A545" s="295" t="s">
        <v>282</v>
      </c>
      <c r="B545" s="295" t="s">
        <v>358</v>
      </c>
      <c r="C545" s="293">
        <v>87168.960000000006</v>
      </c>
      <c r="D545" s="293">
        <v>89956.851599999995</v>
      </c>
      <c r="E545" s="293">
        <v>2787.8915999999999</v>
      </c>
      <c r="F545" s="294" t="s">
        <v>562</v>
      </c>
    </row>
    <row r="546" spans="1:6" hidden="1" outlineLevel="1" collapsed="1" x14ac:dyDescent="0.25">
      <c r="A546" s="295" t="s">
        <v>282</v>
      </c>
      <c r="B546" s="295" t="s">
        <v>412</v>
      </c>
      <c r="C546" s="293">
        <v>7000</v>
      </c>
      <c r="D546" s="293">
        <v>7000</v>
      </c>
      <c r="E546" s="293">
        <v>0</v>
      </c>
      <c r="F546" s="294" t="s">
        <v>316</v>
      </c>
    </row>
    <row r="547" spans="1:6" hidden="1" outlineLevel="1" collapsed="1" x14ac:dyDescent="0.25">
      <c r="A547" s="295" t="s">
        <v>282</v>
      </c>
      <c r="B547" s="295" t="s">
        <v>441</v>
      </c>
      <c r="C547" s="293">
        <v>1141</v>
      </c>
      <c r="D547" s="293">
        <v>800</v>
      </c>
      <c r="E547" s="293">
        <v>-341</v>
      </c>
      <c r="F547" s="294" t="s">
        <v>481</v>
      </c>
    </row>
    <row r="548" spans="1:6" hidden="1" outlineLevel="1" collapsed="1" x14ac:dyDescent="0.25">
      <c r="A548" s="295" t="s">
        <v>282</v>
      </c>
      <c r="B548" s="295" t="s">
        <v>360</v>
      </c>
      <c r="C548" s="293">
        <v>11375.549279999999</v>
      </c>
      <c r="D548" s="293">
        <v>12980.77368</v>
      </c>
      <c r="E548" s="293">
        <v>1605.2244000000001</v>
      </c>
      <c r="F548" s="294" t="s">
        <v>563</v>
      </c>
    </row>
    <row r="549" spans="1:6" hidden="1" outlineLevel="1" collapsed="1" x14ac:dyDescent="0.25">
      <c r="A549" s="295" t="s">
        <v>282</v>
      </c>
      <c r="B549" s="295" t="s">
        <v>362</v>
      </c>
      <c r="C549" s="293">
        <v>1365.44992</v>
      </c>
      <c r="D549" s="293">
        <v>1405.8743400000001</v>
      </c>
      <c r="E549" s="293">
        <v>40.424419999999998</v>
      </c>
      <c r="F549" s="294" t="s">
        <v>564</v>
      </c>
    </row>
    <row r="550" spans="1:6" hidden="1" outlineLevel="1" collapsed="1" x14ac:dyDescent="0.25">
      <c r="A550" s="295" t="s">
        <v>282</v>
      </c>
      <c r="B550" s="295" t="s">
        <v>363</v>
      </c>
      <c r="C550" s="293">
        <v>426.12479999999999</v>
      </c>
      <c r="D550" s="293">
        <v>422.04</v>
      </c>
      <c r="E550" s="293">
        <v>-4.0848000000000004</v>
      </c>
      <c r="F550" s="294" t="s">
        <v>364</v>
      </c>
    </row>
    <row r="551" spans="1:6" hidden="1" outlineLevel="1" collapsed="1" x14ac:dyDescent="0.25">
      <c r="A551" s="295" t="s">
        <v>282</v>
      </c>
      <c r="B551" s="295" t="s">
        <v>365</v>
      </c>
      <c r="C551" s="293">
        <v>15358.56</v>
      </c>
      <c r="D551" s="293">
        <v>15959.28</v>
      </c>
      <c r="E551" s="293">
        <v>600.72</v>
      </c>
      <c r="F551" s="294" t="s">
        <v>366</v>
      </c>
    </row>
    <row r="552" spans="1:6" hidden="1" outlineLevel="1" collapsed="1" x14ac:dyDescent="0.25">
      <c r="A552" s="295" t="s">
        <v>282</v>
      </c>
      <c r="B552" s="295" t="s">
        <v>367</v>
      </c>
      <c r="C552" s="293">
        <v>233.53919999999999</v>
      </c>
      <c r="D552" s="293">
        <v>182.88</v>
      </c>
      <c r="E552" s="293">
        <v>-50.659199999999998</v>
      </c>
      <c r="F552" s="294" t="s">
        <v>368</v>
      </c>
    </row>
    <row r="553" spans="1:6" hidden="1" outlineLevel="1" collapsed="1" x14ac:dyDescent="0.25">
      <c r="A553" s="295" t="s">
        <v>282</v>
      </c>
      <c r="B553" s="295" t="s">
        <v>444</v>
      </c>
      <c r="C553" s="293">
        <v>72</v>
      </c>
      <c r="D553" s="293">
        <v>98</v>
      </c>
      <c r="E553" s="293">
        <v>26</v>
      </c>
      <c r="F553" s="294" t="s">
        <v>565</v>
      </c>
    </row>
    <row r="554" spans="1:6" hidden="1" outlineLevel="1" collapsed="1" x14ac:dyDescent="0.25">
      <c r="A554" s="295" t="s">
        <v>282</v>
      </c>
      <c r="B554" s="295" t="s">
        <v>369</v>
      </c>
      <c r="C554" s="293">
        <v>47.084479999999999</v>
      </c>
      <c r="D554" s="293">
        <v>48.47842</v>
      </c>
      <c r="E554" s="293">
        <v>1.39394</v>
      </c>
      <c r="F554" s="294" t="s">
        <v>564</v>
      </c>
    </row>
    <row r="555" spans="1:6" hidden="1" outlineLevel="1" collapsed="1" x14ac:dyDescent="0.25">
      <c r="A555" s="295" t="s">
        <v>282</v>
      </c>
      <c r="B555" s="295" t="s">
        <v>370</v>
      </c>
      <c r="C555" s="293">
        <v>1500</v>
      </c>
      <c r="D555" s="293">
        <v>1500</v>
      </c>
      <c r="E555" s="293">
        <v>0</v>
      </c>
      <c r="F555" s="294" t="s">
        <v>316</v>
      </c>
    </row>
    <row r="556" spans="1:6" hidden="1" outlineLevel="1" collapsed="1" x14ac:dyDescent="0.25">
      <c r="A556" s="295" t="s">
        <v>282</v>
      </c>
      <c r="B556" s="295" t="s">
        <v>371</v>
      </c>
      <c r="C556" s="293">
        <v>49.68</v>
      </c>
      <c r="D556" s="293">
        <v>48.48</v>
      </c>
      <c r="E556" s="293">
        <v>-1.2</v>
      </c>
      <c r="F556" s="294" t="s">
        <v>372</v>
      </c>
    </row>
    <row r="557" spans="1:6" hidden="1" outlineLevel="1" collapsed="1" x14ac:dyDescent="0.25">
      <c r="A557" s="295" t="s">
        <v>282</v>
      </c>
      <c r="B557" s="295" t="s">
        <v>373</v>
      </c>
      <c r="C557" s="293">
        <v>24</v>
      </c>
      <c r="D557" s="293">
        <v>11.04</v>
      </c>
      <c r="E557" s="293">
        <v>-12.96</v>
      </c>
      <c r="F557" s="294" t="s">
        <v>374</v>
      </c>
    </row>
    <row r="558" spans="1:6" hidden="1" outlineLevel="1" collapsed="1" x14ac:dyDescent="0.25">
      <c r="A558" s="295" t="s">
        <v>282</v>
      </c>
      <c r="B558" s="295" t="s">
        <v>376</v>
      </c>
      <c r="C558" s="293">
        <v>2233</v>
      </c>
      <c r="D558" s="293">
        <v>2794</v>
      </c>
      <c r="E558" s="293">
        <v>561</v>
      </c>
      <c r="F558" s="294" t="s">
        <v>566</v>
      </c>
    </row>
    <row r="559" spans="1:6" hidden="1" outlineLevel="1" collapsed="1" x14ac:dyDescent="0.25">
      <c r="A559" s="295" t="s">
        <v>282</v>
      </c>
      <c r="B559" s="295" t="s">
        <v>567</v>
      </c>
      <c r="C559" s="293">
        <v>500</v>
      </c>
      <c r="D559" s="293">
        <v>0</v>
      </c>
      <c r="E559" s="293">
        <v>-500</v>
      </c>
      <c r="F559" s="294" t="s">
        <v>286</v>
      </c>
    </row>
    <row r="560" spans="1:6" hidden="1" outlineLevel="1" collapsed="1" x14ac:dyDescent="0.25">
      <c r="A560" s="295" t="s">
        <v>282</v>
      </c>
      <c r="B560" s="295" t="s">
        <v>403</v>
      </c>
      <c r="C560" s="293">
        <v>638</v>
      </c>
      <c r="D560" s="293">
        <v>500</v>
      </c>
      <c r="E560" s="293">
        <v>-138</v>
      </c>
      <c r="F560" s="294" t="s">
        <v>568</v>
      </c>
    </row>
    <row r="561" spans="1:6" hidden="1" outlineLevel="1" collapsed="1" x14ac:dyDescent="0.25">
      <c r="A561" s="295" t="s">
        <v>282</v>
      </c>
      <c r="B561" s="295" t="s">
        <v>405</v>
      </c>
      <c r="C561" s="293">
        <v>190</v>
      </c>
      <c r="D561" s="293">
        <v>0</v>
      </c>
      <c r="E561" s="293">
        <v>-190</v>
      </c>
      <c r="F561" s="294" t="s">
        <v>286</v>
      </c>
    </row>
    <row r="562" spans="1:6" hidden="1" outlineLevel="1" collapsed="1" x14ac:dyDescent="0.25">
      <c r="A562" s="295" t="s">
        <v>282</v>
      </c>
      <c r="B562" s="295" t="s">
        <v>557</v>
      </c>
      <c r="C562" s="293">
        <v>0</v>
      </c>
      <c r="D562" s="293">
        <v>300</v>
      </c>
      <c r="E562" s="293">
        <v>300</v>
      </c>
      <c r="F562" s="294" t="s">
        <v>298</v>
      </c>
    </row>
    <row r="563" spans="1:6" collapsed="1" x14ac:dyDescent="0.25">
      <c r="A563" s="560" t="s">
        <v>569</v>
      </c>
      <c r="B563" s="561"/>
      <c r="C563" s="292">
        <v>126111.58756</v>
      </c>
      <c r="D563" s="293">
        <v>131542.76230999999</v>
      </c>
      <c r="E563" s="293">
        <v>5431.1747500000001</v>
      </c>
      <c r="F563" s="294" t="s">
        <v>570</v>
      </c>
    </row>
    <row r="564" spans="1:6" hidden="1" outlineLevel="1" collapsed="1" x14ac:dyDescent="0.25">
      <c r="A564" s="295" t="s">
        <v>282</v>
      </c>
      <c r="B564" s="295" t="s">
        <v>358</v>
      </c>
      <c r="C564" s="293">
        <v>88174.32</v>
      </c>
      <c r="D564" s="293">
        <v>91782.146399999998</v>
      </c>
      <c r="E564" s="293">
        <v>3607.8263999999999</v>
      </c>
      <c r="F564" s="294" t="s">
        <v>490</v>
      </c>
    </row>
    <row r="565" spans="1:6" hidden="1" outlineLevel="1" collapsed="1" x14ac:dyDescent="0.25">
      <c r="A565" s="295" t="s">
        <v>282</v>
      </c>
      <c r="B565" s="295" t="s">
        <v>360</v>
      </c>
      <c r="C565" s="293">
        <v>11506.74876</v>
      </c>
      <c r="D565" s="293">
        <v>13244.16372</v>
      </c>
      <c r="E565" s="293">
        <v>1737.4149600000001</v>
      </c>
      <c r="F565" s="294" t="s">
        <v>571</v>
      </c>
    </row>
    <row r="566" spans="1:6" hidden="1" outlineLevel="1" collapsed="1" x14ac:dyDescent="0.25">
      <c r="A566" s="295" t="s">
        <v>282</v>
      </c>
      <c r="B566" s="295" t="s">
        <v>362</v>
      </c>
      <c r="C566" s="293">
        <v>1278.52764</v>
      </c>
      <c r="D566" s="293">
        <v>1330.84112</v>
      </c>
      <c r="E566" s="293">
        <v>52.313479999999998</v>
      </c>
      <c r="F566" s="294" t="s">
        <v>490</v>
      </c>
    </row>
    <row r="567" spans="1:6" hidden="1" outlineLevel="1" collapsed="1" x14ac:dyDescent="0.25">
      <c r="A567" s="295" t="s">
        <v>282</v>
      </c>
      <c r="B567" s="295" t="s">
        <v>363</v>
      </c>
      <c r="C567" s="293">
        <v>426.12479999999999</v>
      </c>
      <c r="D567" s="293">
        <v>422.04</v>
      </c>
      <c r="E567" s="293">
        <v>-4.0848000000000004</v>
      </c>
      <c r="F567" s="294" t="s">
        <v>364</v>
      </c>
    </row>
    <row r="568" spans="1:6" hidden="1" outlineLevel="1" collapsed="1" x14ac:dyDescent="0.25">
      <c r="A568" s="295" t="s">
        <v>282</v>
      </c>
      <c r="B568" s="295" t="s">
        <v>365</v>
      </c>
      <c r="C568" s="293">
        <v>15358.56</v>
      </c>
      <c r="D568" s="293">
        <v>15959.28</v>
      </c>
      <c r="E568" s="293">
        <v>600.72</v>
      </c>
      <c r="F568" s="294" t="s">
        <v>366</v>
      </c>
    </row>
    <row r="569" spans="1:6" hidden="1" outlineLevel="1" collapsed="1" x14ac:dyDescent="0.25">
      <c r="A569" s="295" t="s">
        <v>282</v>
      </c>
      <c r="B569" s="295" t="s">
        <v>367</v>
      </c>
      <c r="C569" s="293">
        <v>233.53919999999999</v>
      </c>
      <c r="D569" s="293">
        <v>182.88</v>
      </c>
      <c r="E569" s="293">
        <v>-50.659199999999998</v>
      </c>
      <c r="F569" s="294" t="s">
        <v>368</v>
      </c>
    </row>
    <row r="570" spans="1:6" hidden="1" outlineLevel="1" collapsed="1" x14ac:dyDescent="0.25">
      <c r="A570" s="295" t="s">
        <v>282</v>
      </c>
      <c r="B570" s="295" t="s">
        <v>369</v>
      </c>
      <c r="C570" s="293">
        <v>44.087159999999997</v>
      </c>
      <c r="D570" s="293">
        <v>45.891069999999999</v>
      </c>
      <c r="E570" s="293">
        <v>1.8039099999999999</v>
      </c>
      <c r="F570" s="294" t="s">
        <v>490</v>
      </c>
    </row>
    <row r="571" spans="1:6" hidden="1" outlineLevel="1" collapsed="1" x14ac:dyDescent="0.25">
      <c r="A571" s="295" t="s">
        <v>282</v>
      </c>
      <c r="B571" s="295" t="s">
        <v>370</v>
      </c>
      <c r="C571" s="293">
        <v>1500</v>
      </c>
      <c r="D571" s="293">
        <v>1500</v>
      </c>
      <c r="E571" s="293">
        <v>0</v>
      </c>
      <c r="F571" s="294" t="s">
        <v>316</v>
      </c>
    </row>
    <row r="572" spans="1:6" hidden="1" outlineLevel="1" collapsed="1" x14ac:dyDescent="0.25">
      <c r="A572" s="295" t="s">
        <v>282</v>
      </c>
      <c r="B572" s="295" t="s">
        <v>371</v>
      </c>
      <c r="C572" s="293">
        <v>49.68</v>
      </c>
      <c r="D572" s="293">
        <v>48.48</v>
      </c>
      <c r="E572" s="293">
        <v>-1.2</v>
      </c>
      <c r="F572" s="294" t="s">
        <v>372</v>
      </c>
    </row>
    <row r="573" spans="1:6" hidden="1" outlineLevel="1" collapsed="1" x14ac:dyDescent="0.25">
      <c r="A573" s="295" t="s">
        <v>282</v>
      </c>
      <c r="B573" s="295" t="s">
        <v>373</v>
      </c>
      <c r="C573" s="293">
        <v>24</v>
      </c>
      <c r="D573" s="293">
        <v>11.04</v>
      </c>
      <c r="E573" s="293">
        <v>-12.96</v>
      </c>
      <c r="F573" s="294" t="s">
        <v>374</v>
      </c>
    </row>
    <row r="574" spans="1:6" hidden="1" outlineLevel="1" collapsed="1" x14ac:dyDescent="0.25">
      <c r="A574" s="295" t="s">
        <v>282</v>
      </c>
      <c r="B574" s="295" t="s">
        <v>376</v>
      </c>
      <c r="C574" s="293">
        <v>1451</v>
      </c>
      <c r="D574" s="293">
        <v>3026</v>
      </c>
      <c r="E574" s="293">
        <v>1575</v>
      </c>
      <c r="F574" s="294" t="s">
        <v>572</v>
      </c>
    </row>
    <row r="575" spans="1:6" hidden="1" outlineLevel="1" collapsed="1" x14ac:dyDescent="0.25">
      <c r="A575" s="295" t="s">
        <v>282</v>
      </c>
      <c r="B575" s="295" t="s">
        <v>567</v>
      </c>
      <c r="C575" s="293">
        <v>235</v>
      </c>
      <c r="D575" s="293">
        <v>1000</v>
      </c>
      <c r="E575" s="293">
        <v>765</v>
      </c>
      <c r="F575" s="294" t="s">
        <v>573</v>
      </c>
    </row>
    <row r="576" spans="1:6" hidden="1" outlineLevel="1" collapsed="1" x14ac:dyDescent="0.25">
      <c r="A576" s="295" t="s">
        <v>282</v>
      </c>
      <c r="B576" s="295" t="s">
        <v>416</v>
      </c>
      <c r="C576" s="293">
        <v>3900</v>
      </c>
      <c r="D576" s="293">
        <v>825</v>
      </c>
      <c r="E576" s="293">
        <v>-3075</v>
      </c>
      <c r="F576" s="294" t="s">
        <v>574</v>
      </c>
    </row>
    <row r="577" spans="1:6" hidden="1" outlineLevel="1" collapsed="1" x14ac:dyDescent="0.25">
      <c r="A577" s="295" t="s">
        <v>282</v>
      </c>
      <c r="B577" s="295" t="s">
        <v>405</v>
      </c>
      <c r="C577" s="293">
        <v>930</v>
      </c>
      <c r="D577" s="293">
        <v>165</v>
      </c>
      <c r="E577" s="293">
        <v>-765</v>
      </c>
      <c r="F577" s="294" t="s">
        <v>575</v>
      </c>
    </row>
    <row r="578" spans="1:6" hidden="1" outlineLevel="1" collapsed="1" x14ac:dyDescent="0.25">
      <c r="A578" s="295" t="s">
        <v>282</v>
      </c>
      <c r="B578" s="295" t="s">
        <v>576</v>
      </c>
      <c r="C578" s="293">
        <v>1000</v>
      </c>
      <c r="D578" s="293">
        <v>2000</v>
      </c>
      <c r="E578" s="293">
        <v>1000</v>
      </c>
      <c r="F578" s="294" t="s">
        <v>298</v>
      </c>
    </row>
    <row r="579" spans="1:6" collapsed="1" x14ac:dyDescent="0.25">
      <c r="A579" s="560" t="s">
        <v>577</v>
      </c>
      <c r="B579" s="561"/>
      <c r="C579" s="292">
        <v>1900</v>
      </c>
      <c r="D579" s="293">
        <v>1900</v>
      </c>
      <c r="E579" s="293">
        <v>0</v>
      </c>
      <c r="F579" s="294" t="s">
        <v>316</v>
      </c>
    </row>
    <row r="580" spans="1:6" hidden="1" outlineLevel="1" collapsed="1" x14ac:dyDescent="0.25">
      <c r="A580" s="295" t="s">
        <v>282</v>
      </c>
      <c r="B580" s="295" t="s">
        <v>375</v>
      </c>
      <c r="C580" s="293">
        <v>950</v>
      </c>
      <c r="D580" s="293">
        <v>950</v>
      </c>
      <c r="E580" s="293">
        <v>0</v>
      </c>
      <c r="F580" s="294" t="s">
        <v>316</v>
      </c>
    </row>
    <row r="581" spans="1:6" hidden="1" outlineLevel="1" collapsed="1" x14ac:dyDescent="0.25">
      <c r="A581" s="295" t="s">
        <v>282</v>
      </c>
      <c r="B581" s="295" t="s">
        <v>376</v>
      </c>
      <c r="C581" s="293">
        <v>950</v>
      </c>
      <c r="D581" s="293">
        <v>950</v>
      </c>
      <c r="E581" s="293">
        <v>0</v>
      </c>
      <c r="F581" s="294" t="s">
        <v>316</v>
      </c>
    </row>
    <row r="582" spans="1:6" collapsed="1" x14ac:dyDescent="0.25">
      <c r="A582" s="560" t="s">
        <v>578</v>
      </c>
      <c r="B582" s="561"/>
      <c r="C582" s="292">
        <v>609224.21068000002</v>
      </c>
      <c r="D582" s="293">
        <v>634322.58773999999</v>
      </c>
      <c r="E582" s="293">
        <v>25098.377059999999</v>
      </c>
      <c r="F582" s="294" t="s">
        <v>579</v>
      </c>
    </row>
    <row r="583" spans="1:6" hidden="1" outlineLevel="1" collapsed="1" x14ac:dyDescent="0.25">
      <c r="A583" s="295" t="s">
        <v>282</v>
      </c>
      <c r="B583" s="295" t="s">
        <v>358</v>
      </c>
      <c r="C583" s="293">
        <v>448602.96</v>
      </c>
      <c r="D583" s="293">
        <v>462618.8112</v>
      </c>
      <c r="E583" s="293">
        <v>14015.851199999999</v>
      </c>
      <c r="F583" s="294" t="s">
        <v>580</v>
      </c>
    </row>
    <row r="584" spans="1:6" hidden="1" outlineLevel="1" collapsed="1" x14ac:dyDescent="0.25">
      <c r="A584" s="295" t="s">
        <v>282</v>
      </c>
      <c r="B584" s="295" t="s">
        <v>412</v>
      </c>
      <c r="C584" s="293">
        <v>7000</v>
      </c>
      <c r="D584" s="293">
        <v>7000</v>
      </c>
      <c r="E584" s="293">
        <v>0</v>
      </c>
      <c r="F584" s="294" t="s">
        <v>316</v>
      </c>
    </row>
    <row r="585" spans="1:6" hidden="1" outlineLevel="1" collapsed="1" x14ac:dyDescent="0.25">
      <c r="A585" s="295" t="s">
        <v>282</v>
      </c>
      <c r="B585" s="295" t="s">
        <v>360</v>
      </c>
      <c r="C585" s="293">
        <v>58542.686280000002</v>
      </c>
      <c r="D585" s="293">
        <v>66755.894419999997</v>
      </c>
      <c r="E585" s="293">
        <v>8213.2081400000006</v>
      </c>
      <c r="F585" s="294" t="s">
        <v>581</v>
      </c>
    </row>
    <row r="586" spans="1:6" hidden="1" outlineLevel="1" collapsed="1" x14ac:dyDescent="0.25">
      <c r="A586" s="295" t="s">
        <v>282</v>
      </c>
      <c r="B586" s="295" t="s">
        <v>362</v>
      </c>
      <c r="C586" s="293">
        <v>6606.2429199999997</v>
      </c>
      <c r="D586" s="293">
        <v>6809.4727400000002</v>
      </c>
      <c r="E586" s="293">
        <v>203.22981999999999</v>
      </c>
      <c r="F586" s="294" t="s">
        <v>582</v>
      </c>
    </row>
    <row r="587" spans="1:6" hidden="1" outlineLevel="1" collapsed="1" x14ac:dyDescent="0.25">
      <c r="A587" s="295" t="s">
        <v>282</v>
      </c>
      <c r="B587" s="295" t="s">
        <v>363</v>
      </c>
      <c r="C587" s="293">
        <v>2130.6239999999998</v>
      </c>
      <c r="D587" s="293">
        <v>2110.1999999999998</v>
      </c>
      <c r="E587" s="293">
        <v>-20.423999999999999</v>
      </c>
      <c r="F587" s="294" t="s">
        <v>364</v>
      </c>
    </row>
    <row r="588" spans="1:6" hidden="1" outlineLevel="1" collapsed="1" x14ac:dyDescent="0.25">
      <c r="A588" s="295" t="s">
        <v>282</v>
      </c>
      <c r="B588" s="295" t="s">
        <v>365</v>
      </c>
      <c r="C588" s="293">
        <v>76792.800000000003</v>
      </c>
      <c r="D588" s="293">
        <v>79796.399999999994</v>
      </c>
      <c r="E588" s="293">
        <v>3003.6</v>
      </c>
      <c r="F588" s="294" t="s">
        <v>366</v>
      </c>
    </row>
    <row r="589" spans="1:6" hidden="1" outlineLevel="1" collapsed="1" x14ac:dyDescent="0.25">
      <c r="A589" s="295" t="s">
        <v>282</v>
      </c>
      <c r="B589" s="295" t="s">
        <v>367</v>
      </c>
      <c r="C589" s="293">
        <v>1167.6959999999999</v>
      </c>
      <c r="D589" s="293">
        <v>914.4</v>
      </c>
      <c r="E589" s="293">
        <v>-253.29599999999999</v>
      </c>
      <c r="F589" s="294" t="s">
        <v>368</v>
      </c>
    </row>
    <row r="590" spans="1:6" hidden="1" outlineLevel="1" collapsed="1" x14ac:dyDescent="0.25">
      <c r="A590" s="295" t="s">
        <v>282</v>
      </c>
      <c r="B590" s="295" t="s">
        <v>369</v>
      </c>
      <c r="C590" s="293">
        <v>227.80148</v>
      </c>
      <c r="D590" s="293">
        <v>234.80938</v>
      </c>
      <c r="E590" s="293">
        <v>7.0079000000000002</v>
      </c>
      <c r="F590" s="294" t="s">
        <v>582</v>
      </c>
    </row>
    <row r="591" spans="1:6" hidden="1" outlineLevel="1" collapsed="1" x14ac:dyDescent="0.25">
      <c r="A591" s="295" t="s">
        <v>282</v>
      </c>
      <c r="B591" s="295" t="s">
        <v>370</v>
      </c>
      <c r="C591" s="293">
        <v>7500</v>
      </c>
      <c r="D591" s="293">
        <v>7500</v>
      </c>
      <c r="E591" s="293">
        <v>0</v>
      </c>
      <c r="F591" s="294" t="s">
        <v>316</v>
      </c>
    </row>
    <row r="592" spans="1:6" hidden="1" outlineLevel="1" collapsed="1" x14ac:dyDescent="0.25">
      <c r="A592" s="295" t="s">
        <v>282</v>
      </c>
      <c r="B592" s="295" t="s">
        <v>371</v>
      </c>
      <c r="C592" s="293">
        <v>248.4</v>
      </c>
      <c r="D592" s="293">
        <v>242.4</v>
      </c>
      <c r="E592" s="293">
        <v>-6</v>
      </c>
      <c r="F592" s="294" t="s">
        <v>372</v>
      </c>
    </row>
    <row r="593" spans="1:6" hidden="1" outlineLevel="1" collapsed="1" x14ac:dyDescent="0.25">
      <c r="A593" s="295" t="s">
        <v>282</v>
      </c>
      <c r="B593" s="295" t="s">
        <v>373</v>
      </c>
      <c r="C593" s="293">
        <v>120</v>
      </c>
      <c r="D593" s="293">
        <v>55.2</v>
      </c>
      <c r="E593" s="293">
        <v>-64.8</v>
      </c>
      <c r="F593" s="294" t="s">
        <v>374</v>
      </c>
    </row>
    <row r="594" spans="1:6" hidden="1" outlineLevel="1" collapsed="1" x14ac:dyDescent="0.25">
      <c r="A594" s="295" t="s">
        <v>282</v>
      </c>
      <c r="B594" s="295" t="s">
        <v>375</v>
      </c>
      <c r="C594" s="293">
        <v>140</v>
      </c>
      <c r="D594" s="293">
        <v>140</v>
      </c>
      <c r="E594" s="293">
        <v>0</v>
      </c>
      <c r="F594" s="294" t="s">
        <v>316</v>
      </c>
    </row>
    <row r="595" spans="1:6" hidden="1" outlineLevel="1" collapsed="1" x14ac:dyDescent="0.25">
      <c r="A595" s="295" t="s">
        <v>282</v>
      </c>
      <c r="B595" s="295" t="s">
        <v>496</v>
      </c>
      <c r="C595" s="293">
        <v>145</v>
      </c>
      <c r="D595" s="293">
        <v>145</v>
      </c>
      <c r="E595" s="293">
        <v>0</v>
      </c>
      <c r="F595" s="294" t="s">
        <v>316</v>
      </c>
    </row>
    <row r="596" spans="1:6" collapsed="1" x14ac:dyDescent="0.25">
      <c r="A596" s="560" t="s">
        <v>583</v>
      </c>
      <c r="B596" s="561"/>
      <c r="C596" s="292">
        <v>17912</v>
      </c>
      <c r="D596" s="293">
        <v>4714</v>
      </c>
      <c r="E596" s="293">
        <v>-13198</v>
      </c>
      <c r="F596" s="294" t="s">
        <v>584</v>
      </c>
    </row>
    <row r="597" spans="1:6" hidden="1" outlineLevel="1" collapsed="1" x14ac:dyDescent="0.25">
      <c r="A597" s="295" t="s">
        <v>282</v>
      </c>
      <c r="B597" s="295" t="s">
        <v>441</v>
      </c>
      <c r="C597" s="293">
        <v>11760</v>
      </c>
      <c r="D597" s="293">
        <v>0</v>
      </c>
      <c r="E597" s="293">
        <v>-11760</v>
      </c>
      <c r="F597" s="294" t="s">
        <v>286</v>
      </c>
    </row>
    <row r="598" spans="1:6" hidden="1" outlineLevel="1" collapsed="1" x14ac:dyDescent="0.25">
      <c r="A598" s="295" t="s">
        <v>282</v>
      </c>
      <c r="B598" s="295" t="s">
        <v>444</v>
      </c>
      <c r="C598" s="293">
        <v>1438</v>
      </c>
      <c r="D598" s="293">
        <v>0</v>
      </c>
      <c r="E598" s="293">
        <v>-1438</v>
      </c>
      <c r="F598" s="294" t="s">
        <v>286</v>
      </c>
    </row>
    <row r="599" spans="1:6" hidden="1" outlineLevel="1" collapsed="1" x14ac:dyDescent="0.25">
      <c r="A599" s="295" t="s">
        <v>282</v>
      </c>
      <c r="B599" s="295" t="s">
        <v>375</v>
      </c>
      <c r="C599" s="293">
        <v>328</v>
      </c>
      <c r="D599" s="293">
        <v>328</v>
      </c>
      <c r="E599" s="293">
        <v>0</v>
      </c>
      <c r="F599" s="294" t="s">
        <v>316</v>
      </c>
    </row>
    <row r="600" spans="1:6" hidden="1" outlineLevel="1" collapsed="1" x14ac:dyDescent="0.25">
      <c r="A600" s="295" t="s">
        <v>282</v>
      </c>
      <c r="B600" s="295" t="s">
        <v>376</v>
      </c>
      <c r="C600" s="293">
        <v>525</v>
      </c>
      <c r="D600" s="293">
        <v>525</v>
      </c>
      <c r="E600" s="293">
        <v>0</v>
      </c>
      <c r="F600" s="294" t="s">
        <v>316</v>
      </c>
    </row>
    <row r="601" spans="1:6" hidden="1" outlineLevel="1" collapsed="1" x14ac:dyDescent="0.25">
      <c r="A601" s="295" t="s">
        <v>282</v>
      </c>
      <c r="B601" s="295" t="s">
        <v>426</v>
      </c>
      <c r="C601" s="293">
        <v>200</v>
      </c>
      <c r="D601" s="293">
        <v>200</v>
      </c>
      <c r="E601" s="293">
        <v>0</v>
      </c>
      <c r="F601" s="294" t="s">
        <v>316</v>
      </c>
    </row>
    <row r="602" spans="1:6" hidden="1" outlineLevel="1" collapsed="1" x14ac:dyDescent="0.25">
      <c r="A602" s="295" t="s">
        <v>282</v>
      </c>
      <c r="B602" s="295" t="s">
        <v>405</v>
      </c>
      <c r="C602" s="293">
        <v>3661</v>
      </c>
      <c r="D602" s="293">
        <v>3661</v>
      </c>
      <c r="E602" s="293">
        <v>0</v>
      </c>
      <c r="F602" s="294" t="s">
        <v>316</v>
      </c>
    </row>
    <row r="603" spans="1:6" collapsed="1" x14ac:dyDescent="0.25">
      <c r="A603" s="560" t="s">
        <v>585</v>
      </c>
      <c r="B603" s="561"/>
      <c r="C603" s="292">
        <v>1108896.1751920001</v>
      </c>
      <c r="D603" s="293">
        <v>1328651.590446</v>
      </c>
      <c r="E603" s="293">
        <v>219755.41525399999</v>
      </c>
      <c r="F603" s="294" t="s">
        <v>586</v>
      </c>
    </row>
    <row r="604" spans="1:6" hidden="1" outlineLevel="1" collapsed="1" x14ac:dyDescent="0.25">
      <c r="A604" s="295" t="s">
        <v>282</v>
      </c>
      <c r="B604" s="295" t="s">
        <v>358</v>
      </c>
      <c r="C604" s="293">
        <v>746028.27998800005</v>
      </c>
      <c r="D604" s="293">
        <v>998074.071108</v>
      </c>
      <c r="E604" s="293">
        <v>252045.79112000001</v>
      </c>
      <c r="F604" s="294" t="s">
        <v>587</v>
      </c>
    </row>
    <row r="605" spans="1:6" hidden="1" outlineLevel="1" collapsed="1" x14ac:dyDescent="0.25">
      <c r="A605" s="295" t="s">
        <v>282</v>
      </c>
      <c r="B605" s="295" t="s">
        <v>488</v>
      </c>
      <c r="C605" s="293">
        <v>3500</v>
      </c>
      <c r="D605" s="293">
        <v>0</v>
      </c>
      <c r="E605" s="293">
        <v>-3500</v>
      </c>
      <c r="F605" s="294" t="s">
        <v>286</v>
      </c>
    </row>
    <row r="606" spans="1:6" hidden="1" outlineLevel="1" collapsed="1" x14ac:dyDescent="0.25">
      <c r="A606" s="295" t="s">
        <v>282</v>
      </c>
      <c r="B606" s="295" t="s">
        <v>588</v>
      </c>
      <c r="C606" s="293">
        <v>2200</v>
      </c>
      <c r="D606" s="293">
        <v>0</v>
      </c>
      <c r="E606" s="293">
        <v>-2200</v>
      </c>
      <c r="F606" s="294" t="s">
        <v>286</v>
      </c>
    </row>
    <row r="607" spans="1:6" hidden="1" outlineLevel="1" collapsed="1" x14ac:dyDescent="0.25">
      <c r="A607" s="295" t="s">
        <v>282</v>
      </c>
      <c r="B607" s="295" t="s">
        <v>360</v>
      </c>
      <c r="C607" s="293">
        <v>137421.85802799999</v>
      </c>
      <c r="D607" s="293">
        <v>144022.08840199999</v>
      </c>
      <c r="E607" s="293">
        <v>6600.2303739999998</v>
      </c>
      <c r="F607" s="294" t="s">
        <v>589</v>
      </c>
    </row>
    <row r="608" spans="1:6" hidden="1" outlineLevel="1" collapsed="1" x14ac:dyDescent="0.25">
      <c r="A608" s="295" t="s">
        <v>282</v>
      </c>
      <c r="B608" s="295" t="s">
        <v>362</v>
      </c>
      <c r="C608" s="293">
        <v>15272.317548000001</v>
      </c>
      <c r="D608" s="293">
        <v>14472.073954</v>
      </c>
      <c r="E608" s="293">
        <v>-800.24359400000003</v>
      </c>
      <c r="F608" s="294" t="s">
        <v>590</v>
      </c>
    </row>
    <row r="609" spans="1:6" hidden="1" outlineLevel="1" collapsed="1" x14ac:dyDescent="0.25">
      <c r="A609" s="295" t="s">
        <v>282</v>
      </c>
      <c r="B609" s="295" t="s">
        <v>363</v>
      </c>
      <c r="C609" s="293">
        <v>5468.6016</v>
      </c>
      <c r="D609" s="293">
        <v>4783.12</v>
      </c>
      <c r="E609" s="293">
        <v>-685.48159999999996</v>
      </c>
      <c r="F609" s="294" t="s">
        <v>591</v>
      </c>
    </row>
    <row r="610" spans="1:6" hidden="1" outlineLevel="1" collapsed="1" x14ac:dyDescent="0.25">
      <c r="A610" s="295" t="s">
        <v>282</v>
      </c>
      <c r="B610" s="295" t="s">
        <v>365</v>
      </c>
      <c r="C610" s="293">
        <v>151025.84</v>
      </c>
      <c r="D610" s="293">
        <v>132994</v>
      </c>
      <c r="E610" s="293">
        <v>-18031.84</v>
      </c>
      <c r="F610" s="294" t="s">
        <v>592</v>
      </c>
    </row>
    <row r="611" spans="1:6" hidden="1" outlineLevel="1" collapsed="1" x14ac:dyDescent="0.25">
      <c r="A611" s="295" t="s">
        <v>282</v>
      </c>
      <c r="B611" s="295" t="s">
        <v>367</v>
      </c>
      <c r="C611" s="293">
        <v>2997.0864000000001</v>
      </c>
      <c r="D611" s="293">
        <v>2072.64</v>
      </c>
      <c r="E611" s="293">
        <v>-924.44640000000004</v>
      </c>
      <c r="F611" s="294" t="s">
        <v>593</v>
      </c>
    </row>
    <row r="612" spans="1:6" hidden="1" outlineLevel="1" collapsed="1" x14ac:dyDescent="0.25">
      <c r="A612" s="295" t="s">
        <v>282</v>
      </c>
      <c r="B612" s="295" t="s">
        <v>444</v>
      </c>
      <c r="C612" s="293">
        <v>200</v>
      </c>
      <c r="D612" s="293">
        <v>0</v>
      </c>
      <c r="E612" s="293">
        <v>-200</v>
      </c>
      <c r="F612" s="294" t="s">
        <v>286</v>
      </c>
    </row>
    <row r="613" spans="1:6" hidden="1" outlineLevel="1" collapsed="1" x14ac:dyDescent="0.25">
      <c r="A613" s="295" t="s">
        <v>282</v>
      </c>
      <c r="B613" s="295" t="s">
        <v>369</v>
      </c>
      <c r="C613" s="293">
        <v>526.63162799999998</v>
      </c>
      <c r="D613" s="293">
        <v>499.03698200000002</v>
      </c>
      <c r="E613" s="293">
        <v>-27.594646000000001</v>
      </c>
      <c r="F613" s="294" t="s">
        <v>590</v>
      </c>
    </row>
    <row r="614" spans="1:6" hidden="1" outlineLevel="1" collapsed="1" x14ac:dyDescent="0.25">
      <c r="A614" s="295" t="s">
        <v>282</v>
      </c>
      <c r="B614" s="295" t="s">
        <v>370</v>
      </c>
      <c r="C614" s="293">
        <v>19250</v>
      </c>
      <c r="D614" s="293">
        <v>17000</v>
      </c>
      <c r="E614" s="293">
        <v>-2250</v>
      </c>
      <c r="F614" s="294" t="s">
        <v>594</v>
      </c>
    </row>
    <row r="615" spans="1:6" hidden="1" outlineLevel="1" collapsed="1" x14ac:dyDescent="0.25">
      <c r="A615" s="295" t="s">
        <v>282</v>
      </c>
      <c r="B615" s="295" t="s">
        <v>371</v>
      </c>
      <c r="C615" s="293">
        <v>637.55999999999995</v>
      </c>
      <c r="D615" s="293">
        <v>549.44000000000005</v>
      </c>
      <c r="E615" s="293">
        <v>-88.12</v>
      </c>
      <c r="F615" s="294" t="s">
        <v>595</v>
      </c>
    </row>
    <row r="616" spans="1:6" hidden="1" outlineLevel="1" collapsed="1" x14ac:dyDescent="0.25">
      <c r="A616" s="295" t="s">
        <v>282</v>
      </c>
      <c r="B616" s="295" t="s">
        <v>373</v>
      </c>
      <c r="C616" s="293">
        <v>308</v>
      </c>
      <c r="D616" s="293">
        <v>125.12</v>
      </c>
      <c r="E616" s="293">
        <v>-182.88</v>
      </c>
      <c r="F616" s="294" t="s">
        <v>596</v>
      </c>
    </row>
    <row r="617" spans="1:6" hidden="1" outlineLevel="1" collapsed="1" x14ac:dyDescent="0.25">
      <c r="A617" s="295" t="s">
        <v>282</v>
      </c>
      <c r="B617" s="295" t="s">
        <v>445</v>
      </c>
      <c r="C617" s="293">
        <v>9000</v>
      </c>
      <c r="D617" s="293">
        <v>9000</v>
      </c>
      <c r="E617" s="293">
        <v>0</v>
      </c>
      <c r="F617" s="294" t="s">
        <v>316</v>
      </c>
    </row>
    <row r="618" spans="1:6" hidden="1" outlineLevel="1" collapsed="1" x14ac:dyDescent="0.25">
      <c r="A618" s="295" t="s">
        <v>282</v>
      </c>
      <c r="B618" s="295" t="s">
        <v>597</v>
      </c>
      <c r="C618" s="293">
        <v>2335</v>
      </c>
      <c r="D618" s="293">
        <v>4890</v>
      </c>
      <c r="E618" s="293">
        <v>2555</v>
      </c>
      <c r="F618" s="294" t="s">
        <v>598</v>
      </c>
    </row>
    <row r="619" spans="1:6" hidden="1" outlineLevel="1" collapsed="1" x14ac:dyDescent="0.25">
      <c r="A619" s="295" t="s">
        <v>282</v>
      </c>
      <c r="B619" s="295" t="s">
        <v>405</v>
      </c>
      <c r="C619" s="293">
        <v>12725</v>
      </c>
      <c r="D619" s="293">
        <v>170</v>
      </c>
      <c r="E619" s="293">
        <v>-12555</v>
      </c>
      <c r="F619" s="294" t="s">
        <v>599</v>
      </c>
    </row>
    <row r="620" spans="1:6" collapsed="1" x14ac:dyDescent="0.25">
      <c r="A620" s="560" t="s">
        <v>600</v>
      </c>
      <c r="B620" s="561"/>
      <c r="C620" s="292">
        <v>493855.06027999998</v>
      </c>
      <c r="D620" s="293">
        <v>513592.06092999998</v>
      </c>
      <c r="E620" s="293">
        <v>19737.000650000002</v>
      </c>
      <c r="F620" s="294" t="s">
        <v>601</v>
      </c>
    </row>
    <row r="621" spans="1:6" hidden="1" outlineLevel="1" collapsed="1" x14ac:dyDescent="0.25">
      <c r="A621" s="295" t="s">
        <v>282</v>
      </c>
      <c r="B621" s="295" t="s">
        <v>358</v>
      </c>
      <c r="C621" s="293">
        <v>365342.16</v>
      </c>
      <c r="D621" s="293">
        <v>376183.19760000001</v>
      </c>
      <c r="E621" s="293">
        <v>10841.0376</v>
      </c>
      <c r="F621" s="294" t="s">
        <v>553</v>
      </c>
    </row>
    <row r="622" spans="1:6" hidden="1" outlineLevel="1" collapsed="1" x14ac:dyDescent="0.25">
      <c r="A622" s="295" t="s">
        <v>282</v>
      </c>
      <c r="B622" s="295" t="s">
        <v>360</v>
      </c>
      <c r="C622" s="293">
        <v>47677.151879999998</v>
      </c>
      <c r="D622" s="293">
        <v>54283.235399999998</v>
      </c>
      <c r="E622" s="293">
        <v>6606.0835200000001</v>
      </c>
      <c r="F622" s="294" t="s">
        <v>602</v>
      </c>
    </row>
    <row r="623" spans="1:6" hidden="1" outlineLevel="1" collapsed="1" x14ac:dyDescent="0.25">
      <c r="A623" s="295" t="s">
        <v>282</v>
      </c>
      <c r="B623" s="295" t="s">
        <v>362</v>
      </c>
      <c r="C623" s="293">
        <v>5297.4613200000003</v>
      </c>
      <c r="D623" s="293">
        <v>5454.6563500000002</v>
      </c>
      <c r="E623" s="293">
        <v>157.19503</v>
      </c>
      <c r="F623" s="294" t="s">
        <v>553</v>
      </c>
    </row>
    <row r="624" spans="1:6" hidden="1" outlineLevel="1" collapsed="1" x14ac:dyDescent="0.25">
      <c r="A624" s="295" t="s">
        <v>282</v>
      </c>
      <c r="B624" s="295" t="s">
        <v>363</v>
      </c>
      <c r="C624" s="293">
        <v>1704.4992</v>
      </c>
      <c r="D624" s="293">
        <v>1688.16</v>
      </c>
      <c r="E624" s="293">
        <v>-16.339200000000002</v>
      </c>
      <c r="F624" s="294" t="s">
        <v>364</v>
      </c>
    </row>
    <row r="625" spans="1:6" hidden="1" outlineLevel="1" collapsed="1" x14ac:dyDescent="0.25">
      <c r="A625" s="295" t="s">
        <v>282</v>
      </c>
      <c r="B625" s="295" t="s">
        <v>365</v>
      </c>
      <c r="C625" s="293">
        <v>61434.239999999998</v>
      </c>
      <c r="D625" s="293">
        <v>63837.120000000003</v>
      </c>
      <c r="E625" s="293">
        <v>2402.88</v>
      </c>
      <c r="F625" s="294" t="s">
        <v>366</v>
      </c>
    </row>
    <row r="626" spans="1:6" hidden="1" outlineLevel="1" collapsed="1" x14ac:dyDescent="0.25">
      <c r="A626" s="295" t="s">
        <v>282</v>
      </c>
      <c r="B626" s="295" t="s">
        <v>367</v>
      </c>
      <c r="C626" s="293">
        <v>934.15679999999998</v>
      </c>
      <c r="D626" s="293">
        <v>731.52</v>
      </c>
      <c r="E626" s="293">
        <v>-202.63679999999999</v>
      </c>
      <c r="F626" s="294" t="s">
        <v>368</v>
      </c>
    </row>
    <row r="627" spans="1:6" hidden="1" outlineLevel="1" collapsed="1" x14ac:dyDescent="0.25">
      <c r="A627" s="295" t="s">
        <v>282</v>
      </c>
      <c r="B627" s="295" t="s">
        <v>369</v>
      </c>
      <c r="C627" s="293">
        <v>182.67107999999999</v>
      </c>
      <c r="D627" s="293">
        <v>188.09157999999999</v>
      </c>
      <c r="E627" s="293">
        <v>5.4204999999999997</v>
      </c>
      <c r="F627" s="294" t="s">
        <v>553</v>
      </c>
    </row>
    <row r="628" spans="1:6" hidden="1" outlineLevel="1" collapsed="1" x14ac:dyDescent="0.25">
      <c r="A628" s="295" t="s">
        <v>282</v>
      </c>
      <c r="B628" s="295" t="s">
        <v>370</v>
      </c>
      <c r="C628" s="293">
        <v>6000</v>
      </c>
      <c r="D628" s="293">
        <v>6000</v>
      </c>
      <c r="E628" s="293">
        <v>0</v>
      </c>
      <c r="F628" s="294" t="s">
        <v>316</v>
      </c>
    </row>
    <row r="629" spans="1:6" hidden="1" outlineLevel="1" collapsed="1" x14ac:dyDescent="0.25">
      <c r="A629" s="295" t="s">
        <v>282</v>
      </c>
      <c r="B629" s="295" t="s">
        <v>371</v>
      </c>
      <c r="C629" s="293">
        <v>198.72</v>
      </c>
      <c r="D629" s="293">
        <v>193.92</v>
      </c>
      <c r="E629" s="293">
        <v>-4.8</v>
      </c>
      <c r="F629" s="294" t="s">
        <v>372</v>
      </c>
    </row>
    <row r="630" spans="1:6" hidden="1" outlineLevel="1" collapsed="1" x14ac:dyDescent="0.25">
      <c r="A630" s="295" t="s">
        <v>282</v>
      </c>
      <c r="B630" s="295" t="s">
        <v>373</v>
      </c>
      <c r="C630" s="293">
        <v>96</v>
      </c>
      <c r="D630" s="293">
        <v>44.16</v>
      </c>
      <c r="E630" s="293">
        <v>-51.84</v>
      </c>
      <c r="F630" s="294" t="s">
        <v>374</v>
      </c>
    </row>
    <row r="631" spans="1:6" hidden="1" outlineLevel="1" collapsed="1" x14ac:dyDescent="0.25">
      <c r="A631" s="295" t="s">
        <v>282</v>
      </c>
      <c r="B631" s="295" t="s">
        <v>426</v>
      </c>
      <c r="C631" s="293">
        <v>150</v>
      </c>
      <c r="D631" s="293">
        <v>150</v>
      </c>
      <c r="E631" s="293">
        <v>0</v>
      </c>
      <c r="F631" s="294" t="s">
        <v>316</v>
      </c>
    </row>
    <row r="632" spans="1:6" hidden="1" outlineLevel="1" collapsed="1" x14ac:dyDescent="0.25">
      <c r="A632" s="295" t="s">
        <v>282</v>
      </c>
      <c r="B632" s="295" t="s">
        <v>482</v>
      </c>
      <c r="C632" s="293">
        <v>4688</v>
      </c>
      <c r="D632" s="293">
        <v>4688</v>
      </c>
      <c r="E632" s="293">
        <v>0</v>
      </c>
      <c r="F632" s="294" t="s">
        <v>316</v>
      </c>
    </row>
    <row r="633" spans="1:6" hidden="1" outlineLevel="1" collapsed="1" x14ac:dyDescent="0.25">
      <c r="A633" s="295" t="s">
        <v>282</v>
      </c>
      <c r="B633" s="295" t="s">
        <v>405</v>
      </c>
      <c r="C633" s="293">
        <v>150</v>
      </c>
      <c r="D633" s="293">
        <v>150</v>
      </c>
      <c r="E633" s="293">
        <v>0</v>
      </c>
      <c r="F633" s="294" t="s">
        <v>316</v>
      </c>
    </row>
    <row r="634" spans="1:6" collapsed="1" x14ac:dyDescent="0.25">
      <c r="A634" s="560" t="s">
        <v>603</v>
      </c>
      <c r="B634" s="561"/>
      <c r="C634" s="292">
        <v>4339</v>
      </c>
      <c r="D634" s="293">
        <v>4339</v>
      </c>
      <c r="E634" s="293">
        <v>0</v>
      </c>
      <c r="F634" s="294" t="s">
        <v>316</v>
      </c>
    </row>
    <row r="635" spans="1:6" hidden="1" outlineLevel="1" collapsed="1" x14ac:dyDescent="0.25">
      <c r="A635" s="295" t="s">
        <v>282</v>
      </c>
      <c r="B635" s="295" t="s">
        <v>376</v>
      </c>
      <c r="C635" s="293">
        <v>2502</v>
      </c>
      <c r="D635" s="293">
        <v>2502</v>
      </c>
      <c r="E635" s="293">
        <v>0</v>
      </c>
      <c r="F635" s="294" t="s">
        <v>316</v>
      </c>
    </row>
    <row r="636" spans="1:6" hidden="1" outlineLevel="1" collapsed="1" x14ac:dyDescent="0.25">
      <c r="A636" s="295" t="s">
        <v>282</v>
      </c>
      <c r="B636" s="295" t="s">
        <v>604</v>
      </c>
      <c r="C636" s="293">
        <v>367</v>
      </c>
      <c r="D636" s="293">
        <v>367</v>
      </c>
      <c r="E636" s="293">
        <v>0</v>
      </c>
      <c r="F636" s="294" t="s">
        <v>316</v>
      </c>
    </row>
    <row r="637" spans="1:6" hidden="1" outlineLevel="1" collapsed="1" x14ac:dyDescent="0.25">
      <c r="A637" s="295" t="s">
        <v>282</v>
      </c>
      <c r="B637" s="295" t="s">
        <v>483</v>
      </c>
      <c r="C637" s="293">
        <v>1470</v>
      </c>
      <c r="D637" s="293">
        <v>1470</v>
      </c>
      <c r="E637" s="293">
        <v>0</v>
      </c>
      <c r="F637" s="294" t="s">
        <v>316</v>
      </c>
    </row>
    <row r="638" spans="1:6" collapsed="1" x14ac:dyDescent="0.25">
      <c r="A638" s="560" t="s">
        <v>605</v>
      </c>
      <c r="B638" s="561"/>
      <c r="C638" s="292">
        <v>365574.83616000001</v>
      </c>
      <c r="D638" s="293">
        <v>377171.16917000001</v>
      </c>
      <c r="E638" s="293">
        <v>11596.33301</v>
      </c>
      <c r="F638" s="294" t="s">
        <v>606</v>
      </c>
    </row>
    <row r="639" spans="1:6" hidden="1" outlineLevel="1" collapsed="1" x14ac:dyDescent="0.25">
      <c r="A639" s="295" t="s">
        <v>282</v>
      </c>
      <c r="B639" s="295" t="s">
        <v>358</v>
      </c>
      <c r="C639" s="293">
        <v>267227.52000000002</v>
      </c>
      <c r="D639" s="293">
        <v>272673.1728</v>
      </c>
      <c r="E639" s="293">
        <v>5445.6527999999998</v>
      </c>
      <c r="F639" s="294" t="s">
        <v>607</v>
      </c>
    </row>
    <row r="640" spans="1:6" hidden="1" outlineLevel="1" collapsed="1" x14ac:dyDescent="0.25">
      <c r="A640" s="295" t="s">
        <v>282</v>
      </c>
      <c r="B640" s="295" t="s">
        <v>412</v>
      </c>
      <c r="C640" s="293">
        <v>6000</v>
      </c>
      <c r="D640" s="293">
        <v>6000</v>
      </c>
      <c r="E640" s="293">
        <v>0</v>
      </c>
      <c r="F640" s="294" t="s">
        <v>316</v>
      </c>
    </row>
    <row r="641" spans="1:6" hidden="1" outlineLevel="1" collapsed="1" x14ac:dyDescent="0.25">
      <c r="A641" s="295" t="s">
        <v>282</v>
      </c>
      <c r="B641" s="295" t="s">
        <v>360</v>
      </c>
      <c r="C641" s="293">
        <v>34873.191359999997</v>
      </c>
      <c r="D641" s="293">
        <v>39346.738819999999</v>
      </c>
      <c r="E641" s="293">
        <v>4473.5474599999998</v>
      </c>
      <c r="F641" s="294" t="s">
        <v>608</v>
      </c>
    </row>
    <row r="642" spans="1:6" hidden="1" outlineLevel="1" collapsed="1" x14ac:dyDescent="0.25">
      <c r="A642" s="295" t="s">
        <v>282</v>
      </c>
      <c r="B642" s="295" t="s">
        <v>362</v>
      </c>
      <c r="C642" s="293">
        <v>3961.7990399999999</v>
      </c>
      <c r="D642" s="293">
        <v>4040.7609900000002</v>
      </c>
      <c r="E642" s="293">
        <v>78.961950000000002</v>
      </c>
      <c r="F642" s="294" t="s">
        <v>609</v>
      </c>
    </row>
    <row r="643" spans="1:6" hidden="1" outlineLevel="1" collapsed="1" x14ac:dyDescent="0.25">
      <c r="A643" s="295" t="s">
        <v>282</v>
      </c>
      <c r="B643" s="295" t="s">
        <v>363</v>
      </c>
      <c r="C643" s="293">
        <v>1278.3743999999999</v>
      </c>
      <c r="D643" s="293">
        <v>1266.1199999999999</v>
      </c>
      <c r="E643" s="293">
        <v>-12.2544</v>
      </c>
      <c r="F643" s="294" t="s">
        <v>364</v>
      </c>
    </row>
    <row r="644" spans="1:6" hidden="1" outlineLevel="1" collapsed="1" x14ac:dyDescent="0.25">
      <c r="A644" s="295" t="s">
        <v>282</v>
      </c>
      <c r="B644" s="295" t="s">
        <v>365</v>
      </c>
      <c r="C644" s="293">
        <v>46075.68</v>
      </c>
      <c r="D644" s="293">
        <v>47877.84</v>
      </c>
      <c r="E644" s="293">
        <v>1802.16</v>
      </c>
      <c r="F644" s="294" t="s">
        <v>366</v>
      </c>
    </row>
    <row r="645" spans="1:6" hidden="1" outlineLevel="1" collapsed="1" x14ac:dyDescent="0.25">
      <c r="A645" s="295" t="s">
        <v>282</v>
      </c>
      <c r="B645" s="295" t="s">
        <v>367</v>
      </c>
      <c r="C645" s="293">
        <v>700.61760000000004</v>
      </c>
      <c r="D645" s="293">
        <v>548.64</v>
      </c>
      <c r="E645" s="293">
        <v>-151.9776</v>
      </c>
      <c r="F645" s="294" t="s">
        <v>368</v>
      </c>
    </row>
    <row r="646" spans="1:6" hidden="1" outlineLevel="1" collapsed="1" x14ac:dyDescent="0.25">
      <c r="A646" s="295" t="s">
        <v>282</v>
      </c>
      <c r="B646" s="295" t="s">
        <v>369</v>
      </c>
      <c r="C646" s="293">
        <v>136.61376000000001</v>
      </c>
      <c r="D646" s="293">
        <v>139.33655999999999</v>
      </c>
      <c r="E646" s="293">
        <v>2.7227999999999999</v>
      </c>
      <c r="F646" s="294" t="s">
        <v>609</v>
      </c>
    </row>
    <row r="647" spans="1:6" hidden="1" outlineLevel="1" collapsed="1" x14ac:dyDescent="0.25">
      <c r="A647" s="295" t="s">
        <v>282</v>
      </c>
      <c r="B647" s="295" t="s">
        <v>370</v>
      </c>
      <c r="C647" s="293">
        <v>4500</v>
      </c>
      <c r="D647" s="293">
        <v>4500</v>
      </c>
      <c r="E647" s="293">
        <v>0</v>
      </c>
      <c r="F647" s="294" t="s">
        <v>316</v>
      </c>
    </row>
    <row r="648" spans="1:6" hidden="1" outlineLevel="1" collapsed="1" x14ac:dyDescent="0.25">
      <c r="A648" s="295" t="s">
        <v>282</v>
      </c>
      <c r="B648" s="295" t="s">
        <v>371</v>
      </c>
      <c r="C648" s="293">
        <v>149.04</v>
      </c>
      <c r="D648" s="293">
        <v>145.44</v>
      </c>
      <c r="E648" s="293">
        <v>-3.6</v>
      </c>
      <c r="F648" s="294" t="s">
        <v>372</v>
      </c>
    </row>
    <row r="649" spans="1:6" hidden="1" outlineLevel="1" collapsed="1" x14ac:dyDescent="0.25">
      <c r="A649" s="295" t="s">
        <v>282</v>
      </c>
      <c r="B649" s="295" t="s">
        <v>373</v>
      </c>
      <c r="C649" s="293">
        <v>72</v>
      </c>
      <c r="D649" s="293">
        <v>33.119999999999997</v>
      </c>
      <c r="E649" s="293">
        <v>-38.880000000000003</v>
      </c>
      <c r="F649" s="294" t="s">
        <v>374</v>
      </c>
    </row>
    <row r="650" spans="1:6" hidden="1" outlineLevel="1" collapsed="1" x14ac:dyDescent="0.25">
      <c r="A650" s="295" t="s">
        <v>282</v>
      </c>
      <c r="B650" s="295" t="s">
        <v>505</v>
      </c>
      <c r="C650" s="293">
        <v>60</v>
      </c>
      <c r="D650" s="293">
        <v>0</v>
      </c>
      <c r="E650" s="293">
        <v>-60</v>
      </c>
      <c r="F650" s="294" t="s">
        <v>286</v>
      </c>
    </row>
    <row r="651" spans="1:6" hidden="1" outlineLevel="1" collapsed="1" x14ac:dyDescent="0.25">
      <c r="A651" s="295" t="s">
        <v>282</v>
      </c>
      <c r="B651" s="295" t="s">
        <v>375</v>
      </c>
      <c r="C651" s="293">
        <v>540</v>
      </c>
      <c r="D651" s="293">
        <v>600</v>
      </c>
      <c r="E651" s="293">
        <v>60</v>
      </c>
      <c r="F651" s="294" t="s">
        <v>610</v>
      </c>
    </row>
    <row r="652" spans="1:6" collapsed="1" x14ac:dyDescent="0.25">
      <c r="A652" s="560" t="s">
        <v>611</v>
      </c>
      <c r="B652" s="561"/>
      <c r="C652" s="292">
        <v>184422.47818000001</v>
      </c>
      <c r="D652" s="293">
        <v>231294.86691899999</v>
      </c>
      <c r="E652" s="293">
        <v>46872.388739000002</v>
      </c>
      <c r="F652" s="294" t="s">
        <v>612</v>
      </c>
    </row>
    <row r="653" spans="1:6" hidden="1" outlineLevel="1" collapsed="1" x14ac:dyDescent="0.25">
      <c r="A653" s="295" t="s">
        <v>282</v>
      </c>
      <c r="B653" s="295" t="s">
        <v>358</v>
      </c>
      <c r="C653" s="293">
        <v>92110.8</v>
      </c>
      <c r="D653" s="293">
        <v>95059.053599999999</v>
      </c>
      <c r="E653" s="293">
        <v>2948.2536</v>
      </c>
      <c r="F653" s="294" t="s">
        <v>562</v>
      </c>
    </row>
    <row r="654" spans="1:6" hidden="1" outlineLevel="1" collapsed="1" x14ac:dyDescent="0.25">
      <c r="A654" s="295" t="s">
        <v>282</v>
      </c>
      <c r="B654" s="295" t="s">
        <v>412</v>
      </c>
      <c r="C654" s="293">
        <v>5000</v>
      </c>
      <c r="D654" s="293">
        <v>5000</v>
      </c>
      <c r="E654" s="293">
        <v>0</v>
      </c>
      <c r="F654" s="294" t="s">
        <v>316</v>
      </c>
    </row>
    <row r="655" spans="1:6" hidden="1" outlineLevel="1" collapsed="1" x14ac:dyDescent="0.25">
      <c r="A655" s="295" t="s">
        <v>282</v>
      </c>
      <c r="B655" s="295" t="s">
        <v>380</v>
      </c>
      <c r="C655" s="293">
        <v>46816.934485999998</v>
      </c>
      <c r="D655" s="293">
        <v>50641.672978000002</v>
      </c>
      <c r="E655" s="293">
        <v>3824.738492</v>
      </c>
      <c r="F655" s="294" t="s">
        <v>613</v>
      </c>
    </row>
    <row r="656" spans="1:6" hidden="1" outlineLevel="1" collapsed="1" x14ac:dyDescent="0.25">
      <c r="A656" s="295" t="s">
        <v>282</v>
      </c>
      <c r="B656" s="295" t="s">
        <v>360</v>
      </c>
      <c r="C656" s="293">
        <v>12020.4594</v>
      </c>
      <c r="D656" s="293">
        <v>13717.021430000001</v>
      </c>
      <c r="E656" s="293">
        <v>1696.56203</v>
      </c>
      <c r="F656" s="294" t="s">
        <v>563</v>
      </c>
    </row>
    <row r="657" spans="1:6" hidden="1" outlineLevel="1" collapsed="1" x14ac:dyDescent="0.25">
      <c r="A657" s="295" t="s">
        <v>282</v>
      </c>
      <c r="B657" s="295" t="s">
        <v>384</v>
      </c>
      <c r="C657" s="293">
        <v>5889.5703560000002</v>
      </c>
      <c r="D657" s="293">
        <v>0</v>
      </c>
      <c r="E657" s="293">
        <v>-5889.5703560000002</v>
      </c>
      <c r="F657" s="294" t="s">
        <v>286</v>
      </c>
    </row>
    <row r="658" spans="1:6" hidden="1" outlineLevel="1" collapsed="1" x14ac:dyDescent="0.25">
      <c r="A658" s="295" t="s">
        <v>282</v>
      </c>
      <c r="B658" s="295" t="s">
        <v>385</v>
      </c>
      <c r="C658" s="293">
        <v>0</v>
      </c>
      <c r="D658" s="293">
        <v>8001.3843260000003</v>
      </c>
      <c r="E658" s="293">
        <v>8001.3843260000003</v>
      </c>
      <c r="F658" s="294" t="s">
        <v>298</v>
      </c>
    </row>
    <row r="659" spans="1:6" hidden="1" outlineLevel="1" collapsed="1" x14ac:dyDescent="0.25">
      <c r="A659" s="295" t="s">
        <v>282</v>
      </c>
      <c r="B659" s="295" t="s">
        <v>386</v>
      </c>
      <c r="C659" s="293">
        <v>2902.6499370000001</v>
      </c>
      <c r="D659" s="293">
        <v>0</v>
      </c>
      <c r="E659" s="293">
        <v>-2902.6499370000001</v>
      </c>
      <c r="F659" s="294" t="s">
        <v>286</v>
      </c>
    </row>
    <row r="660" spans="1:6" hidden="1" outlineLevel="1" collapsed="1" x14ac:dyDescent="0.25">
      <c r="A660" s="295" t="s">
        <v>282</v>
      </c>
      <c r="B660" s="295" t="s">
        <v>387</v>
      </c>
      <c r="C660" s="293">
        <v>0</v>
      </c>
      <c r="D660" s="293">
        <v>3139.783719</v>
      </c>
      <c r="E660" s="293">
        <v>3139.783719</v>
      </c>
      <c r="F660" s="294" t="s">
        <v>298</v>
      </c>
    </row>
    <row r="661" spans="1:6" hidden="1" outlineLevel="1" collapsed="1" x14ac:dyDescent="0.25">
      <c r="A661" s="295" t="s">
        <v>282</v>
      </c>
      <c r="B661" s="295" t="s">
        <v>362</v>
      </c>
      <c r="C661" s="293">
        <v>1408.1066000000001</v>
      </c>
      <c r="D661" s="293">
        <v>1450.85627</v>
      </c>
      <c r="E661" s="293">
        <v>42.749670000000002</v>
      </c>
      <c r="F661" s="294" t="s">
        <v>419</v>
      </c>
    </row>
    <row r="662" spans="1:6" hidden="1" outlineLevel="1" collapsed="1" x14ac:dyDescent="0.25">
      <c r="A662" s="295" t="s">
        <v>282</v>
      </c>
      <c r="B662" s="295" t="s">
        <v>388</v>
      </c>
      <c r="C662" s="293">
        <v>678.84554300000002</v>
      </c>
      <c r="D662" s="293">
        <v>734.30424700000003</v>
      </c>
      <c r="E662" s="293">
        <v>55.458703999999997</v>
      </c>
      <c r="F662" s="294" t="s">
        <v>613</v>
      </c>
    </row>
    <row r="663" spans="1:6" hidden="1" outlineLevel="1" collapsed="1" x14ac:dyDescent="0.25">
      <c r="A663" s="295" t="s">
        <v>282</v>
      </c>
      <c r="B663" s="295" t="s">
        <v>363</v>
      </c>
      <c r="C663" s="293">
        <v>426.12479999999999</v>
      </c>
      <c r="D663" s="293">
        <v>422.04</v>
      </c>
      <c r="E663" s="293">
        <v>-4.0848000000000004</v>
      </c>
      <c r="F663" s="294" t="s">
        <v>364</v>
      </c>
    </row>
    <row r="664" spans="1:6" hidden="1" outlineLevel="1" collapsed="1" x14ac:dyDescent="0.25">
      <c r="A664" s="295" t="s">
        <v>282</v>
      </c>
      <c r="B664" s="295" t="s">
        <v>365</v>
      </c>
      <c r="C664" s="293">
        <v>15358.56</v>
      </c>
      <c r="D664" s="293">
        <v>15959.28</v>
      </c>
      <c r="E664" s="293">
        <v>600.72</v>
      </c>
      <c r="F664" s="294" t="s">
        <v>366</v>
      </c>
    </row>
    <row r="665" spans="1:6" hidden="1" outlineLevel="1" collapsed="1" x14ac:dyDescent="0.25">
      <c r="A665" s="295" t="s">
        <v>282</v>
      </c>
      <c r="B665" s="295" t="s">
        <v>367</v>
      </c>
      <c r="C665" s="293">
        <v>233.53919999999999</v>
      </c>
      <c r="D665" s="293">
        <v>182.88</v>
      </c>
      <c r="E665" s="293">
        <v>-50.659199999999998</v>
      </c>
      <c r="F665" s="294" t="s">
        <v>368</v>
      </c>
    </row>
    <row r="666" spans="1:6" hidden="1" outlineLevel="1" collapsed="1" x14ac:dyDescent="0.25">
      <c r="A666" s="295" t="s">
        <v>282</v>
      </c>
      <c r="B666" s="295" t="s">
        <v>389</v>
      </c>
      <c r="C666" s="293">
        <v>426.12479999999999</v>
      </c>
      <c r="D666" s="293">
        <v>422.04</v>
      </c>
      <c r="E666" s="293">
        <v>-4.0848000000000004</v>
      </c>
      <c r="F666" s="294" t="s">
        <v>364</v>
      </c>
    </row>
    <row r="667" spans="1:6" hidden="1" outlineLevel="1" collapsed="1" x14ac:dyDescent="0.25">
      <c r="A667" s="295" t="s">
        <v>282</v>
      </c>
      <c r="B667" s="295" t="s">
        <v>390</v>
      </c>
      <c r="C667" s="293">
        <v>15485.27</v>
      </c>
      <c r="D667" s="293">
        <v>15959.28</v>
      </c>
      <c r="E667" s="293">
        <v>474.01</v>
      </c>
      <c r="F667" s="294" t="s">
        <v>391</v>
      </c>
    </row>
    <row r="668" spans="1:6" hidden="1" outlineLevel="1" collapsed="1" x14ac:dyDescent="0.25">
      <c r="A668" s="295" t="s">
        <v>282</v>
      </c>
      <c r="B668" s="295" t="s">
        <v>392</v>
      </c>
      <c r="C668" s="293">
        <v>233.53919999999999</v>
      </c>
      <c r="D668" s="293">
        <v>182.88</v>
      </c>
      <c r="E668" s="293">
        <v>-50.659199999999998</v>
      </c>
      <c r="F668" s="294" t="s">
        <v>368</v>
      </c>
    </row>
    <row r="669" spans="1:6" hidden="1" outlineLevel="1" collapsed="1" x14ac:dyDescent="0.25">
      <c r="A669" s="295" t="s">
        <v>282</v>
      </c>
      <c r="B669" s="295" t="s">
        <v>369</v>
      </c>
      <c r="C669" s="293">
        <v>48.555399999999999</v>
      </c>
      <c r="D669" s="293">
        <v>50.029519999999998</v>
      </c>
      <c r="E669" s="293">
        <v>1.4741200000000001</v>
      </c>
      <c r="F669" s="294" t="s">
        <v>419</v>
      </c>
    </row>
    <row r="670" spans="1:6" hidden="1" outlineLevel="1" collapsed="1" x14ac:dyDescent="0.25">
      <c r="A670" s="295" t="s">
        <v>282</v>
      </c>
      <c r="B670" s="295" t="s">
        <v>393</v>
      </c>
      <c r="C670" s="293">
        <v>23.408458</v>
      </c>
      <c r="D670" s="293">
        <v>25.320829</v>
      </c>
      <c r="E670" s="293">
        <v>1.912371</v>
      </c>
      <c r="F670" s="294" t="s">
        <v>613</v>
      </c>
    </row>
    <row r="671" spans="1:6" hidden="1" outlineLevel="1" collapsed="1" x14ac:dyDescent="0.25">
      <c r="A671" s="295" t="s">
        <v>282</v>
      </c>
      <c r="B671" s="295" t="s">
        <v>370</v>
      </c>
      <c r="C671" s="293">
        <v>1500</v>
      </c>
      <c r="D671" s="293">
        <v>1500</v>
      </c>
      <c r="E671" s="293">
        <v>0</v>
      </c>
      <c r="F671" s="294" t="s">
        <v>316</v>
      </c>
    </row>
    <row r="672" spans="1:6" hidden="1" outlineLevel="1" collapsed="1" x14ac:dyDescent="0.25">
      <c r="A672" s="295" t="s">
        <v>282</v>
      </c>
      <c r="B672" s="295" t="s">
        <v>394</v>
      </c>
      <c r="C672" s="293">
        <v>1500</v>
      </c>
      <c r="D672" s="293">
        <v>0</v>
      </c>
      <c r="E672" s="293">
        <v>-1500</v>
      </c>
      <c r="F672" s="294" t="s">
        <v>286</v>
      </c>
    </row>
    <row r="673" spans="1:6" hidden="1" outlineLevel="1" collapsed="1" x14ac:dyDescent="0.25">
      <c r="A673" s="295" t="s">
        <v>282</v>
      </c>
      <c r="B673" s="295" t="s">
        <v>395</v>
      </c>
      <c r="C673" s="293">
        <v>0</v>
      </c>
      <c r="D673" s="293">
        <v>1500</v>
      </c>
      <c r="E673" s="293">
        <v>1500</v>
      </c>
      <c r="F673" s="294" t="s">
        <v>298</v>
      </c>
    </row>
    <row r="674" spans="1:6" hidden="1" outlineLevel="1" collapsed="1" x14ac:dyDescent="0.25">
      <c r="A674" s="295" t="s">
        <v>282</v>
      </c>
      <c r="B674" s="295" t="s">
        <v>371</v>
      </c>
      <c r="C674" s="293">
        <v>49.68</v>
      </c>
      <c r="D674" s="293">
        <v>48.48</v>
      </c>
      <c r="E674" s="293">
        <v>-1.2</v>
      </c>
      <c r="F674" s="294" t="s">
        <v>372</v>
      </c>
    </row>
    <row r="675" spans="1:6" hidden="1" outlineLevel="1" collapsed="1" x14ac:dyDescent="0.25">
      <c r="A675" s="295" t="s">
        <v>282</v>
      </c>
      <c r="B675" s="295" t="s">
        <v>396</v>
      </c>
      <c r="C675" s="293">
        <v>49.68</v>
      </c>
      <c r="D675" s="293">
        <v>0</v>
      </c>
      <c r="E675" s="293">
        <v>-49.68</v>
      </c>
      <c r="F675" s="294" t="s">
        <v>286</v>
      </c>
    </row>
    <row r="676" spans="1:6" hidden="1" outlineLevel="1" collapsed="1" x14ac:dyDescent="0.25">
      <c r="A676" s="295" t="s">
        <v>282</v>
      </c>
      <c r="B676" s="295" t="s">
        <v>397</v>
      </c>
      <c r="C676" s="293">
        <v>0</v>
      </c>
      <c r="D676" s="293">
        <v>48.48</v>
      </c>
      <c r="E676" s="293">
        <v>48.48</v>
      </c>
      <c r="F676" s="294" t="s">
        <v>298</v>
      </c>
    </row>
    <row r="677" spans="1:6" hidden="1" outlineLevel="1" collapsed="1" x14ac:dyDescent="0.25">
      <c r="A677" s="295" t="s">
        <v>282</v>
      </c>
      <c r="B677" s="295" t="s">
        <v>373</v>
      </c>
      <c r="C677" s="293">
        <v>24</v>
      </c>
      <c r="D677" s="293">
        <v>11.04</v>
      </c>
      <c r="E677" s="293">
        <v>-12.96</v>
      </c>
      <c r="F677" s="294" t="s">
        <v>374</v>
      </c>
    </row>
    <row r="678" spans="1:6" hidden="1" outlineLevel="1" collapsed="1" x14ac:dyDescent="0.25">
      <c r="A678" s="295" t="s">
        <v>282</v>
      </c>
      <c r="B678" s="295" t="s">
        <v>398</v>
      </c>
      <c r="C678" s="293">
        <v>24</v>
      </c>
      <c r="D678" s="293">
        <v>11.04</v>
      </c>
      <c r="E678" s="293">
        <v>-12.96</v>
      </c>
      <c r="F678" s="294" t="s">
        <v>374</v>
      </c>
    </row>
    <row r="679" spans="1:6" hidden="1" outlineLevel="1" collapsed="1" x14ac:dyDescent="0.25">
      <c r="A679" s="295" t="s">
        <v>282</v>
      </c>
      <c r="B679" s="295" t="s">
        <v>376</v>
      </c>
      <c r="C679" s="293">
        <v>2237</v>
      </c>
      <c r="D679" s="293">
        <v>2237</v>
      </c>
      <c r="E679" s="293">
        <v>0</v>
      </c>
      <c r="F679" s="294" t="s">
        <v>316</v>
      </c>
    </row>
    <row r="680" spans="1:6" hidden="1" outlineLevel="1" collapsed="1" x14ac:dyDescent="0.25">
      <c r="A680" s="295" t="s">
        <v>282</v>
      </c>
      <c r="B680" s="295" t="s">
        <v>614</v>
      </c>
      <c r="C680" s="293">
        <v>13846.1</v>
      </c>
      <c r="D680" s="293">
        <v>11400</v>
      </c>
      <c r="E680" s="293">
        <v>-2446.1</v>
      </c>
      <c r="F680" s="294" t="s">
        <v>615</v>
      </c>
    </row>
    <row r="681" spans="1:6" hidden="1" outlineLevel="1" collapsed="1" x14ac:dyDescent="0.25">
      <c r="A681" s="295" t="s">
        <v>282</v>
      </c>
      <c r="B681" s="295" t="s">
        <v>616</v>
      </c>
      <c r="C681" s="293">
        <v>798</v>
      </c>
      <c r="D681" s="293">
        <v>798</v>
      </c>
      <c r="E681" s="293">
        <v>0</v>
      </c>
      <c r="F681" s="294" t="s">
        <v>316</v>
      </c>
    </row>
    <row r="682" spans="1:6" hidden="1" outlineLevel="1" collapsed="1" x14ac:dyDescent="0.25">
      <c r="A682" s="295" t="s">
        <v>282</v>
      </c>
      <c r="B682" s="295" t="s">
        <v>403</v>
      </c>
      <c r="C682" s="293">
        <v>0</v>
      </c>
      <c r="D682" s="293">
        <v>2793</v>
      </c>
      <c r="E682" s="293">
        <v>2793</v>
      </c>
      <c r="F682" s="294" t="s">
        <v>298</v>
      </c>
    </row>
    <row r="683" spans="1:6" hidden="1" outlineLevel="1" collapsed="1" x14ac:dyDescent="0.25">
      <c r="A683" s="295" t="s">
        <v>282</v>
      </c>
      <c r="B683" s="295" t="s">
        <v>422</v>
      </c>
      <c r="C683" s="293">
        <v>-34668.47</v>
      </c>
      <c r="D683" s="293">
        <v>0</v>
      </c>
      <c r="E683" s="293">
        <v>34668.47</v>
      </c>
      <c r="F683" s="294" t="s">
        <v>286</v>
      </c>
    </row>
    <row r="684" spans="1:6" collapsed="1" x14ac:dyDescent="0.25">
      <c r="A684" s="560" t="s">
        <v>617</v>
      </c>
      <c r="B684" s="561"/>
      <c r="C684" s="292">
        <v>2011512.7462249999</v>
      </c>
      <c r="D684" s="293">
        <v>2115080.3642210001</v>
      </c>
      <c r="E684" s="293">
        <v>103567.617996</v>
      </c>
      <c r="F684" s="294" t="s">
        <v>618</v>
      </c>
    </row>
    <row r="685" spans="1:6" hidden="1" outlineLevel="1" collapsed="1" x14ac:dyDescent="0.25">
      <c r="A685" s="295" t="s">
        <v>282</v>
      </c>
      <c r="B685" s="295" t="s">
        <v>358</v>
      </c>
      <c r="C685" s="293">
        <v>1439187.2548799999</v>
      </c>
      <c r="D685" s="293">
        <v>1501822.3794</v>
      </c>
      <c r="E685" s="293">
        <v>62635.124519999998</v>
      </c>
      <c r="F685" s="294" t="s">
        <v>493</v>
      </c>
    </row>
    <row r="686" spans="1:6" hidden="1" outlineLevel="1" collapsed="1" x14ac:dyDescent="0.25">
      <c r="A686" s="295" t="s">
        <v>282</v>
      </c>
      <c r="B686" s="295" t="s">
        <v>412</v>
      </c>
      <c r="C686" s="293">
        <v>14000</v>
      </c>
      <c r="D686" s="293">
        <v>14000</v>
      </c>
      <c r="E686" s="293">
        <v>0</v>
      </c>
      <c r="F686" s="294" t="s">
        <v>316</v>
      </c>
    </row>
    <row r="687" spans="1:6" hidden="1" outlineLevel="1" collapsed="1" x14ac:dyDescent="0.25">
      <c r="A687" s="295" t="s">
        <v>282</v>
      </c>
      <c r="B687" s="295" t="s">
        <v>453</v>
      </c>
      <c r="C687" s="293">
        <v>68807</v>
      </c>
      <c r="D687" s="293">
        <v>68807</v>
      </c>
      <c r="E687" s="293">
        <v>0</v>
      </c>
      <c r="F687" s="294" t="s">
        <v>316</v>
      </c>
    </row>
    <row r="688" spans="1:6" hidden="1" outlineLevel="1" collapsed="1" x14ac:dyDescent="0.25">
      <c r="A688" s="295" t="s">
        <v>282</v>
      </c>
      <c r="B688" s="295" t="s">
        <v>360</v>
      </c>
      <c r="C688" s="293">
        <v>187813.936762</v>
      </c>
      <c r="D688" s="293">
        <v>216712.96927999999</v>
      </c>
      <c r="E688" s="293">
        <v>28899.032518</v>
      </c>
      <c r="F688" s="294" t="s">
        <v>619</v>
      </c>
    </row>
    <row r="689" spans="1:6" hidden="1" outlineLevel="1" collapsed="1" x14ac:dyDescent="0.25">
      <c r="A689" s="295" t="s">
        <v>282</v>
      </c>
      <c r="B689" s="295" t="s">
        <v>362</v>
      </c>
      <c r="C689" s="293">
        <v>21071.215195000001</v>
      </c>
      <c r="D689" s="293">
        <v>21979.424411</v>
      </c>
      <c r="E689" s="293">
        <v>908.20921599999997</v>
      </c>
      <c r="F689" s="294" t="s">
        <v>570</v>
      </c>
    </row>
    <row r="690" spans="1:6" hidden="1" outlineLevel="1" collapsed="1" x14ac:dyDescent="0.25">
      <c r="A690" s="295" t="s">
        <v>282</v>
      </c>
      <c r="B690" s="295" t="s">
        <v>363</v>
      </c>
      <c r="C690" s="293">
        <v>7165.2885120000001</v>
      </c>
      <c r="D690" s="293">
        <v>7174.68</v>
      </c>
      <c r="E690" s="293">
        <v>9.3914880000000007</v>
      </c>
      <c r="F690" s="294" t="s">
        <v>620</v>
      </c>
    </row>
    <row r="691" spans="1:6" hidden="1" outlineLevel="1" collapsed="1" x14ac:dyDescent="0.25">
      <c r="A691" s="295" t="s">
        <v>282</v>
      </c>
      <c r="B691" s="295" t="s">
        <v>365</v>
      </c>
      <c r="C691" s="293">
        <v>227537.06640000001</v>
      </c>
      <c r="D691" s="293">
        <v>239389.2</v>
      </c>
      <c r="E691" s="293">
        <v>11852.133599999999</v>
      </c>
      <c r="F691" s="294" t="s">
        <v>621</v>
      </c>
    </row>
    <row r="692" spans="1:6" hidden="1" outlineLevel="1" collapsed="1" x14ac:dyDescent="0.25">
      <c r="A692" s="295" t="s">
        <v>282</v>
      </c>
      <c r="B692" s="295" t="s">
        <v>367</v>
      </c>
      <c r="C692" s="293">
        <v>3926.961648</v>
      </c>
      <c r="D692" s="293">
        <v>3108.96</v>
      </c>
      <c r="E692" s="293">
        <v>-818.00164800000005</v>
      </c>
      <c r="F692" s="294" t="s">
        <v>622</v>
      </c>
    </row>
    <row r="693" spans="1:6" hidden="1" outlineLevel="1" collapsed="1" x14ac:dyDescent="0.25">
      <c r="A693" s="295" t="s">
        <v>282</v>
      </c>
      <c r="B693" s="295" t="s">
        <v>444</v>
      </c>
      <c r="C693" s="293">
        <v>6193</v>
      </c>
      <c r="D693" s="293">
        <v>6193</v>
      </c>
      <c r="E693" s="293">
        <v>0</v>
      </c>
      <c r="F693" s="294" t="s">
        <v>316</v>
      </c>
    </row>
    <row r="694" spans="1:6" hidden="1" outlineLevel="1" collapsed="1" x14ac:dyDescent="0.25">
      <c r="A694" s="295" t="s">
        <v>282</v>
      </c>
      <c r="B694" s="295" t="s">
        <v>369</v>
      </c>
      <c r="C694" s="293">
        <v>726.59362799999997</v>
      </c>
      <c r="D694" s="293">
        <v>757.91112999999996</v>
      </c>
      <c r="E694" s="293">
        <v>31.317502000000001</v>
      </c>
      <c r="F694" s="294" t="s">
        <v>570</v>
      </c>
    </row>
    <row r="695" spans="1:6" hidden="1" outlineLevel="1" collapsed="1" x14ac:dyDescent="0.25">
      <c r="A695" s="295" t="s">
        <v>282</v>
      </c>
      <c r="B695" s="295" t="s">
        <v>370</v>
      </c>
      <c r="C695" s="293">
        <v>25222.5</v>
      </c>
      <c r="D695" s="293">
        <v>25500</v>
      </c>
      <c r="E695" s="293">
        <v>277.5</v>
      </c>
      <c r="F695" s="294" t="s">
        <v>623</v>
      </c>
    </row>
    <row r="696" spans="1:6" hidden="1" outlineLevel="1" collapsed="1" x14ac:dyDescent="0.25">
      <c r="A696" s="295" t="s">
        <v>282</v>
      </c>
      <c r="B696" s="295" t="s">
        <v>371</v>
      </c>
      <c r="C696" s="293">
        <v>835.36919999999998</v>
      </c>
      <c r="D696" s="293">
        <v>824.16</v>
      </c>
      <c r="E696" s="293">
        <v>-11.209199999999999</v>
      </c>
      <c r="F696" s="294" t="s">
        <v>624</v>
      </c>
    </row>
    <row r="697" spans="1:6" hidden="1" outlineLevel="1" collapsed="1" x14ac:dyDescent="0.25">
      <c r="A697" s="295" t="s">
        <v>282</v>
      </c>
      <c r="B697" s="295" t="s">
        <v>373</v>
      </c>
      <c r="C697" s="293">
        <v>403.56</v>
      </c>
      <c r="D697" s="293">
        <v>187.68</v>
      </c>
      <c r="E697" s="293">
        <v>-215.88</v>
      </c>
      <c r="F697" s="294" t="s">
        <v>625</v>
      </c>
    </row>
    <row r="698" spans="1:6" hidden="1" outlineLevel="1" collapsed="1" x14ac:dyDescent="0.25">
      <c r="A698" s="295" t="s">
        <v>282</v>
      </c>
      <c r="B698" s="295" t="s">
        <v>445</v>
      </c>
      <c r="C698" s="293">
        <v>6000</v>
      </c>
      <c r="D698" s="293">
        <v>6000</v>
      </c>
      <c r="E698" s="293">
        <v>0</v>
      </c>
      <c r="F698" s="294" t="s">
        <v>316</v>
      </c>
    </row>
    <row r="699" spans="1:6" hidden="1" outlineLevel="1" collapsed="1" x14ac:dyDescent="0.25">
      <c r="A699" s="295" t="s">
        <v>282</v>
      </c>
      <c r="B699" s="295" t="s">
        <v>523</v>
      </c>
      <c r="C699" s="293">
        <v>80</v>
      </c>
      <c r="D699" s="293">
        <v>80</v>
      </c>
      <c r="E699" s="293">
        <v>0</v>
      </c>
      <c r="F699" s="294" t="s">
        <v>316</v>
      </c>
    </row>
    <row r="700" spans="1:6" hidden="1" outlineLevel="1" collapsed="1" x14ac:dyDescent="0.25">
      <c r="A700" s="295" t="s">
        <v>282</v>
      </c>
      <c r="B700" s="295" t="s">
        <v>375</v>
      </c>
      <c r="C700" s="293">
        <v>500</v>
      </c>
      <c r="D700" s="293">
        <v>500</v>
      </c>
      <c r="E700" s="293">
        <v>0</v>
      </c>
      <c r="F700" s="294" t="s">
        <v>316</v>
      </c>
    </row>
    <row r="701" spans="1:6" hidden="1" outlineLevel="1" collapsed="1" x14ac:dyDescent="0.25">
      <c r="A701" s="295" t="s">
        <v>282</v>
      </c>
      <c r="B701" s="295" t="s">
        <v>496</v>
      </c>
      <c r="C701" s="293">
        <v>260</v>
      </c>
      <c r="D701" s="293">
        <v>260</v>
      </c>
      <c r="E701" s="293">
        <v>0</v>
      </c>
      <c r="F701" s="294" t="s">
        <v>316</v>
      </c>
    </row>
    <row r="702" spans="1:6" hidden="1" outlineLevel="1" collapsed="1" x14ac:dyDescent="0.25">
      <c r="A702" s="295" t="s">
        <v>282</v>
      </c>
      <c r="B702" s="295" t="s">
        <v>376</v>
      </c>
      <c r="C702" s="293">
        <v>1276</v>
      </c>
      <c r="D702" s="293">
        <v>1276</v>
      </c>
      <c r="E702" s="293">
        <v>0</v>
      </c>
      <c r="F702" s="294" t="s">
        <v>316</v>
      </c>
    </row>
    <row r="703" spans="1:6" hidden="1" outlineLevel="1" collapsed="1" x14ac:dyDescent="0.25">
      <c r="A703" s="295" t="s">
        <v>282</v>
      </c>
      <c r="B703" s="295" t="s">
        <v>597</v>
      </c>
      <c r="C703" s="293">
        <v>50</v>
      </c>
      <c r="D703" s="293">
        <v>50</v>
      </c>
      <c r="E703" s="293">
        <v>0</v>
      </c>
      <c r="F703" s="294" t="s">
        <v>316</v>
      </c>
    </row>
    <row r="704" spans="1:6" hidden="1" outlineLevel="1" collapsed="1" x14ac:dyDescent="0.25">
      <c r="A704" s="295" t="s">
        <v>282</v>
      </c>
      <c r="B704" s="295" t="s">
        <v>626</v>
      </c>
      <c r="C704" s="293">
        <v>275</v>
      </c>
      <c r="D704" s="293">
        <v>275</v>
      </c>
      <c r="E704" s="293">
        <v>0</v>
      </c>
      <c r="F704" s="294" t="s">
        <v>316</v>
      </c>
    </row>
    <row r="705" spans="1:6" hidden="1" outlineLevel="1" collapsed="1" x14ac:dyDescent="0.25">
      <c r="A705" s="295" t="s">
        <v>282</v>
      </c>
      <c r="B705" s="295" t="s">
        <v>405</v>
      </c>
      <c r="C705" s="293">
        <v>100</v>
      </c>
      <c r="D705" s="293">
        <v>100</v>
      </c>
      <c r="E705" s="293">
        <v>0</v>
      </c>
      <c r="F705" s="294" t="s">
        <v>316</v>
      </c>
    </row>
    <row r="706" spans="1:6" hidden="1" outlineLevel="1" collapsed="1" x14ac:dyDescent="0.25">
      <c r="A706" s="295" t="s">
        <v>282</v>
      </c>
      <c r="B706" s="295" t="s">
        <v>557</v>
      </c>
      <c r="C706" s="293">
        <v>82</v>
      </c>
      <c r="D706" s="293">
        <v>82</v>
      </c>
      <c r="E706" s="293">
        <v>0</v>
      </c>
      <c r="F706" s="294" t="s">
        <v>316</v>
      </c>
    </row>
    <row r="707" spans="1:6" collapsed="1" x14ac:dyDescent="0.25">
      <c r="A707" s="560" t="s">
        <v>627</v>
      </c>
      <c r="B707" s="561"/>
      <c r="C707" s="292">
        <v>473971.22882399999</v>
      </c>
      <c r="D707" s="293">
        <v>492791.60479200003</v>
      </c>
      <c r="E707" s="293">
        <v>18820.375968</v>
      </c>
      <c r="F707" s="294" t="s">
        <v>628</v>
      </c>
    </row>
    <row r="708" spans="1:6" hidden="1" outlineLevel="1" collapsed="1" x14ac:dyDescent="0.25">
      <c r="A708" s="295" t="s">
        <v>282</v>
      </c>
      <c r="B708" s="295" t="s">
        <v>358</v>
      </c>
      <c r="C708" s="293">
        <v>349834.12800000003</v>
      </c>
      <c r="D708" s="293">
        <v>360160.84607999999</v>
      </c>
      <c r="E708" s="293">
        <v>10326.718080000001</v>
      </c>
      <c r="F708" s="294" t="s">
        <v>465</v>
      </c>
    </row>
    <row r="709" spans="1:6" hidden="1" outlineLevel="1" collapsed="1" x14ac:dyDescent="0.25">
      <c r="A709" s="295" t="s">
        <v>282</v>
      </c>
      <c r="B709" s="295" t="s">
        <v>412</v>
      </c>
      <c r="C709" s="293">
        <v>5600</v>
      </c>
      <c r="D709" s="293">
        <v>5600</v>
      </c>
      <c r="E709" s="293">
        <v>0</v>
      </c>
      <c r="F709" s="294" t="s">
        <v>316</v>
      </c>
    </row>
    <row r="710" spans="1:6" hidden="1" outlineLevel="1" collapsed="1" x14ac:dyDescent="0.25">
      <c r="A710" s="295" t="s">
        <v>282</v>
      </c>
      <c r="B710" s="295" t="s">
        <v>360</v>
      </c>
      <c r="C710" s="293">
        <v>45653.353704000001</v>
      </c>
      <c r="D710" s="293">
        <v>51971.210074000002</v>
      </c>
      <c r="E710" s="293">
        <v>6317.8563700000004</v>
      </c>
      <c r="F710" s="294" t="s">
        <v>629</v>
      </c>
    </row>
    <row r="711" spans="1:6" hidden="1" outlineLevel="1" collapsed="1" x14ac:dyDescent="0.25">
      <c r="A711" s="295" t="s">
        <v>282</v>
      </c>
      <c r="B711" s="295" t="s">
        <v>362</v>
      </c>
      <c r="C711" s="293">
        <v>5153.7948560000004</v>
      </c>
      <c r="D711" s="293">
        <v>5303.5322420000002</v>
      </c>
      <c r="E711" s="293">
        <v>149.73738599999999</v>
      </c>
      <c r="F711" s="294" t="s">
        <v>630</v>
      </c>
    </row>
    <row r="712" spans="1:6" hidden="1" outlineLevel="1" collapsed="1" x14ac:dyDescent="0.25">
      <c r="A712" s="295" t="s">
        <v>282</v>
      </c>
      <c r="B712" s="295" t="s">
        <v>363</v>
      </c>
      <c r="C712" s="293">
        <v>1619.27424</v>
      </c>
      <c r="D712" s="293">
        <v>1603.752</v>
      </c>
      <c r="E712" s="293">
        <v>-15.52224</v>
      </c>
      <c r="F712" s="294" t="s">
        <v>364</v>
      </c>
    </row>
    <row r="713" spans="1:6" hidden="1" outlineLevel="1" collapsed="1" x14ac:dyDescent="0.25">
      <c r="A713" s="295" t="s">
        <v>282</v>
      </c>
      <c r="B713" s="295" t="s">
        <v>365</v>
      </c>
      <c r="C713" s="293">
        <v>58362.527999999998</v>
      </c>
      <c r="D713" s="293">
        <v>60645.264000000003</v>
      </c>
      <c r="E713" s="293">
        <v>2282.7359999999999</v>
      </c>
      <c r="F713" s="294" t="s">
        <v>366</v>
      </c>
    </row>
    <row r="714" spans="1:6" hidden="1" outlineLevel="1" collapsed="1" x14ac:dyDescent="0.25">
      <c r="A714" s="295" t="s">
        <v>282</v>
      </c>
      <c r="B714" s="295" t="s">
        <v>367</v>
      </c>
      <c r="C714" s="293">
        <v>887.44896000000006</v>
      </c>
      <c r="D714" s="293">
        <v>694.94399999999996</v>
      </c>
      <c r="E714" s="293">
        <v>-192.50496000000001</v>
      </c>
      <c r="F714" s="294" t="s">
        <v>368</v>
      </c>
    </row>
    <row r="715" spans="1:6" hidden="1" outlineLevel="1" collapsed="1" x14ac:dyDescent="0.25">
      <c r="A715" s="295" t="s">
        <v>282</v>
      </c>
      <c r="B715" s="295" t="s">
        <v>369</v>
      </c>
      <c r="C715" s="293">
        <v>177.71706399999999</v>
      </c>
      <c r="D715" s="293">
        <v>182.88039599999999</v>
      </c>
      <c r="E715" s="293">
        <v>5.1633319999999996</v>
      </c>
      <c r="F715" s="294" t="s">
        <v>630</v>
      </c>
    </row>
    <row r="716" spans="1:6" hidden="1" outlineLevel="1" collapsed="1" x14ac:dyDescent="0.25">
      <c r="A716" s="295" t="s">
        <v>282</v>
      </c>
      <c r="B716" s="295" t="s">
        <v>370</v>
      </c>
      <c r="C716" s="293">
        <v>5700</v>
      </c>
      <c r="D716" s="293">
        <v>5700</v>
      </c>
      <c r="E716" s="293">
        <v>0</v>
      </c>
      <c r="F716" s="294" t="s">
        <v>316</v>
      </c>
    </row>
    <row r="717" spans="1:6" hidden="1" outlineLevel="1" collapsed="1" x14ac:dyDescent="0.25">
      <c r="A717" s="295" t="s">
        <v>282</v>
      </c>
      <c r="B717" s="295" t="s">
        <v>371</v>
      </c>
      <c r="C717" s="293">
        <v>188.78399999999999</v>
      </c>
      <c r="D717" s="293">
        <v>184.22399999999999</v>
      </c>
      <c r="E717" s="293">
        <v>-4.5599999999999996</v>
      </c>
      <c r="F717" s="294" t="s">
        <v>372</v>
      </c>
    </row>
    <row r="718" spans="1:6" hidden="1" outlineLevel="1" collapsed="1" x14ac:dyDescent="0.25">
      <c r="A718" s="295" t="s">
        <v>282</v>
      </c>
      <c r="B718" s="295" t="s">
        <v>373</v>
      </c>
      <c r="C718" s="293">
        <v>91.2</v>
      </c>
      <c r="D718" s="293">
        <v>41.951999999999998</v>
      </c>
      <c r="E718" s="293">
        <v>-49.247999999999998</v>
      </c>
      <c r="F718" s="294" t="s">
        <v>374</v>
      </c>
    </row>
    <row r="719" spans="1:6" hidden="1" outlineLevel="1" collapsed="1" x14ac:dyDescent="0.25">
      <c r="A719" s="295" t="s">
        <v>282</v>
      </c>
      <c r="B719" s="295" t="s">
        <v>375</v>
      </c>
      <c r="C719" s="293">
        <v>200</v>
      </c>
      <c r="D719" s="293">
        <v>200</v>
      </c>
      <c r="E719" s="293">
        <v>0</v>
      </c>
      <c r="F719" s="294" t="s">
        <v>316</v>
      </c>
    </row>
    <row r="720" spans="1:6" hidden="1" outlineLevel="1" collapsed="1" x14ac:dyDescent="0.25">
      <c r="A720" s="295" t="s">
        <v>282</v>
      </c>
      <c r="B720" s="295" t="s">
        <v>557</v>
      </c>
      <c r="C720" s="293">
        <v>503</v>
      </c>
      <c r="D720" s="293">
        <v>503</v>
      </c>
      <c r="E720" s="293">
        <v>0</v>
      </c>
      <c r="F720" s="294" t="s">
        <v>316</v>
      </c>
    </row>
    <row r="721" spans="1:6" collapsed="1" x14ac:dyDescent="0.25">
      <c r="A721" s="560" t="s">
        <v>631</v>
      </c>
      <c r="B721" s="561"/>
      <c r="C721" s="292">
        <v>215366.71881799999</v>
      </c>
      <c r="D721" s="293">
        <v>249832.50305999999</v>
      </c>
      <c r="E721" s="293">
        <v>34465.784242000002</v>
      </c>
      <c r="F721" s="294" t="s">
        <v>632</v>
      </c>
    </row>
    <row r="722" spans="1:6" hidden="1" outlineLevel="1" collapsed="1" x14ac:dyDescent="0.25">
      <c r="A722" s="295" t="s">
        <v>282</v>
      </c>
      <c r="B722" s="295" t="s">
        <v>358</v>
      </c>
      <c r="C722" s="293">
        <v>157880.8848</v>
      </c>
      <c r="D722" s="293">
        <v>181609.6464</v>
      </c>
      <c r="E722" s="293">
        <v>23728.761600000002</v>
      </c>
      <c r="F722" s="294" t="s">
        <v>633</v>
      </c>
    </row>
    <row r="723" spans="1:6" hidden="1" outlineLevel="1" collapsed="1" x14ac:dyDescent="0.25">
      <c r="A723" s="295" t="s">
        <v>282</v>
      </c>
      <c r="B723" s="295" t="s">
        <v>412</v>
      </c>
      <c r="C723" s="293">
        <v>2460</v>
      </c>
      <c r="D723" s="293">
        <v>3000</v>
      </c>
      <c r="E723" s="293">
        <v>540</v>
      </c>
      <c r="F723" s="294" t="s">
        <v>634</v>
      </c>
    </row>
    <row r="724" spans="1:6" hidden="1" outlineLevel="1" collapsed="1" x14ac:dyDescent="0.25">
      <c r="A724" s="295" t="s">
        <v>282</v>
      </c>
      <c r="B724" s="295" t="s">
        <v>360</v>
      </c>
      <c r="C724" s="293">
        <v>20603.455465999999</v>
      </c>
      <c r="D724" s="293">
        <v>26206.271970000002</v>
      </c>
      <c r="E724" s="293">
        <v>5602.8165040000004</v>
      </c>
      <c r="F724" s="294" t="s">
        <v>635</v>
      </c>
    </row>
    <row r="725" spans="1:6" hidden="1" outlineLevel="1" collapsed="1" x14ac:dyDescent="0.25">
      <c r="A725" s="295" t="s">
        <v>282</v>
      </c>
      <c r="B725" s="295" t="s">
        <v>362</v>
      </c>
      <c r="C725" s="293">
        <v>2324.94283</v>
      </c>
      <c r="D725" s="293">
        <v>2676.8398699999998</v>
      </c>
      <c r="E725" s="293">
        <v>351.89704</v>
      </c>
      <c r="F725" s="294" t="s">
        <v>636</v>
      </c>
    </row>
    <row r="726" spans="1:6" hidden="1" outlineLevel="1" collapsed="1" x14ac:dyDescent="0.25">
      <c r="A726" s="295" t="s">
        <v>282</v>
      </c>
      <c r="B726" s="295" t="s">
        <v>363</v>
      </c>
      <c r="C726" s="293">
        <v>775.54713600000002</v>
      </c>
      <c r="D726" s="293">
        <v>844.08</v>
      </c>
      <c r="E726" s="293">
        <v>68.532864000000004</v>
      </c>
      <c r="F726" s="294" t="s">
        <v>637</v>
      </c>
    </row>
    <row r="727" spans="1:6" hidden="1" outlineLevel="1" collapsed="1" x14ac:dyDescent="0.25">
      <c r="A727" s="295" t="s">
        <v>282</v>
      </c>
      <c r="B727" s="295" t="s">
        <v>365</v>
      </c>
      <c r="C727" s="293">
        <v>27952.5792</v>
      </c>
      <c r="D727" s="293">
        <v>31918.560000000001</v>
      </c>
      <c r="E727" s="293">
        <v>3965.9807999999998</v>
      </c>
      <c r="F727" s="294" t="s">
        <v>638</v>
      </c>
    </row>
    <row r="728" spans="1:6" hidden="1" outlineLevel="1" collapsed="1" x14ac:dyDescent="0.25">
      <c r="A728" s="295" t="s">
        <v>282</v>
      </c>
      <c r="B728" s="295" t="s">
        <v>367</v>
      </c>
      <c r="C728" s="293">
        <v>425.04134399999998</v>
      </c>
      <c r="D728" s="293">
        <v>365.76</v>
      </c>
      <c r="E728" s="293">
        <v>-59.281343999999997</v>
      </c>
      <c r="F728" s="294" t="s">
        <v>639</v>
      </c>
    </row>
    <row r="729" spans="1:6" hidden="1" outlineLevel="1" collapsed="1" x14ac:dyDescent="0.25">
      <c r="A729" s="295" t="s">
        <v>282</v>
      </c>
      <c r="B729" s="295" t="s">
        <v>369</v>
      </c>
      <c r="C729" s="293">
        <v>80.170441999999994</v>
      </c>
      <c r="D729" s="293">
        <v>92.304820000000007</v>
      </c>
      <c r="E729" s="293">
        <v>12.134378</v>
      </c>
      <c r="F729" s="294" t="s">
        <v>636</v>
      </c>
    </row>
    <row r="730" spans="1:6" hidden="1" outlineLevel="1" collapsed="1" x14ac:dyDescent="0.25">
      <c r="A730" s="295" t="s">
        <v>282</v>
      </c>
      <c r="B730" s="295" t="s">
        <v>370</v>
      </c>
      <c r="C730" s="293">
        <v>2730</v>
      </c>
      <c r="D730" s="293">
        <v>3000</v>
      </c>
      <c r="E730" s="293">
        <v>270</v>
      </c>
      <c r="F730" s="294" t="s">
        <v>640</v>
      </c>
    </row>
    <row r="731" spans="1:6" hidden="1" outlineLevel="1" collapsed="1" x14ac:dyDescent="0.25">
      <c r="A731" s="295" t="s">
        <v>282</v>
      </c>
      <c r="B731" s="295" t="s">
        <v>371</v>
      </c>
      <c r="C731" s="293">
        <v>90.417599999999993</v>
      </c>
      <c r="D731" s="293">
        <v>96.96</v>
      </c>
      <c r="E731" s="293">
        <v>6.5423999999999998</v>
      </c>
      <c r="F731" s="294" t="s">
        <v>641</v>
      </c>
    </row>
    <row r="732" spans="1:6" hidden="1" outlineLevel="1" collapsed="1" x14ac:dyDescent="0.25">
      <c r="A732" s="295" t="s">
        <v>282</v>
      </c>
      <c r="B732" s="295" t="s">
        <v>373</v>
      </c>
      <c r="C732" s="293">
        <v>43.68</v>
      </c>
      <c r="D732" s="293">
        <v>22.08</v>
      </c>
      <c r="E732" s="293">
        <v>-21.6</v>
      </c>
      <c r="F732" s="294" t="s">
        <v>642</v>
      </c>
    </row>
    <row r="733" spans="1:6" collapsed="1" x14ac:dyDescent="0.25">
      <c r="A733" s="560" t="s">
        <v>643</v>
      </c>
      <c r="B733" s="561"/>
      <c r="C733" s="292">
        <v>1806562.7746009999</v>
      </c>
      <c r="D733" s="293">
        <v>1924602.007799</v>
      </c>
      <c r="E733" s="293">
        <v>118039.233198</v>
      </c>
      <c r="F733" s="294" t="s">
        <v>644</v>
      </c>
    </row>
    <row r="734" spans="1:6" hidden="1" outlineLevel="1" collapsed="1" x14ac:dyDescent="0.25">
      <c r="A734" s="295" t="s">
        <v>282</v>
      </c>
      <c r="B734" s="295" t="s">
        <v>358</v>
      </c>
      <c r="C734" s="293">
        <v>1296418.799994</v>
      </c>
      <c r="D734" s="293">
        <v>1364558.7731880001</v>
      </c>
      <c r="E734" s="293">
        <v>68139.973194000006</v>
      </c>
      <c r="F734" s="294" t="s">
        <v>645</v>
      </c>
    </row>
    <row r="735" spans="1:6" hidden="1" outlineLevel="1" collapsed="1" x14ac:dyDescent="0.25">
      <c r="A735" s="295" t="s">
        <v>282</v>
      </c>
      <c r="B735" s="295" t="s">
        <v>646</v>
      </c>
      <c r="C735" s="293">
        <v>47479.329599999997</v>
      </c>
      <c r="D735" s="293">
        <v>49010.372662000002</v>
      </c>
      <c r="E735" s="293">
        <v>1531.043062</v>
      </c>
      <c r="F735" s="294" t="s">
        <v>647</v>
      </c>
    </row>
    <row r="736" spans="1:6" hidden="1" outlineLevel="1" collapsed="1" x14ac:dyDescent="0.25">
      <c r="A736" s="295" t="s">
        <v>282</v>
      </c>
      <c r="B736" s="295" t="s">
        <v>412</v>
      </c>
      <c r="C736" s="293">
        <v>14000</v>
      </c>
      <c r="D736" s="293">
        <v>14000</v>
      </c>
      <c r="E736" s="293">
        <v>0</v>
      </c>
      <c r="F736" s="294" t="s">
        <v>316</v>
      </c>
    </row>
    <row r="737" spans="1:6" hidden="1" outlineLevel="1" collapsed="1" x14ac:dyDescent="0.25">
      <c r="A737" s="295" t="s">
        <v>282</v>
      </c>
      <c r="B737" s="295" t="s">
        <v>360</v>
      </c>
      <c r="C737" s="293">
        <v>175378.705907</v>
      </c>
      <c r="D737" s="293">
        <v>203978.02768500001</v>
      </c>
      <c r="E737" s="293">
        <v>28599.321778000001</v>
      </c>
      <c r="F737" s="294" t="s">
        <v>648</v>
      </c>
    </row>
    <row r="738" spans="1:6" hidden="1" outlineLevel="1" collapsed="1" x14ac:dyDescent="0.25">
      <c r="A738" s="295" t="s">
        <v>282</v>
      </c>
      <c r="B738" s="295" t="s">
        <v>362</v>
      </c>
      <c r="C738" s="293">
        <v>19689.522873000002</v>
      </c>
      <c r="D738" s="293">
        <v>20699.752530999998</v>
      </c>
      <c r="E738" s="293">
        <v>1010.229658</v>
      </c>
      <c r="F738" s="294" t="s">
        <v>649</v>
      </c>
    </row>
    <row r="739" spans="1:6" hidden="1" outlineLevel="1" collapsed="1" x14ac:dyDescent="0.25">
      <c r="A739" s="295" t="s">
        <v>282</v>
      </c>
      <c r="B739" s="295" t="s">
        <v>363</v>
      </c>
      <c r="C739" s="293">
        <v>6377.8098819999996</v>
      </c>
      <c r="D739" s="293">
        <v>6527.6926800000001</v>
      </c>
      <c r="E739" s="293">
        <v>149.88279800000001</v>
      </c>
      <c r="F739" s="294" t="s">
        <v>650</v>
      </c>
    </row>
    <row r="740" spans="1:6" hidden="1" outlineLevel="1" collapsed="1" x14ac:dyDescent="0.25">
      <c r="A740" s="295" t="s">
        <v>282</v>
      </c>
      <c r="B740" s="295" t="s">
        <v>365</v>
      </c>
      <c r="C740" s="293">
        <v>214513.00752000001</v>
      </c>
      <c r="D740" s="293">
        <v>230882.90375999999</v>
      </c>
      <c r="E740" s="293">
        <v>16369.89624</v>
      </c>
      <c r="F740" s="294" t="s">
        <v>651</v>
      </c>
    </row>
    <row r="741" spans="1:6" hidden="1" outlineLevel="1" collapsed="1" x14ac:dyDescent="0.25">
      <c r="A741" s="295" t="s">
        <v>282</v>
      </c>
      <c r="B741" s="295" t="s">
        <v>367</v>
      </c>
      <c r="C741" s="293">
        <v>3495.381206</v>
      </c>
      <c r="D741" s="293">
        <v>2828.6049600000001</v>
      </c>
      <c r="E741" s="293">
        <v>-666.77624600000001</v>
      </c>
      <c r="F741" s="294" t="s">
        <v>652</v>
      </c>
    </row>
    <row r="742" spans="1:6" hidden="1" outlineLevel="1" collapsed="1" x14ac:dyDescent="0.25">
      <c r="A742" s="295" t="s">
        <v>282</v>
      </c>
      <c r="B742" s="295" t="s">
        <v>369</v>
      </c>
      <c r="C742" s="293">
        <v>678.94905900000003</v>
      </c>
      <c r="D742" s="293">
        <v>713.784493</v>
      </c>
      <c r="E742" s="293">
        <v>34.835433999999999</v>
      </c>
      <c r="F742" s="294" t="s">
        <v>649</v>
      </c>
    </row>
    <row r="743" spans="1:6" hidden="1" outlineLevel="1" collapsed="1" x14ac:dyDescent="0.25">
      <c r="A743" s="295" t="s">
        <v>282</v>
      </c>
      <c r="B743" s="295" t="s">
        <v>370</v>
      </c>
      <c r="C743" s="293">
        <v>22450.5</v>
      </c>
      <c r="D743" s="293">
        <v>23200.5</v>
      </c>
      <c r="E743" s="293">
        <v>750</v>
      </c>
      <c r="F743" s="294" t="s">
        <v>653</v>
      </c>
    </row>
    <row r="744" spans="1:6" hidden="1" outlineLevel="1" collapsed="1" x14ac:dyDescent="0.25">
      <c r="A744" s="295" t="s">
        <v>282</v>
      </c>
      <c r="B744" s="295" t="s">
        <v>371</v>
      </c>
      <c r="C744" s="293">
        <v>743.56056000000001</v>
      </c>
      <c r="D744" s="293">
        <v>749.84015999999997</v>
      </c>
      <c r="E744" s="293">
        <v>6.2796000000000003</v>
      </c>
      <c r="F744" s="294" t="s">
        <v>654</v>
      </c>
    </row>
    <row r="745" spans="1:6" hidden="1" outlineLevel="1" collapsed="1" x14ac:dyDescent="0.25">
      <c r="A745" s="295" t="s">
        <v>282</v>
      </c>
      <c r="B745" s="295" t="s">
        <v>373</v>
      </c>
      <c r="C745" s="293">
        <v>359.20800000000003</v>
      </c>
      <c r="D745" s="293">
        <v>170.75568000000001</v>
      </c>
      <c r="E745" s="293">
        <v>-188.45231999999999</v>
      </c>
      <c r="F745" s="294" t="s">
        <v>655</v>
      </c>
    </row>
    <row r="746" spans="1:6" hidden="1" outlineLevel="1" collapsed="1" x14ac:dyDescent="0.25">
      <c r="A746" s="295" t="s">
        <v>282</v>
      </c>
      <c r="B746" s="295" t="s">
        <v>445</v>
      </c>
      <c r="C746" s="293">
        <v>3000</v>
      </c>
      <c r="D746" s="293">
        <v>3000</v>
      </c>
      <c r="E746" s="293">
        <v>0</v>
      </c>
      <c r="F746" s="294" t="s">
        <v>316</v>
      </c>
    </row>
    <row r="747" spans="1:6" hidden="1" outlineLevel="1" collapsed="1" x14ac:dyDescent="0.25">
      <c r="A747" s="295" t="s">
        <v>282</v>
      </c>
      <c r="B747" s="295" t="s">
        <v>375</v>
      </c>
      <c r="C747" s="293">
        <v>1073</v>
      </c>
      <c r="D747" s="293">
        <v>1173</v>
      </c>
      <c r="E747" s="293">
        <v>100</v>
      </c>
      <c r="F747" s="294" t="s">
        <v>656</v>
      </c>
    </row>
    <row r="748" spans="1:6" hidden="1" outlineLevel="1" collapsed="1" x14ac:dyDescent="0.25">
      <c r="A748" s="295" t="s">
        <v>282</v>
      </c>
      <c r="B748" s="295" t="s">
        <v>431</v>
      </c>
      <c r="C748" s="293">
        <v>0</v>
      </c>
      <c r="D748" s="293">
        <v>100</v>
      </c>
      <c r="E748" s="293">
        <v>100</v>
      </c>
      <c r="F748" s="294" t="s">
        <v>298</v>
      </c>
    </row>
    <row r="749" spans="1:6" hidden="1" outlineLevel="1" collapsed="1" x14ac:dyDescent="0.25">
      <c r="A749" s="295" t="s">
        <v>282</v>
      </c>
      <c r="B749" s="295" t="s">
        <v>496</v>
      </c>
      <c r="C749" s="293">
        <v>0</v>
      </c>
      <c r="D749" s="293">
        <v>2000</v>
      </c>
      <c r="E749" s="293">
        <v>2000</v>
      </c>
      <c r="F749" s="294" t="s">
        <v>298</v>
      </c>
    </row>
    <row r="750" spans="1:6" hidden="1" outlineLevel="1" collapsed="1" x14ac:dyDescent="0.25">
      <c r="A750" s="295" t="s">
        <v>282</v>
      </c>
      <c r="B750" s="295" t="s">
        <v>376</v>
      </c>
      <c r="C750" s="293">
        <v>905</v>
      </c>
      <c r="D750" s="293">
        <v>905</v>
      </c>
      <c r="E750" s="293">
        <v>0</v>
      </c>
      <c r="F750" s="294" t="s">
        <v>316</v>
      </c>
    </row>
    <row r="751" spans="1:6" hidden="1" outlineLevel="1" collapsed="1" x14ac:dyDescent="0.25">
      <c r="A751" s="295" t="s">
        <v>282</v>
      </c>
      <c r="B751" s="295" t="s">
        <v>422</v>
      </c>
      <c r="C751" s="293">
        <v>0</v>
      </c>
      <c r="D751" s="293">
        <v>103</v>
      </c>
      <c r="E751" s="293">
        <v>103</v>
      </c>
      <c r="F751" s="294" t="s">
        <v>298</v>
      </c>
    </row>
    <row r="752" spans="1:6" collapsed="1" x14ac:dyDescent="0.25">
      <c r="A752" s="560" t="s">
        <v>657</v>
      </c>
      <c r="B752" s="561"/>
      <c r="C752" s="292">
        <v>60051</v>
      </c>
      <c r="D752" s="293">
        <v>44051</v>
      </c>
      <c r="E752" s="293">
        <v>-16000</v>
      </c>
      <c r="F752" s="294" t="s">
        <v>658</v>
      </c>
    </row>
    <row r="753" spans="1:6" hidden="1" outlineLevel="1" collapsed="1" x14ac:dyDescent="0.25">
      <c r="A753" s="295" t="s">
        <v>282</v>
      </c>
      <c r="B753" s="295" t="s">
        <v>452</v>
      </c>
      <c r="C753" s="293">
        <v>43851</v>
      </c>
      <c r="D753" s="293">
        <v>43851</v>
      </c>
      <c r="E753" s="293">
        <v>0</v>
      </c>
      <c r="F753" s="294" t="s">
        <v>316</v>
      </c>
    </row>
    <row r="754" spans="1:6" hidden="1" outlineLevel="1" collapsed="1" x14ac:dyDescent="0.25">
      <c r="A754" s="295" t="s">
        <v>282</v>
      </c>
      <c r="B754" s="295" t="s">
        <v>376</v>
      </c>
      <c r="C754" s="293">
        <v>100</v>
      </c>
      <c r="D754" s="293">
        <v>100</v>
      </c>
      <c r="E754" s="293">
        <v>0</v>
      </c>
      <c r="F754" s="294" t="s">
        <v>316</v>
      </c>
    </row>
    <row r="755" spans="1:6" hidden="1" outlineLevel="1" collapsed="1" x14ac:dyDescent="0.25">
      <c r="A755" s="295" t="s">
        <v>282</v>
      </c>
      <c r="B755" s="295" t="s">
        <v>448</v>
      </c>
      <c r="C755" s="293">
        <v>16000</v>
      </c>
      <c r="D755" s="293">
        <v>0</v>
      </c>
      <c r="E755" s="293">
        <v>-16000</v>
      </c>
      <c r="F755" s="294" t="s">
        <v>286</v>
      </c>
    </row>
    <row r="756" spans="1:6" hidden="1" outlineLevel="1" collapsed="1" x14ac:dyDescent="0.25">
      <c r="A756" s="295" t="s">
        <v>282</v>
      </c>
      <c r="B756" s="295" t="s">
        <v>405</v>
      </c>
      <c r="C756" s="293">
        <v>100</v>
      </c>
      <c r="D756" s="293">
        <v>100</v>
      </c>
      <c r="E756" s="293">
        <v>0</v>
      </c>
      <c r="F756" s="294" t="s">
        <v>316</v>
      </c>
    </row>
    <row r="757" spans="1:6" collapsed="1" x14ac:dyDescent="0.25">
      <c r="A757" s="560" t="s">
        <v>659</v>
      </c>
      <c r="B757" s="561"/>
      <c r="C757" s="292">
        <v>15077</v>
      </c>
      <c r="D757" s="293">
        <v>15077</v>
      </c>
      <c r="E757" s="293">
        <v>0</v>
      </c>
      <c r="F757" s="294" t="s">
        <v>316</v>
      </c>
    </row>
    <row r="758" spans="1:6" hidden="1" outlineLevel="1" collapsed="1" x14ac:dyDescent="0.25">
      <c r="A758" s="295" t="s">
        <v>282</v>
      </c>
      <c r="B758" s="295" t="s">
        <v>375</v>
      </c>
      <c r="C758" s="293">
        <v>476.99</v>
      </c>
      <c r="D758" s="293">
        <v>800</v>
      </c>
      <c r="E758" s="293">
        <v>323.01</v>
      </c>
      <c r="F758" s="294" t="s">
        <v>660</v>
      </c>
    </row>
    <row r="759" spans="1:6" hidden="1" outlineLevel="1" collapsed="1" x14ac:dyDescent="0.25">
      <c r="A759" s="295" t="s">
        <v>282</v>
      </c>
      <c r="B759" s="295" t="s">
        <v>376</v>
      </c>
      <c r="C759" s="293">
        <v>4750</v>
      </c>
      <c r="D759" s="293">
        <v>6848</v>
      </c>
      <c r="E759" s="293">
        <v>2098</v>
      </c>
      <c r="F759" s="294" t="s">
        <v>661</v>
      </c>
    </row>
    <row r="760" spans="1:6" hidden="1" outlineLevel="1" collapsed="1" x14ac:dyDescent="0.25">
      <c r="A760" s="295" t="s">
        <v>282</v>
      </c>
      <c r="B760" s="295" t="s">
        <v>662</v>
      </c>
      <c r="C760" s="293">
        <v>0</v>
      </c>
      <c r="D760" s="293">
        <v>0</v>
      </c>
      <c r="E760" s="293">
        <v>0</v>
      </c>
      <c r="F760" s="294" t="s">
        <v>316</v>
      </c>
    </row>
    <row r="761" spans="1:6" hidden="1" outlineLevel="1" collapsed="1" x14ac:dyDescent="0.25">
      <c r="A761" s="295" t="s">
        <v>282</v>
      </c>
      <c r="B761" s="295" t="s">
        <v>483</v>
      </c>
      <c r="C761" s="293">
        <v>3500</v>
      </c>
      <c r="D761" s="293">
        <v>3500</v>
      </c>
      <c r="E761" s="293">
        <v>0</v>
      </c>
      <c r="F761" s="294" t="s">
        <v>316</v>
      </c>
    </row>
    <row r="762" spans="1:6" hidden="1" outlineLevel="1" collapsed="1" x14ac:dyDescent="0.25">
      <c r="A762" s="295" t="s">
        <v>282</v>
      </c>
      <c r="B762" s="295" t="s">
        <v>401</v>
      </c>
      <c r="C762" s="293">
        <v>1810</v>
      </c>
      <c r="D762" s="293">
        <v>2900</v>
      </c>
      <c r="E762" s="293">
        <v>1090</v>
      </c>
      <c r="F762" s="294" t="s">
        <v>663</v>
      </c>
    </row>
    <row r="763" spans="1:6" hidden="1" outlineLevel="1" collapsed="1" x14ac:dyDescent="0.25">
      <c r="A763" s="295" t="s">
        <v>282</v>
      </c>
      <c r="B763" s="295" t="s">
        <v>403</v>
      </c>
      <c r="C763" s="293">
        <v>0</v>
      </c>
      <c r="D763" s="293">
        <v>1029</v>
      </c>
      <c r="E763" s="293">
        <v>1029</v>
      </c>
      <c r="F763" s="294" t="s">
        <v>298</v>
      </c>
    </row>
    <row r="764" spans="1:6" hidden="1" outlineLevel="1" collapsed="1" x14ac:dyDescent="0.25">
      <c r="A764" s="295" t="s">
        <v>282</v>
      </c>
      <c r="B764" s="295" t="s">
        <v>405</v>
      </c>
      <c r="C764" s="293">
        <v>0</v>
      </c>
      <c r="D764" s="293">
        <v>0</v>
      </c>
      <c r="E764" s="293">
        <v>0</v>
      </c>
      <c r="F764" s="294" t="s">
        <v>316</v>
      </c>
    </row>
    <row r="765" spans="1:6" hidden="1" outlineLevel="1" collapsed="1" x14ac:dyDescent="0.25">
      <c r="A765" s="295" t="s">
        <v>282</v>
      </c>
      <c r="B765" s="295" t="s">
        <v>422</v>
      </c>
      <c r="C765" s="293">
        <v>4540.01</v>
      </c>
      <c r="D765" s="293">
        <v>0</v>
      </c>
      <c r="E765" s="293">
        <v>-4540.01</v>
      </c>
      <c r="F765" s="294" t="s">
        <v>286</v>
      </c>
    </row>
    <row r="766" spans="1:6" collapsed="1" x14ac:dyDescent="0.25">
      <c r="A766" s="560" t="s">
        <v>664</v>
      </c>
      <c r="B766" s="561"/>
      <c r="C766" s="292">
        <v>286842.40310400003</v>
      </c>
      <c r="D766" s="293">
        <v>291940.68911400001</v>
      </c>
      <c r="E766" s="293">
        <v>5098.2860099999998</v>
      </c>
      <c r="F766" s="294" t="s">
        <v>665</v>
      </c>
    </row>
    <row r="767" spans="1:6" hidden="1" outlineLevel="1" collapsed="1" x14ac:dyDescent="0.25">
      <c r="A767" s="295" t="s">
        <v>282</v>
      </c>
      <c r="B767" s="295" t="s">
        <v>358</v>
      </c>
      <c r="C767" s="293">
        <v>174932.64</v>
      </c>
      <c r="D767" s="293">
        <v>179698.11720000001</v>
      </c>
      <c r="E767" s="293">
        <v>4765.4772000000003</v>
      </c>
      <c r="F767" s="294" t="s">
        <v>666</v>
      </c>
    </row>
    <row r="768" spans="1:6" hidden="1" outlineLevel="1" collapsed="1" x14ac:dyDescent="0.25">
      <c r="A768" s="295" t="s">
        <v>282</v>
      </c>
      <c r="B768" s="295" t="s">
        <v>412</v>
      </c>
      <c r="C768" s="293">
        <v>6000</v>
      </c>
      <c r="D768" s="293">
        <v>6000</v>
      </c>
      <c r="E768" s="293">
        <v>0</v>
      </c>
      <c r="F768" s="294" t="s">
        <v>316</v>
      </c>
    </row>
    <row r="769" spans="1:6" hidden="1" outlineLevel="1" collapsed="1" x14ac:dyDescent="0.25">
      <c r="A769" s="295" t="s">
        <v>282</v>
      </c>
      <c r="B769" s="295" t="s">
        <v>380</v>
      </c>
      <c r="C769" s="293">
        <v>31190.734627999998</v>
      </c>
      <c r="D769" s="293">
        <v>27124.519752</v>
      </c>
      <c r="E769" s="293">
        <v>-4066.214876</v>
      </c>
      <c r="F769" s="294" t="s">
        <v>667</v>
      </c>
    </row>
    <row r="770" spans="1:6" hidden="1" outlineLevel="1" collapsed="1" x14ac:dyDescent="0.25">
      <c r="A770" s="295" t="s">
        <v>282</v>
      </c>
      <c r="B770" s="295" t="s">
        <v>424</v>
      </c>
      <c r="C770" s="293">
        <v>500</v>
      </c>
      <c r="D770" s="293">
        <v>500</v>
      </c>
      <c r="E770" s="293">
        <v>0</v>
      </c>
      <c r="F770" s="294" t="s">
        <v>316</v>
      </c>
    </row>
    <row r="771" spans="1:6" hidden="1" outlineLevel="1" collapsed="1" x14ac:dyDescent="0.25">
      <c r="A771" s="295" t="s">
        <v>282</v>
      </c>
      <c r="B771" s="295" t="s">
        <v>360</v>
      </c>
      <c r="C771" s="293">
        <v>22828.70952</v>
      </c>
      <c r="D771" s="293">
        <v>25930.438300000002</v>
      </c>
      <c r="E771" s="293">
        <v>3101.7287799999999</v>
      </c>
      <c r="F771" s="294" t="s">
        <v>668</v>
      </c>
    </row>
    <row r="772" spans="1:6" hidden="1" outlineLevel="1" collapsed="1" x14ac:dyDescent="0.25">
      <c r="A772" s="295" t="s">
        <v>282</v>
      </c>
      <c r="B772" s="295" t="s">
        <v>384</v>
      </c>
      <c r="C772" s="293">
        <v>3944.1548120000002</v>
      </c>
      <c r="D772" s="293">
        <v>0</v>
      </c>
      <c r="E772" s="293">
        <v>-3944.1548120000002</v>
      </c>
      <c r="F772" s="294" t="s">
        <v>286</v>
      </c>
    </row>
    <row r="773" spans="1:6" hidden="1" outlineLevel="1" collapsed="1" x14ac:dyDescent="0.25">
      <c r="A773" s="295" t="s">
        <v>282</v>
      </c>
      <c r="B773" s="295" t="s">
        <v>385</v>
      </c>
      <c r="C773" s="293">
        <v>0</v>
      </c>
      <c r="D773" s="293">
        <v>4285.6741199999997</v>
      </c>
      <c r="E773" s="293">
        <v>4285.6741199999997</v>
      </c>
      <c r="F773" s="294" t="s">
        <v>298</v>
      </c>
    </row>
    <row r="774" spans="1:6" hidden="1" outlineLevel="1" collapsed="1" x14ac:dyDescent="0.25">
      <c r="A774" s="295" t="s">
        <v>282</v>
      </c>
      <c r="B774" s="295" t="s">
        <v>386</v>
      </c>
      <c r="C774" s="293">
        <v>1632.3815400000001</v>
      </c>
      <c r="D774" s="293">
        <v>0</v>
      </c>
      <c r="E774" s="293">
        <v>-1632.3815400000001</v>
      </c>
      <c r="F774" s="294" t="s">
        <v>286</v>
      </c>
    </row>
    <row r="775" spans="1:6" hidden="1" outlineLevel="1" collapsed="1" x14ac:dyDescent="0.25">
      <c r="A775" s="295" t="s">
        <v>282</v>
      </c>
      <c r="B775" s="295" t="s">
        <v>387</v>
      </c>
      <c r="C775" s="293">
        <v>0</v>
      </c>
      <c r="D775" s="293">
        <v>1681.7202239999999</v>
      </c>
      <c r="E775" s="293">
        <v>1681.7202239999999</v>
      </c>
      <c r="F775" s="294" t="s">
        <v>298</v>
      </c>
    </row>
    <row r="776" spans="1:6" hidden="1" outlineLevel="1" collapsed="1" x14ac:dyDescent="0.25">
      <c r="A776" s="295" t="s">
        <v>282</v>
      </c>
      <c r="B776" s="295" t="s">
        <v>362</v>
      </c>
      <c r="C776" s="293">
        <v>2623.5232799999999</v>
      </c>
      <c r="D776" s="293">
        <v>2692.6226900000001</v>
      </c>
      <c r="E776" s="293">
        <v>69.099410000000006</v>
      </c>
      <c r="F776" s="294" t="s">
        <v>669</v>
      </c>
    </row>
    <row r="777" spans="1:6" hidden="1" outlineLevel="1" collapsed="1" x14ac:dyDescent="0.25">
      <c r="A777" s="295" t="s">
        <v>282</v>
      </c>
      <c r="B777" s="295" t="s">
        <v>388</v>
      </c>
      <c r="C777" s="293">
        <v>381.76664399999999</v>
      </c>
      <c r="D777" s="293">
        <v>393.30553200000003</v>
      </c>
      <c r="E777" s="293">
        <v>11.538888</v>
      </c>
      <c r="F777" s="294" t="s">
        <v>520</v>
      </c>
    </row>
    <row r="778" spans="1:6" hidden="1" outlineLevel="1" collapsed="1" x14ac:dyDescent="0.25">
      <c r="A778" s="295" t="s">
        <v>282</v>
      </c>
      <c r="B778" s="295" t="s">
        <v>363</v>
      </c>
      <c r="C778" s="293">
        <v>852.24959999999999</v>
      </c>
      <c r="D778" s="293">
        <v>844.08</v>
      </c>
      <c r="E778" s="293">
        <v>-8.1696000000000009</v>
      </c>
      <c r="F778" s="294" t="s">
        <v>364</v>
      </c>
    </row>
    <row r="779" spans="1:6" hidden="1" outlineLevel="1" collapsed="1" x14ac:dyDescent="0.25">
      <c r="A779" s="295" t="s">
        <v>282</v>
      </c>
      <c r="B779" s="295" t="s">
        <v>365</v>
      </c>
      <c r="C779" s="293">
        <v>15358.56</v>
      </c>
      <c r="D779" s="293">
        <v>15959.28</v>
      </c>
      <c r="E779" s="293">
        <v>600.72</v>
      </c>
      <c r="F779" s="294" t="s">
        <v>366</v>
      </c>
    </row>
    <row r="780" spans="1:6" hidden="1" outlineLevel="1" collapsed="1" x14ac:dyDescent="0.25">
      <c r="A780" s="295" t="s">
        <v>282</v>
      </c>
      <c r="B780" s="295" t="s">
        <v>367</v>
      </c>
      <c r="C780" s="293">
        <v>467.07839999999999</v>
      </c>
      <c r="D780" s="293">
        <v>365.76</v>
      </c>
      <c r="E780" s="293">
        <v>-101.3184</v>
      </c>
      <c r="F780" s="294" t="s">
        <v>368</v>
      </c>
    </row>
    <row r="781" spans="1:6" hidden="1" outlineLevel="1" collapsed="1" x14ac:dyDescent="0.25">
      <c r="A781" s="295" t="s">
        <v>282</v>
      </c>
      <c r="B781" s="295" t="s">
        <v>444</v>
      </c>
      <c r="C781" s="293">
        <v>45</v>
      </c>
      <c r="D781" s="293">
        <v>0</v>
      </c>
      <c r="E781" s="293">
        <v>-45</v>
      </c>
      <c r="F781" s="294" t="s">
        <v>286</v>
      </c>
    </row>
    <row r="782" spans="1:6" hidden="1" outlineLevel="1" collapsed="1" x14ac:dyDescent="0.25">
      <c r="A782" s="295" t="s">
        <v>282</v>
      </c>
      <c r="B782" s="295" t="s">
        <v>389</v>
      </c>
      <c r="C782" s="293">
        <v>426.12479999999999</v>
      </c>
      <c r="D782" s="293">
        <v>422.04</v>
      </c>
      <c r="E782" s="293">
        <v>-4.0848000000000004</v>
      </c>
      <c r="F782" s="294" t="s">
        <v>364</v>
      </c>
    </row>
    <row r="783" spans="1:6" hidden="1" outlineLevel="1" collapsed="1" x14ac:dyDescent="0.25">
      <c r="A783" s="295" t="s">
        <v>282</v>
      </c>
      <c r="B783" s="295" t="s">
        <v>390</v>
      </c>
      <c r="C783" s="293">
        <v>15485.27</v>
      </c>
      <c r="D783" s="293">
        <v>15959.28</v>
      </c>
      <c r="E783" s="293">
        <v>474.01</v>
      </c>
      <c r="F783" s="294" t="s">
        <v>391</v>
      </c>
    </row>
    <row r="784" spans="1:6" hidden="1" outlineLevel="1" collapsed="1" x14ac:dyDescent="0.25">
      <c r="A784" s="295" t="s">
        <v>282</v>
      </c>
      <c r="B784" s="295" t="s">
        <v>392</v>
      </c>
      <c r="C784" s="293">
        <v>233.53919999999999</v>
      </c>
      <c r="D784" s="293">
        <v>182.88</v>
      </c>
      <c r="E784" s="293">
        <v>-50.659199999999998</v>
      </c>
      <c r="F784" s="294" t="s">
        <v>368</v>
      </c>
    </row>
    <row r="785" spans="1:6" hidden="1" outlineLevel="1" collapsed="1" x14ac:dyDescent="0.25">
      <c r="A785" s="295" t="s">
        <v>282</v>
      </c>
      <c r="B785" s="295" t="s">
        <v>369</v>
      </c>
      <c r="C785" s="293">
        <v>90.466319999999996</v>
      </c>
      <c r="D785" s="293">
        <v>92.849040000000002</v>
      </c>
      <c r="E785" s="293">
        <v>2.3827199999999999</v>
      </c>
      <c r="F785" s="294" t="s">
        <v>669</v>
      </c>
    </row>
    <row r="786" spans="1:6" hidden="1" outlineLevel="1" collapsed="1" x14ac:dyDescent="0.25">
      <c r="A786" s="295" t="s">
        <v>282</v>
      </c>
      <c r="B786" s="295" t="s">
        <v>393</v>
      </c>
      <c r="C786" s="293">
        <v>13.16436</v>
      </c>
      <c r="D786" s="293">
        <v>13.562256</v>
      </c>
      <c r="E786" s="293">
        <v>0.39789600000000003</v>
      </c>
      <c r="F786" s="294" t="s">
        <v>520</v>
      </c>
    </row>
    <row r="787" spans="1:6" hidden="1" outlineLevel="1" collapsed="1" x14ac:dyDescent="0.25">
      <c r="A787" s="295" t="s">
        <v>282</v>
      </c>
      <c r="B787" s="295" t="s">
        <v>370</v>
      </c>
      <c r="C787" s="293">
        <v>3000</v>
      </c>
      <c r="D787" s="293">
        <v>3000</v>
      </c>
      <c r="E787" s="293">
        <v>0</v>
      </c>
      <c r="F787" s="294" t="s">
        <v>316</v>
      </c>
    </row>
    <row r="788" spans="1:6" hidden="1" outlineLevel="1" collapsed="1" x14ac:dyDescent="0.25">
      <c r="A788" s="295" t="s">
        <v>282</v>
      </c>
      <c r="B788" s="295" t="s">
        <v>394</v>
      </c>
      <c r="C788" s="293">
        <v>1500</v>
      </c>
      <c r="D788" s="293">
        <v>0</v>
      </c>
      <c r="E788" s="293">
        <v>-1500</v>
      </c>
      <c r="F788" s="294" t="s">
        <v>286</v>
      </c>
    </row>
    <row r="789" spans="1:6" hidden="1" outlineLevel="1" collapsed="1" x14ac:dyDescent="0.25">
      <c r="A789" s="295" t="s">
        <v>282</v>
      </c>
      <c r="B789" s="295" t="s">
        <v>395</v>
      </c>
      <c r="C789" s="293">
        <v>0</v>
      </c>
      <c r="D789" s="293">
        <v>1500</v>
      </c>
      <c r="E789" s="293">
        <v>1500</v>
      </c>
      <c r="F789" s="294" t="s">
        <v>298</v>
      </c>
    </row>
    <row r="790" spans="1:6" hidden="1" outlineLevel="1" collapsed="1" x14ac:dyDescent="0.25">
      <c r="A790" s="295" t="s">
        <v>282</v>
      </c>
      <c r="B790" s="295" t="s">
        <v>371</v>
      </c>
      <c r="C790" s="293">
        <v>99.36</v>
      </c>
      <c r="D790" s="293">
        <v>96.96</v>
      </c>
      <c r="E790" s="293">
        <v>-2.4</v>
      </c>
      <c r="F790" s="294" t="s">
        <v>372</v>
      </c>
    </row>
    <row r="791" spans="1:6" hidden="1" outlineLevel="1" collapsed="1" x14ac:dyDescent="0.25">
      <c r="A791" s="295" t="s">
        <v>282</v>
      </c>
      <c r="B791" s="295" t="s">
        <v>396</v>
      </c>
      <c r="C791" s="293">
        <v>49.68</v>
      </c>
      <c r="D791" s="293">
        <v>0</v>
      </c>
      <c r="E791" s="293">
        <v>-49.68</v>
      </c>
      <c r="F791" s="294" t="s">
        <v>286</v>
      </c>
    </row>
    <row r="792" spans="1:6" hidden="1" outlineLevel="1" collapsed="1" x14ac:dyDescent="0.25">
      <c r="A792" s="295" t="s">
        <v>282</v>
      </c>
      <c r="B792" s="295" t="s">
        <v>397</v>
      </c>
      <c r="C792" s="293">
        <v>0</v>
      </c>
      <c r="D792" s="293">
        <v>48.48</v>
      </c>
      <c r="E792" s="293">
        <v>48.48</v>
      </c>
      <c r="F792" s="294" t="s">
        <v>298</v>
      </c>
    </row>
    <row r="793" spans="1:6" hidden="1" outlineLevel="1" collapsed="1" x14ac:dyDescent="0.25">
      <c r="A793" s="295" t="s">
        <v>282</v>
      </c>
      <c r="B793" s="295" t="s">
        <v>373</v>
      </c>
      <c r="C793" s="293">
        <v>48</v>
      </c>
      <c r="D793" s="293">
        <v>22.08</v>
      </c>
      <c r="E793" s="293">
        <v>-25.92</v>
      </c>
      <c r="F793" s="294" t="s">
        <v>374</v>
      </c>
    </row>
    <row r="794" spans="1:6" hidden="1" outlineLevel="1" collapsed="1" x14ac:dyDescent="0.25">
      <c r="A794" s="295" t="s">
        <v>282</v>
      </c>
      <c r="B794" s="295" t="s">
        <v>398</v>
      </c>
      <c r="C794" s="293">
        <v>24</v>
      </c>
      <c r="D794" s="293">
        <v>11.04</v>
      </c>
      <c r="E794" s="293">
        <v>-12.96</v>
      </c>
      <c r="F794" s="294" t="s">
        <v>374</v>
      </c>
    </row>
    <row r="795" spans="1:6" hidden="1" outlineLevel="1" collapsed="1" x14ac:dyDescent="0.25">
      <c r="A795" s="295" t="s">
        <v>282</v>
      </c>
      <c r="B795" s="295" t="s">
        <v>445</v>
      </c>
      <c r="C795" s="293">
        <v>3000</v>
      </c>
      <c r="D795" s="293">
        <v>3000</v>
      </c>
      <c r="E795" s="293">
        <v>0</v>
      </c>
      <c r="F795" s="294" t="s">
        <v>316</v>
      </c>
    </row>
    <row r="796" spans="1:6" hidden="1" outlineLevel="1" collapsed="1" x14ac:dyDescent="0.25">
      <c r="A796" s="295" t="s">
        <v>282</v>
      </c>
      <c r="B796" s="295" t="s">
        <v>375</v>
      </c>
      <c r="C796" s="293">
        <v>28.32</v>
      </c>
      <c r="D796" s="293">
        <v>0</v>
      </c>
      <c r="E796" s="293">
        <v>-28.32</v>
      </c>
      <c r="F796" s="294" t="s">
        <v>286</v>
      </c>
    </row>
    <row r="797" spans="1:6" hidden="1" outlineLevel="1" collapsed="1" x14ac:dyDescent="0.25">
      <c r="A797" s="295" t="s">
        <v>282</v>
      </c>
      <c r="B797" s="295" t="s">
        <v>431</v>
      </c>
      <c r="C797" s="293">
        <v>67</v>
      </c>
      <c r="D797" s="293">
        <v>0</v>
      </c>
      <c r="E797" s="293">
        <v>-67</v>
      </c>
      <c r="F797" s="294" t="s">
        <v>286</v>
      </c>
    </row>
    <row r="798" spans="1:6" hidden="1" outlineLevel="1" collapsed="1" x14ac:dyDescent="0.25">
      <c r="A798" s="295" t="s">
        <v>282</v>
      </c>
      <c r="B798" s="295" t="s">
        <v>376</v>
      </c>
      <c r="C798" s="293">
        <v>1163.2</v>
      </c>
      <c r="D798" s="293">
        <v>1116</v>
      </c>
      <c r="E798" s="293">
        <v>-47.2</v>
      </c>
      <c r="F798" s="294" t="s">
        <v>670</v>
      </c>
    </row>
    <row r="799" spans="1:6" hidden="1" outlineLevel="1" collapsed="1" x14ac:dyDescent="0.25">
      <c r="A799" s="295" t="s">
        <v>282</v>
      </c>
      <c r="B799" s="295" t="s">
        <v>422</v>
      </c>
      <c r="C799" s="293">
        <v>857.48</v>
      </c>
      <c r="D799" s="293">
        <v>1000</v>
      </c>
      <c r="E799" s="293">
        <v>142.52000000000001</v>
      </c>
      <c r="F799" s="294" t="s">
        <v>671</v>
      </c>
    </row>
    <row r="800" spans="1:6" collapsed="1" x14ac:dyDescent="0.25">
      <c r="A800" s="560" t="s">
        <v>672</v>
      </c>
      <c r="B800" s="561"/>
      <c r="C800" s="292">
        <v>710308.00832499994</v>
      </c>
      <c r="D800" s="293">
        <v>781041.29406600003</v>
      </c>
      <c r="E800" s="293">
        <v>70733.285741</v>
      </c>
      <c r="F800" s="294" t="s">
        <v>673</v>
      </c>
    </row>
    <row r="801" spans="1:6" hidden="1" outlineLevel="1" collapsed="1" x14ac:dyDescent="0.25">
      <c r="A801" s="295" t="s">
        <v>282</v>
      </c>
      <c r="B801" s="295" t="s">
        <v>358</v>
      </c>
      <c r="C801" s="293">
        <v>337702.74622899998</v>
      </c>
      <c r="D801" s="293">
        <v>380070.93178799999</v>
      </c>
      <c r="E801" s="293">
        <v>42368.185558999998</v>
      </c>
      <c r="F801" s="294" t="s">
        <v>674</v>
      </c>
    </row>
    <row r="802" spans="1:6" hidden="1" outlineLevel="1" collapsed="1" x14ac:dyDescent="0.25">
      <c r="A802" s="295" t="s">
        <v>282</v>
      </c>
      <c r="B802" s="295" t="s">
        <v>675</v>
      </c>
      <c r="C802" s="293">
        <v>58996.224000000002</v>
      </c>
      <c r="D802" s="293">
        <v>60890.109839999997</v>
      </c>
      <c r="E802" s="293">
        <v>1893.8858399999999</v>
      </c>
      <c r="F802" s="294" t="s">
        <v>359</v>
      </c>
    </row>
    <row r="803" spans="1:6" hidden="1" outlineLevel="1" collapsed="1" x14ac:dyDescent="0.25">
      <c r="A803" s="295" t="s">
        <v>282</v>
      </c>
      <c r="B803" s="295" t="s">
        <v>412</v>
      </c>
      <c r="C803" s="293">
        <v>4800</v>
      </c>
      <c r="D803" s="293">
        <v>4800</v>
      </c>
      <c r="E803" s="293">
        <v>0</v>
      </c>
      <c r="F803" s="294" t="s">
        <v>316</v>
      </c>
    </row>
    <row r="804" spans="1:6" hidden="1" outlineLevel="1" collapsed="1" x14ac:dyDescent="0.25">
      <c r="A804" s="295" t="s">
        <v>282</v>
      </c>
      <c r="B804" s="295" t="s">
        <v>380</v>
      </c>
      <c r="C804" s="293">
        <v>101211.373754</v>
      </c>
      <c r="D804" s="293">
        <v>106627.68249399999</v>
      </c>
      <c r="E804" s="293">
        <v>5416.3087400000004</v>
      </c>
      <c r="F804" s="294" t="s">
        <v>676</v>
      </c>
    </row>
    <row r="805" spans="1:6" hidden="1" outlineLevel="1" collapsed="1" x14ac:dyDescent="0.25">
      <c r="A805" s="295" t="s">
        <v>282</v>
      </c>
      <c r="B805" s="295" t="s">
        <v>382</v>
      </c>
      <c r="C805" s="293">
        <v>4831</v>
      </c>
      <c r="D805" s="293">
        <v>0</v>
      </c>
      <c r="E805" s="293">
        <v>-4831</v>
      </c>
      <c r="F805" s="294" t="s">
        <v>286</v>
      </c>
    </row>
    <row r="806" spans="1:6" hidden="1" outlineLevel="1" collapsed="1" x14ac:dyDescent="0.25">
      <c r="A806" s="295" t="s">
        <v>282</v>
      </c>
      <c r="B806" s="295" t="s">
        <v>360</v>
      </c>
      <c r="C806" s="293">
        <v>51769.215604999998</v>
      </c>
      <c r="D806" s="293">
        <v>63630.678289000003</v>
      </c>
      <c r="E806" s="293">
        <v>11861.462684</v>
      </c>
      <c r="F806" s="294" t="s">
        <v>677</v>
      </c>
    </row>
    <row r="807" spans="1:6" hidden="1" outlineLevel="1" collapsed="1" x14ac:dyDescent="0.25">
      <c r="A807" s="295" t="s">
        <v>282</v>
      </c>
      <c r="B807" s="295" t="s">
        <v>384</v>
      </c>
      <c r="C807" s="293">
        <v>12513.87998</v>
      </c>
      <c r="D807" s="293">
        <v>0</v>
      </c>
      <c r="E807" s="293">
        <v>-12513.87998</v>
      </c>
      <c r="F807" s="294" t="s">
        <v>286</v>
      </c>
    </row>
    <row r="808" spans="1:6" hidden="1" outlineLevel="1" collapsed="1" x14ac:dyDescent="0.25">
      <c r="A808" s="295" t="s">
        <v>282</v>
      </c>
      <c r="B808" s="295" t="s">
        <v>385</v>
      </c>
      <c r="C808" s="293">
        <v>0</v>
      </c>
      <c r="D808" s="293">
        <v>16572.732565999999</v>
      </c>
      <c r="E808" s="293">
        <v>16572.732565999999</v>
      </c>
      <c r="F808" s="294" t="s">
        <v>298</v>
      </c>
    </row>
    <row r="809" spans="1:6" hidden="1" outlineLevel="1" collapsed="1" x14ac:dyDescent="0.25">
      <c r="A809" s="295" t="s">
        <v>282</v>
      </c>
      <c r="B809" s="295" t="s">
        <v>386</v>
      </c>
      <c r="C809" s="293">
        <v>6275.105157</v>
      </c>
      <c r="D809" s="293">
        <v>0</v>
      </c>
      <c r="E809" s="293">
        <v>-6275.105157</v>
      </c>
      <c r="F809" s="294" t="s">
        <v>286</v>
      </c>
    </row>
    <row r="810" spans="1:6" hidden="1" outlineLevel="1" collapsed="1" x14ac:dyDescent="0.25">
      <c r="A810" s="295" t="s">
        <v>282</v>
      </c>
      <c r="B810" s="295" t="s">
        <v>387</v>
      </c>
      <c r="C810" s="293">
        <v>0</v>
      </c>
      <c r="D810" s="293">
        <v>6610.9163070000004</v>
      </c>
      <c r="E810" s="293">
        <v>6610.9163070000004</v>
      </c>
      <c r="F810" s="294" t="s">
        <v>298</v>
      </c>
    </row>
    <row r="811" spans="1:6" hidden="1" outlineLevel="1" collapsed="1" x14ac:dyDescent="0.25">
      <c r="A811" s="295" t="s">
        <v>282</v>
      </c>
      <c r="B811" s="295" t="s">
        <v>362</v>
      </c>
      <c r="C811" s="293">
        <v>5821.7350569999999</v>
      </c>
      <c r="D811" s="293">
        <v>6463.5350820000003</v>
      </c>
      <c r="E811" s="293">
        <v>641.80002500000001</v>
      </c>
      <c r="F811" s="294" t="s">
        <v>678</v>
      </c>
    </row>
    <row r="812" spans="1:6" hidden="1" outlineLevel="1" collapsed="1" x14ac:dyDescent="0.25">
      <c r="A812" s="295" t="s">
        <v>282</v>
      </c>
      <c r="B812" s="295" t="s">
        <v>388</v>
      </c>
      <c r="C812" s="293">
        <v>1467.5649100000001</v>
      </c>
      <c r="D812" s="293">
        <v>1546.1013849999999</v>
      </c>
      <c r="E812" s="293">
        <v>78.536474999999996</v>
      </c>
      <c r="F812" s="294" t="s">
        <v>676</v>
      </c>
    </row>
    <row r="813" spans="1:6" hidden="1" outlineLevel="1" collapsed="1" x14ac:dyDescent="0.25">
      <c r="A813" s="295" t="s">
        <v>282</v>
      </c>
      <c r="B813" s="295" t="s">
        <v>363</v>
      </c>
      <c r="C813" s="293">
        <v>2039.7173760000001</v>
      </c>
      <c r="D813" s="293">
        <v>2152.404</v>
      </c>
      <c r="E813" s="293">
        <v>112.68662399999999</v>
      </c>
      <c r="F813" s="294" t="s">
        <v>679</v>
      </c>
    </row>
    <row r="814" spans="1:6" hidden="1" outlineLevel="1" collapsed="1" x14ac:dyDescent="0.25">
      <c r="A814" s="295" t="s">
        <v>282</v>
      </c>
      <c r="B814" s="295" t="s">
        <v>365</v>
      </c>
      <c r="C814" s="293">
        <v>73516.307199999996</v>
      </c>
      <c r="D814" s="293">
        <v>81392.327999999994</v>
      </c>
      <c r="E814" s="293">
        <v>7876.0208000000002</v>
      </c>
      <c r="F814" s="294" t="s">
        <v>680</v>
      </c>
    </row>
    <row r="815" spans="1:6" hidden="1" outlineLevel="1" collapsed="1" x14ac:dyDescent="0.25">
      <c r="A815" s="295" t="s">
        <v>282</v>
      </c>
      <c r="B815" s="295" t="s">
        <v>367</v>
      </c>
      <c r="C815" s="293">
        <v>1117.8743039999999</v>
      </c>
      <c r="D815" s="293">
        <v>932.68799999999999</v>
      </c>
      <c r="E815" s="293">
        <v>-185.18630400000001</v>
      </c>
      <c r="F815" s="294" t="s">
        <v>681</v>
      </c>
    </row>
    <row r="816" spans="1:6" hidden="1" outlineLevel="1" collapsed="1" x14ac:dyDescent="0.25">
      <c r="A816" s="295" t="s">
        <v>282</v>
      </c>
      <c r="B816" s="295" t="s">
        <v>444</v>
      </c>
      <c r="C816" s="293">
        <v>150</v>
      </c>
      <c r="D816" s="293">
        <v>0</v>
      </c>
      <c r="E816" s="293">
        <v>-150</v>
      </c>
      <c r="F816" s="294" t="s">
        <v>286</v>
      </c>
    </row>
    <row r="817" spans="1:6" hidden="1" outlineLevel="1" collapsed="1" x14ac:dyDescent="0.25">
      <c r="A817" s="295" t="s">
        <v>282</v>
      </c>
      <c r="B817" s="295" t="s">
        <v>389</v>
      </c>
      <c r="C817" s="293">
        <v>852.24959999999999</v>
      </c>
      <c r="D817" s="293">
        <v>844.08</v>
      </c>
      <c r="E817" s="293">
        <v>-8.1696000000000009</v>
      </c>
      <c r="F817" s="294" t="s">
        <v>364</v>
      </c>
    </row>
    <row r="818" spans="1:6" hidden="1" outlineLevel="1" collapsed="1" x14ac:dyDescent="0.25">
      <c r="A818" s="295" t="s">
        <v>282</v>
      </c>
      <c r="B818" s="295" t="s">
        <v>390</v>
      </c>
      <c r="C818" s="293">
        <v>30970.54</v>
      </c>
      <c r="D818" s="293">
        <v>31918.560000000001</v>
      </c>
      <c r="E818" s="293">
        <v>948.02</v>
      </c>
      <c r="F818" s="294" t="s">
        <v>391</v>
      </c>
    </row>
    <row r="819" spans="1:6" hidden="1" outlineLevel="1" collapsed="1" x14ac:dyDescent="0.25">
      <c r="A819" s="295" t="s">
        <v>282</v>
      </c>
      <c r="B819" s="295" t="s">
        <v>392</v>
      </c>
      <c r="C819" s="293">
        <v>467.07839999999999</v>
      </c>
      <c r="D819" s="293">
        <v>365.76</v>
      </c>
      <c r="E819" s="293">
        <v>-101.3184</v>
      </c>
      <c r="F819" s="294" t="s">
        <v>368</v>
      </c>
    </row>
    <row r="820" spans="1:6" hidden="1" outlineLevel="1" collapsed="1" x14ac:dyDescent="0.25">
      <c r="A820" s="295" t="s">
        <v>282</v>
      </c>
      <c r="B820" s="295" t="s">
        <v>369</v>
      </c>
      <c r="C820" s="293">
        <v>200.74947499999999</v>
      </c>
      <c r="D820" s="293">
        <v>222.880493</v>
      </c>
      <c r="E820" s="293">
        <v>22.131018000000001</v>
      </c>
      <c r="F820" s="294" t="s">
        <v>678</v>
      </c>
    </row>
    <row r="821" spans="1:6" hidden="1" outlineLevel="1" collapsed="1" x14ac:dyDescent="0.25">
      <c r="A821" s="295" t="s">
        <v>282</v>
      </c>
      <c r="B821" s="295" t="s">
        <v>393</v>
      </c>
      <c r="C821" s="293">
        <v>50.605677999999997</v>
      </c>
      <c r="D821" s="293">
        <v>53.313822000000002</v>
      </c>
      <c r="E821" s="293">
        <v>2.7081439999999999</v>
      </c>
      <c r="F821" s="294" t="s">
        <v>676</v>
      </c>
    </row>
    <row r="822" spans="1:6" hidden="1" outlineLevel="1" collapsed="1" x14ac:dyDescent="0.25">
      <c r="A822" s="295" t="s">
        <v>282</v>
      </c>
      <c r="B822" s="295" t="s">
        <v>370</v>
      </c>
      <c r="C822" s="293">
        <v>7180</v>
      </c>
      <c r="D822" s="293">
        <v>7650</v>
      </c>
      <c r="E822" s="293">
        <v>470</v>
      </c>
      <c r="F822" s="294" t="s">
        <v>682</v>
      </c>
    </row>
    <row r="823" spans="1:6" hidden="1" outlineLevel="1" collapsed="1" x14ac:dyDescent="0.25">
      <c r="A823" s="295" t="s">
        <v>282</v>
      </c>
      <c r="B823" s="295" t="s">
        <v>394</v>
      </c>
      <c r="C823" s="293">
        <v>3000</v>
      </c>
      <c r="D823" s="293">
        <v>0</v>
      </c>
      <c r="E823" s="293">
        <v>-3000</v>
      </c>
      <c r="F823" s="294" t="s">
        <v>286</v>
      </c>
    </row>
    <row r="824" spans="1:6" hidden="1" outlineLevel="1" collapsed="1" x14ac:dyDescent="0.25">
      <c r="A824" s="295" t="s">
        <v>282</v>
      </c>
      <c r="B824" s="295" t="s">
        <v>395</v>
      </c>
      <c r="C824" s="293">
        <v>0</v>
      </c>
      <c r="D824" s="293">
        <v>3000</v>
      </c>
      <c r="E824" s="293">
        <v>3000</v>
      </c>
      <c r="F824" s="294" t="s">
        <v>298</v>
      </c>
    </row>
    <row r="825" spans="1:6" hidden="1" outlineLevel="1" collapsed="1" x14ac:dyDescent="0.25">
      <c r="A825" s="295" t="s">
        <v>282</v>
      </c>
      <c r="B825" s="295" t="s">
        <v>371</v>
      </c>
      <c r="C825" s="293">
        <v>237.80160000000001</v>
      </c>
      <c r="D825" s="293">
        <v>247.24799999999999</v>
      </c>
      <c r="E825" s="293">
        <v>9.4464000000000006</v>
      </c>
      <c r="F825" s="294" t="s">
        <v>628</v>
      </c>
    </row>
    <row r="826" spans="1:6" hidden="1" outlineLevel="1" collapsed="1" x14ac:dyDescent="0.25">
      <c r="A826" s="295" t="s">
        <v>282</v>
      </c>
      <c r="B826" s="295" t="s">
        <v>396</v>
      </c>
      <c r="C826" s="293">
        <v>99.36</v>
      </c>
      <c r="D826" s="293">
        <v>0</v>
      </c>
      <c r="E826" s="293">
        <v>-99.36</v>
      </c>
      <c r="F826" s="294" t="s">
        <v>286</v>
      </c>
    </row>
    <row r="827" spans="1:6" hidden="1" outlineLevel="1" collapsed="1" x14ac:dyDescent="0.25">
      <c r="A827" s="295" t="s">
        <v>282</v>
      </c>
      <c r="B827" s="295" t="s">
        <v>397</v>
      </c>
      <c r="C827" s="293">
        <v>0</v>
      </c>
      <c r="D827" s="293">
        <v>96.96</v>
      </c>
      <c r="E827" s="293">
        <v>96.96</v>
      </c>
      <c r="F827" s="294" t="s">
        <v>298</v>
      </c>
    </row>
    <row r="828" spans="1:6" hidden="1" outlineLevel="1" collapsed="1" x14ac:dyDescent="0.25">
      <c r="A828" s="295" t="s">
        <v>282</v>
      </c>
      <c r="B828" s="295" t="s">
        <v>373</v>
      </c>
      <c r="C828" s="293">
        <v>114.88</v>
      </c>
      <c r="D828" s="293">
        <v>56.304000000000002</v>
      </c>
      <c r="E828" s="293">
        <v>-58.576000000000001</v>
      </c>
      <c r="F828" s="294" t="s">
        <v>683</v>
      </c>
    </row>
    <row r="829" spans="1:6" hidden="1" outlineLevel="1" collapsed="1" x14ac:dyDescent="0.25">
      <c r="A829" s="295" t="s">
        <v>282</v>
      </c>
      <c r="B829" s="295" t="s">
        <v>398</v>
      </c>
      <c r="C829" s="293">
        <v>48</v>
      </c>
      <c r="D829" s="293">
        <v>22.08</v>
      </c>
      <c r="E829" s="293">
        <v>-25.92</v>
      </c>
      <c r="F829" s="294" t="s">
        <v>374</v>
      </c>
    </row>
    <row r="830" spans="1:6" hidden="1" outlineLevel="1" collapsed="1" x14ac:dyDescent="0.25">
      <c r="A830" s="295" t="s">
        <v>282</v>
      </c>
      <c r="B830" s="295" t="s">
        <v>399</v>
      </c>
      <c r="C830" s="293">
        <v>302</v>
      </c>
      <c r="D830" s="293">
        <v>600</v>
      </c>
      <c r="E830" s="293">
        <v>298</v>
      </c>
      <c r="F830" s="294" t="s">
        <v>684</v>
      </c>
    </row>
    <row r="831" spans="1:6" hidden="1" outlineLevel="1" collapsed="1" x14ac:dyDescent="0.25">
      <c r="A831" s="295" t="s">
        <v>282</v>
      </c>
      <c r="B831" s="295" t="s">
        <v>376</v>
      </c>
      <c r="C831" s="293">
        <v>38</v>
      </c>
      <c r="D831" s="293">
        <v>544</v>
      </c>
      <c r="E831" s="293">
        <v>506</v>
      </c>
      <c r="F831" s="294" t="s">
        <v>685</v>
      </c>
    </row>
    <row r="832" spans="1:6" hidden="1" outlineLevel="1" collapsed="1" x14ac:dyDescent="0.25">
      <c r="A832" s="295" t="s">
        <v>282</v>
      </c>
      <c r="B832" s="295" t="s">
        <v>415</v>
      </c>
      <c r="C832" s="293">
        <v>2004</v>
      </c>
      <c r="D832" s="293">
        <v>1200</v>
      </c>
      <c r="E832" s="293">
        <v>-804</v>
      </c>
      <c r="F832" s="294" t="s">
        <v>686</v>
      </c>
    </row>
    <row r="833" spans="1:6" hidden="1" outlineLevel="1" collapsed="1" x14ac:dyDescent="0.25">
      <c r="A833" s="295" t="s">
        <v>282</v>
      </c>
      <c r="B833" s="295" t="s">
        <v>403</v>
      </c>
      <c r="C833" s="293">
        <v>2530</v>
      </c>
      <c r="D833" s="293">
        <v>2530</v>
      </c>
      <c r="E833" s="293">
        <v>0</v>
      </c>
      <c r="F833" s="294" t="s">
        <v>316</v>
      </c>
    </row>
    <row r="834" spans="1:6" collapsed="1" x14ac:dyDescent="0.25">
      <c r="A834" s="560" t="s">
        <v>687</v>
      </c>
      <c r="B834" s="561"/>
      <c r="C834" s="292">
        <v>67434.897440000001</v>
      </c>
      <c r="D834" s="293">
        <v>74795.001749999996</v>
      </c>
      <c r="E834" s="293">
        <v>7360.1043099999997</v>
      </c>
      <c r="F834" s="294" t="s">
        <v>688</v>
      </c>
    </row>
    <row r="835" spans="1:6" hidden="1" outlineLevel="1" collapsed="1" x14ac:dyDescent="0.25">
      <c r="A835" s="295" t="s">
        <v>282</v>
      </c>
      <c r="B835" s="295" t="s">
        <v>358</v>
      </c>
      <c r="C835" s="293">
        <v>55903.68</v>
      </c>
      <c r="D835" s="293">
        <v>58898.095200000003</v>
      </c>
      <c r="E835" s="293">
        <v>2994.4151999999999</v>
      </c>
      <c r="F835" s="294" t="s">
        <v>689</v>
      </c>
    </row>
    <row r="836" spans="1:6" hidden="1" outlineLevel="1" collapsed="1" x14ac:dyDescent="0.25">
      <c r="A836" s="295" t="s">
        <v>282</v>
      </c>
      <c r="B836" s="295" t="s">
        <v>360</v>
      </c>
      <c r="C836" s="293">
        <v>7295.4302399999997</v>
      </c>
      <c r="D836" s="293">
        <v>8498.9951299999993</v>
      </c>
      <c r="E836" s="293">
        <v>1203.5648900000001</v>
      </c>
      <c r="F836" s="294" t="s">
        <v>690</v>
      </c>
    </row>
    <row r="837" spans="1:6" hidden="1" outlineLevel="1" collapsed="1" x14ac:dyDescent="0.25">
      <c r="A837" s="295" t="s">
        <v>282</v>
      </c>
      <c r="B837" s="295" t="s">
        <v>362</v>
      </c>
      <c r="C837" s="293">
        <v>810.60335999999995</v>
      </c>
      <c r="D837" s="293">
        <v>854.02238</v>
      </c>
      <c r="E837" s="293">
        <v>43.419020000000003</v>
      </c>
      <c r="F837" s="294" t="s">
        <v>689</v>
      </c>
    </row>
    <row r="838" spans="1:6" hidden="1" outlineLevel="1" collapsed="1" x14ac:dyDescent="0.25">
      <c r="A838" s="295" t="s">
        <v>282</v>
      </c>
      <c r="B838" s="295" t="s">
        <v>363</v>
      </c>
      <c r="C838" s="293">
        <v>390.61439999999999</v>
      </c>
      <c r="D838" s="293">
        <v>422.04</v>
      </c>
      <c r="E838" s="293">
        <v>31.425599999999999</v>
      </c>
      <c r="F838" s="294" t="s">
        <v>691</v>
      </c>
    </row>
    <row r="839" spans="1:6" hidden="1" outlineLevel="1" collapsed="1" x14ac:dyDescent="0.25">
      <c r="A839" s="295" t="s">
        <v>282</v>
      </c>
      <c r="B839" s="295" t="s">
        <v>367</v>
      </c>
      <c r="C839" s="293">
        <v>214.07759999999999</v>
      </c>
      <c r="D839" s="293">
        <v>182.88</v>
      </c>
      <c r="E839" s="293">
        <v>-31.197600000000001</v>
      </c>
      <c r="F839" s="294" t="s">
        <v>692</v>
      </c>
    </row>
    <row r="840" spans="1:6" hidden="1" outlineLevel="1" collapsed="1" x14ac:dyDescent="0.25">
      <c r="A840" s="295" t="s">
        <v>282</v>
      </c>
      <c r="B840" s="295" t="s">
        <v>369</v>
      </c>
      <c r="C840" s="293">
        <v>27.951840000000001</v>
      </c>
      <c r="D840" s="293">
        <v>29.44904</v>
      </c>
      <c r="E840" s="293">
        <v>1.4972000000000001</v>
      </c>
      <c r="F840" s="294" t="s">
        <v>689</v>
      </c>
    </row>
    <row r="841" spans="1:6" hidden="1" outlineLevel="1" collapsed="1" x14ac:dyDescent="0.25">
      <c r="A841" s="295" t="s">
        <v>282</v>
      </c>
      <c r="B841" s="295" t="s">
        <v>370</v>
      </c>
      <c r="C841" s="293">
        <v>1375</v>
      </c>
      <c r="D841" s="293">
        <v>1500</v>
      </c>
      <c r="E841" s="293">
        <v>125</v>
      </c>
      <c r="F841" s="294" t="s">
        <v>693</v>
      </c>
    </row>
    <row r="842" spans="1:6" hidden="1" outlineLevel="1" collapsed="1" x14ac:dyDescent="0.25">
      <c r="A842" s="295" t="s">
        <v>282</v>
      </c>
      <c r="B842" s="295" t="s">
        <v>371</v>
      </c>
      <c r="C842" s="293">
        <v>45.54</v>
      </c>
      <c r="D842" s="293">
        <v>48.48</v>
      </c>
      <c r="E842" s="293">
        <v>2.94</v>
      </c>
      <c r="F842" s="294" t="s">
        <v>694</v>
      </c>
    </row>
    <row r="843" spans="1:6" hidden="1" outlineLevel="1" collapsed="1" x14ac:dyDescent="0.25">
      <c r="A843" s="295" t="s">
        <v>282</v>
      </c>
      <c r="B843" s="295" t="s">
        <v>373</v>
      </c>
      <c r="C843" s="293">
        <v>22</v>
      </c>
      <c r="D843" s="293">
        <v>11.04</v>
      </c>
      <c r="E843" s="293">
        <v>-10.96</v>
      </c>
      <c r="F843" s="294" t="s">
        <v>695</v>
      </c>
    </row>
    <row r="844" spans="1:6" hidden="1" outlineLevel="1" collapsed="1" x14ac:dyDescent="0.25">
      <c r="A844" s="295" t="s">
        <v>282</v>
      </c>
      <c r="B844" s="295" t="s">
        <v>445</v>
      </c>
      <c r="C844" s="293">
        <v>0</v>
      </c>
      <c r="D844" s="293">
        <v>3000</v>
      </c>
      <c r="E844" s="293">
        <v>3000</v>
      </c>
      <c r="F844" s="294" t="s">
        <v>298</v>
      </c>
    </row>
    <row r="845" spans="1:6" hidden="1" outlineLevel="1" collapsed="1" x14ac:dyDescent="0.25">
      <c r="A845" s="295" t="s">
        <v>282</v>
      </c>
      <c r="B845" s="295" t="s">
        <v>375</v>
      </c>
      <c r="C845" s="293">
        <v>50</v>
      </c>
      <c r="D845" s="293">
        <v>50</v>
      </c>
      <c r="E845" s="293">
        <v>0</v>
      </c>
      <c r="F845" s="294" t="s">
        <v>316</v>
      </c>
    </row>
    <row r="846" spans="1:6" hidden="1" outlineLevel="1" collapsed="1" x14ac:dyDescent="0.25">
      <c r="A846" s="295" t="s">
        <v>282</v>
      </c>
      <c r="B846" s="295" t="s">
        <v>496</v>
      </c>
      <c r="C846" s="293">
        <v>50</v>
      </c>
      <c r="D846" s="293">
        <v>50</v>
      </c>
      <c r="E846" s="293">
        <v>0</v>
      </c>
      <c r="F846" s="294" t="s">
        <v>316</v>
      </c>
    </row>
    <row r="847" spans="1:6" hidden="1" outlineLevel="1" collapsed="1" x14ac:dyDescent="0.25">
      <c r="A847" s="295" t="s">
        <v>282</v>
      </c>
      <c r="B847" s="295" t="s">
        <v>376</v>
      </c>
      <c r="C847" s="293">
        <v>50</v>
      </c>
      <c r="D847" s="293">
        <v>50</v>
      </c>
      <c r="E847" s="293">
        <v>0</v>
      </c>
      <c r="F847" s="294" t="s">
        <v>316</v>
      </c>
    </row>
    <row r="848" spans="1:6" hidden="1" outlineLevel="1" collapsed="1" x14ac:dyDescent="0.25">
      <c r="A848" s="295" t="s">
        <v>282</v>
      </c>
      <c r="B848" s="295" t="s">
        <v>401</v>
      </c>
      <c r="C848" s="293">
        <v>1100</v>
      </c>
      <c r="D848" s="293">
        <v>1100</v>
      </c>
      <c r="E848" s="293">
        <v>0</v>
      </c>
      <c r="F848" s="294" t="s">
        <v>316</v>
      </c>
    </row>
    <row r="849" spans="1:6" hidden="1" outlineLevel="1" collapsed="1" x14ac:dyDescent="0.25">
      <c r="A849" s="295" t="s">
        <v>282</v>
      </c>
      <c r="B849" s="295" t="s">
        <v>405</v>
      </c>
      <c r="C849" s="293">
        <v>50</v>
      </c>
      <c r="D849" s="293">
        <v>50</v>
      </c>
      <c r="E849" s="293">
        <v>0</v>
      </c>
      <c r="F849" s="294" t="s">
        <v>316</v>
      </c>
    </row>
    <row r="850" spans="1:6" hidden="1" outlineLevel="1" collapsed="1" x14ac:dyDescent="0.25">
      <c r="A850" s="295" t="s">
        <v>282</v>
      </c>
      <c r="B850" s="295" t="s">
        <v>422</v>
      </c>
      <c r="C850" s="293">
        <v>50</v>
      </c>
      <c r="D850" s="293">
        <v>50</v>
      </c>
      <c r="E850" s="293">
        <v>0</v>
      </c>
      <c r="F850" s="294" t="s">
        <v>316</v>
      </c>
    </row>
    <row r="851" spans="1:6" collapsed="1" x14ac:dyDescent="0.25">
      <c r="A851" s="560" t="s">
        <v>696</v>
      </c>
      <c r="B851" s="561"/>
      <c r="C851" s="292">
        <v>260143.38868</v>
      </c>
      <c r="D851" s="293">
        <v>269638.02056999999</v>
      </c>
      <c r="E851" s="293">
        <v>9494.6318900000006</v>
      </c>
      <c r="F851" s="294" t="s">
        <v>697</v>
      </c>
    </row>
    <row r="852" spans="1:6" hidden="1" outlineLevel="1" collapsed="1" x14ac:dyDescent="0.25">
      <c r="A852" s="295" t="s">
        <v>282</v>
      </c>
      <c r="B852" s="295" t="s">
        <v>358</v>
      </c>
      <c r="C852" s="293">
        <v>190182.96</v>
      </c>
      <c r="D852" s="293">
        <v>195191.5644</v>
      </c>
      <c r="E852" s="293">
        <v>5008.6044000000002</v>
      </c>
      <c r="F852" s="294" t="s">
        <v>669</v>
      </c>
    </row>
    <row r="853" spans="1:6" hidden="1" outlineLevel="1" collapsed="1" x14ac:dyDescent="0.25">
      <c r="A853" s="295" t="s">
        <v>282</v>
      </c>
      <c r="B853" s="295" t="s">
        <v>412</v>
      </c>
      <c r="C853" s="293">
        <v>7000</v>
      </c>
      <c r="D853" s="293">
        <v>7000</v>
      </c>
      <c r="E853" s="293">
        <v>0</v>
      </c>
      <c r="F853" s="294" t="s">
        <v>316</v>
      </c>
    </row>
    <row r="854" spans="1:6" hidden="1" outlineLevel="1" collapsed="1" x14ac:dyDescent="0.25">
      <c r="A854" s="295" t="s">
        <v>282</v>
      </c>
      <c r="B854" s="295" t="s">
        <v>360</v>
      </c>
      <c r="C854" s="293">
        <v>24818.87628</v>
      </c>
      <c r="D854" s="293">
        <v>28166.14273</v>
      </c>
      <c r="E854" s="293">
        <v>3347.2664500000001</v>
      </c>
      <c r="F854" s="294" t="s">
        <v>698</v>
      </c>
    </row>
    <row r="855" spans="1:6" hidden="1" outlineLevel="1" collapsed="1" x14ac:dyDescent="0.25">
      <c r="A855" s="295" t="s">
        <v>282</v>
      </c>
      <c r="B855" s="295" t="s">
        <v>362</v>
      </c>
      <c r="C855" s="293">
        <v>2859.15292</v>
      </c>
      <c r="D855" s="293">
        <v>2931.7776699999999</v>
      </c>
      <c r="E855" s="293">
        <v>72.624750000000006</v>
      </c>
      <c r="F855" s="294" t="s">
        <v>555</v>
      </c>
    </row>
    <row r="856" spans="1:6" hidden="1" outlineLevel="1" collapsed="1" x14ac:dyDescent="0.25">
      <c r="A856" s="295" t="s">
        <v>282</v>
      </c>
      <c r="B856" s="295" t="s">
        <v>363</v>
      </c>
      <c r="C856" s="293">
        <v>852.24959999999999</v>
      </c>
      <c r="D856" s="293">
        <v>844.08</v>
      </c>
      <c r="E856" s="293">
        <v>-8.1696000000000009</v>
      </c>
      <c r="F856" s="294" t="s">
        <v>364</v>
      </c>
    </row>
    <row r="857" spans="1:6" hidden="1" outlineLevel="1" collapsed="1" x14ac:dyDescent="0.25">
      <c r="A857" s="295" t="s">
        <v>282</v>
      </c>
      <c r="B857" s="295" t="s">
        <v>365</v>
      </c>
      <c r="C857" s="293">
        <v>30717.119999999999</v>
      </c>
      <c r="D857" s="293">
        <v>31918.560000000001</v>
      </c>
      <c r="E857" s="293">
        <v>1201.44</v>
      </c>
      <c r="F857" s="294" t="s">
        <v>366</v>
      </c>
    </row>
    <row r="858" spans="1:6" hidden="1" outlineLevel="1" collapsed="1" x14ac:dyDescent="0.25">
      <c r="A858" s="295" t="s">
        <v>282</v>
      </c>
      <c r="B858" s="295" t="s">
        <v>367</v>
      </c>
      <c r="C858" s="293">
        <v>467.07839999999999</v>
      </c>
      <c r="D858" s="293">
        <v>365.76</v>
      </c>
      <c r="E858" s="293">
        <v>-101.3184</v>
      </c>
      <c r="F858" s="294" t="s">
        <v>368</v>
      </c>
    </row>
    <row r="859" spans="1:6" hidden="1" outlineLevel="1" collapsed="1" x14ac:dyDescent="0.25">
      <c r="A859" s="295" t="s">
        <v>282</v>
      </c>
      <c r="B859" s="295" t="s">
        <v>369</v>
      </c>
      <c r="C859" s="293">
        <v>98.591480000000004</v>
      </c>
      <c r="D859" s="293">
        <v>101.09577</v>
      </c>
      <c r="E859" s="293">
        <v>2.5042900000000001</v>
      </c>
      <c r="F859" s="294" t="s">
        <v>555</v>
      </c>
    </row>
    <row r="860" spans="1:6" hidden="1" outlineLevel="1" collapsed="1" x14ac:dyDescent="0.25">
      <c r="A860" s="295" t="s">
        <v>282</v>
      </c>
      <c r="B860" s="295" t="s">
        <v>370</v>
      </c>
      <c r="C860" s="293">
        <v>3000</v>
      </c>
      <c r="D860" s="293">
        <v>3000</v>
      </c>
      <c r="E860" s="293">
        <v>0</v>
      </c>
      <c r="F860" s="294" t="s">
        <v>316</v>
      </c>
    </row>
    <row r="861" spans="1:6" hidden="1" outlineLevel="1" collapsed="1" x14ac:dyDescent="0.25">
      <c r="A861" s="295" t="s">
        <v>282</v>
      </c>
      <c r="B861" s="295" t="s">
        <v>371</v>
      </c>
      <c r="C861" s="293">
        <v>99.36</v>
      </c>
      <c r="D861" s="293">
        <v>96.96</v>
      </c>
      <c r="E861" s="293">
        <v>-2.4</v>
      </c>
      <c r="F861" s="294" t="s">
        <v>372</v>
      </c>
    </row>
    <row r="862" spans="1:6" hidden="1" outlineLevel="1" collapsed="1" x14ac:dyDescent="0.25">
      <c r="A862" s="295" t="s">
        <v>282</v>
      </c>
      <c r="B862" s="295" t="s">
        <v>373</v>
      </c>
      <c r="C862" s="293">
        <v>48</v>
      </c>
      <c r="D862" s="293">
        <v>22.08</v>
      </c>
      <c r="E862" s="293">
        <v>-25.92</v>
      </c>
      <c r="F862" s="294" t="s">
        <v>374</v>
      </c>
    </row>
    <row r="863" spans="1:6" collapsed="1" x14ac:dyDescent="0.25">
      <c r="A863" s="560" t="s">
        <v>699</v>
      </c>
      <c r="B863" s="561"/>
      <c r="C863" s="292">
        <v>119226.23084</v>
      </c>
      <c r="D863" s="293">
        <v>124053.34183</v>
      </c>
      <c r="E863" s="293">
        <v>4827.1109900000001</v>
      </c>
      <c r="F863" s="294" t="s">
        <v>700</v>
      </c>
    </row>
    <row r="864" spans="1:6" hidden="1" outlineLevel="1" collapsed="1" x14ac:dyDescent="0.25">
      <c r="A864" s="295" t="s">
        <v>282</v>
      </c>
      <c r="B864" s="295" t="s">
        <v>358</v>
      </c>
      <c r="C864" s="293">
        <v>84294.48</v>
      </c>
      <c r="D864" s="293">
        <v>86996.137199999997</v>
      </c>
      <c r="E864" s="293">
        <v>2701.6572000000001</v>
      </c>
      <c r="F864" s="294" t="s">
        <v>359</v>
      </c>
    </row>
    <row r="865" spans="1:6" hidden="1" outlineLevel="1" collapsed="1" x14ac:dyDescent="0.25">
      <c r="A865" s="295" t="s">
        <v>282</v>
      </c>
      <c r="B865" s="295" t="s">
        <v>412</v>
      </c>
      <c r="C865" s="293">
        <v>5000</v>
      </c>
      <c r="D865" s="293">
        <v>5000</v>
      </c>
      <c r="E865" s="293">
        <v>0</v>
      </c>
      <c r="F865" s="294" t="s">
        <v>316</v>
      </c>
    </row>
    <row r="866" spans="1:6" hidden="1" outlineLevel="1" collapsed="1" x14ac:dyDescent="0.25">
      <c r="A866" s="295" t="s">
        <v>282</v>
      </c>
      <c r="B866" s="295" t="s">
        <v>360</v>
      </c>
      <c r="C866" s="293">
        <v>11000.42964</v>
      </c>
      <c r="D866" s="293">
        <v>12553.542589999999</v>
      </c>
      <c r="E866" s="293">
        <v>1553.11295</v>
      </c>
      <c r="F866" s="294" t="s">
        <v>701</v>
      </c>
    </row>
    <row r="867" spans="1:6" hidden="1" outlineLevel="1" collapsed="1" x14ac:dyDescent="0.25">
      <c r="A867" s="295" t="s">
        <v>282</v>
      </c>
      <c r="B867" s="295" t="s">
        <v>362</v>
      </c>
      <c r="C867" s="293">
        <v>1294.7699600000001</v>
      </c>
      <c r="D867" s="293">
        <v>1333.94398</v>
      </c>
      <c r="E867" s="293">
        <v>39.174019999999999</v>
      </c>
      <c r="F867" s="294" t="s">
        <v>702</v>
      </c>
    </row>
    <row r="868" spans="1:6" hidden="1" outlineLevel="1" collapsed="1" x14ac:dyDescent="0.25">
      <c r="A868" s="295" t="s">
        <v>282</v>
      </c>
      <c r="B868" s="295" t="s">
        <v>363</v>
      </c>
      <c r="C868" s="293">
        <v>426.12479999999999</v>
      </c>
      <c r="D868" s="293">
        <v>422.04</v>
      </c>
      <c r="E868" s="293">
        <v>-4.0848000000000004</v>
      </c>
      <c r="F868" s="294" t="s">
        <v>364</v>
      </c>
    </row>
    <row r="869" spans="1:6" hidden="1" outlineLevel="1" collapsed="1" x14ac:dyDescent="0.25">
      <c r="A869" s="295" t="s">
        <v>282</v>
      </c>
      <c r="B869" s="295" t="s">
        <v>365</v>
      </c>
      <c r="C869" s="293">
        <v>15358.56</v>
      </c>
      <c r="D869" s="293">
        <v>15959.28</v>
      </c>
      <c r="E869" s="293">
        <v>600.72</v>
      </c>
      <c r="F869" s="294" t="s">
        <v>366</v>
      </c>
    </row>
    <row r="870" spans="1:6" hidden="1" outlineLevel="1" collapsed="1" x14ac:dyDescent="0.25">
      <c r="A870" s="295" t="s">
        <v>282</v>
      </c>
      <c r="B870" s="295" t="s">
        <v>367</v>
      </c>
      <c r="C870" s="293">
        <v>233.53919999999999</v>
      </c>
      <c r="D870" s="293">
        <v>182.88</v>
      </c>
      <c r="E870" s="293">
        <v>-50.659199999999998</v>
      </c>
      <c r="F870" s="294" t="s">
        <v>368</v>
      </c>
    </row>
    <row r="871" spans="1:6" hidden="1" outlineLevel="1" collapsed="1" x14ac:dyDescent="0.25">
      <c r="A871" s="295" t="s">
        <v>282</v>
      </c>
      <c r="B871" s="295" t="s">
        <v>369</v>
      </c>
      <c r="C871" s="293">
        <v>44.647239999999996</v>
      </c>
      <c r="D871" s="293">
        <v>45.998060000000002</v>
      </c>
      <c r="E871" s="293">
        <v>1.3508199999999999</v>
      </c>
      <c r="F871" s="294" t="s">
        <v>702</v>
      </c>
    </row>
    <row r="872" spans="1:6" hidden="1" outlineLevel="1" collapsed="1" x14ac:dyDescent="0.25">
      <c r="A872" s="295" t="s">
        <v>282</v>
      </c>
      <c r="B872" s="295" t="s">
        <v>370</v>
      </c>
      <c r="C872" s="293">
        <v>1500</v>
      </c>
      <c r="D872" s="293">
        <v>1500</v>
      </c>
      <c r="E872" s="293">
        <v>0</v>
      </c>
      <c r="F872" s="294" t="s">
        <v>316</v>
      </c>
    </row>
    <row r="873" spans="1:6" hidden="1" outlineLevel="1" collapsed="1" x14ac:dyDescent="0.25">
      <c r="A873" s="295" t="s">
        <v>282</v>
      </c>
      <c r="B873" s="295" t="s">
        <v>371</v>
      </c>
      <c r="C873" s="293">
        <v>49.68</v>
      </c>
      <c r="D873" s="293">
        <v>48.48</v>
      </c>
      <c r="E873" s="293">
        <v>-1.2</v>
      </c>
      <c r="F873" s="294" t="s">
        <v>372</v>
      </c>
    </row>
    <row r="874" spans="1:6" hidden="1" outlineLevel="1" collapsed="1" x14ac:dyDescent="0.25">
      <c r="A874" s="295" t="s">
        <v>282</v>
      </c>
      <c r="B874" s="295" t="s">
        <v>373</v>
      </c>
      <c r="C874" s="293">
        <v>24</v>
      </c>
      <c r="D874" s="293">
        <v>11.04</v>
      </c>
      <c r="E874" s="293">
        <v>-12.96</v>
      </c>
      <c r="F874" s="294" t="s">
        <v>374</v>
      </c>
    </row>
    <row r="875" spans="1:6" collapsed="1" x14ac:dyDescent="0.25">
      <c r="A875" s="560" t="s">
        <v>703</v>
      </c>
      <c r="B875" s="561"/>
      <c r="C875" s="292">
        <v>6736</v>
      </c>
      <c r="D875" s="293">
        <v>7336</v>
      </c>
      <c r="E875" s="293">
        <v>600</v>
      </c>
      <c r="F875" s="294" t="s">
        <v>704</v>
      </c>
    </row>
    <row r="876" spans="1:6" hidden="1" outlineLevel="1" collapsed="1" x14ac:dyDescent="0.25">
      <c r="A876" s="295" t="s">
        <v>282</v>
      </c>
      <c r="B876" s="295" t="s">
        <v>505</v>
      </c>
      <c r="C876" s="293">
        <v>500</v>
      </c>
      <c r="D876" s="293">
        <v>0</v>
      </c>
      <c r="E876" s="293">
        <v>-500</v>
      </c>
      <c r="F876" s="294" t="s">
        <v>286</v>
      </c>
    </row>
    <row r="877" spans="1:6" hidden="1" outlineLevel="1" collapsed="1" x14ac:dyDescent="0.25">
      <c r="A877" s="295" t="s">
        <v>282</v>
      </c>
      <c r="B877" s="295" t="s">
        <v>375</v>
      </c>
      <c r="C877" s="293">
        <v>1736</v>
      </c>
      <c r="D877" s="293">
        <v>2100</v>
      </c>
      <c r="E877" s="293">
        <v>364</v>
      </c>
      <c r="F877" s="294" t="s">
        <v>324</v>
      </c>
    </row>
    <row r="878" spans="1:6" hidden="1" outlineLevel="1" collapsed="1" x14ac:dyDescent="0.25">
      <c r="A878" s="295" t="s">
        <v>282</v>
      </c>
      <c r="B878" s="295" t="s">
        <v>496</v>
      </c>
      <c r="C878" s="293">
        <v>600</v>
      </c>
      <c r="D878" s="293">
        <v>600</v>
      </c>
      <c r="E878" s="293">
        <v>0</v>
      </c>
      <c r="F878" s="294" t="s">
        <v>316</v>
      </c>
    </row>
    <row r="879" spans="1:6" hidden="1" outlineLevel="1" collapsed="1" x14ac:dyDescent="0.25">
      <c r="A879" s="295" t="s">
        <v>282</v>
      </c>
      <c r="B879" s="295" t="s">
        <v>376</v>
      </c>
      <c r="C879" s="293">
        <v>2200</v>
      </c>
      <c r="D879" s="293">
        <v>2736</v>
      </c>
      <c r="E879" s="293">
        <v>536</v>
      </c>
      <c r="F879" s="294" t="s">
        <v>705</v>
      </c>
    </row>
    <row r="880" spans="1:6" hidden="1" outlineLevel="1" collapsed="1" x14ac:dyDescent="0.25">
      <c r="A880" s="295" t="s">
        <v>282</v>
      </c>
      <c r="B880" s="295" t="s">
        <v>426</v>
      </c>
      <c r="C880" s="293">
        <v>1400</v>
      </c>
      <c r="D880" s="293">
        <v>1000</v>
      </c>
      <c r="E880" s="293">
        <v>-400</v>
      </c>
      <c r="F880" s="294" t="s">
        <v>706</v>
      </c>
    </row>
    <row r="881" spans="1:6" hidden="1" outlineLevel="1" collapsed="1" x14ac:dyDescent="0.25">
      <c r="A881" s="295" t="s">
        <v>282</v>
      </c>
      <c r="B881" s="295" t="s">
        <v>707</v>
      </c>
      <c r="C881" s="293">
        <v>0</v>
      </c>
      <c r="D881" s="293">
        <v>600</v>
      </c>
      <c r="E881" s="293">
        <v>600</v>
      </c>
      <c r="F881" s="294" t="s">
        <v>298</v>
      </c>
    </row>
    <row r="882" spans="1:6" hidden="1" outlineLevel="1" collapsed="1" x14ac:dyDescent="0.25">
      <c r="A882" s="295" t="s">
        <v>282</v>
      </c>
      <c r="B882" s="295" t="s">
        <v>597</v>
      </c>
      <c r="C882" s="293">
        <v>300</v>
      </c>
      <c r="D882" s="293">
        <v>300</v>
      </c>
      <c r="E882" s="293">
        <v>0</v>
      </c>
      <c r="F882" s="294" t="s">
        <v>316</v>
      </c>
    </row>
    <row r="883" spans="1:6" collapsed="1" x14ac:dyDescent="0.25">
      <c r="A883" s="560" t="s">
        <v>708</v>
      </c>
      <c r="B883" s="561"/>
      <c r="C883" s="292">
        <v>109639.895</v>
      </c>
      <c r="D883" s="293">
        <v>115006.08822999999</v>
      </c>
      <c r="E883" s="293">
        <v>5366.1932299999999</v>
      </c>
      <c r="F883" s="294" t="s">
        <v>709</v>
      </c>
    </row>
    <row r="884" spans="1:6" hidden="1" outlineLevel="1" collapsed="1" x14ac:dyDescent="0.25">
      <c r="A884" s="295" t="s">
        <v>282</v>
      </c>
      <c r="B884" s="295" t="s">
        <v>358</v>
      </c>
      <c r="C884" s="293">
        <v>75402</v>
      </c>
      <c r="D884" s="293">
        <v>78674.517600000006</v>
      </c>
      <c r="E884" s="293">
        <v>3272.5176000000001</v>
      </c>
      <c r="F884" s="294" t="s">
        <v>710</v>
      </c>
    </row>
    <row r="885" spans="1:6" hidden="1" outlineLevel="1" collapsed="1" x14ac:dyDescent="0.25">
      <c r="A885" s="295" t="s">
        <v>282</v>
      </c>
      <c r="B885" s="295" t="s">
        <v>412</v>
      </c>
      <c r="C885" s="293">
        <v>5000</v>
      </c>
      <c r="D885" s="293">
        <v>5000</v>
      </c>
      <c r="E885" s="293">
        <v>0</v>
      </c>
      <c r="F885" s="294" t="s">
        <v>316</v>
      </c>
    </row>
    <row r="886" spans="1:6" hidden="1" outlineLevel="1" collapsed="1" x14ac:dyDescent="0.25">
      <c r="A886" s="295" t="s">
        <v>282</v>
      </c>
      <c r="B886" s="295" t="s">
        <v>360</v>
      </c>
      <c r="C886" s="293">
        <v>9839.9609999999993</v>
      </c>
      <c r="D886" s="293">
        <v>11352.73288</v>
      </c>
      <c r="E886" s="293">
        <v>1512.77188</v>
      </c>
      <c r="F886" s="294" t="s">
        <v>711</v>
      </c>
    </row>
    <row r="887" spans="1:6" hidden="1" outlineLevel="1" collapsed="1" x14ac:dyDescent="0.25">
      <c r="A887" s="295" t="s">
        <v>282</v>
      </c>
      <c r="B887" s="295" t="s">
        <v>362</v>
      </c>
      <c r="C887" s="293">
        <v>1165.829</v>
      </c>
      <c r="D887" s="293">
        <v>1213.2805000000001</v>
      </c>
      <c r="E887" s="293">
        <v>47.451500000000003</v>
      </c>
      <c r="F887" s="294" t="s">
        <v>411</v>
      </c>
    </row>
    <row r="888" spans="1:6" hidden="1" outlineLevel="1" collapsed="1" x14ac:dyDescent="0.25">
      <c r="A888" s="295" t="s">
        <v>282</v>
      </c>
      <c r="B888" s="295" t="s">
        <v>363</v>
      </c>
      <c r="C888" s="293">
        <v>426.12479999999999</v>
      </c>
      <c r="D888" s="293">
        <v>422.04</v>
      </c>
      <c r="E888" s="293">
        <v>-4.0848000000000004</v>
      </c>
      <c r="F888" s="294" t="s">
        <v>364</v>
      </c>
    </row>
    <row r="889" spans="1:6" hidden="1" outlineLevel="1" collapsed="1" x14ac:dyDescent="0.25">
      <c r="A889" s="295" t="s">
        <v>282</v>
      </c>
      <c r="B889" s="295" t="s">
        <v>365</v>
      </c>
      <c r="C889" s="293">
        <v>15358.56</v>
      </c>
      <c r="D889" s="293">
        <v>15959.28</v>
      </c>
      <c r="E889" s="293">
        <v>600.72</v>
      </c>
      <c r="F889" s="294" t="s">
        <v>366</v>
      </c>
    </row>
    <row r="890" spans="1:6" hidden="1" outlineLevel="1" collapsed="1" x14ac:dyDescent="0.25">
      <c r="A890" s="295" t="s">
        <v>282</v>
      </c>
      <c r="B890" s="295" t="s">
        <v>367</v>
      </c>
      <c r="C890" s="293">
        <v>233.53919999999999</v>
      </c>
      <c r="D890" s="293">
        <v>182.88</v>
      </c>
      <c r="E890" s="293">
        <v>-50.659199999999998</v>
      </c>
      <c r="F890" s="294" t="s">
        <v>368</v>
      </c>
    </row>
    <row r="891" spans="1:6" hidden="1" outlineLevel="1" collapsed="1" x14ac:dyDescent="0.25">
      <c r="A891" s="295" t="s">
        <v>282</v>
      </c>
      <c r="B891" s="295" t="s">
        <v>369</v>
      </c>
      <c r="C891" s="293">
        <v>40.201000000000001</v>
      </c>
      <c r="D891" s="293">
        <v>41.837249999999997</v>
      </c>
      <c r="E891" s="293">
        <v>1.63625</v>
      </c>
      <c r="F891" s="294" t="s">
        <v>411</v>
      </c>
    </row>
    <row r="892" spans="1:6" hidden="1" outlineLevel="1" collapsed="1" x14ac:dyDescent="0.25">
      <c r="A892" s="295" t="s">
        <v>282</v>
      </c>
      <c r="B892" s="295" t="s">
        <v>370</v>
      </c>
      <c r="C892" s="293">
        <v>1500</v>
      </c>
      <c r="D892" s="293">
        <v>1500</v>
      </c>
      <c r="E892" s="293">
        <v>0</v>
      </c>
      <c r="F892" s="294" t="s">
        <v>316</v>
      </c>
    </row>
    <row r="893" spans="1:6" hidden="1" outlineLevel="1" collapsed="1" x14ac:dyDescent="0.25">
      <c r="A893" s="295" t="s">
        <v>282</v>
      </c>
      <c r="B893" s="295" t="s">
        <v>371</v>
      </c>
      <c r="C893" s="293">
        <v>49.68</v>
      </c>
      <c r="D893" s="293">
        <v>48.48</v>
      </c>
      <c r="E893" s="293">
        <v>-1.2</v>
      </c>
      <c r="F893" s="294" t="s">
        <v>372</v>
      </c>
    </row>
    <row r="894" spans="1:6" hidden="1" outlineLevel="1" collapsed="1" x14ac:dyDescent="0.25">
      <c r="A894" s="295" t="s">
        <v>282</v>
      </c>
      <c r="B894" s="295" t="s">
        <v>373</v>
      </c>
      <c r="C894" s="293">
        <v>24</v>
      </c>
      <c r="D894" s="293">
        <v>11.04</v>
      </c>
      <c r="E894" s="293">
        <v>-12.96</v>
      </c>
      <c r="F894" s="294" t="s">
        <v>374</v>
      </c>
    </row>
    <row r="895" spans="1:6" hidden="1" outlineLevel="1" collapsed="1" x14ac:dyDescent="0.25">
      <c r="A895" s="295" t="s">
        <v>282</v>
      </c>
      <c r="B895" s="295" t="s">
        <v>375</v>
      </c>
      <c r="C895" s="293">
        <v>600</v>
      </c>
      <c r="D895" s="293">
        <v>600</v>
      </c>
      <c r="E895" s="293">
        <v>0</v>
      </c>
      <c r="F895" s="294" t="s">
        <v>316</v>
      </c>
    </row>
    <row r="896" spans="1:6" collapsed="1" x14ac:dyDescent="0.25">
      <c r="A896" s="560" t="s">
        <v>712</v>
      </c>
      <c r="B896" s="561"/>
      <c r="C896" s="292">
        <v>223729.63608</v>
      </c>
      <c r="D896" s="293">
        <v>237145.36877999999</v>
      </c>
      <c r="E896" s="293">
        <v>13415.7327</v>
      </c>
      <c r="F896" s="294" t="s">
        <v>713</v>
      </c>
    </row>
    <row r="897" spans="1:6" hidden="1" outlineLevel="1" collapsed="1" x14ac:dyDescent="0.25">
      <c r="A897" s="295" t="s">
        <v>282</v>
      </c>
      <c r="B897" s="295" t="s">
        <v>358</v>
      </c>
      <c r="C897" s="293">
        <v>175385.76</v>
      </c>
      <c r="D897" s="293">
        <v>180158.03400000001</v>
      </c>
      <c r="E897" s="293">
        <v>4772.2740000000003</v>
      </c>
      <c r="F897" s="294" t="s">
        <v>666</v>
      </c>
    </row>
    <row r="898" spans="1:6" hidden="1" outlineLevel="1" collapsed="1" x14ac:dyDescent="0.25">
      <c r="A898" s="295" t="s">
        <v>282</v>
      </c>
      <c r="B898" s="295" t="s">
        <v>412</v>
      </c>
      <c r="C898" s="293">
        <v>0</v>
      </c>
      <c r="D898" s="293">
        <v>5000</v>
      </c>
      <c r="E898" s="293">
        <v>5000</v>
      </c>
      <c r="F898" s="294" t="s">
        <v>298</v>
      </c>
    </row>
    <row r="899" spans="1:6" hidden="1" outlineLevel="1" collapsed="1" x14ac:dyDescent="0.25">
      <c r="A899" s="295" t="s">
        <v>282</v>
      </c>
      <c r="B899" s="295" t="s">
        <v>360</v>
      </c>
      <c r="C899" s="293">
        <v>22887.841680000001</v>
      </c>
      <c r="D899" s="293">
        <v>25996.8043</v>
      </c>
      <c r="E899" s="293">
        <v>3108.9626199999998</v>
      </c>
      <c r="F899" s="294" t="s">
        <v>714</v>
      </c>
    </row>
    <row r="900" spans="1:6" hidden="1" outlineLevel="1" collapsed="1" x14ac:dyDescent="0.25">
      <c r="A900" s="295" t="s">
        <v>282</v>
      </c>
      <c r="B900" s="295" t="s">
        <v>362</v>
      </c>
      <c r="C900" s="293">
        <v>2543.0935199999999</v>
      </c>
      <c r="D900" s="293">
        <v>2612.2914799999999</v>
      </c>
      <c r="E900" s="293">
        <v>69.197959999999995</v>
      </c>
      <c r="F900" s="294" t="s">
        <v>666</v>
      </c>
    </row>
    <row r="901" spans="1:6" hidden="1" outlineLevel="1" collapsed="1" x14ac:dyDescent="0.25">
      <c r="A901" s="295" t="s">
        <v>282</v>
      </c>
      <c r="B901" s="295" t="s">
        <v>363</v>
      </c>
      <c r="C901" s="293">
        <v>852.24959999999999</v>
      </c>
      <c r="D901" s="293">
        <v>844.08</v>
      </c>
      <c r="E901" s="293">
        <v>-8.1696000000000009</v>
      </c>
      <c r="F901" s="294" t="s">
        <v>364</v>
      </c>
    </row>
    <row r="902" spans="1:6" hidden="1" outlineLevel="1" collapsed="1" x14ac:dyDescent="0.25">
      <c r="A902" s="295" t="s">
        <v>282</v>
      </c>
      <c r="B902" s="295" t="s">
        <v>365</v>
      </c>
      <c r="C902" s="293">
        <v>15358.56</v>
      </c>
      <c r="D902" s="293">
        <v>15959.28</v>
      </c>
      <c r="E902" s="293">
        <v>600.72</v>
      </c>
      <c r="F902" s="294" t="s">
        <v>366</v>
      </c>
    </row>
    <row r="903" spans="1:6" hidden="1" outlineLevel="1" collapsed="1" x14ac:dyDescent="0.25">
      <c r="A903" s="295" t="s">
        <v>282</v>
      </c>
      <c r="B903" s="295" t="s">
        <v>367</v>
      </c>
      <c r="C903" s="293">
        <v>467.07839999999999</v>
      </c>
      <c r="D903" s="293">
        <v>365.76</v>
      </c>
      <c r="E903" s="293">
        <v>-101.3184</v>
      </c>
      <c r="F903" s="294" t="s">
        <v>368</v>
      </c>
    </row>
    <row r="904" spans="1:6" hidden="1" outlineLevel="1" collapsed="1" x14ac:dyDescent="0.25">
      <c r="A904" s="295" t="s">
        <v>282</v>
      </c>
      <c r="B904" s="295" t="s">
        <v>369</v>
      </c>
      <c r="C904" s="293">
        <v>87.692880000000002</v>
      </c>
      <c r="D904" s="293">
        <v>90.078999999999994</v>
      </c>
      <c r="E904" s="293">
        <v>2.38612</v>
      </c>
      <c r="F904" s="294" t="s">
        <v>666</v>
      </c>
    </row>
    <row r="905" spans="1:6" hidden="1" outlineLevel="1" collapsed="1" x14ac:dyDescent="0.25">
      <c r="A905" s="295" t="s">
        <v>282</v>
      </c>
      <c r="B905" s="295" t="s">
        <v>370</v>
      </c>
      <c r="C905" s="293">
        <v>3000</v>
      </c>
      <c r="D905" s="293">
        <v>3000</v>
      </c>
      <c r="E905" s="293">
        <v>0</v>
      </c>
      <c r="F905" s="294" t="s">
        <v>316</v>
      </c>
    </row>
    <row r="906" spans="1:6" hidden="1" outlineLevel="1" collapsed="1" x14ac:dyDescent="0.25">
      <c r="A906" s="295" t="s">
        <v>282</v>
      </c>
      <c r="B906" s="295" t="s">
        <v>371</v>
      </c>
      <c r="C906" s="293">
        <v>99.36</v>
      </c>
      <c r="D906" s="293">
        <v>96.96</v>
      </c>
      <c r="E906" s="293">
        <v>-2.4</v>
      </c>
      <c r="F906" s="294" t="s">
        <v>372</v>
      </c>
    </row>
    <row r="907" spans="1:6" hidden="1" outlineLevel="1" collapsed="1" x14ac:dyDescent="0.25">
      <c r="A907" s="295" t="s">
        <v>282</v>
      </c>
      <c r="B907" s="295" t="s">
        <v>373</v>
      </c>
      <c r="C907" s="293">
        <v>48</v>
      </c>
      <c r="D907" s="293">
        <v>22.08</v>
      </c>
      <c r="E907" s="293">
        <v>-25.92</v>
      </c>
      <c r="F907" s="294" t="s">
        <v>374</v>
      </c>
    </row>
    <row r="908" spans="1:6" hidden="1" outlineLevel="1" collapsed="1" x14ac:dyDescent="0.25">
      <c r="A908" s="295" t="s">
        <v>282</v>
      </c>
      <c r="B908" s="295" t="s">
        <v>445</v>
      </c>
      <c r="C908" s="293">
        <v>3000</v>
      </c>
      <c r="D908" s="293">
        <v>3000</v>
      </c>
      <c r="E908" s="293">
        <v>0</v>
      </c>
      <c r="F908" s="294" t="s">
        <v>316</v>
      </c>
    </row>
    <row r="909" spans="1:6" collapsed="1" x14ac:dyDescent="0.25">
      <c r="A909" s="560" t="s">
        <v>715</v>
      </c>
      <c r="B909" s="561"/>
      <c r="C909" s="292">
        <v>478259.51452000003</v>
      </c>
      <c r="D909" s="293">
        <v>498247.36528000003</v>
      </c>
      <c r="E909" s="293">
        <v>19987.850760000001</v>
      </c>
      <c r="F909" s="294" t="s">
        <v>716</v>
      </c>
    </row>
    <row r="910" spans="1:6" hidden="1" outlineLevel="1" collapsed="1" x14ac:dyDescent="0.25">
      <c r="A910" s="295" t="s">
        <v>282</v>
      </c>
      <c r="B910" s="295" t="s">
        <v>358</v>
      </c>
      <c r="C910" s="293">
        <v>349879.44</v>
      </c>
      <c r="D910" s="293">
        <v>361120.92239999998</v>
      </c>
      <c r="E910" s="293">
        <v>11241.482400000001</v>
      </c>
      <c r="F910" s="294" t="s">
        <v>359</v>
      </c>
    </row>
    <row r="911" spans="1:6" hidden="1" outlineLevel="1" collapsed="1" x14ac:dyDescent="0.25">
      <c r="A911" s="295" t="s">
        <v>282</v>
      </c>
      <c r="B911" s="295" t="s">
        <v>412</v>
      </c>
      <c r="C911" s="293">
        <v>7000</v>
      </c>
      <c r="D911" s="293">
        <v>7000</v>
      </c>
      <c r="E911" s="293">
        <v>0</v>
      </c>
      <c r="F911" s="294" t="s">
        <v>316</v>
      </c>
    </row>
    <row r="912" spans="1:6" hidden="1" outlineLevel="1" collapsed="1" x14ac:dyDescent="0.25">
      <c r="A912" s="295" t="s">
        <v>282</v>
      </c>
      <c r="B912" s="295" t="s">
        <v>360</v>
      </c>
      <c r="C912" s="293">
        <v>45659.266920000002</v>
      </c>
      <c r="D912" s="293">
        <v>52109.749089999998</v>
      </c>
      <c r="E912" s="293">
        <v>6450.4821700000002</v>
      </c>
      <c r="F912" s="294" t="s">
        <v>361</v>
      </c>
    </row>
    <row r="913" spans="1:6" hidden="1" outlineLevel="1" collapsed="1" x14ac:dyDescent="0.25">
      <c r="A913" s="295" t="s">
        <v>282</v>
      </c>
      <c r="B913" s="295" t="s">
        <v>362</v>
      </c>
      <c r="C913" s="293">
        <v>5174.7518799999998</v>
      </c>
      <c r="D913" s="293">
        <v>5337.7533599999997</v>
      </c>
      <c r="E913" s="293">
        <v>163.00147999999999</v>
      </c>
      <c r="F913" s="294" t="s">
        <v>717</v>
      </c>
    </row>
    <row r="914" spans="1:6" hidden="1" outlineLevel="1" collapsed="1" x14ac:dyDescent="0.25">
      <c r="A914" s="295" t="s">
        <v>282</v>
      </c>
      <c r="B914" s="295" t="s">
        <v>363</v>
      </c>
      <c r="C914" s="293">
        <v>1704.4992</v>
      </c>
      <c r="D914" s="293">
        <v>1688.16</v>
      </c>
      <c r="E914" s="293">
        <v>-16.339200000000002</v>
      </c>
      <c r="F914" s="294" t="s">
        <v>364</v>
      </c>
    </row>
    <row r="915" spans="1:6" hidden="1" outlineLevel="1" collapsed="1" x14ac:dyDescent="0.25">
      <c r="A915" s="295" t="s">
        <v>282</v>
      </c>
      <c r="B915" s="295" t="s">
        <v>365</v>
      </c>
      <c r="C915" s="293">
        <v>61434.239999999998</v>
      </c>
      <c r="D915" s="293">
        <v>63837.120000000003</v>
      </c>
      <c r="E915" s="293">
        <v>2402.88</v>
      </c>
      <c r="F915" s="294" t="s">
        <v>366</v>
      </c>
    </row>
    <row r="916" spans="1:6" hidden="1" outlineLevel="1" collapsed="1" x14ac:dyDescent="0.25">
      <c r="A916" s="295" t="s">
        <v>282</v>
      </c>
      <c r="B916" s="295" t="s">
        <v>367</v>
      </c>
      <c r="C916" s="293">
        <v>934.15679999999998</v>
      </c>
      <c r="D916" s="293">
        <v>731.52</v>
      </c>
      <c r="E916" s="293">
        <v>-202.63679999999999</v>
      </c>
      <c r="F916" s="294" t="s">
        <v>368</v>
      </c>
    </row>
    <row r="917" spans="1:6" hidden="1" outlineLevel="1" collapsed="1" x14ac:dyDescent="0.25">
      <c r="A917" s="295" t="s">
        <v>282</v>
      </c>
      <c r="B917" s="295" t="s">
        <v>369</v>
      </c>
      <c r="C917" s="293">
        <v>178.43971999999999</v>
      </c>
      <c r="D917" s="293">
        <v>184.06043</v>
      </c>
      <c r="E917" s="293">
        <v>5.6207099999999999</v>
      </c>
      <c r="F917" s="294" t="s">
        <v>717</v>
      </c>
    </row>
    <row r="918" spans="1:6" hidden="1" outlineLevel="1" collapsed="1" x14ac:dyDescent="0.25">
      <c r="A918" s="295" t="s">
        <v>282</v>
      </c>
      <c r="B918" s="295" t="s">
        <v>370</v>
      </c>
      <c r="C918" s="293">
        <v>6000</v>
      </c>
      <c r="D918" s="293">
        <v>6000</v>
      </c>
      <c r="E918" s="293">
        <v>0</v>
      </c>
      <c r="F918" s="294" t="s">
        <v>316</v>
      </c>
    </row>
    <row r="919" spans="1:6" hidden="1" outlineLevel="1" collapsed="1" x14ac:dyDescent="0.25">
      <c r="A919" s="295" t="s">
        <v>282</v>
      </c>
      <c r="B919" s="295" t="s">
        <v>371</v>
      </c>
      <c r="C919" s="293">
        <v>198.72</v>
      </c>
      <c r="D919" s="293">
        <v>193.92</v>
      </c>
      <c r="E919" s="293">
        <v>-4.8</v>
      </c>
      <c r="F919" s="294" t="s">
        <v>372</v>
      </c>
    </row>
    <row r="920" spans="1:6" hidden="1" outlineLevel="1" collapsed="1" x14ac:dyDescent="0.25">
      <c r="A920" s="295" t="s">
        <v>282</v>
      </c>
      <c r="B920" s="295" t="s">
        <v>373</v>
      </c>
      <c r="C920" s="293">
        <v>96</v>
      </c>
      <c r="D920" s="293">
        <v>44.16</v>
      </c>
      <c r="E920" s="293">
        <v>-51.84</v>
      </c>
      <c r="F920" s="294" t="s">
        <v>374</v>
      </c>
    </row>
    <row r="921" spans="1:6" collapsed="1" x14ac:dyDescent="0.25">
      <c r="A921" s="560" t="s">
        <v>718</v>
      </c>
      <c r="B921" s="561"/>
      <c r="C921" s="292">
        <v>230434.23775999999</v>
      </c>
      <c r="D921" s="293">
        <v>240886.23819999999</v>
      </c>
      <c r="E921" s="293">
        <v>10452.00044</v>
      </c>
      <c r="F921" s="294" t="s">
        <v>719</v>
      </c>
    </row>
    <row r="922" spans="1:6" hidden="1" outlineLevel="1" collapsed="1" x14ac:dyDescent="0.25">
      <c r="A922" s="295" t="s">
        <v>282</v>
      </c>
      <c r="B922" s="295" t="s">
        <v>358</v>
      </c>
      <c r="C922" s="293">
        <v>161310.72</v>
      </c>
      <c r="D922" s="293">
        <v>168272.05919999999</v>
      </c>
      <c r="E922" s="293">
        <v>6961.3392000000003</v>
      </c>
      <c r="F922" s="294" t="s">
        <v>462</v>
      </c>
    </row>
    <row r="923" spans="1:6" hidden="1" outlineLevel="1" collapsed="1" x14ac:dyDescent="0.25">
      <c r="A923" s="295" t="s">
        <v>282</v>
      </c>
      <c r="B923" s="295" t="s">
        <v>412</v>
      </c>
      <c r="C923" s="293">
        <v>6000</v>
      </c>
      <c r="D923" s="293">
        <v>6000</v>
      </c>
      <c r="E923" s="293">
        <v>0</v>
      </c>
      <c r="F923" s="294" t="s">
        <v>316</v>
      </c>
    </row>
    <row r="924" spans="1:6" hidden="1" outlineLevel="1" collapsed="1" x14ac:dyDescent="0.25">
      <c r="A924" s="295" t="s">
        <v>282</v>
      </c>
      <c r="B924" s="295" t="s">
        <v>360</v>
      </c>
      <c r="C924" s="293">
        <v>21051.04896</v>
      </c>
      <c r="D924" s="293">
        <v>24281.65813</v>
      </c>
      <c r="E924" s="293">
        <v>3230.6091700000002</v>
      </c>
      <c r="F924" s="294" t="s">
        <v>720</v>
      </c>
    </row>
    <row r="925" spans="1:6" hidden="1" outlineLevel="1" collapsed="1" x14ac:dyDescent="0.25">
      <c r="A925" s="295" t="s">
        <v>282</v>
      </c>
      <c r="B925" s="295" t="s">
        <v>362</v>
      </c>
      <c r="C925" s="293">
        <v>2426.0054399999999</v>
      </c>
      <c r="D925" s="293">
        <v>2526.9448499999999</v>
      </c>
      <c r="E925" s="293">
        <v>100.93941</v>
      </c>
      <c r="F925" s="294" t="s">
        <v>721</v>
      </c>
    </row>
    <row r="926" spans="1:6" hidden="1" outlineLevel="1" collapsed="1" x14ac:dyDescent="0.25">
      <c r="A926" s="295" t="s">
        <v>282</v>
      </c>
      <c r="B926" s="295" t="s">
        <v>363</v>
      </c>
      <c r="C926" s="293">
        <v>852.24959999999999</v>
      </c>
      <c r="D926" s="293">
        <v>844.08</v>
      </c>
      <c r="E926" s="293">
        <v>-8.1696000000000009</v>
      </c>
      <c r="F926" s="294" t="s">
        <v>364</v>
      </c>
    </row>
    <row r="927" spans="1:6" hidden="1" outlineLevel="1" collapsed="1" x14ac:dyDescent="0.25">
      <c r="A927" s="295" t="s">
        <v>282</v>
      </c>
      <c r="B927" s="295" t="s">
        <v>365</v>
      </c>
      <c r="C927" s="293">
        <v>30717.119999999999</v>
      </c>
      <c r="D927" s="293">
        <v>31918.560000000001</v>
      </c>
      <c r="E927" s="293">
        <v>1201.44</v>
      </c>
      <c r="F927" s="294" t="s">
        <v>366</v>
      </c>
    </row>
    <row r="928" spans="1:6" hidden="1" outlineLevel="1" collapsed="1" x14ac:dyDescent="0.25">
      <c r="A928" s="295" t="s">
        <v>282</v>
      </c>
      <c r="B928" s="295" t="s">
        <v>367</v>
      </c>
      <c r="C928" s="293">
        <v>467.07839999999999</v>
      </c>
      <c r="D928" s="293">
        <v>365.76</v>
      </c>
      <c r="E928" s="293">
        <v>-101.3184</v>
      </c>
      <c r="F928" s="294" t="s">
        <v>368</v>
      </c>
    </row>
    <row r="929" spans="1:6" hidden="1" outlineLevel="1" collapsed="1" x14ac:dyDescent="0.25">
      <c r="A929" s="295" t="s">
        <v>282</v>
      </c>
      <c r="B929" s="295" t="s">
        <v>369</v>
      </c>
      <c r="C929" s="293">
        <v>83.655360000000002</v>
      </c>
      <c r="D929" s="293">
        <v>87.136020000000002</v>
      </c>
      <c r="E929" s="293">
        <v>3.4806599999999999</v>
      </c>
      <c r="F929" s="294" t="s">
        <v>721</v>
      </c>
    </row>
    <row r="930" spans="1:6" hidden="1" outlineLevel="1" collapsed="1" x14ac:dyDescent="0.25">
      <c r="A930" s="295" t="s">
        <v>282</v>
      </c>
      <c r="B930" s="295" t="s">
        <v>370</v>
      </c>
      <c r="C930" s="293">
        <v>3000</v>
      </c>
      <c r="D930" s="293">
        <v>3000</v>
      </c>
      <c r="E930" s="293">
        <v>0</v>
      </c>
      <c r="F930" s="294" t="s">
        <v>316</v>
      </c>
    </row>
    <row r="931" spans="1:6" hidden="1" outlineLevel="1" collapsed="1" x14ac:dyDescent="0.25">
      <c r="A931" s="295" t="s">
        <v>282</v>
      </c>
      <c r="B931" s="295" t="s">
        <v>371</v>
      </c>
      <c r="C931" s="293">
        <v>99.36</v>
      </c>
      <c r="D931" s="293">
        <v>96.96</v>
      </c>
      <c r="E931" s="293">
        <v>-2.4</v>
      </c>
      <c r="F931" s="294" t="s">
        <v>372</v>
      </c>
    </row>
    <row r="932" spans="1:6" hidden="1" outlineLevel="1" collapsed="1" x14ac:dyDescent="0.25">
      <c r="A932" s="295" t="s">
        <v>282</v>
      </c>
      <c r="B932" s="295" t="s">
        <v>373</v>
      </c>
      <c r="C932" s="293">
        <v>48</v>
      </c>
      <c r="D932" s="293">
        <v>22.08</v>
      </c>
      <c r="E932" s="293">
        <v>-25.92</v>
      </c>
      <c r="F932" s="294" t="s">
        <v>374</v>
      </c>
    </row>
    <row r="933" spans="1:6" hidden="1" outlineLevel="1" collapsed="1" x14ac:dyDescent="0.25">
      <c r="A933" s="295" t="s">
        <v>282</v>
      </c>
      <c r="B933" s="295" t="s">
        <v>375</v>
      </c>
      <c r="C933" s="293">
        <v>100</v>
      </c>
      <c r="D933" s="293">
        <v>100</v>
      </c>
      <c r="E933" s="293">
        <v>0</v>
      </c>
      <c r="F933" s="294" t="s">
        <v>316</v>
      </c>
    </row>
    <row r="934" spans="1:6" hidden="1" outlineLevel="1" collapsed="1" x14ac:dyDescent="0.25">
      <c r="A934" s="295" t="s">
        <v>282</v>
      </c>
      <c r="B934" s="295" t="s">
        <v>496</v>
      </c>
      <c r="C934" s="293">
        <v>100</v>
      </c>
      <c r="D934" s="293">
        <v>50</v>
      </c>
      <c r="E934" s="293">
        <v>-50</v>
      </c>
      <c r="F934" s="294" t="s">
        <v>722</v>
      </c>
    </row>
    <row r="935" spans="1:6" hidden="1" outlineLevel="1" collapsed="1" x14ac:dyDescent="0.25">
      <c r="A935" s="295" t="s">
        <v>282</v>
      </c>
      <c r="B935" s="295" t="s">
        <v>376</v>
      </c>
      <c r="C935" s="293">
        <v>100</v>
      </c>
      <c r="D935" s="293">
        <v>50</v>
      </c>
      <c r="E935" s="293">
        <v>-50</v>
      </c>
      <c r="F935" s="294" t="s">
        <v>722</v>
      </c>
    </row>
    <row r="936" spans="1:6" hidden="1" outlineLevel="1" collapsed="1" x14ac:dyDescent="0.25">
      <c r="A936" s="295" t="s">
        <v>282</v>
      </c>
      <c r="B936" s="295" t="s">
        <v>597</v>
      </c>
      <c r="C936" s="293">
        <v>100</v>
      </c>
      <c r="D936" s="293">
        <v>50</v>
      </c>
      <c r="E936" s="293">
        <v>-50</v>
      </c>
      <c r="F936" s="294" t="s">
        <v>722</v>
      </c>
    </row>
    <row r="937" spans="1:6" hidden="1" outlineLevel="1" collapsed="1" x14ac:dyDescent="0.25">
      <c r="A937" s="295" t="s">
        <v>282</v>
      </c>
      <c r="B937" s="295" t="s">
        <v>401</v>
      </c>
      <c r="C937" s="293">
        <v>3071</v>
      </c>
      <c r="D937" s="293">
        <v>3071</v>
      </c>
      <c r="E937" s="293">
        <v>0</v>
      </c>
      <c r="F937" s="294" t="s">
        <v>316</v>
      </c>
    </row>
    <row r="938" spans="1:6" hidden="1" outlineLevel="1" collapsed="1" x14ac:dyDescent="0.25">
      <c r="A938" s="295" t="s">
        <v>282</v>
      </c>
      <c r="B938" s="295" t="s">
        <v>405</v>
      </c>
      <c r="C938" s="293">
        <v>0</v>
      </c>
      <c r="D938" s="293">
        <v>50</v>
      </c>
      <c r="E938" s="293">
        <v>50</v>
      </c>
      <c r="F938" s="294" t="s">
        <v>298</v>
      </c>
    </row>
    <row r="939" spans="1:6" hidden="1" outlineLevel="1" collapsed="1" x14ac:dyDescent="0.25">
      <c r="A939" s="295" t="s">
        <v>282</v>
      </c>
      <c r="B939" s="295" t="s">
        <v>422</v>
      </c>
      <c r="C939" s="293">
        <v>908</v>
      </c>
      <c r="D939" s="293">
        <v>100</v>
      </c>
      <c r="E939" s="293">
        <v>-808</v>
      </c>
      <c r="F939" s="294" t="s">
        <v>723</v>
      </c>
    </row>
    <row r="940" spans="1:6" collapsed="1" x14ac:dyDescent="0.25">
      <c r="A940" s="560" t="s">
        <v>724</v>
      </c>
      <c r="B940" s="561"/>
      <c r="C940" s="292">
        <v>109829.10444</v>
      </c>
      <c r="D940" s="293">
        <v>115008.2365</v>
      </c>
      <c r="E940" s="293">
        <v>5179.1320599999999</v>
      </c>
      <c r="F940" s="294" t="s">
        <v>519</v>
      </c>
    </row>
    <row r="941" spans="1:6" hidden="1" outlineLevel="1" collapsed="1" x14ac:dyDescent="0.25">
      <c r="A941" s="295" t="s">
        <v>282</v>
      </c>
      <c r="B941" s="295" t="s">
        <v>358</v>
      </c>
      <c r="C941" s="293">
        <v>85993.68</v>
      </c>
      <c r="D941" s="293">
        <v>89496.934800000003</v>
      </c>
      <c r="E941" s="293">
        <v>3503.2548000000002</v>
      </c>
      <c r="F941" s="294" t="s">
        <v>411</v>
      </c>
    </row>
    <row r="942" spans="1:6" hidden="1" outlineLevel="1" collapsed="1" x14ac:dyDescent="0.25">
      <c r="A942" s="295" t="s">
        <v>282</v>
      </c>
      <c r="B942" s="295" t="s">
        <v>412</v>
      </c>
      <c r="C942" s="293">
        <v>6000</v>
      </c>
      <c r="D942" s="293">
        <v>6000</v>
      </c>
      <c r="E942" s="293">
        <v>0</v>
      </c>
      <c r="F942" s="294" t="s">
        <v>316</v>
      </c>
    </row>
    <row r="943" spans="1:6" hidden="1" outlineLevel="1" collapsed="1" x14ac:dyDescent="0.25">
      <c r="A943" s="295" t="s">
        <v>282</v>
      </c>
      <c r="B943" s="295" t="s">
        <v>360</v>
      </c>
      <c r="C943" s="293">
        <v>11222.17524</v>
      </c>
      <c r="D943" s="293">
        <v>12914.40769</v>
      </c>
      <c r="E943" s="293">
        <v>1692.23245</v>
      </c>
      <c r="F943" s="294" t="s">
        <v>725</v>
      </c>
    </row>
    <row r="944" spans="1:6" hidden="1" outlineLevel="1" collapsed="1" x14ac:dyDescent="0.25">
      <c r="A944" s="295" t="s">
        <v>282</v>
      </c>
      <c r="B944" s="295" t="s">
        <v>362</v>
      </c>
      <c r="C944" s="293">
        <v>1333.9083599999999</v>
      </c>
      <c r="D944" s="293">
        <v>1384.7055499999999</v>
      </c>
      <c r="E944" s="293">
        <v>50.797190000000001</v>
      </c>
      <c r="F944" s="294" t="s">
        <v>726</v>
      </c>
    </row>
    <row r="945" spans="1:6" hidden="1" outlineLevel="1" collapsed="1" x14ac:dyDescent="0.25">
      <c r="A945" s="295" t="s">
        <v>282</v>
      </c>
      <c r="B945" s="295" t="s">
        <v>363</v>
      </c>
      <c r="C945" s="293">
        <v>426.12479999999999</v>
      </c>
      <c r="D945" s="293">
        <v>422.04</v>
      </c>
      <c r="E945" s="293">
        <v>-4.0848000000000004</v>
      </c>
      <c r="F945" s="294" t="s">
        <v>364</v>
      </c>
    </row>
    <row r="946" spans="1:6" hidden="1" outlineLevel="1" collapsed="1" x14ac:dyDescent="0.25">
      <c r="A946" s="295" t="s">
        <v>282</v>
      </c>
      <c r="B946" s="295" t="s">
        <v>367</v>
      </c>
      <c r="C946" s="293">
        <v>233.53919999999999</v>
      </c>
      <c r="D946" s="293">
        <v>182.88</v>
      </c>
      <c r="E946" s="293">
        <v>-50.659199999999998</v>
      </c>
      <c r="F946" s="294" t="s">
        <v>368</v>
      </c>
    </row>
    <row r="947" spans="1:6" hidden="1" outlineLevel="1" collapsed="1" x14ac:dyDescent="0.25">
      <c r="A947" s="295" t="s">
        <v>282</v>
      </c>
      <c r="B947" s="295" t="s">
        <v>369</v>
      </c>
      <c r="C947" s="293">
        <v>45.996839999999999</v>
      </c>
      <c r="D947" s="293">
        <v>47.748460000000001</v>
      </c>
      <c r="E947" s="293">
        <v>1.75162</v>
      </c>
      <c r="F947" s="294" t="s">
        <v>726</v>
      </c>
    </row>
    <row r="948" spans="1:6" hidden="1" outlineLevel="1" collapsed="1" x14ac:dyDescent="0.25">
      <c r="A948" s="295" t="s">
        <v>282</v>
      </c>
      <c r="B948" s="295" t="s">
        <v>370</v>
      </c>
      <c r="C948" s="293">
        <v>1500</v>
      </c>
      <c r="D948" s="293">
        <v>1500</v>
      </c>
      <c r="E948" s="293">
        <v>0</v>
      </c>
      <c r="F948" s="294" t="s">
        <v>316</v>
      </c>
    </row>
    <row r="949" spans="1:6" hidden="1" outlineLevel="1" collapsed="1" x14ac:dyDescent="0.25">
      <c r="A949" s="295" t="s">
        <v>282</v>
      </c>
      <c r="B949" s="295" t="s">
        <v>371</v>
      </c>
      <c r="C949" s="293">
        <v>49.68</v>
      </c>
      <c r="D949" s="293">
        <v>48.48</v>
      </c>
      <c r="E949" s="293">
        <v>-1.2</v>
      </c>
      <c r="F949" s="294" t="s">
        <v>372</v>
      </c>
    </row>
    <row r="950" spans="1:6" hidden="1" outlineLevel="1" collapsed="1" x14ac:dyDescent="0.25">
      <c r="A950" s="295" t="s">
        <v>282</v>
      </c>
      <c r="B950" s="295" t="s">
        <v>373</v>
      </c>
      <c r="C950" s="293">
        <v>24</v>
      </c>
      <c r="D950" s="293">
        <v>11.04</v>
      </c>
      <c r="E950" s="293">
        <v>-12.96</v>
      </c>
      <c r="F950" s="294" t="s">
        <v>374</v>
      </c>
    </row>
    <row r="951" spans="1:6" hidden="1" outlineLevel="1" collapsed="1" x14ac:dyDescent="0.25">
      <c r="A951" s="295" t="s">
        <v>282</v>
      </c>
      <c r="B951" s="295" t="s">
        <v>445</v>
      </c>
      <c r="C951" s="293">
        <v>3000</v>
      </c>
      <c r="D951" s="293">
        <v>3000</v>
      </c>
      <c r="E951" s="293">
        <v>0</v>
      </c>
      <c r="F951" s="294" t="s">
        <v>316</v>
      </c>
    </row>
    <row r="952" spans="1:6" collapsed="1" x14ac:dyDescent="0.25">
      <c r="A952" s="560" t="s">
        <v>727</v>
      </c>
      <c r="B952" s="561"/>
      <c r="C952" s="292">
        <v>74980.472771999994</v>
      </c>
      <c r="D952" s="293">
        <v>84293.422202000002</v>
      </c>
      <c r="E952" s="293">
        <v>9312.9494300000006</v>
      </c>
      <c r="F952" s="294" t="s">
        <v>728</v>
      </c>
    </row>
    <row r="953" spans="1:6" hidden="1" outlineLevel="1" collapsed="1" x14ac:dyDescent="0.25">
      <c r="A953" s="295" t="s">
        <v>282</v>
      </c>
      <c r="B953" s="295" t="s">
        <v>358</v>
      </c>
      <c r="C953" s="293">
        <v>60626.039987999997</v>
      </c>
      <c r="D953" s="293">
        <v>63684.104388</v>
      </c>
      <c r="E953" s="293">
        <v>3058.0644000000002</v>
      </c>
      <c r="F953" s="294" t="s">
        <v>729</v>
      </c>
    </row>
    <row r="954" spans="1:6" hidden="1" outlineLevel="1" collapsed="1" x14ac:dyDescent="0.25">
      <c r="A954" s="295" t="s">
        <v>282</v>
      </c>
      <c r="B954" s="295" t="s">
        <v>412</v>
      </c>
      <c r="C954" s="293">
        <v>0</v>
      </c>
      <c r="D954" s="293">
        <v>5000</v>
      </c>
      <c r="E954" s="293">
        <v>5000</v>
      </c>
      <c r="F954" s="294" t="s">
        <v>298</v>
      </c>
    </row>
    <row r="955" spans="1:6" hidden="1" outlineLevel="1" collapsed="1" x14ac:dyDescent="0.25">
      <c r="A955" s="295" t="s">
        <v>282</v>
      </c>
      <c r="B955" s="295" t="s">
        <v>360</v>
      </c>
      <c r="C955" s="293">
        <v>7911.6982079999998</v>
      </c>
      <c r="D955" s="293">
        <v>9189.6162600000007</v>
      </c>
      <c r="E955" s="293">
        <v>1277.918052</v>
      </c>
      <c r="F955" s="294" t="s">
        <v>730</v>
      </c>
    </row>
    <row r="956" spans="1:6" hidden="1" outlineLevel="1" collapsed="1" x14ac:dyDescent="0.25">
      <c r="A956" s="295" t="s">
        <v>282</v>
      </c>
      <c r="B956" s="295" t="s">
        <v>362</v>
      </c>
      <c r="C956" s="293">
        <v>879.07756800000004</v>
      </c>
      <c r="D956" s="293">
        <v>923.41950599999996</v>
      </c>
      <c r="E956" s="293">
        <v>44.341937999999999</v>
      </c>
      <c r="F956" s="294" t="s">
        <v>729</v>
      </c>
    </row>
    <row r="957" spans="1:6" hidden="1" outlineLevel="1" collapsed="1" x14ac:dyDescent="0.25">
      <c r="A957" s="295" t="s">
        <v>282</v>
      </c>
      <c r="B957" s="295" t="s">
        <v>363</v>
      </c>
      <c r="C957" s="293">
        <v>426.12479999999999</v>
      </c>
      <c r="D957" s="293">
        <v>422.04</v>
      </c>
      <c r="E957" s="293">
        <v>-4.0848000000000004</v>
      </c>
      <c r="F957" s="294" t="s">
        <v>364</v>
      </c>
    </row>
    <row r="958" spans="1:6" hidden="1" outlineLevel="1" collapsed="1" x14ac:dyDescent="0.25">
      <c r="A958" s="295" t="s">
        <v>282</v>
      </c>
      <c r="B958" s="295" t="s">
        <v>367</v>
      </c>
      <c r="C958" s="293">
        <v>233.53919999999999</v>
      </c>
      <c r="D958" s="293">
        <v>182.88</v>
      </c>
      <c r="E958" s="293">
        <v>-50.659199999999998</v>
      </c>
      <c r="F958" s="294" t="s">
        <v>368</v>
      </c>
    </row>
    <row r="959" spans="1:6" hidden="1" outlineLevel="1" collapsed="1" x14ac:dyDescent="0.25">
      <c r="A959" s="295" t="s">
        <v>282</v>
      </c>
      <c r="B959" s="295" t="s">
        <v>369</v>
      </c>
      <c r="C959" s="293">
        <v>30.313008</v>
      </c>
      <c r="D959" s="293">
        <v>31.842047999999998</v>
      </c>
      <c r="E959" s="293">
        <v>1.52904</v>
      </c>
      <c r="F959" s="294" t="s">
        <v>729</v>
      </c>
    </row>
    <row r="960" spans="1:6" hidden="1" outlineLevel="1" collapsed="1" x14ac:dyDescent="0.25">
      <c r="A960" s="295" t="s">
        <v>282</v>
      </c>
      <c r="B960" s="295" t="s">
        <v>370</v>
      </c>
      <c r="C960" s="293">
        <v>1500</v>
      </c>
      <c r="D960" s="293">
        <v>1500</v>
      </c>
      <c r="E960" s="293">
        <v>0</v>
      </c>
      <c r="F960" s="294" t="s">
        <v>316</v>
      </c>
    </row>
    <row r="961" spans="1:6" hidden="1" outlineLevel="1" collapsed="1" x14ac:dyDescent="0.25">
      <c r="A961" s="295" t="s">
        <v>282</v>
      </c>
      <c r="B961" s="295" t="s">
        <v>371</v>
      </c>
      <c r="C961" s="293">
        <v>49.68</v>
      </c>
      <c r="D961" s="293">
        <v>48.48</v>
      </c>
      <c r="E961" s="293">
        <v>-1.2</v>
      </c>
      <c r="F961" s="294" t="s">
        <v>372</v>
      </c>
    </row>
    <row r="962" spans="1:6" hidden="1" outlineLevel="1" collapsed="1" x14ac:dyDescent="0.25">
      <c r="A962" s="295" t="s">
        <v>282</v>
      </c>
      <c r="B962" s="295" t="s">
        <v>373</v>
      </c>
      <c r="C962" s="293">
        <v>24</v>
      </c>
      <c r="D962" s="293">
        <v>11.04</v>
      </c>
      <c r="E962" s="293">
        <v>-12.96</v>
      </c>
      <c r="F962" s="294" t="s">
        <v>374</v>
      </c>
    </row>
    <row r="963" spans="1:6" hidden="1" outlineLevel="1" collapsed="1" x14ac:dyDescent="0.25">
      <c r="A963" s="295" t="s">
        <v>282</v>
      </c>
      <c r="B963" s="295" t="s">
        <v>445</v>
      </c>
      <c r="C963" s="293">
        <v>3000</v>
      </c>
      <c r="D963" s="293">
        <v>3000</v>
      </c>
      <c r="E963" s="293">
        <v>0</v>
      </c>
      <c r="F963" s="294" t="s">
        <v>316</v>
      </c>
    </row>
    <row r="964" spans="1:6" hidden="1" outlineLevel="1" collapsed="1" x14ac:dyDescent="0.25">
      <c r="A964" s="295" t="s">
        <v>282</v>
      </c>
      <c r="B964" s="295" t="s">
        <v>375</v>
      </c>
      <c r="C964" s="293">
        <v>300</v>
      </c>
      <c r="D964" s="293">
        <v>300</v>
      </c>
      <c r="E964" s="293">
        <v>0</v>
      </c>
      <c r="F964" s="294" t="s">
        <v>316</v>
      </c>
    </row>
    <row r="965" spans="1:6" collapsed="1" x14ac:dyDescent="0.25">
      <c r="A965" s="560" t="s">
        <v>731</v>
      </c>
      <c r="B965" s="561"/>
      <c r="C965" s="292">
        <v>194816.27184</v>
      </c>
      <c r="D965" s="293">
        <v>204561.62176000001</v>
      </c>
      <c r="E965" s="293">
        <v>9745.3499200000006</v>
      </c>
      <c r="F965" s="294" t="s">
        <v>732</v>
      </c>
    </row>
    <row r="966" spans="1:6" hidden="1" outlineLevel="1" collapsed="1" x14ac:dyDescent="0.25">
      <c r="A966" s="295" t="s">
        <v>282</v>
      </c>
      <c r="B966" s="295" t="s">
        <v>358</v>
      </c>
      <c r="C966" s="293">
        <v>144828.48000000001</v>
      </c>
      <c r="D966" s="293">
        <v>151111.4136</v>
      </c>
      <c r="E966" s="293">
        <v>6282.9336000000003</v>
      </c>
      <c r="F966" s="294" t="s">
        <v>710</v>
      </c>
    </row>
    <row r="967" spans="1:6" hidden="1" outlineLevel="1" collapsed="1" x14ac:dyDescent="0.25">
      <c r="A967" s="295" t="s">
        <v>282</v>
      </c>
      <c r="B967" s="295" t="s">
        <v>412</v>
      </c>
      <c r="C967" s="293">
        <v>6000</v>
      </c>
      <c r="D967" s="293">
        <v>6000</v>
      </c>
      <c r="E967" s="293">
        <v>0</v>
      </c>
      <c r="F967" s="294" t="s">
        <v>316</v>
      </c>
    </row>
    <row r="968" spans="1:6" hidden="1" outlineLevel="1" collapsed="1" x14ac:dyDescent="0.25">
      <c r="A968" s="295" t="s">
        <v>282</v>
      </c>
      <c r="B968" s="295" t="s">
        <v>360</v>
      </c>
      <c r="C968" s="293">
        <v>18900.11664</v>
      </c>
      <c r="D968" s="293">
        <v>21805.376970000001</v>
      </c>
      <c r="E968" s="293">
        <v>2905.2603300000001</v>
      </c>
      <c r="F968" s="294" t="s">
        <v>711</v>
      </c>
    </row>
    <row r="969" spans="1:6" hidden="1" outlineLevel="1" collapsed="1" x14ac:dyDescent="0.25">
      <c r="A969" s="295" t="s">
        <v>282</v>
      </c>
      <c r="B969" s="295" t="s">
        <v>362</v>
      </c>
      <c r="C969" s="293">
        <v>2187.01296</v>
      </c>
      <c r="D969" s="293">
        <v>2278.1154900000001</v>
      </c>
      <c r="E969" s="293">
        <v>91.102530000000002</v>
      </c>
      <c r="F969" s="294" t="s">
        <v>733</v>
      </c>
    </row>
    <row r="970" spans="1:6" hidden="1" outlineLevel="1" collapsed="1" x14ac:dyDescent="0.25">
      <c r="A970" s="295" t="s">
        <v>282</v>
      </c>
      <c r="B970" s="295" t="s">
        <v>363</v>
      </c>
      <c r="C970" s="293">
        <v>852.24959999999999</v>
      </c>
      <c r="D970" s="293">
        <v>844.08</v>
      </c>
      <c r="E970" s="293">
        <v>-8.1696000000000009</v>
      </c>
      <c r="F970" s="294" t="s">
        <v>364</v>
      </c>
    </row>
    <row r="971" spans="1:6" hidden="1" outlineLevel="1" collapsed="1" x14ac:dyDescent="0.25">
      <c r="A971" s="295" t="s">
        <v>282</v>
      </c>
      <c r="B971" s="295" t="s">
        <v>365</v>
      </c>
      <c r="C971" s="293">
        <v>15358.56</v>
      </c>
      <c r="D971" s="293">
        <v>15959.28</v>
      </c>
      <c r="E971" s="293">
        <v>600.72</v>
      </c>
      <c r="F971" s="294" t="s">
        <v>366</v>
      </c>
    </row>
    <row r="972" spans="1:6" hidden="1" outlineLevel="1" collapsed="1" x14ac:dyDescent="0.25">
      <c r="A972" s="295" t="s">
        <v>282</v>
      </c>
      <c r="B972" s="295" t="s">
        <v>367</v>
      </c>
      <c r="C972" s="293">
        <v>467.07839999999999</v>
      </c>
      <c r="D972" s="293">
        <v>365.76</v>
      </c>
      <c r="E972" s="293">
        <v>-101.3184</v>
      </c>
      <c r="F972" s="294" t="s">
        <v>368</v>
      </c>
    </row>
    <row r="973" spans="1:6" hidden="1" outlineLevel="1" collapsed="1" x14ac:dyDescent="0.25">
      <c r="A973" s="295" t="s">
        <v>282</v>
      </c>
      <c r="B973" s="295" t="s">
        <v>369</v>
      </c>
      <c r="C973" s="293">
        <v>75.414240000000007</v>
      </c>
      <c r="D973" s="293">
        <v>78.555700000000002</v>
      </c>
      <c r="E973" s="293">
        <v>3.1414599999999999</v>
      </c>
      <c r="F973" s="294" t="s">
        <v>733</v>
      </c>
    </row>
    <row r="974" spans="1:6" hidden="1" outlineLevel="1" collapsed="1" x14ac:dyDescent="0.25">
      <c r="A974" s="295" t="s">
        <v>282</v>
      </c>
      <c r="B974" s="295" t="s">
        <v>370</v>
      </c>
      <c r="C974" s="293">
        <v>3000</v>
      </c>
      <c r="D974" s="293">
        <v>3000</v>
      </c>
      <c r="E974" s="293">
        <v>0</v>
      </c>
      <c r="F974" s="294" t="s">
        <v>316</v>
      </c>
    </row>
    <row r="975" spans="1:6" hidden="1" outlineLevel="1" collapsed="1" x14ac:dyDescent="0.25">
      <c r="A975" s="295" t="s">
        <v>282</v>
      </c>
      <c r="B975" s="295" t="s">
        <v>371</v>
      </c>
      <c r="C975" s="293">
        <v>99.36</v>
      </c>
      <c r="D975" s="293">
        <v>96.96</v>
      </c>
      <c r="E975" s="293">
        <v>-2.4</v>
      </c>
      <c r="F975" s="294" t="s">
        <v>372</v>
      </c>
    </row>
    <row r="976" spans="1:6" hidden="1" outlineLevel="1" collapsed="1" x14ac:dyDescent="0.25">
      <c r="A976" s="295" t="s">
        <v>282</v>
      </c>
      <c r="B976" s="295" t="s">
        <v>373</v>
      </c>
      <c r="C976" s="293">
        <v>48</v>
      </c>
      <c r="D976" s="293">
        <v>22.08</v>
      </c>
      <c r="E976" s="293">
        <v>-25.92</v>
      </c>
      <c r="F976" s="294" t="s">
        <v>374</v>
      </c>
    </row>
    <row r="977" spans="1:6" hidden="1" outlineLevel="1" collapsed="1" x14ac:dyDescent="0.25">
      <c r="A977" s="295" t="s">
        <v>282</v>
      </c>
      <c r="B977" s="295" t="s">
        <v>445</v>
      </c>
      <c r="C977" s="293">
        <v>3000</v>
      </c>
      <c r="D977" s="293">
        <v>3000</v>
      </c>
      <c r="E977" s="293">
        <v>0</v>
      </c>
      <c r="F977" s="294" t="s">
        <v>316</v>
      </c>
    </row>
    <row r="978" spans="1:6" collapsed="1" x14ac:dyDescent="0.25">
      <c r="A978" s="560" t="s">
        <v>734</v>
      </c>
      <c r="B978" s="561"/>
      <c r="C978" s="292">
        <v>9238540.3604899999</v>
      </c>
      <c r="D978" s="293">
        <v>9732571.8482900001</v>
      </c>
      <c r="E978" s="293">
        <v>494031.4878</v>
      </c>
      <c r="F978" s="294" t="s">
        <v>676</v>
      </c>
    </row>
    <row r="979" spans="1:6" hidden="1" outlineLevel="1" collapsed="1" x14ac:dyDescent="0.25">
      <c r="A979" s="295" t="s">
        <v>282</v>
      </c>
      <c r="B979" s="295" t="s">
        <v>735</v>
      </c>
      <c r="C979" s="293">
        <v>6557828.9999900004</v>
      </c>
      <c r="D979" s="293">
        <v>6866999.9999900004</v>
      </c>
      <c r="E979" s="293">
        <v>309171</v>
      </c>
      <c r="F979" s="294" t="s">
        <v>736</v>
      </c>
    </row>
    <row r="980" spans="1:6" hidden="1" outlineLevel="1" collapsed="1" x14ac:dyDescent="0.25">
      <c r="A980" s="295" t="s">
        <v>282</v>
      </c>
      <c r="B980" s="295" t="s">
        <v>737</v>
      </c>
      <c r="C980" s="293">
        <v>1200000</v>
      </c>
      <c r="D980" s="293">
        <v>1284000</v>
      </c>
      <c r="E980" s="293">
        <v>84000</v>
      </c>
      <c r="F980" s="294" t="s">
        <v>738</v>
      </c>
    </row>
    <row r="981" spans="1:6" hidden="1" outlineLevel="1" collapsed="1" x14ac:dyDescent="0.25">
      <c r="A981" s="295" t="s">
        <v>282</v>
      </c>
      <c r="B981" s="295" t="s">
        <v>739</v>
      </c>
      <c r="C981" s="293">
        <v>417291</v>
      </c>
      <c r="D981" s="293">
        <v>417291</v>
      </c>
      <c r="E981" s="293">
        <v>0</v>
      </c>
      <c r="F981" s="294" t="s">
        <v>316</v>
      </c>
    </row>
    <row r="982" spans="1:6" hidden="1" outlineLevel="1" collapsed="1" x14ac:dyDescent="0.25">
      <c r="A982" s="295" t="s">
        <v>282</v>
      </c>
      <c r="B982" s="295" t="s">
        <v>360</v>
      </c>
      <c r="C982" s="293">
        <v>953789.39549999998</v>
      </c>
      <c r="D982" s="293">
        <v>1054649.8833000001</v>
      </c>
      <c r="E982" s="293">
        <v>100860.4878</v>
      </c>
      <c r="F982" s="294" t="s">
        <v>740</v>
      </c>
    </row>
    <row r="983" spans="1:6" hidden="1" outlineLevel="1" collapsed="1" x14ac:dyDescent="0.25">
      <c r="A983" s="295" t="s">
        <v>282</v>
      </c>
      <c r="B983" s="295" t="s">
        <v>362</v>
      </c>
      <c r="C983" s="293">
        <v>105976.5995</v>
      </c>
      <c r="D983" s="293">
        <v>105976.5995</v>
      </c>
      <c r="E983" s="293">
        <v>0</v>
      </c>
      <c r="F983" s="294" t="s">
        <v>316</v>
      </c>
    </row>
    <row r="984" spans="1:6" hidden="1" outlineLevel="1" collapsed="1" x14ac:dyDescent="0.25">
      <c r="A984" s="295" t="s">
        <v>282</v>
      </c>
      <c r="B984" s="295" t="s">
        <v>369</v>
      </c>
      <c r="C984" s="293">
        <v>3654.3654999999999</v>
      </c>
      <c r="D984" s="293">
        <v>3654.3654999999999</v>
      </c>
      <c r="E984" s="293">
        <v>0</v>
      </c>
      <c r="F984" s="294" t="s">
        <v>316</v>
      </c>
    </row>
    <row r="985" spans="1:6" collapsed="1" x14ac:dyDescent="0.25">
      <c r="A985" s="560" t="s">
        <v>741</v>
      </c>
      <c r="B985" s="561"/>
      <c r="C985" s="292">
        <v>99894.320043999993</v>
      </c>
      <c r="D985" s="293">
        <v>63286.418764000002</v>
      </c>
      <c r="E985" s="293">
        <v>-36607.901279999998</v>
      </c>
      <c r="F985" s="294" t="s">
        <v>742</v>
      </c>
    </row>
    <row r="986" spans="1:6" hidden="1" outlineLevel="1" collapsed="1" x14ac:dyDescent="0.25">
      <c r="A986" s="295" t="s">
        <v>282</v>
      </c>
      <c r="B986" s="295" t="s">
        <v>380</v>
      </c>
      <c r="C986" s="293">
        <v>42576.243827999999</v>
      </c>
      <c r="D986" s="293">
        <v>27298.986862000002</v>
      </c>
      <c r="E986" s="293">
        <v>-15277.256966000001</v>
      </c>
      <c r="F986" s="294" t="s">
        <v>743</v>
      </c>
    </row>
    <row r="987" spans="1:6" hidden="1" outlineLevel="1" collapsed="1" x14ac:dyDescent="0.25">
      <c r="A987" s="295" t="s">
        <v>282</v>
      </c>
      <c r="B987" s="295" t="s">
        <v>452</v>
      </c>
      <c r="C987" s="293">
        <v>19000</v>
      </c>
      <c r="D987" s="293">
        <v>19000</v>
      </c>
      <c r="E987" s="293">
        <v>0</v>
      </c>
      <c r="F987" s="294" t="s">
        <v>316</v>
      </c>
    </row>
    <row r="988" spans="1:6" hidden="1" outlineLevel="1" collapsed="1" x14ac:dyDescent="0.25">
      <c r="A988" s="295" t="s">
        <v>282</v>
      </c>
      <c r="B988" s="295" t="s">
        <v>453</v>
      </c>
      <c r="C988" s="293">
        <v>11965</v>
      </c>
      <c r="D988" s="293">
        <v>0</v>
      </c>
      <c r="E988" s="293">
        <v>-11965</v>
      </c>
      <c r="F988" s="294" t="s">
        <v>286</v>
      </c>
    </row>
    <row r="989" spans="1:6" hidden="1" outlineLevel="1" collapsed="1" x14ac:dyDescent="0.25">
      <c r="A989" s="295" t="s">
        <v>282</v>
      </c>
      <c r="B989" s="295" t="s">
        <v>384</v>
      </c>
      <c r="C989" s="293">
        <v>5356.0914720000001</v>
      </c>
      <c r="D989" s="293">
        <v>0</v>
      </c>
      <c r="E989" s="293">
        <v>-5356.0914720000001</v>
      </c>
      <c r="F989" s="294" t="s">
        <v>286</v>
      </c>
    </row>
    <row r="990" spans="1:6" hidden="1" outlineLevel="1" collapsed="1" x14ac:dyDescent="0.25">
      <c r="A990" s="295" t="s">
        <v>282</v>
      </c>
      <c r="B990" s="295" t="s">
        <v>385</v>
      </c>
      <c r="C990" s="293">
        <v>0</v>
      </c>
      <c r="D990" s="293">
        <v>4313.2399240000004</v>
      </c>
      <c r="E990" s="293">
        <v>4313.2399240000004</v>
      </c>
      <c r="F990" s="294" t="s">
        <v>298</v>
      </c>
    </row>
    <row r="991" spans="1:6" hidden="1" outlineLevel="1" collapsed="1" x14ac:dyDescent="0.25">
      <c r="A991" s="295" t="s">
        <v>282</v>
      </c>
      <c r="B991" s="295" t="s">
        <v>386</v>
      </c>
      <c r="C991" s="293">
        <v>2639.727108</v>
      </c>
      <c r="D991" s="293">
        <v>0</v>
      </c>
      <c r="E991" s="293">
        <v>-2639.727108</v>
      </c>
      <c r="F991" s="294" t="s">
        <v>286</v>
      </c>
    </row>
    <row r="992" spans="1:6" hidden="1" outlineLevel="1" collapsed="1" x14ac:dyDescent="0.25">
      <c r="A992" s="295" t="s">
        <v>282</v>
      </c>
      <c r="B992" s="295" t="s">
        <v>387</v>
      </c>
      <c r="C992" s="293">
        <v>0</v>
      </c>
      <c r="D992" s="293">
        <v>1692.537182</v>
      </c>
      <c r="E992" s="293">
        <v>1692.537182</v>
      </c>
      <c r="F992" s="294" t="s">
        <v>298</v>
      </c>
    </row>
    <row r="993" spans="1:6" hidden="1" outlineLevel="1" collapsed="1" x14ac:dyDescent="0.25">
      <c r="A993" s="295" t="s">
        <v>282</v>
      </c>
      <c r="B993" s="295" t="s">
        <v>388</v>
      </c>
      <c r="C993" s="293">
        <v>617.35552399999995</v>
      </c>
      <c r="D993" s="293">
        <v>395.835307</v>
      </c>
      <c r="E993" s="293">
        <v>-221.520217</v>
      </c>
      <c r="F993" s="294" t="s">
        <v>743</v>
      </c>
    </row>
    <row r="994" spans="1:6" hidden="1" outlineLevel="1" collapsed="1" x14ac:dyDescent="0.25">
      <c r="A994" s="295" t="s">
        <v>282</v>
      </c>
      <c r="B994" s="295" t="s">
        <v>389</v>
      </c>
      <c r="C994" s="293">
        <v>426.12479999999999</v>
      </c>
      <c r="D994" s="293">
        <v>246.19</v>
      </c>
      <c r="E994" s="293">
        <v>-179.9348</v>
      </c>
      <c r="F994" s="294" t="s">
        <v>744</v>
      </c>
    </row>
    <row r="995" spans="1:6" hidden="1" outlineLevel="1" collapsed="1" x14ac:dyDescent="0.25">
      <c r="A995" s="295" t="s">
        <v>282</v>
      </c>
      <c r="B995" s="295" t="s">
        <v>390</v>
      </c>
      <c r="C995" s="293">
        <v>15485.27</v>
      </c>
      <c r="D995" s="293">
        <v>9309.58</v>
      </c>
      <c r="E995" s="293">
        <v>-6175.69</v>
      </c>
      <c r="F995" s="294" t="s">
        <v>745</v>
      </c>
    </row>
    <row r="996" spans="1:6" hidden="1" outlineLevel="1" collapsed="1" x14ac:dyDescent="0.25">
      <c r="A996" s="295" t="s">
        <v>282</v>
      </c>
      <c r="B996" s="295" t="s">
        <v>392</v>
      </c>
      <c r="C996" s="293">
        <v>233.53919999999999</v>
      </c>
      <c r="D996" s="293">
        <v>106.68</v>
      </c>
      <c r="E996" s="293">
        <v>-126.8592</v>
      </c>
      <c r="F996" s="294" t="s">
        <v>746</v>
      </c>
    </row>
    <row r="997" spans="1:6" hidden="1" outlineLevel="1" collapsed="1" x14ac:dyDescent="0.25">
      <c r="A997" s="295" t="s">
        <v>282</v>
      </c>
      <c r="B997" s="295" t="s">
        <v>393</v>
      </c>
      <c r="C997" s="293">
        <v>21.288112000000002</v>
      </c>
      <c r="D997" s="293">
        <v>13.649489000000001</v>
      </c>
      <c r="E997" s="293">
        <v>-7.6386229999999999</v>
      </c>
      <c r="F997" s="294" t="s">
        <v>743</v>
      </c>
    </row>
    <row r="998" spans="1:6" hidden="1" outlineLevel="1" collapsed="1" x14ac:dyDescent="0.25">
      <c r="A998" s="295" t="s">
        <v>282</v>
      </c>
      <c r="B998" s="295" t="s">
        <v>394</v>
      </c>
      <c r="C998" s="293">
        <v>1500</v>
      </c>
      <c r="D998" s="293">
        <v>0</v>
      </c>
      <c r="E998" s="293">
        <v>-1500</v>
      </c>
      <c r="F998" s="294" t="s">
        <v>286</v>
      </c>
    </row>
    <row r="999" spans="1:6" hidden="1" outlineLevel="1" collapsed="1" x14ac:dyDescent="0.25">
      <c r="A999" s="295" t="s">
        <v>282</v>
      </c>
      <c r="B999" s="295" t="s">
        <v>395</v>
      </c>
      <c r="C999" s="293">
        <v>0</v>
      </c>
      <c r="D999" s="293">
        <v>875</v>
      </c>
      <c r="E999" s="293">
        <v>875</v>
      </c>
      <c r="F999" s="294" t="s">
        <v>298</v>
      </c>
    </row>
    <row r="1000" spans="1:6" hidden="1" outlineLevel="1" collapsed="1" x14ac:dyDescent="0.25">
      <c r="A1000" s="295" t="s">
        <v>282</v>
      </c>
      <c r="B1000" s="295" t="s">
        <v>396</v>
      </c>
      <c r="C1000" s="293">
        <v>49.68</v>
      </c>
      <c r="D1000" s="293">
        <v>0</v>
      </c>
      <c r="E1000" s="293">
        <v>-49.68</v>
      </c>
      <c r="F1000" s="294" t="s">
        <v>286</v>
      </c>
    </row>
    <row r="1001" spans="1:6" hidden="1" outlineLevel="1" collapsed="1" x14ac:dyDescent="0.25">
      <c r="A1001" s="295" t="s">
        <v>282</v>
      </c>
      <c r="B1001" s="295" t="s">
        <v>397</v>
      </c>
      <c r="C1001" s="293">
        <v>0</v>
      </c>
      <c r="D1001" s="293">
        <v>28.28</v>
      </c>
      <c r="E1001" s="293">
        <v>28.28</v>
      </c>
      <c r="F1001" s="294" t="s">
        <v>298</v>
      </c>
    </row>
    <row r="1002" spans="1:6" hidden="1" outlineLevel="1" collapsed="1" x14ac:dyDescent="0.25">
      <c r="A1002" s="295" t="s">
        <v>282</v>
      </c>
      <c r="B1002" s="295" t="s">
        <v>398</v>
      </c>
      <c r="C1002" s="293">
        <v>24</v>
      </c>
      <c r="D1002" s="293">
        <v>6.44</v>
      </c>
      <c r="E1002" s="293">
        <v>-17.559999999999999</v>
      </c>
      <c r="F1002" s="294" t="s">
        <v>747</v>
      </c>
    </row>
    <row r="1003" spans="1:6" collapsed="1" x14ac:dyDescent="0.25">
      <c r="A1003" s="560" t="s">
        <v>748</v>
      </c>
      <c r="B1003" s="561"/>
      <c r="C1003" s="292">
        <v>28455.488292999999</v>
      </c>
      <c r="D1003" s="293">
        <v>29648.436917999999</v>
      </c>
      <c r="E1003" s="293">
        <v>1192.948625</v>
      </c>
      <c r="F1003" s="294" t="s">
        <v>749</v>
      </c>
    </row>
    <row r="1004" spans="1:6" hidden="1" outlineLevel="1" collapsed="1" x14ac:dyDescent="0.25">
      <c r="A1004" s="295" t="s">
        <v>282</v>
      </c>
      <c r="B1004" s="295" t="s">
        <v>750</v>
      </c>
      <c r="C1004" s="293">
        <v>20725.791998000001</v>
      </c>
      <c r="D1004" s="293">
        <v>21389.086878999999</v>
      </c>
      <c r="E1004" s="293">
        <v>663.29488100000003</v>
      </c>
      <c r="F1004" s="294" t="s">
        <v>562</v>
      </c>
    </row>
    <row r="1005" spans="1:6" hidden="1" outlineLevel="1" collapsed="1" x14ac:dyDescent="0.25">
      <c r="A1005" s="295" t="s">
        <v>282</v>
      </c>
      <c r="B1005" s="295" t="s">
        <v>751</v>
      </c>
      <c r="C1005" s="293">
        <v>2704.7158530000002</v>
      </c>
      <c r="D1005" s="293">
        <v>0</v>
      </c>
      <c r="E1005" s="293">
        <v>-2704.7158530000002</v>
      </c>
      <c r="F1005" s="294" t="s">
        <v>286</v>
      </c>
    </row>
    <row r="1006" spans="1:6" hidden="1" outlineLevel="1" collapsed="1" x14ac:dyDescent="0.25">
      <c r="A1006" s="295" t="s">
        <v>282</v>
      </c>
      <c r="B1006" s="295" t="s">
        <v>752</v>
      </c>
      <c r="C1006" s="293">
        <v>0</v>
      </c>
      <c r="D1006" s="293">
        <v>3086.4452339999998</v>
      </c>
      <c r="E1006" s="293">
        <v>3086.4452339999998</v>
      </c>
      <c r="F1006" s="294" t="s">
        <v>298</v>
      </c>
    </row>
    <row r="1007" spans="1:6" hidden="1" outlineLevel="1" collapsed="1" x14ac:dyDescent="0.25">
      <c r="A1007" s="295" t="s">
        <v>282</v>
      </c>
      <c r="B1007" s="295" t="s">
        <v>753</v>
      </c>
      <c r="C1007" s="293">
        <v>1284.999102</v>
      </c>
      <c r="D1007" s="293">
        <v>1326.1233850000001</v>
      </c>
      <c r="E1007" s="293">
        <v>41.124282999999998</v>
      </c>
      <c r="F1007" s="294" t="s">
        <v>562</v>
      </c>
    </row>
    <row r="1008" spans="1:6" hidden="1" outlineLevel="1" collapsed="1" x14ac:dyDescent="0.25">
      <c r="A1008" s="295" t="s">
        <v>282</v>
      </c>
      <c r="B1008" s="295" t="s">
        <v>388</v>
      </c>
      <c r="C1008" s="293">
        <v>300.52398199999999</v>
      </c>
      <c r="D1008" s="293">
        <v>310.14175799999998</v>
      </c>
      <c r="E1008" s="293">
        <v>9.6177759999999992</v>
      </c>
      <c r="F1008" s="294" t="s">
        <v>562</v>
      </c>
    </row>
    <row r="1009" spans="1:6" hidden="1" outlineLevel="1" collapsed="1" x14ac:dyDescent="0.25">
      <c r="A1009" s="295" t="s">
        <v>282</v>
      </c>
      <c r="B1009" s="295" t="s">
        <v>754</v>
      </c>
      <c r="C1009" s="293">
        <v>2856.6921600000001</v>
      </c>
      <c r="D1009" s="293">
        <v>2968.4260800000002</v>
      </c>
      <c r="E1009" s="293">
        <v>111.73392</v>
      </c>
      <c r="F1009" s="294" t="s">
        <v>366</v>
      </c>
    </row>
    <row r="1010" spans="1:6" hidden="1" outlineLevel="1" collapsed="1" x14ac:dyDescent="0.25">
      <c r="A1010" s="295" t="s">
        <v>282</v>
      </c>
      <c r="B1010" s="295" t="s">
        <v>755</v>
      </c>
      <c r="C1010" s="293">
        <v>92.042957000000001</v>
      </c>
      <c r="D1010" s="293">
        <v>91.160640000000001</v>
      </c>
      <c r="E1010" s="293">
        <v>-0.88231700000000002</v>
      </c>
      <c r="F1010" s="294" t="s">
        <v>364</v>
      </c>
    </row>
    <row r="1011" spans="1:6" hidden="1" outlineLevel="1" collapsed="1" x14ac:dyDescent="0.25">
      <c r="A1011" s="295" t="s">
        <v>282</v>
      </c>
      <c r="B1011" s="295" t="s">
        <v>756</v>
      </c>
      <c r="C1011" s="293">
        <v>50.444467000000003</v>
      </c>
      <c r="D1011" s="293">
        <v>39.502079999999999</v>
      </c>
      <c r="E1011" s="293">
        <v>-10.942387</v>
      </c>
      <c r="F1011" s="294" t="s">
        <v>368</v>
      </c>
    </row>
    <row r="1012" spans="1:6" hidden="1" outlineLevel="1" collapsed="1" x14ac:dyDescent="0.25">
      <c r="A1012" s="295" t="s">
        <v>282</v>
      </c>
      <c r="B1012" s="295" t="s">
        <v>757</v>
      </c>
      <c r="C1012" s="293">
        <v>10.362894000000001</v>
      </c>
      <c r="D1012" s="293">
        <v>0</v>
      </c>
      <c r="E1012" s="293">
        <v>-10.362894000000001</v>
      </c>
      <c r="F1012" s="294" t="s">
        <v>286</v>
      </c>
    </row>
    <row r="1013" spans="1:6" hidden="1" outlineLevel="1" collapsed="1" x14ac:dyDescent="0.25">
      <c r="A1013" s="295" t="s">
        <v>282</v>
      </c>
      <c r="B1013" s="295" t="s">
        <v>758</v>
      </c>
      <c r="C1013" s="293">
        <v>0</v>
      </c>
      <c r="D1013" s="293">
        <v>10.694542</v>
      </c>
      <c r="E1013" s="293">
        <v>10.694542</v>
      </c>
      <c r="F1013" s="294" t="s">
        <v>298</v>
      </c>
    </row>
    <row r="1014" spans="1:6" hidden="1" outlineLevel="1" collapsed="1" x14ac:dyDescent="0.25">
      <c r="A1014" s="295" t="s">
        <v>282</v>
      </c>
      <c r="B1014" s="295" t="s">
        <v>759</v>
      </c>
      <c r="C1014" s="293">
        <v>324</v>
      </c>
      <c r="D1014" s="293">
        <v>0</v>
      </c>
      <c r="E1014" s="293">
        <v>-324</v>
      </c>
      <c r="F1014" s="294" t="s">
        <v>286</v>
      </c>
    </row>
    <row r="1015" spans="1:6" hidden="1" outlineLevel="1" collapsed="1" x14ac:dyDescent="0.25">
      <c r="A1015" s="295" t="s">
        <v>282</v>
      </c>
      <c r="B1015" s="295" t="s">
        <v>760</v>
      </c>
      <c r="C1015" s="293">
        <v>0</v>
      </c>
      <c r="D1015" s="293">
        <v>324</v>
      </c>
      <c r="E1015" s="293">
        <v>324</v>
      </c>
      <c r="F1015" s="294" t="s">
        <v>298</v>
      </c>
    </row>
    <row r="1016" spans="1:6" hidden="1" outlineLevel="1" collapsed="1" x14ac:dyDescent="0.25">
      <c r="A1016" s="295" t="s">
        <v>282</v>
      </c>
      <c r="B1016" s="295" t="s">
        <v>761</v>
      </c>
      <c r="C1016" s="293">
        <v>10.730880000000001</v>
      </c>
      <c r="D1016" s="293">
        <v>0</v>
      </c>
      <c r="E1016" s="293">
        <v>-10.730880000000001</v>
      </c>
      <c r="F1016" s="294" t="s">
        <v>286</v>
      </c>
    </row>
    <row r="1017" spans="1:6" hidden="1" outlineLevel="1" collapsed="1" x14ac:dyDescent="0.25">
      <c r="A1017" s="295" t="s">
        <v>282</v>
      </c>
      <c r="B1017" s="295" t="s">
        <v>762</v>
      </c>
      <c r="C1017" s="293">
        <v>0</v>
      </c>
      <c r="D1017" s="293">
        <v>10.471679999999999</v>
      </c>
      <c r="E1017" s="293">
        <v>10.471679999999999</v>
      </c>
      <c r="F1017" s="294" t="s">
        <v>298</v>
      </c>
    </row>
    <row r="1018" spans="1:6" hidden="1" outlineLevel="1" collapsed="1" x14ac:dyDescent="0.25">
      <c r="A1018" s="295" t="s">
        <v>282</v>
      </c>
      <c r="B1018" s="295" t="s">
        <v>763</v>
      </c>
      <c r="C1018" s="293">
        <v>5.1840000000000002</v>
      </c>
      <c r="D1018" s="293">
        <v>2.3846400000000001</v>
      </c>
      <c r="E1018" s="293">
        <v>-2.7993600000000001</v>
      </c>
      <c r="F1018" s="294" t="s">
        <v>374</v>
      </c>
    </row>
    <row r="1019" spans="1:6" hidden="1" outlineLevel="1" collapsed="1" x14ac:dyDescent="0.25">
      <c r="A1019" s="295" t="s">
        <v>282</v>
      </c>
      <c r="B1019" s="295" t="s">
        <v>522</v>
      </c>
      <c r="C1019" s="293">
        <v>90</v>
      </c>
      <c r="D1019" s="293">
        <v>90</v>
      </c>
      <c r="E1019" s="293">
        <v>0</v>
      </c>
      <c r="F1019" s="294" t="s">
        <v>316</v>
      </c>
    </row>
    <row r="1020" spans="1:6" collapsed="1" x14ac:dyDescent="0.25">
      <c r="A1020" s="560" t="s">
        <v>764</v>
      </c>
      <c r="B1020" s="561"/>
      <c r="C1020" s="292">
        <v>88516.257100000003</v>
      </c>
      <c r="D1020" s="293">
        <v>92964.013915000003</v>
      </c>
      <c r="E1020" s="293">
        <v>4447.7568149999997</v>
      </c>
      <c r="F1020" s="294" t="s">
        <v>765</v>
      </c>
    </row>
    <row r="1021" spans="1:6" hidden="1" outlineLevel="1" collapsed="1" x14ac:dyDescent="0.25">
      <c r="A1021" s="295" t="s">
        <v>282</v>
      </c>
      <c r="B1021" s="295" t="s">
        <v>380</v>
      </c>
      <c r="C1021" s="293">
        <v>58944.365755999999</v>
      </c>
      <c r="D1021" s="293">
        <v>60701.776471999998</v>
      </c>
      <c r="E1021" s="293">
        <v>1757.4107160000001</v>
      </c>
      <c r="F1021" s="294" t="s">
        <v>381</v>
      </c>
    </row>
    <row r="1022" spans="1:6" hidden="1" outlineLevel="1" collapsed="1" x14ac:dyDescent="0.25">
      <c r="A1022" s="295" t="s">
        <v>282</v>
      </c>
      <c r="B1022" s="295" t="s">
        <v>384</v>
      </c>
      <c r="C1022" s="293">
        <v>7314.5612039999996</v>
      </c>
      <c r="D1022" s="293">
        <v>0</v>
      </c>
      <c r="E1022" s="293">
        <v>-7314.5612039999996</v>
      </c>
      <c r="F1022" s="294" t="s">
        <v>286</v>
      </c>
    </row>
    <row r="1023" spans="1:6" hidden="1" outlineLevel="1" collapsed="1" x14ac:dyDescent="0.25">
      <c r="A1023" s="295" t="s">
        <v>282</v>
      </c>
      <c r="B1023" s="295" t="s">
        <v>385</v>
      </c>
      <c r="C1023" s="293">
        <v>0</v>
      </c>
      <c r="D1023" s="293">
        <v>9464.4806759999992</v>
      </c>
      <c r="E1023" s="293">
        <v>9464.4806759999992</v>
      </c>
      <c r="F1023" s="294" t="s">
        <v>298</v>
      </c>
    </row>
    <row r="1024" spans="1:6" hidden="1" outlineLevel="1" collapsed="1" x14ac:dyDescent="0.25">
      <c r="A1024" s="295" t="s">
        <v>282</v>
      </c>
      <c r="B1024" s="295" t="s">
        <v>386</v>
      </c>
      <c r="C1024" s="293">
        <v>3654.5506679999999</v>
      </c>
      <c r="D1024" s="293">
        <v>0</v>
      </c>
      <c r="E1024" s="293">
        <v>-3654.5506679999999</v>
      </c>
      <c r="F1024" s="294" t="s">
        <v>286</v>
      </c>
    </row>
    <row r="1025" spans="1:6" hidden="1" outlineLevel="1" collapsed="1" x14ac:dyDescent="0.25">
      <c r="A1025" s="295" t="s">
        <v>282</v>
      </c>
      <c r="B1025" s="295" t="s">
        <v>387</v>
      </c>
      <c r="C1025" s="293">
        <v>0</v>
      </c>
      <c r="D1025" s="293">
        <v>3763.510139</v>
      </c>
      <c r="E1025" s="293">
        <v>3763.510139</v>
      </c>
      <c r="F1025" s="294" t="s">
        <v>298</v>
      </c>
    </row>
    <row r="1026" spans="1:6" hidden="1" outlineLevel="1" collapsed="1" x14ac:dyDescent="0.25">
      <c r="A1026" s="295" t="s">
        <v>282</v>
      </c>
      <c r="B1026" s="295" t="s">
        <v>388</v>
      </c>
      <c r="C1026" s="293">
        <v>854.69329200000004</v>
      </c>
      <c r="D1026" s="293">
        <v>880.175748</v>
      </c>
      <c r="E1026" s="293">
        <v>25.482455999999999</v>
      </c>
      <c r="F1026" s="294" t="s">
        <v>381</v>
      </c>
    </row>
    <row r="1027" spans="1:6" hidden="1" outlineLevel="1" collapsed="1" x14ac:dyDescent="0.25">
      <c r="A1027" s="295" t="s">
        <v>282</v>
      </c>
      <c r="B1027" s="295" t="s">
        <v>389</v>
      </c>
      <c r="C1027" s="293">
        <v>426.12479999999999</v>
      </c>
      <c r="D1027" s="293">
        <v>422.04</v>
      </c>
      <c r="E1027" s="293">
        <v>-4.0848000000000004</v>
      </c>
      <c r="F1027" s="294" t="s">
        <v>364</v>
      </c>
    </row>
    <row r="1028" spans="1:6" hidden="1" outlineLevel="1" collapsed="1" x14ac:dyDescent="0.25">
      <c r="A1028" s="295" t="s">
        <v>282</v>
      </c>
      <c r="B1028" s="295" t="s">
        <v>390</v>
      </c>
      <c r="C1028" s="293">
        <v>15485.27</v>
      </c>
      <c r="D1028" s="293">
        <v>15959.28</v>
      </c>
      <c r="E1028" s="293">
        <v>474.01</v>
      </c>
      <c r="F1028" s="294" t="s">
        <v>391</v>
      </c>
    </row>
    <row r="1029" spans="1:6" hidden="1" outlineLevel="1" collapsed="1" x14ac:dyDescent="0.25">
      <c r="A1029" s="295" t="s">
        <v>282</v>
      </c>
      <c r="B1029" s="295" t="s">
        <v>392</v>
      </c>
      <c r="C1029" s="293">
        <v>233.53919999999999</v>
      </c>
      <c r="D1029" s="293">
        <v>182.88</v>
      </c>
      <c r="E1029" s="293">
        <v>-50.659199999999998</v>
      </c>
      <c r="F1029" s="294" t="s">
        <v>368</v>
      </c>
    </row>
    <row r="1030" spans="1:6" hidden="1" outlineLevel="1" collapsed="1" x14ac:dyDescent="0.25">
      <c r="A1030" s="295" t="s">
        <v>282</v>
      </c>
      <c r="B1030" s="295" t="s">
        <v>393</v>
      </c>
      <c r="C1030" s="293">
        <v>29.472180000000002</v>
      </c>
      <c r="D1030" s="293">
        <v>30.35088</v>
      </c>
      <c r="E1030" s="293">
        <v>0.87870000000000004</v>
      </c>
      <c r="F1030" s="294" t="s">
        <v>381</v>
      </c>
    </row>
    <row r="1031" spans="1:6" hidden="1" outlineLevel="1" collapsed="1" x14ac:dyDescent="0.25">
      <c r="A1031" s="295" t="s">
        <v>282</v>
      </c>
      <c r="B1031" s="295" t="s">
        <v>394</v>
      </c>
      <c r="C1031" s="293">
        <v>1500</v>
      </c>
      <c r="D1031" s="293">
        <v>0</v>
      </c>
      <c r="E1031" s="293">
        <v>-1500</v>
      </c>
      <c r="F1031" s="294" t="s">
        <v>286</v>
      </c>
    </row>
    <row r="1032" spans="1:6" hidden="1" outlineLevel="1" collapsed="1" x14ac:dyDescent="0.25">
      <c r="A1032" s="295" t="s">
        <v>282</v>
      </c>
      <c r="B1032" s="295" t="s">
        <v>395</v>
      </c>
      <c r="C1032" s="293">
        <v>0</v>
      </c>
      <c r="D1032" s="293">
        <v>1500</v>
      </c>
      <c r="E1032" s="293">
        <v>1500</v>
      </c>
      <c r="F1032" s="294" t="s">
        <v>298</v>
      </c>
    </row>
    <row r="1033" spans="1:6" hidden="1" outlineLevel="1" collapsed="1" x14ac:dyDescent="0.25">
      <c r="A1033" s="295" t="s">
        <v>282</v>
      </c>
      <c r="B1033" s="295" t="s">
        <v>396</v>
      </c>
      <c r="C1033" s="293">
        <v>49.68</v>
      </c>
      <c r="D1033" s="293">
        <v>0</v>
      </c>
      <c r="E1033" s="293">
        <v>-49.68</v>
      </c>
      <c r="F1033" s="294" t="s">
        <v>286</v>
      </c>
    </row>
    <row r="1034" spans="1:6" hidden="1" outlineLevel="1" collapsed="1" x14ac:dyDescent="0.25">
      <c r="A1034" s="295" t="s">
        <v>282</v>
      </c>
      <c r="B1034" s="295" t="s">
        <v>397</v>
      </c>
      <c r="C1034" s="293">
        <v>0</v>
      </c>
      <c r="D1034" s="293">
        <v>48.48</v>
      </c>
      <c r="E1034" s="293">
        <v>48.48</v>
      </c>
      <c r="F1034" s="294" t="s">
        <v>298</v>
      </c>
    </row>
    <row r="1035" spans="1:6" hidden="1" outlineLevel="1" collapsed="1" x14ac:dyDescent="0.25">
      <c r="A1035" s="295" t="s">
        <v>282</v>
      </c>
      <c r="B1035" s="295" t="s">
        <v>398</v>
      </c>
      <c r="C1035" s="293">
        <v>24</v>
      </c>
      <c r="D1035" s="293">
        <v>11.04</v>
      </c>
      <c r="E1035" s="293">
        <v>-12.96</v>
      </c>
      <c r="F1035" s="294" t="s">
        <v>374</v>
      </c>
    </row>
    <row r="1036" spans="1:6" collapsed="1" x14ac:dyDescent="0.25">
      <c r="A1036" s="560" t="s">
        <v>766</v>
      </c>
      <c r="B1036" s="561"/>
      <c r="C1036" s="292">
        <v>534700.85426000005</v>
      </c>
      <c r="D1036" s="293">
        <v>556737.08867500001</v>
      </c>
      <c r="E1036" s="293">
        <v>22036.234414999999</v>
      </c>
      <c r="F1036" s="294" t="s">
        <v>579</v>
      </c>
    </row>
    <row r="1037" spans="1:6" hidden="1" outlineLevel="1" collapsed="1" x14ac:dyDescent="0.25">
      <c r="A1037" s="295" t="s">
        <v>282</v>
      </c>
      <c r="B1037" s="295" t="s">
        <v>358</v>
      </c>
      <c r="C1037" s="293">
        <v>341921.52</v>
      </c>
      <c r="D1037" s="293">
        <v>352224.4068</v>
      </c>
      <c r="E1037" s="293">
        <v>10302.8868</v>
      </c>
      <c r="F1037" s="294" t="s">
        <v>767</v>
      </c>
    </row>
    <row r="1038" spans="1:6" hidden="1" outlineLevel="1" collapsed="1" x14ac:dyDescent="0.25">
      <c r="A1038" s="295" t="s">
        <v>282</v>
      </c>
      <c r="B1038" s="295" t="s">
        <v>412</v>
      </c>
      <c r="C1038" s="293">
        <v>7000</v>
      </c>
      <c r="D1038" s="293">
        <v>7000</v>
      </c>
      <c r="E1038" s="293">
        <v>0</v>
      </c>
      <c r="F1038" s="294" t="s">
        <v>316</v>
      </c>
    </row>
    <row r="1039" spans="1:6" hidden="1" outlineLevel="1" collapsed="1" x14ac:dyDescent="0.25">
      <c r="A1039" s="295" t="s">
        <v>282</v>
      </c>
      <c r="B1039" s="295" t="s">
        <v>380</v>
      </c>
      <c r="C1039" s="293">
        <v>58944.365755999999</v>
      </c>
      <c r="D1039" s="293">
        <v>60701.776471999998</v>
      </c>
      <c r="E1039" s="293">
        <v>1757.4107160000001</v>
      </c>
      <c r="F1039" s="294" t="s">
        <v>381</v>
      </c>
    </row>
    <row r="1040" spans="1:6" hidden="1" outlineLevel="1" collapsed="1" x14ac:dyDescent="0.25">
      <c r="A1040" s="295" t="s">
        <v>282</v>
      </c>
      <c r="B1040" s="295" t="s">
        <v>360</v>
      </c>
      <c r="C1040" s="293">
        <v>44620.75836</v>
      </c>
      <c r="D1040" s="293">
        <v>50825.981879999999</v>
      </c>
      <c r="E1040" s="293">
        <v>6205.2235199999996</v>
      </c>
      <c r="F1040" s="294" t="s">
        <v>768</v>
      </c>
    </row>
    <row r="1041" spans="1:6" hidden="1" outlineLevel="1" collapsed="1" x14ac:dyDescent="0.25">
      <c r="A1041" s="295" t="s">
        <v>282</v>
      </c>
      <c r="B1041" s="295" t="s">
        <v>384</v>
      </c>
      <c r="C1041" s="293">
        <v>7314.5612039999996</v>
      </c>
      <c r="D1041" s="293">
        <v>0</v>
      </c>
      <c r="E1041" s="293">
        <v>-7314.5612039999996</v>
      </c>
      <c r="F1041" s="294" t="s">
        <v>286</v>
      </c>
    </row>
    <row r="1042" spans="1:6" hidden="1" outlineLevel="1" collapsed="1" x14ac:dyDescent="0.25">
      <c r="A1042" s="295" t="s">
        <v>282</v>
      </c>
      <c r="B1042" s="295" t="s">
        <v>385</v>
      </c>
      <c r="C1042" s="293">
        <v>0</v>
      </c>
      <c r="D1042" s="293">
        <v>9464.4806759999992</v>
      </c>
      <c r="E1042" s="293">
        <v>9464.4806759999992</v>
      </c>
      <c r="F1042" s="294" t="s">
        <v>298</v>
      </c>
    </row>
    <row r="1043" spans="1:6" hidden="1" outlineLevel="1" collapsed="1" x14ac:dyDescent="0.25">
      <c r="A1043" s="295" t="s">
        <v>282</v>
      </c>
      <c r="B1043" s="295" t="s">
        <v>386</v>
      </c>
      <c r="C1043" s="293">
        <v>3654.5506679999999</v>
      </c>
      <c r="D1043" s="293">
        <v>0</v>
      </c>
      <c r="E1043" s="293">
        <v>-3654.5506679999999</v>
      </c>
      <c r="F1043" s="294" t="s">
        <v>286</v>
      </c>
    </row>
    <row r="1044" spans="1:6" hidden="1" outlineLevel="1" collapsed="1" x14ac:dyDescent="0.25">
      <c r="A1044" s="295" t="s">
        <v>282</v>
      </c>
      <c r="B1044" s="295" t="s">
        <v>387</v>
      </c>
      <c r="C1044" s="293">
        <v>0</v>
      </c>
      <c r="D1044" s="293">
        <v>3763.510139</v>
      </c>
      <c r="E1044" s="293">
        <v>3763.510139</v>
      </c>
      <c r="F1044" s="294" t="s">
        <v>298</v>
      </c>
    </row>
    <row r="1045" spans="1:6" hidden="1" outlineLevel="1" collapsed="1" x14ac:dyDescent="0.25">
      <c r="A1045" s="295" t="s">
        <v>282</v>
      </c>
      <c r="B1045" s="295" t="s">
        <v>362</v>
      </c>
      <c r="C1045" s="293">
        <v>5059.36204</v>
      </c>
      <c r="D1045" s="293">
        <v>5208.7538800000002</v>
      </c>
      <c r="E1045" s="293">
        <v>149.39184</v>
      </c>
      <c r="F1045" s="294" t="s">
        <v>465</v>
      </c>
    </row>
    <row r="1046" spans="1:6" hidden="1" outlineLevel="1" collapsed="1" x14ac:dyDescent="0.25">
      <c r="A1046" s="295" t="s">
        <v>282</v>
      </c>
      <c r="B1046" s="295" t="s">
        <v>388</v>
      </c>
      <c r="C1046" s="293">
        <v>854.69329200000004</v>
      </c>
      <c r="D1046" s="293">
        <v>880.175748</v>
      </c>
      <c r="E1046" s="293">
        <v>25.482455999999999</v>
      </c>
      <c r="F1046" s="294" t="s">
        <v>381</v>
      </c>
    </row>
    <row r="1047" spans="1:6" hidden="1" outlineLevel="1" collapsed="1" x14ac:dyDescent="0.25">
      <c r="A1047" s="295" t="s">
        <v>282</v>
      </c>
      <c r="B1047" s="295" t="s">
        <v>363</v>
      </c>
      <c r="C1047" s="293">
        <v>1704.4992</v>
      </c>
      <c r="D1047" s="293">
        <v>1688.16</v>
      </c>
      <c r="E1047" s="293">
        <v>-16.339200000000002</v>
      </c>
      <c r="F1047" s="294" t="s">
        <v>364</v>
      </c>
    </row>
    <row r="1048" spans="1:6" hidden="1" outlineLevel="1" collapsed="1" x14ac:dyDescent="0.25">
      <c r="A1048" s="295" t="s">
        <v>282</v>
      </c>
      <c r="B1048" s="295" t="s">
        <v>365</v>
      </c>
      <c r="C1048" s="293">
        <v>30717.119999999999</v>
      </c>
      <c r="D1048" s="293">
        <v>31918.560000000001</v>
      </c>
      <c r="E1048" s="293">
        <v>1201.44</v>
      </c>
      <c r="F1048" s="294" t="s">
        <v>366</v>
      </c>
    </row>
    <row r="1049" spans="1:6" hidden="1" outlineLevel="1" collapsed="1" x14ac:dyDescent="0.25">
      <c r="A1049" s="295" t="s">
        <v>282</v>
      </c>
      <c r="B1049" s="295" t="s">
        <v>367</v>
      </c>
      <c r="C1049" s="293">
        <v>934.15679999999998</v>
      </c>
      <c r="D1049" s="293">
        <v>731.52</v>
      </c>
      <c r="E1049" s="293">
        <v>-202.63679999999999</v>
      </c>
      <c r="F1049" s="294" t="s">
        <v>368</v>
      </c>
    </row>
    <row r="1050" spans="1:6" hidden="1" outlineLevel="1" collapsed="1" x14ac:dyDescent="0.25">
      <c r="A1050" s="295" t="s">
        <v>282</v>
      </c>
      <c r="B1050" s="295" t="s">
        <v>389</v>
      </c>
      <c r="C1050" s="293">
        <v>426.12479999999999</v>
      </c>
      <c r="D1050" s="293">
        <v>422.04</v>
      </c>
      <c r="E1050" s="293">
        <v>-4.0848000000000004</v>
      </c>
      <c r="F1050" s="294" t="s">
        <v>364</v>
      </c>
    </row>
    <row r="1051" spans="1:6" hidden="1" outlineLevel="1" collapsed="1" x14ac:dyDescent="0.25">
      <c r="A1051" s="295" t="s">
        <v>282</v>
      </c>
      <c r="B1051" s="295" t="s">
        <v>390</v>
      </c>
      <c r="C1051" s="293">
        <v>15485.27</v>
      </c>
      <c r="D1051" s="293">
        <v>15959.28</v>
      </c>
      <c r="E1051" s="293">
        <v>474.01</v>
      </c>
      <c r="F1051" s="294" t="s">
        <v>391</v>
      </c>
    </row>
    <row r="1052" spans="1:6" hidden="1" outlineLevel="1" collapsed="1" x14ac:dyDescent="0.25">
      <c r="A1052" s="295" t="s">
        <v>282</v>
      </c>
      <c r="B1052" s="295" t="s">
        <v>392</v>
      </c>
      <c r="C1052" s="293">
        <v>233.53919999999999</v>
      </c>
      <c r="D1052" s="293">
        <v>182.88</v>
      </c>
      <c r="E1052" s="293">
        <v>-50.659199999999998</v>
      </c>
      <c r="F1052" s="294" t="s">
        <v>368</v>
      </c>
    </row>
    <row r="1053" spans="1:6" hidden="1" outlineLevel="1" collapsed="1" x14ac:dyDescent="0.25">
      <c r="A1053" s="295" t="s">
        <v>282</v>
      </c>
      <c r="B1053" s="295" t="s">
        <v>369</v>
      </c>
      <c r="C1053" s="293">
        <v>174.46075999999999</v>
      </c>
      <c r="D1053" s="293">
        <v>179.6122</v>
      </c>
      <c r="E1053" s="293">
        <v>5.15144</v>
      </c>
      <c r="F1053" s="294" t="s">
        <v>465</v>
      </c>
    </row>
    <row r="1054" spans="1:6" hidden="1" outlineLevel="1" collapsed="1" x14ac:dyDescent="0.25">
      <c r="A1054" s="295" t="s">
        <v>282</v>
      </c>
      <c r="B1054" s="295" t="s">
        <v>393</v>
      </c>
      <c r="C1054" s="293">
        <v>29.472180000000002</v>
      </c>
      <c r="D1054" s="293">
        <v>30.35088</v>
      </c>
      <c r="E1054" s="293">
        <v>0.87870000000000004</v>
      </c>
      <c r="F1054" s="294" t="s">
        <v>381</v>
      </c>
    </row>
    <row r="1055" spans="1:6" hidden="1" outlineLevel="1" collapsed="1" x14ac:dyDescent="0.25">
      <c r="A1055" s="295" t="s">
        <v>282</v>
      </c>
      <c r="B1055" s="295" t="s">
        <v>370</v>
      </c>
      <c r="C1055" s="293">
        <v>6000</v>
      </c>
      <c r="D1055" s="293">
        <v>6000</v>
      </c>
      <c r="E1055" s="293">
        <v>0</v>
      </c>
      <c r="F1055" s="294" t="s">
        <v>316</v>
      </c>
    </row>
    <row r="1056" spans="1:6" hidden="1" outlineLevel="1" collapsed="1" x14ac:dyDescent="0.25">
      <c r="A1056" s="295" t="s">
        <v>282</v>
      </c>
      <c r="B1056" s="295" t="s">
        <v>394</v>
      </c>
      <c r="C1056" s="293">
        <v>1500</v>
      </c>
      <c r="D1056" s="293">
        <v>0</v>
      </c>
      <c r="E1056" s="293">
        <v>-1500</v>
      </c>
      <c r="F1056" s="294" t="s">
        <v>286</v>
      </c>
    </row>
    <row r="1057" spans="1:6" hidden="1" outlineLevel="1" collapsed="1" x14ac:dyDescent="0.25">
      <c r="A1057" s="295" t="s">
        <v>282</v>
      </c>
      <c r="B1057" s="295" t="s">
        <v>395</v>
      </c>
      <c r="C1057" s="293">
        <v>0</v>
      </c>
      <c r="D1057" s="293">
        <v>1500</v>
      </c>
      <c r="E1057" s="293">
        <v>1500</v>
      </c>
      <c r="F1057" s="294" t="s">
        <v>298</v>
      </c>
    </row>
    <row r="1058" spans="1:6" hidden="1" outlineLevel="1" collapsed="1" x14ac:dyDescent="0.25">
      <c r="A1058" s="295" t="s">
        <v>282</v>
      </c>
      <c r="B1058" s="295" t="s">
        <v>371</v>
      </c>
      <c r="C1058" s="293">
        <v>198.72</v>
      </c>
      <c r="D1058" s="293">
        <v>193.92</v>
      </c>
      <c r="E1058" s="293">
        <v>-4.8</v>
      </c>
      <c r="F1058" s="294" t="s">
        <v>372</v>
      </c>
    </row>
    <row r="1059" spans="1:6" hidden="1" outlineLevel="1" collapsed="1" x14ac:dyDescent="0.25">
      <c r="A1059" s="295" t="s">
        <v>282</v>
      </c>
      <c r="B1059" s="295" t="s">
        <v>396</v>
      </c>
      <c r="C1059" s="293">
        <v>49.68</v>
      </c>
      <c r="D1059" s="293">
        <v>0</v>
      </c>
      <c r="E1059" s="293">
        <v>-49.68</v>
      </c>
      <c r="F1059" s="294" t="s">
        <v>286</v>
      </c>
    </row>
    <row r="1060" spans="1:6" hidden="1" outlineLevel="1" collapsed="1" x14ac:dyDescent="0.25">
      <c r="A1060" s="295" t="s">
        <v>282</v>
      </c>
      <c r="B1060" s="295" t="s">
        <v>397</v>
      </c>
      <c r="C1060" s="293">
        <v>0</v>
      </c>
      <c r="D1060" s="293">
        <v>48.48</v>
      </c>
      <c r="E1060" s="293">
        <v>48.48</v>
      </c>
      <c r="F1060" s="294" t="s">
        <v>298</v>
      </c>
    </row>
    <row r="1061" spans="1:6" hidden="1" outlineLevel="1" collapsed="1" x14ac:dyDescent="0.25">
      <c r="A1061" s="295" t="s">
        <v>282</v>
      </c>
      <c r="B1061" s="295" t="s">
        <v>373</v>
      </c>
      <c r="C1061" s="293">
        <v>96</v>
      </c>
      <c r="D1061" s="293">
        <v>44.16</v>
      </c>
      <c r="E1061" s="293">
        <v>-51.84</v>
      </c>
      <c r="F1061" s="294" t="s">
        <v>374</v>
      </c>
    </row>
    <row r="1062" spans="1:6" hidden="1" outlineLevel="1" collapsed="1" x14ac:dyDescent="0.25">
      <c r="A1062" s="295" t="s">
        <v>282</v>
      </c>
      <c r="B1062" s="295" t="s">
        <v>398</v>
      </c>
      <c r="C1062" s="293">
        <v>24</v>
      </c>
      <c r="D1062" s="293">
        <v>11.04</v>
      </c>
      <c r="E1062" s="293">
        <v>-12.96</v>
      </c>
      <c r="F1062" s="294" t="s">
        <v>374</v>
      </c>
    </row>
    <row r="1063" spans="1:6" hidden="1" outlineLevel="1" collapsed="1" x14ac:dyDescent="0.25">
      <c r="A1063" s="295" t="s">
        <v>282</v>
      </c>
      <c r="B1063" s="295" t="s">
        <v>445</v>
      </c>
      <c r="C1063" s="293">
        <v>6000</v>
      </c>
      <c r="D1063" s="293">
        <v>6000</v>
      </c>
      <c r="E1063" s="293">
        <v>0</v>
      </c>
      <c r="F1063" s="294" t="s">
        <v>316</v>
      </c>
    </row>
    <row r="1064" spans="1:6" hidden="1" outlineLevel="1" collapsed="1" x14ac:dyDescent="0.25">
      <c r="A1064" s="295" t="s">
        <v>282</v>
      </c>
      <c r="B1064" s="295" t="s">
        <v>523</v>
      </c>
      <c r="C1064" s="293">
        <v>50</v>
      </c>
      <c r="D1064" s="293">
        <v>50</v>
      </c>
      <c r="E1064" s="293">
        <v>0</v>
      </c>
      <c r="F1064" s="294" t="s">
        <v>316</v>
      </c>
    </row>
    <row r="1065" spans="1:6" hidden="1" outlineLevel="1" collapsed="1" x14ac:dyDescent="0.25">
      <c r="A1065" s="295" t="s">
        <v>282</v>
      </c>
      <c r="B1065" s="295" t="s">
        <v>375</v>
      </c>
      <c r="C1065" s="293">
        <v>743</v>
      </c>
      <c r="D1065" s="293">
        <v>743</v>
      </c>
      <c r="E1065" s="293">
        <v>0</v>
      </c>
      <c r="F1065" s="294" t="s">
        <v>316</v>
      </c>
    </row>
    <row r="1066" spans="1:6" hidden="1" outlineLevel="1" collapsed="1" x14ac:dyDescent="0.25">
      <c r="A1066" s="295" t="s">
        <v>282</v>
      </c>
      <c r="B1066" s="295" t="s">
        <v>376</v>
      </c>
      <c r="C1066" s="293">
        <v>516</v>
      </c>
      <c r="D1066" s="293">
        <v>565</v>
      </c>
      <c r="E1066" s="293">
        <v>49</v>
      </c>
      <c r="F1066" s="294" t="s">
        <v>769</v>
      </c>
    </row>
    <row r="1067" spans="1:6" hidden="1" outlineLevel="1" collapsed="1" x14ac:dyDescent="0.25">
      <c r="A1067" s="295" t="s">
        <v>282</v>
      </c>
      <c r="B1067" s="295" t="s">
        <v>506</v>
      </c>
      <c r="C1067" s="293">
        <v>0</v>
      </c>
      <c r="D1067" s="293">
        <v>250</v>
      </c>
      <c r="E1067" s="293">
        <v>250</v>
      </c>
      <c r="F1067" s="294" t="s">
        <v>298</v>
      </c>
    </row>
    <row r="1068" spans="1:6" hidden="1" outlineLevel="1" collapsed="1" x14ac:dyDescent="0.25">
      <c r="A1068" s="295" t="s">
        <v>282</v>
      </c>
      <c r="B1068" s="295" t="s">
        <v>426</v>
      </c>
      <c r="C1068" s="293">
        <v>250</v>
      </c>
      <c r="D1068" s="293">
        <v>0</v>
      </c>
      <c r="E1068" s="293">
        <v>-250</v>
      </c>
      <c r="F1068" s="294" t="s">
        <v>286</v>
      </c>
    </row>
    <row r="1069" spans="1:6" hidden="1" outlineLevel="1" collapsed="1" x14ac:dyDescent="0.25">
      <c r="A1069" s="295" t="s">
        <v>282</v>
      </c>
      <c r="B1069" s="295" t="s">
        <v>482</v>
      </c>
      <c r="C1069" s="293">
        <v>50</v>
      </c>
      <c r="D1069" s="293">
        <v>50</v>
      </c>
      <c r="E1069" s="293">
        <v>0</v>
      </c>
      <c r="F1069" s="294" t="s">
        <v>316</v>
      </c>
    </row>
    <row r="1070" spans="1:6" hidden="1" outlineLevel="1" collapsed="1" x14ac:dyDescent="0.25">
      <c r="A1070" s="295" t="s">
        <v>282</v>
      </c>
      <c r="B1070" s="295" t="s">
        <v>557</v>
      </c>
      <c r="C1070" s="293">
        <v>0</v>
      </c>
      <c r="D1070" s="293">
        <v>100</v>
      </c>
      <c r="E1070" s="293">
        <v>100</v>
      </c>
      <c r="F1070" s="294" t="s">
        <v>298</v>
      </c>
    </row>
    <row r="1071" spans="1:6" hidden="1" outlineLevel="1" collapsed="1" x14ac:dyDescent="0.25">
      <c r="A1071" s="295" t="s">
        <v>282</v>
      </c>
      <c r="B1071" s="295" t="s">
        <v>770</v>
      </c>
      <c r="C1071" s="293">
        <v>149</v>
      </c>
      <c r="D1071" s="293">
        <v>0</v>
      </c>
      <c r="E1071" s="293">
        <v>-149</v>
      </c>
      <c r="F1071" s="294" t="s">
        <v>286</v>
      </c>
    </row>
    <row r="1072" spans="1:6" collapsed="1" x14ac:dyDescent="0.25">
      <c r="A1072" s="560" t="s">
        <v>771</v>
      </c>
      <c r="B1072" s="561"/>
      <c r="C1072" s="292">
        <v>102405.31411199999</v>
      </c>
      <c r="D1072" s="293">
        <v>107307.456924</v>
      </c>
      <c r="E1072" s="293">
        <v>4902.142812</v>
      </c>
      <c r="F1072" s="294" t="s">
        <v>772</v>
      </c>
    </row>
    <row r="1073" spans="1:6" hidden="1" outlineLevel="1" collapsed="1" x14ac:dyDescent="0.25">
      <c r="A1073" s="295" t="s">
        <v>282</v>
      </c>
      <c r="B1073" s="295" t="s">
        <v>464</v>
      </c>
      <c r="C1073" s="293">
        <v>63191.435105999997</v>
      </c>
      <c r="D1073" s="293">
        <v>65058.321426000002</v>
      </c>
      <c r="E1073" s="293">
        <v>1866.8863200000001</v>
      </c>
      <c r="F1073" s="294" t="s">
        <v>465</v>
      </c>
    </row>
    <row r="1074" spans="1:6" hidden="1" outlineLevel="1" collapsed="1" x14ac:dyDescent="0.25">
      <c r="A1074" s="295" t="s">
        <v>282</v>
      </c>
      <c r="B1074" s="295" t="s">
        <v>384</v>
      </c>
      <c r="C1074" s="293">
        <v>7770.2175360000001</v>
      </c>
      <c r="D1074" s="293">
        <v>0</v>
      </c>
      <c r="E1074" s="293">
        <v>-7770.2175360000001</v>
      </c>
      <c r="F1074" s="294" t="s">
        <v>286</v>
      </c>
    </row>
    <row r="1075" spans="1:6" hidden="1" outlineLevel="1" collapsed="1" x14ac:dyDescent="0.25">
      <c r="A1075" s="295" t="s">
        <v>282</v>
      </c>
      <c r="B1075" s="295" t="s">
        <v>385</v>
      </c>
      <c r="C1075" s="293">
        <v>0</v>
      </c>
      <c r="D1075" s="293">
        <v>10054.064784</v>
      </c>
      <c r="E1075" s="293">
        <v>10054.064784</v>
      </c>
      <c r="F1075" s="294" t="s">
        <v>298</v>
      </c>
    </row>
    <row r="1076" spans="1:6" hidden="1" outlineLevel="1" collapsed="1" x14ac:dyDescent="0.25">
      <c r="A1076" s="295" t="s">
        <v>282</v>
      </c>
      <c r="B1076" s="295" t="s">
        <v>386</v>
      </c>
      <c r="C1076" s="293">
        <v>3917.868966</v>
      </c>
      <c r="D1076" s="293">
        <v>0</v>
      </c>
      <c r="E1076" s="293">
        <v>-3917.868966</v>
      </c>
      <c r="F1076" s="294" t="s">
        <v>286</v>
      </c>
    </row>
    <row r="1077" spans="1:6" hidden="1" outlineLevel="1" collapsed="1" x14ac:dyDescent="0.25">
      <c r="A1077" s="295" t="s">
        <v>282</v>
      </c>
      <c r="B1077" s="295" t="s">
        <v>387</v>
      </c>
      <c r="C1077" s="293">
        <v>0</v>
      </c>
      <c r="D1077" s="293">
        <v>4033.615914</v>
      </c>
      <c r="E1077" s="293">
        <v>4033.615914</v>
      </c>
      <c r="F1077" s="294" t="s">
        <v>298</v>
      </c>
    </row>
    <row r="1078" spans="1:6" hidden="1" outlineLevel="1" collapsed="1" x14ac:dyDescent="0.25">
      <c r="A1078" s="295" t="s">
        <v>282</v>
      </c>
      <c r="B1078" s="295" t="s">
        <v>388</v>
      </c>
      <c r="C1078" s="293">
        <v>916.27579800000001</v>
      </c>
      <c r="D1078" s="293">
        <v>943.34564999999998</v>
      </c>
      <c r="E1078" s="293">
        <v>27.069852000000001</v>
      </c>
      <c r="F1078" s="294" t="s">
        <v>465</v>
      </c>
    </row>
    <row r="1079" spans="1:6" hidden="1" outlineLevel="1" collapsed="1" x14ac:dyDescent="0.25">
      <c r="A1079" s="295" t="s">
        <v>282</v>
      </c>
      <c r="B1079" s="295" t="s">
        <v>389</v>
      </c>
      <c r="C1079" s="293">
        <v>639.18719999999996</v>
      </c>
      <c r="D1079" s="293">
        <v>633.05999999999995</v>
      </c>
      <c r="E1079" s="293">
        <v>-6.1272000000000002</v>
      </c>
      <c r="F1079" s="294" t="s">
        <v>364</v>
      </c>
    </row>
    <row r="1080" spans="1:6" hidden="1" outlineLevel="1" collapsed="1" x14ac:dyDescent="0.25">
      <c r="A1080" s="295" t="s">
        <v>282</v>
      </c>
      <c r="B1080" s="295" t="s">
        <v>390</v>
      </c>
      <c r="C1080" s="293">
        <v>23227.904999999999</v>
      </c>
      <c r="D1080" s="293">
        <v>23938.92</v>
      </c>
      <c r="E1080" s="293">
        <v>711.01499999999999</v>
      </c>
      <c r="F1080" s="294" t="s">
        <v>391</v>
      </c>
    </row>
    <row r="1081" spans="1:6" hidden="1" outlineLevel="1" collapsed="1" x14ac:dyDescent="0.25">
      <c r="A1081" s="295" t="s">
        <v>282</v>
      </c>
      <c r="B1081" s="295" t="s">
        <v>392</v>
      </c>
      <c r="C1081" s="293">
        <v>350.30880000000002</v>
      </c>
      <c r="D1081" s="293">
        <v>274.32</v>
      </c>
      <c r="E1081" s="293">
        <v>-75.988799999999998</v>
      </c>
      <c r="F1081" s="294" t="s">
        <v>368</v>
      </c>
    </row>
    <row r="1082" spans="1:6" hidden="1" outlineLevel="1" collapsed="1" x14ac:dyDescent="0.25">
      <c r="A1082" s="295" t="s">
        <v>282</v>
      </c>
      <c r="B1082" s="295" t="s">
        <v>393</v>
      </c>
      <c r="C1082" s="293">
        <v>31.595706</v>
      </c>
      <c r="D1082" s="293">
        <v>32.529150000000001</v>
      </c>
      <c r="E1082" s="293">
        <v>0.93344400000000005</v>
      </c>
      <c r="F1082" s="294" t="s">
        <v>465</v>
      </c>
    </row>
    <row r="1083" spans="1:6" hidden="1" outlineLevel="1" collapsed="1" x14ac:dyDescent="0.25">
      <c r="A1083" s="295" t="s">
        <v>282</v>
      </c>
      <c r="B1083" s="295" t="s">
        <v>394</v>
      </c>
      <c r="C1083" s="293">
        <v>2250</v>
      </c>
      <c r="D1083" s="293">
        <v>0</v>
      </c>
      <c r="E1083" s="293">
        <v>-2250</v>
      </c>
      <c r="F1083" s="294" t="s">
        <v>286</v>
      </c>
    </row>
    <row r="1084" spans="1:6" hidden="1" outlineLevel="1" collapsed="1" x14ac:dyDescent="0.25">
      <c r="A1084" s="295" t="s">
        <v>282</v>
      </c>
      <c r="B1084" s="295" t="s">
        <v>395</v>
      </c>
      <c r="C1084" s="293">
        <v>0</v>
      </c>
      <c r="D1084" s="293">
        <v>2250</v>
      </c>
      <c r="E1084" s="293">
        <v>2250</v>
      </c>
      <c r="F1084" s="294" t="s">
        <v>298</v>
      </c>
    </row>
    <row r="1085" spans="1:6" hidden="1" outlineLevel="1" collapsed="1" x14ac:dyDescent="0.25">
      <c r="A1085" s="295" t="s">
        <v>282</v>
      </c>
      <c r="B1085" s="295" t="s">
        <v>396</v>
      </c>
      <c r="C1085" s="293">
        <v>74.52</v>
      </c>
      <c r="D1085" s="293">
        <v>0</v>
      </c>
      <c r="E1085" s="293">
        <v>-74.52</v>
      </c>
      <c r="F1085" s="294" t="s">
        <v>286</v>
      </c>
    </row>
    <row r="1086" spans="1:6" hidden="1" outlineLevel="1" collapsed="1" x14ac:dyDescent="0.25">
      <c r="A1086" s="295" t="s">
        <v>282</v>
      </c>
      <c r="B1086" s="295" t="s">
        <v>397</v>
      </c>
      <c r="C1086" s="293">
        <v>0</v>
      </c>
      <c r="D1086" s="293">
        <v>72.72</v>
      </c>
      <c r="E1086" s="293">
        <v>72.72</v>
      </c>
      <c r="F1086" s="294" t="s">
        <v>298</v>
      </c>
    </row>
    <row r="1087" spans="1:6" hidden="1" outlineLevel="1" collapsed="1" x14ac:dyDescent="0.25">
      <c r="A1087" s="295" t="s">
        <v>282</v>
      </c>
      <c r="B1087" s="295" t="s">
        <v>398</v>
      </c>
      <c r="C1087" s="293">
        <v>36</v>
      </c>
      <c r="D1087" s="293">
        <v>16.559999999999999</v>
      </c>
      <c r="E1087" s="293">
        <v>-19.440000000000001</v>
      </c>
      <c r="F1087" s="294" t="s">
        <v>374</v>
      </c>
    </row>
    <row r="1088" spans="1:6" collapsed="1" x14ac:dyDescent="0.25">
      <c r="A1088" s="560" t="s">
        <v>773</v>
      </c>
      <c r="B1088" s="561"/>
      <c r="C1088" s="292">
        <v>75377.002859999993</v>
      </c>
      <c r="D1088" s="293">
        <v>79016.894044000001</v>
      </c>
      <c r="E1088" s="293">
        <v>3639.8911840000001</v>
      </c>
      <c r="F1088" s="294" t="s">
        <v>774</v>
      </c>
    </row>
    <row r="1089" spans="1:6" hidden="1" outlineLevel="1" collapsed="1" x14ac:dyDescent="0.25">
      <c r="A1089" s="295" t="s">
        <v>282</v>
      </c>
      <c r="B1089" s="295" t="s">
        <v>464</v>
      </c>
      <c r="C1089" s="293">
        <v>47175.057271999998</v>
      </c>
      <c r="D1089" s="293">
        <v>48581.274548000001</v>
      </c>
      <c r="E1089" s="293">
        <v>1406.2172760000001</v>
      </c>
      <c r="F1089" s="294" t="s">
        <v>381</v>
      </c>
    </row>
    <row r="1090" spans="1:6" hidden="1" outlineLevel="1" collapsed="1" x14ac:dyDescent="0.25">
      <c r="A1090" s="295" t="s">
        <v>282</v>
      </c>
      <c r="B1090" s="295" t="s">
        <v>384</v>
      </c>
      <c r="C1090" s="293">
        <v>5852.8521959999998</v>
      </c>
      <c r="D1090" s="293">
        <v>0</v>
      </c>
      <c r="E1090" s="293">
        <v>-5852.8521959999998</v>
      </c>
      <c r="F1090" s="294" t="s">
        <v>286</v>
      </c>
    </row>
    <row r="1091" spans="1:6" hidden="1" outlineLevel="1" collapsed="1" x14ac:dyDescent="0.25">
      <c r="A1091" s="295" t="s">
        <v>282</v>
      </c>
      <c r="B1091" s="295" t="s">
        <v>385</v>
      </c>
      <c r="C1091" s="293">
        <v>0</v>
      </c>
      <c r="D1091" s="293">
        <v>7573.14138</v>
      </c>
      <c r="E1091" s="293">
        <v>7573.14138</v>
      </c>
      <c r="F1091" s="294" t="s">
        <v>298</v>
      </c>
    </row>
    <row r="1092" spans="1:6" hidden="1" outlineLevel="1" collapsed="1" x14ac:dyDescent="0.25">
      <c r="A1092" s="295" t="s">
        <v>282</v>
      </c>
      <c r="B1092" s="295" t="s">
        <v>386</v>
      </c>
      <c r="C1092" s="293">
        <v>2924.8535400000001</v>
      </c>
      <c r="D1092" s="293">
        <v>0</v>
      </c>
      <c r="E1092" s="293">
        <v>-2924.8535400000001</v>
      </c>
      <c r="F1092" s="294" t="s">
        <v>286</v>
      </c>
    </row>
    <row r="1093" spans="1:6" hidden="1" outlineLevel="1" collapsed="1" x14ac:dyDescent="0.25">
      <c r="A1093" s="295" t="s">
        <v>282</v>
      </c>
      <c r="B1093" s="295" t="s">
        <v>387</v>
      </c>
      <c r="C1093" s="293">
        <v>0</v>
      </c>
      <c r="D1093" s="293">
        <v>3012.0390120000002</v>
      </c>
      <c r="E1093" s="293">
        <v>3012.0390120000002</v>
      </c>
      <c r="F1093" s="294" t="s">
        <v>298</v>
      </c>
    </row>
    <row r="1094" spans="1:6" hidden="1" outlineLevel="1" collapsed="1" x14ac:dyDescent="0.25">
      <c r="A1094" s="295" t="s">
        <v>282</v>
      </c>
      <c r="B1094" s="295" t="s">
        <v>388</v>
      </c>
      <c r="C1094" s="293">
        <v>684.03832799999998</v>
      </c>
      <c r="D1094" s="293">
        <v>704.42847600000005</v>
      </c>
      <c r="E1094" s="293">
        <v>20.390148</v>
      </c>
      <c r="F1094" s="294" t="s">
        <v>381</v>
      </c>
    </row>
    <row r="1095" spans="1:6" hidden="1" outlineLevel="1" collapsed="1" x14ac:dyDescent="0.25">
      <c r="A1095" s="295" t="s">
        <v>282</v>
      </c>
      <c r="B1095" s="295" t="s">
        <v>389</v>
      </c>
      <c r="C1095" s="293">
        <v>426.12479999999999</v>
      </c>
      <c r="D1095" s="293">
        <v>422.04</v>
      </c>
      <c r="E1095" s="293">
        <v>-4.0848000000000004</v>
      </c>
      <c r="F1095" s="294" t="s">
        <v>364</v>
      </c>
    </row>
    <row r="1096" spans="1:6" hidden="1" outlineLevel="1" collapsed="1" x14ac:dyDescent="0.25">
      <c r="A1096" s="295" t="s">
        <v>282</v>
      </c>
      <c r="B1096" s="295" t="s">
        <v>390</v>
      </c>
      <c r="C1096" s="293">
        <v>15485.27</v>
      </c>
      <c r="D1096" s="293">
        <v>15959.28</v>
      </c>
      <c r="E1096" s="293">
        <v>474.01</v>
      </c>
      <c r="F1096" s="294" t="s">
        <v>391</v>
      </c>
    </row>
    <row r="1097" spans="1:6" hidden="1" outlineLevel="1" collapsed="1" x14ac:dyDescent="0.25">
      <c r="A1097" s="295" t="s">
        <v>282</v>
      </c>
      <c r="B1097" s="295" t="s">
        <v>392</v>
      </c>
      <c r="C1097" s="293">
        <v>233.53919999999999</v>
      </c>
      <c r="D1097" s="293">
        <v>182.88</v>
      </c>
      <c r="E1097" s="293">
        <v>-50.659199999999998</v>
      </c>
      <c r="F1097" s="294" t="s">
        <v>368</v>
      </c>
    </row>
    <row r="1098" spans="1:6" hidden="1" outlineLevel="1" collapsed="1" x14ac:dyDescent="0.25">
      <c r="A1098" s="295" t="s">
        <v>282</v>
      </c>
      <c r="B1098" s="295" t="s">
        <v>393</v>
      </c>
      <c r="C1098" s="293">
        <v>23.587523999999998</v>
      </c>
      <c r="D1098" s="293">
        <v>24.290628000000002</v>
      </c>
      <c r="E1098" s="293">
        <v>0.70310399999999995</v>
      </c>
      <c r="F1098" s="294" t="s">
        <v>381</v>
      </c>
    </row>
    <row r="1099" spans="1:6" hidden="1" outlineLevel="1" collapsed="1" x14ac:dyDescent="0.25">
      <c r="A1099" s="295" t="s">
        <v>282</v>
      </c>
      <c r="B1099" s="295" t="s">
        <v>394</v>
      </c>
      <c r="C1099" s="293">
        <v>1500</v>
      </c>
      <c r="D1099" s="293">
        <v>0</v>
      </c>
      <c r="E1099" s="293">
        <v>-1500</v>
      </c>
      <c r="F1099" s="294" t="s">
        <v>286</v>
      </c>
    </row>
    <row r="1100" spans="1:6" hidden="1" outlineLevel="1" collapsed="1" x14ac:dyDescent="0.25">
      <c r="A1100" s="295" t="s">
        <v>282</v>
      </c>
      <c r="B1100" s="295" t="s">
        <v>395</v>
      </c>
      <c r="C1100" s="293">
        <v>0</v>
      </c>
      <c r="D1100" s="293">
        <v>1500</v>
      </c>
      <c r="E1100" s="293">
        <v>1500</v>
      </c>
      <c r="F1100" s="294" t="s">
        <v>298</v>
      </c>
    </row>
    <row r="1101" spans="1:6" hidden="1" outlineLevel="1" collapsed="1" x14ac:dyDescent="0.25">
      <c r="A1101" s="295" t="s">
        <v>282</v>
      </c>
      <c r="B1101" s="295" t="s">
        <v>396</v>
      </c>
      <c r="C1101" s="293">
        <v>49.68</v>
      </c>
      <c r="D1101" s="293">
        <v>0</v>
      </c>
      <c r="E1101" s="293">
        <v>-49.68</v>
      </c>
      <c r="F1101" s="294" t="s">
        <v>286</v>
      </c>
    </row>
    <row r="1102" spans="1:6" hidden="1" outlineLevel="1" collapsed="1" x14ac:dyDescent="0.25">
      <c r="A1102" s="295" t="s">
        <v>282</v>
      </c>
      <c r="B1102" s="295" t="s">
        <v>397</v>
      </c>
      <c r="C1102" s="293">
        <v>0</v>
      </c>
      <c r="D1102" s="293">
        <v>48.48</v>
      </c>
      <c r="E1102" s="293">
        <v>48.48</v>
      </c>
      <c r="F1102" s="294" t="s">
        <v>298</v>
      </c>
    </row>
    <row r="1103" spans="1:6" hidden="1" outlineLevel="1" collapsed="1" x14ac:dyDescent="0.25">
      <c r="A1103" s="295" t="s">
        <v>282</v>
      </c>
      <c r="B1103" s="295" t="s">
        <v>398</v>
      </c>
      <c r="C1103" s="293">
        <v>24</v>
      </c>
      <c r="D1103" s="293">
        <v>11.04</v>
      </c>
      <c r="E1103" s="293">
        <v>-12.96</v>
      </c>
      <c r="F1103" s="294" t="s">
        <v>374</v>
      </c>
    </row>
    <row r="1104" spans="1:6" hidden="1" outlineLevel="1" collapsed="1" x14ac:dyDescent="0.25">
      <c r="A1104" s="295" t="s">
        <v>282</v>
      </c>
      <c r="B1104" s="295" t="s">
        <v>422</v>
      </c>
      <c r="C1104" s="293">
        <v>693</v>
      </c>
      <c r="D1104" s="293">
        <v>693</v>
      </c>
      <c r="E1104" s="293">
        <v>0</v>
      </c>
      <c r="F1104" s="294" t="s">
        <v>316</v>
      </c>
    </row>
    <row r="1105" spans="1:6" hidden="1" outlineLevel="1" collapsed="1" x14ac:dyDescent="0.25">
      <c r="A1105" s="295" t="s">
        <v>282</v>
      </c>
      <c r="B1105" s="295" t="s">
        <v>770</v>
      </c>
      <c r="C1105" s="293">
        <v>305</v>
      </c>
      <c r="D1105" s="293">
        <v>305</v>
      </c>
      <c r="E1105" s="293">
        <v>0</v>
      </c>
      <c r="F1105" s="294" t="s">
        <v>316</v>
      </c>
    </row>
    <row r="1106" spans="1:6" collapsed="1" x14ac:dyDescent="0.25">
      <c r="A1106" s="560" t="s">
        <v>775</v>
      </c>
      <c r="B1106" s="561"/>
      <c r="C1106" s="292">
        <v>19795</v>
      </c>
      <c r="D1106" s="293">
        <v>19795</v>
      </c>
      <c r="E1106" s="293">
        <v>0</v>
      </c>
      <c r="F1106" s="294" t="s">
        <v>316</v>
      </c>
    </row>
    <row r="1107" spans="1:6" hidden="1" outlineLevel="1" collapsed="1" x14ac:dyDescent="0.25">
      <c r="A1107" s="295" t="s">
        <v>282</v>
      </c>
      <c r="B1107" s="295" t="s">
        <v>475</v>
      </c>
      <c r="C1107" s="293">
        <v>0</v>
      </c>
      <c r="D1107" s="293">
        <v>500</v>
      </c>
      <c r="E1107" s="293">
        <v>500</v>
      </c>
      <c r="F1107" s="294" t="s">
        <v>298</v>
      </c>
    </row>
    <row r="1108" spans="1:6" hidden="1" outlineLevel="1" collapsed="1" x14ac:dyDescent="0.25">
      <c r="A1108" s="295" t="s">
        <v>282</v>
      </c>
      <c r="B1108" s="295" t="s">
        <v>444</v>
      </c>
      <c r="C1108" s="293">
        <v>0</v>
      </c>
      <c r="D1108" s="293">
        <v>45</v>
      </c>
      <c r="E1108" s="293">
        <v>45</v>
      </c>
      <c r="F1108" s="294" t="s">
        <v>298</v>
      </c>
    </row>
    <row r="1109" spans="1:6" hidden="1" outlineLevel="1" collapsed="1" x14ac:dyDescent="0.25">
      <c r="A1109" s="295" t="s">
        <v>282</v>
      </c>
      <c r="B1109" s="295" t="s">
        <v>376</v>
      </c>
      <c r="C1109" s="293">
        <v>0</v>
      </c>
      <c r="D1109" s="293">
        <v>950</v>
      </c>
      <c r="E1109" s="293">
        <v>950</v>
      </c>
      <c r="F1109" s="294" t="s">
        <v>298</v>
      </c>
    </row>
    <row r="1110" spans="1:6" hidden="1" outlineLevel="1" collapsed="1" x14ac:dyDescent="0.25">
      <c r="A1110" s="295" t="s">
        <v>282</v>
      </c>
      <c r="B1110" s="295" t="s">
        <v>662</v>
      </c>
      <c r="C1110" s="293">
        <v>0</v>
      </c>
      <c r="D1110" s="293">
        <v>500</v>
      </c>
      <c r="E1110" s="293">
        <v>500</v>
      </c>
      <c r="F1110" s="294" t="s">
        <v>298</v>
      </c>
    </row>
    <row r="1111" spans="1:6" hidden="1" outlineLevel="1" collapsed="1" x14ac:dyDescent="0.25">
      <c r="A1111" s="295" t="s">
        <v>282</v>
      </c>
      <c r="B1111" s="295" t="s">
        <v>506</v>
      </c>
      <c r="C1111" s="293">
        <v>0</v>
      </c>
      <c r="D1111" s="293">
        <v>475</v>
      </c>
      <c r="E1111" s="293">
        <v>475</v>
      </c>
      <c r="F1111" s="294" t="s">
        <v>298</v>
      </c>
    </row>
    <row r="1112" spans="1:6" hidden="1" outlineLevel="1" collapsed="1" x14ac:dyDescent="0.25">
      <c r="A1112" s="295" t="s">
        <v>282</v>
      </c>
      <c r="B1112" s="295" t="s">
        <v>567</v>
      </c>
      <c r="C1112" s="293">
        <v>17895</v>
      </c>
      <c r="D1112" s="293">
        <v>16325</v>
      </c>
      <c r="E1112" s="293">
        <v>-1570</v>
      </c>
      <c r="F1112" s="294" t="s">
        <v>776</v>
      </c>
    </row>
    <row r="1113" spans="1:6" hidden="1" outlineLevel="1" collapsed="1" x14ac:dyDescent="0.25">
      <c r="A1113" s="295" t="s">
        <v>282</v>
      </c>
      <c r="B1113" s="295" t="s">
        <v>426</v>
      </c>
      <c r="C1113" s="293">
        <v>0</v>
      </c>
      <c r="D1113" s="293">
        <v>0</v>
      </c>
      <c r="E1113" s="293">
        <v>0</v>
      </c>
      <c r="F1113" s="294" t="s">
        <v>316</v>
      </c>
    </row>
    <row r="1114" spans="1:6" hidden="1" outlineLevel="1" collapsed="1" x14ac:dyDescent="0.25">
      <c r="A1114" s="295" t="s">
        <v>282</v>
      </c>
      <c r="B1114" s="295" t="s">
        <v>405</v>
      </c>
      <c r="C1114" s="293">
        <v>1900</v>
      </c>
      <c r="D1114" s="293">
        <v>1000</v>
      </c>
      <c r="E1114" s="293">
        <v>-900</v>
      </c>
      <c r="F1114" s="294" t="s">
        <v>777</v>
      </c>
    </row>
    <row r="1115" spans="1:6" collapsed="1" x14ac:dyDescent="0.25">
      <c r="A1115" s="560" t="s">
        <v>778</v>
      </c>
      <c r="B1115" s="561"/>
      <c r="C1115" s="292">
        <v>330676.63556800003</v>
      </c>
      <c r="D1115" s="293">
        <v>343426.99008800002</v>
      </c>
      <c r="E1115" s="293">
        <v>12750.354520000001</v>
      </c>
      <c r="F1115" s="294" t="s">
        <v>779</v>
      </c>
    </row>
    <row r="1116" spans="1:6" hidden="1" outlineLevel="1" collapsed="1" x14ac:dyDescent="0.25">
      <c r="A1116" s="295" t="s">
        <v>282</v>
      </c>
      <c r="B1116" s="295" t="s">
        <v>780</v>
      </c>
      <c r="C1116" s="293">
        <v>135039.819036</v>
      </c>
      <c r="D1116" s="293">
        <v>137048.31487199999</v>
      </c>
      <c r="E1116" s="293">
        <v>2008.4958360000001</v>
      </c>
      <c r="F1116" s="294" t="s">
        <v>781</v>
      </c>
    </row>
    <row r="1117" spans="1:6" hidden="1" outlineLevel="1" collapsed="1" x14ac:dyDescent="0.25">
      <c r="A1117" s="295" t="s">
        <v>282</v>
      </c>
      <c r="B1117" s="295" t="s">
        <v>464</v>
      </c>
      <c r="C1117" s="293">
        <v>98541.493424</v>
      </c>
      <c r="D1117" s="293">
        <v>101500.26014</v>
      </c>
      <c r="E1117" s="293">
        <v>2958.7667160000001</v>
      </c>
      <c r="F1117" s="294" t="s">
        <v>548</v>
      </c>
    </row>
    <row r="1118" spans="1:6" hidden="1" outlineLevel="1" collapsed="1" x14ac:dyDescent="0.25">
      <c r="A1118" s="295" t="s">
        <v>282</v>
      </c>
      <c r="B1118" s="295" t="s">
        <v>475</v>
      </c>
      <c r="C1118" s="293">
        <v>500</v>
      </c>
      <c r="D1118" s="293">
        <v>500</v>
      </c>
      <c r="E1118" s="293">
        <v>0</v>
      </c>
      <c r="F1118" s="294" t="s">
        <v>316</v>
      </c>
    </row>
    <row r="1119" spans="1:6" hidden="1" outlineLevel="1" collapsed="1" x14ac:dyDescent="0.25">
      <c r="A1119" s="295" t="s">
        <v>282</v>
      </c>
      <c r="B1119" s="295" t="s">
        <v>751</v>
      </c>
      <c r="C1119" s="293">
        <v>17473.926383999999</v>
      </c>
      <c r="D1119" s="293">
        <v>0</v>
      </c>
      <c r="E1119" s="293">
        <v>-17473.926383999999</v>
      </c>
      <c r="F1119" s="294" t="s">
        <v>286</v>
      </c>
    </row>
    <row r="1120" spans="1:6" hidden="1" outlineLevel="1" collapsed="1" x14ac:dyDescent="0.25">
      <c r="A1120" s="295" t="s">
        <v>282</v>
      </c>
      <c r="B1120" s="295" t="s">
        <v>752</v>
      </c>
      <c r="C1120" s="293">
        <v>0</v>
      </c>
      <c r="D1120" s="293">
        <v>19611.569832000001</v>
      </c>
      <c r="E1120" s="293">
        <v>19611.569832000001</v>
      </c>
      <c r="F1120" s="294" t="s">
        <v>298</v>
      </c>
    </row>
    <row r="1121" spans="1:6" hidden="1" outlineLevel="1" collapsed="1" x14ac:dyDescent="0.25">
      <c r="A1121" s="295" t="s">
        <v>282</v>
      </c>
      <c r="B1121" s="295" t="s">
        <v>384</v>
      </c>
      <c r="C1121" s="293">
        <v>12314.74986</v>
      </c>
      <c r="D1121" s="293">
        <v>0</v>
      </c>
      <c r="E1121" s="293">
        <v>-12314.74986</v>
      </c>
      <c r="F1121" s="294" t="s">
        <v>286</v>
      </c>
    </row>
    <row r="1122" spans="1:6" hidden="1" outlineLevel="1" collapsed="1" x14ac:dyDescent="0.25">
      <c r="A1122" s="295" t="s">
        <v>282</v>
      </c>
      <c r="B1122" s="295" t="s">
        <v>385</v>
      </c>
      <c r="C1122" s="293">
        <v>0</v>
      </c>
      <c r="D1122" s="293">
        <v>15934.341096</v>
      </c>
      <c r="E1122" s="293">
        <v>15934.341096</v>
      </c>
      <c r="F1122" s="294" t="s">
        <v>298</v>
      </c>
    </row>
    <row r="1123" spans="1:6" hidden="1" outlineLevel="1" collapsed="1" x14ac:dyDescent="0.25">
      <c r="A1123" s="295" t="s">
        <v>282</v>
      </c>
      <c r="B1123" s="295" t="s">
        <v>386</v>
      </c>
      <c r="C1123" s="293">
        <v>6109.5725759999996</v>
      </c>
      <c r="D1123" s="293">
        <v>0</v>
      </c>
      <c r="E1123" s="293">
        <v>-6109.5725759999996</v>
      </c>
      <c r="F1123" s="294" t="s">
        <v>286</v>
      </c>
    </row>
    <row r="1124" spans="1:6" hidden="1" outlineLevel="1" collapsed="1" x14ac:dyDescent="0.25">
      <c r="A1124" s="295" t="s">
        <v>282</v>
      </c>
      <c r="B1124" s="295" t="s">
        <v>387</v>
      </c>
      <c r="C1124" s="293">
        <v>0</v>
      </c>
      <c r="D1124" s="293">
        <v>6293.0161200000002</v>
      </c>
      <c r="E1124" s="293">
        <v>6293.0161200000002</v>
      </c>
      <c r="F1124" s="294" t="s">
        <v>298</v>
      </c>
    </row>
    <row r="1125" spans="1:6" hidden="1" outlineLevel="1" collapsed="1" x14ac:dyDescent="0.25">
      <c r="A1125" s="295" t="s">
        <v>282</v>
      </c>
      <c r="B1125" s="295" t="s">
        <v>388</v>
      </c>
      <c r="C1125" s="293">
        <v>1428.8516400000001</v>
      </c>
      <c r="D1125" s="293">
        <v>1471.7537520000001</v>
      </c>
      <c r="E1125" s="293">
        <v>42.902112000000002</v>
      </c>
      <c r="F1125" s="294" t="s">
        <v>548</v>
      </c>
    </row>
    <row r="1126" spans="1:6" hidden="1" outlineLevel="1" collapsed="1" x14ac:dyDescent="0.25">
      <c r="A1126" s="295" t="s">
        <v>282</v>
      </c>
      <c r="B1126" s="295" t="s">
        <v>444</v>
      </c>
      <c r="C1126" s="293">
        <v>45</v>
      </c>
      <c r="D1126" s="293">
        <v>45</v>
      </c>
      <c r="E1126" s="293">
        <v>0</v>
      </c>
      <c r="F1126" s="294" t="s">
        <v>316</v>
      </c>
    </row>
    <row r="1127" spans="1:6" hidden="1" outlineLevel="1" collapsed="1" x14ac:dyDescent="0.25">
      <c r="A1127" s="295" t="s">
        <v>282</v>
      </c>
      <c r="B1127" s="295" t="s">
        <v>389</v>
      </c>
      <c r="C1127" s="293">
        <v>852.24959999999999</v>
      </c>
      <c r="D1127" s="293">
        <v>844.08</v>
      </c>
      <c r="E1127" s="293">
        <v>-8.1696000000000009</v>
      </c>
      <c r="F1127" s="294" t="s">
        <v>364</v>
      </c>
    </row>
    <row r="1128" spans="1:6" hidden="1" outlineLevel="1" collapsed="1" x14ac:dyDescent="0.25">
      <c r="A1128" s="295" t="s">
        <v>282</v>
      </c>
      <c r="B1128" s="295" t="s">
        <v>390</v>
      </c>
      <c r="C1128" s="293">
        <v>30970.54</v>
      </c>
      <c r="D1128" s="293">
        <v>31918.560000000001</v>
      </c>
      <c r="E1128" s="293">
        <v>948.02</v>
      </c>
      <c r="F1128" s="294" t="s">
        <v>391</v>
      </c>
    </row>
    <row r="1129" spans="1:6" hidden="1" outlineLevel="1" collapsed="1" x14ac:dyDescent="0.25">
      <c r="A1129" s="295" t="s">
        <v>282</v>
      </c>
      <c r="B1129" s="295" t="s">
        <v>392</v>
      </c>
      <c r="C1129" s="293">
        <v>467.07839999999999</v>
      </c>
      <c r="D1129" s="293">
        <v>365.76</v>
      </c>
      <c r="E1129" s="293">
        <v>-101.3184</v>
      </c>
      <c r="F1129" s="294" t="s">
        <v>368</v>
      </c>
    </row>
    <row r="1130" spans="1:6" hidden="1" outlineLevel="1" collapsed="1" x14ac:dyDescent="0.25">
      <c r="A1130" s="295" t="s">
        <v>282</v>
      </c>
      <c r="B1130" s="295" t="s">
        <v>754</v>
      </c>
      <c r="C1130" s="293">
        <v>15358.56</v>
      </c>
      <c r="D1130" s="293">
        <v>15959.28</v>
      </c>
      <c r="E1130" s="293">
        <v>600.72</v>
      </c>
      <c r="F1130" s="294" t="s">
        <v>366</v>
      </c>
    </row>
    <row r="1131" spans="1:6" hidden="1" outlineLevel="1" collapsed="1" x14ac:dyDescent="0.25">
      <c r="A1131" s="295" t="s">
        <v>282</v>
      </c>
      <c r="B1131" s="295" t="s">
        <v>755</v>
      </c>
      <c r="C1131" s="293">
        <v>426.12479999999999</v>
      </c>
      <c r="D1131" s="293">
        <v>422.04</v>
      </c>
      <c r="E1131" s="293">
        <v>-4.0848000000000004</v>
      </c>
      <c r="F1131" s="294" t="s">
        <v>364</v>
      </c>
    </row>
    <row r="1132" spans="1:6" hidden="1" outlineLevel="1" collapsed="1" x14ac:dyDescent="0.25">
      <c r="A1132" s="295" t="s">
        <v>282</v>
      </c>
      <c r="B1132" s="295" t="s">
        <v>756</v>
      </c>
      <c r="C1132" s="293">
        <v>233.53919999999999</v>
      </c>
      <c r="D1132" s="293">
        <v>182.88</v>
      </c>
      <c r="E1132" s="293">
        <v>-50.659199999999998</v>
      </c>
      <c r="F1132" s="294" t="s">
        <v>368</v>
      </c>
    </row>
    <row r="1133" spans="1:6" hidden="1" outlineLevel="1" collapsed="1" x14ac:dyDescent="0.25">
      <c r="A1133" s="295" t="s">
        <v>282</v>
      </c>
      <c r="B1133" s="295" t="s">
        <v>393</v>
      </c>
      <c r="C1133" s="293">
        <v>49.270740000000004</v>
      </c>
      <c r="D1133" s="293">
        <v>50.750124</v>
      </c>
      <c r="E1133" s="293">
        <v>1.479384</v>
      </c>
      <c r="F1133" s="294" t="s">
        <v>548</v>
      </c>
    </row>
    <row r="1134" spans="1:6" hidden="1" outlineLevel="1" collapsed="1" x14ac:dyDescent="0.25">
      <c r="A1134" s="295" t="s">
        <v>282</v>
      </c>
      <c r="B1134" s="295" t="s">
        <v>757</v>
      </c>
      <c r="C1134" s="293">
        <v>67.819907999999998</v>
      </c>
      <c r="D1134" s="293">
        <v>0</v>
      </c>
      <c r="E1134" s="293">
        <v>-67.819907999999998</v>
      </c>
      <c r="F1134" s="294" t="s">
        <v>286</v>
      </c>
    </row>
    <row r="1135" spans="1:6" hidden="1" outlineLevel="1" collapsed="1" x14ac:dyDescent="0.25">
      <c r="A1135" s="295" t="s">
        <v>282</v>
      </c>
      <c r="B1135" s="295" t="s">
        <v>758</v>
      </c>
      <c r="C1135" s="293">
        <v>0</v>
      </c>
      <c r="D1135" s="293">
        <v>68.824151999999998</v>
      </c>
      <c r="E1135" s="293">
        <v>68.824151999999998</v>
      </c>
      <c r="F1135" s="294" t="s">
        <v>298</v>
      </c>
    </row>
    <row r="1136" spans="1:6" hidden="1" outlineLevel="1" collapsed="1" x14ac:dyDescent="0.25">
      <c r="A1136" s="295" t="s">
        <v>282</v>
      </c>
      <c r="B1136" s="295" t="s">
        <v>394</v>
      </c>
      <c r="C1136" s="293">
        <v>3000</v>
      </c>
      <c r="D1136" s="293">
        <v>0</v>
      </c>
      <c r="E1136" s="293">
        <v>-3000</v>
      </c>
      <c r="F1136" s="294" t="s">
        <v>286</v>
      </c>
    </row>
    <row r="1137" spans="1:6" hidden="1" outlineLevel="1" collapsed="1" x14ac:dyDescent="0.25">
      <c r="A1137" s="295" t="s">
        <v>282</v>
      </c>
      <c r="B1137" s="295" t="s">
        <v>395</v>
      </c>
      <c r="C1137" s="293">
        <v>0</v>
      </c>
      <c r="D1137" s="293">
        <v>3000</v>
      </c>
      <c r="E1137" s="293">
        <v>3000</v>
      </c>
      <c r="F1137" s="294" t="s">
        <v>298</v>
      </c>
    </row>
    <row r="1138" spans="1:6" hidden="1" outlineLevel="1" collapsed="1" x14ac:dyDescent="0.25">
      <c r="A1138" s="295" t="s">
        <v>282</v>
      </c>
      <c r="B1138" s="295" t="s">
        <v>759</v>
      </c>
      <c r="C1138" s="293">
        <v>1500</v>
      </c>
      <c r="D1138" s="293">
        <v>0</v>
      </c>
      <c r="E1138" s="293">
        <v>-1500</v>
      </c>
      <c r="F1138" s="294" t="s">
        <v>286</v>
      </c>
    </row>
    <row r="1139" spans="1:6" hidden="1" outlineLevel="1" collapsed="1" x14ac:dyDescent="0.25">
      <c r="A1139" s="295" t="s">
        <v>282</v>
      </c>
      <c r="B1139" s="295" t="s">
        <v>760</v>
      </c>
      <c r="C1139" s="293">
        <v>0</v>
      </c>
      <c r="D1139" s="293">
        <v>1500</v>
      </c>
      <c r="E1139" s="293">
        <v>1500</v>
      </c>
      <c r="F1139" s="294" t="s">
        <v>298</v>
      </c>
    </row>
    <row r="1140" spans="1:6" hidden="1" outlineLevel="1" collapsed="1" x14ac:dyDescent="0.25">
      <c r="A1140" s="295" t="s">
        <v>282</v>
      </c>
      <c r="B1140" s="295" t="s">
        <v>396</v>
      </c>
      <c r="C1140" s="293">
        <v>99.36</v>
      </c>
      <c r="D1140" s="293">
        <v>0</v>
      </c>
      <c r="E1140" s="293">
        <v>-99.36</v>
      </c>
      <c r="F1140" s="294" t="s">
        <v>286</v>
      </c>
    </row>
    <row r="1141" spans="1:6" hidden="1" outlineLevel="1" collapsed="1" x14ac:dyDescent="0.25">
      <c r="A1141" s="295" t="s">
        <v>282</v>
      </c>
      <c r="B1141" s="295" t="s">
        <v>397</v>
      </c>
      <c r="C1141" s="293">
        <v>0</v>
      </c>
      <c r="D1141" s="293">
        <v>96.96</v>
      </c>
      <c r="E1141" s="293">
        <v>96.96</v>
      </c>
      <c r="F1141" s="294" t="s">
        <v>298</v>
      </c>
    </row>
    <row r="1142" spans="1:6" hidden="1" outlineLevel="1" collapsed="1" x14ac:dyDescent="0.25">
      <c r="A1142" s="295" t="s">
        <v>282</v>
      </c>
      <c r="B1142" s="295" t="s">
        <v>761</v>
      </c>
      <c r="C1142" s="293">
        <v>49.68</v>
      </c>
      <c r="D1142" s="293">
        <v>0</v>
      </c>
      <c r="E1142" s="293">
        <v>-49.68</v>
      </c>
      <c r="F1142" s="294" t="s">
        <v>286</v>
      </c>
    </row>
    <row r="1143" spans="1:6" hidden="1" outlineLevel="1" collapsed="1" x14ac:dyDescent="0.25">
      <c r="A1143" s="295" t="s">
        <v>282</v>
      </c>
      <c r="B1143" s="295" t="s">
        <v>762</v>
      </c>
      <c r="C1143" s="293">
        <v>0</v>
      </c>
      <c r="D1143" s="293">
        <v>48.48</v>
      </c>
      <c r="E1143" s="293">
        <v>48.48</v>
      </c>
      <c r="F1143" s="294" t="s">
        <v>298</v>
      </c>
    </row>
    <row r="1144" spans="1:6" hidden="1" outlineLevel="1" collapsed="1" x14ac:dyDescent="0.25">
      <c r="A1144" s="295" t="s">
        <v>282</v>
      </c>
      <c r="B1144" s="295" t="s">
        <v>398</v>
      </c>
      <c r="C1144" s="293">
        <v>48</v>
      </c>
      <c r="D1144" s="293">
        <v>22.08</v>
      </c>
      <c r="E1144" s="293">
        <v>-25.92</v>
      </c>
      <c r="F1144" s="294" t="s">
        <v>374</v>
      </c>
    </row>
    <row r="1145" spans="1:6" hidden="1" outlineLevel="1" collapsed="1" x14ac:dyDescent="0.25">
      <c r="A1145" s="295" t="s">
        <v>282</v>
      </c>
      <c r="B1145" s="295" t="s">
        <v>763</v>
      </c>
      <c r="C1145" s="293">
        <v>24</v>
      </c>
      <c r="D1145" s="293">
        <v>11.04</v>
      </c>
      <c r="E1145" s="293">
        <v>-12.96</v>
      </c>
      <c r="F1145" s="294" t="s">
        <v>374</v>
      </c>
    </row>
    <row r="1146" spans="1:6" hidden="1" outlineLevel="1" collapsed="1" x14ac:dyDescent="0.25">
      <c r="A1146" s="295" t="s">
        <v>282</v>
      </c>
      <c r="B1146" s="295" t="s">
        <v>375</v>
      </c>
      <c r="C1146" s="293">
        <v>760</v>
      </c>
      <c r="D1146" s="293">
        <v>750</v>
      </c>
      <c r="E1146" s="293">
        <v>-10</v>
      </c>
      <c r="F1146" s="294" t="s">
        <v>782</v>
      </c>
    </row>
    <row r="1147" spans="1:6" hidden="1" outlineLevel="1" collapsed="1" x14ac:dyDescent="0.25">
      <c r="A1147" s="295" t="s">
        <v>282</v>
      </c>
      <c r="B1147" s="295" t="s">
        <v>376</v>
      </c>
      <c r="C1147" s="293">
        <v>3767</v>
      </c>
      <c r="D1147" s="293">
        <v>2832</v>
      </c>
      <c r="E1147" s="293">
        <v>-935</v>
      </c>
      <c r="F1147" s="294" t="s">
        <v>783</v>
      </c>
    </row>
    <row r="1148" spans="1:6" hidden="1" outlineLevel="1" collapsed="1" x14ac:dyDescent="0.25">
      <c r="A1148" s="295" t="s">
        <v>282</v>
      </c>
      <c r="B1148" s="295" t="s">
        <v>662</v>
      </c>
      <c r="C1148" s="293">
        <v>100</v>
      </c>
      <c r="D1148" s="293">
        <v>100</v>
      </c>
      <c r="E1148" s="293">
        <v>0</v>
      </c>
      <c r="F1148" s="294" t="s">
        <v>316</v>
      </c>
    </row>
    <row r="1149" spans="1:6" hidden="1" outlineLevel="1" collapsed="1" x14ac:dyDescent="0.25">
      <c r="A1149" s="295" t="s">
        <v>282</v>
      </c>
      <c r="B1149" s="295" t="s">
        <v>426</v>
      </c>
      <c r="C1149" s="293">
        <v>200</v>
      </c>
      <c r="D1149" s="293">
        <v>300</v>
      </c>
      <c r="E1149" s="293">
        <v>100</v>
      </c>
      <c r="F1149" s="294" t="s">
        <v>784</v>
      </c>
    </row>
    <row r="1150" spans="1:6" hidden="1" outlineLevel="1" collapsed="1" x14ac:dyDescent="0.25">
      <c r="A1150" s="295" t="s">
        <v>282</v>
      </c>
      <c r="B1150" s="295" t="s">
        <v>707</v>
      </c>
      <c r="C1150" s="293">
        <v>600</v>
      </c>
      <c r="D1150" s="293">
        <v>600</v>
      </c>
      <c r="E1150" s="293">
        <v>0</v>
      </c>
      <c r="F1150" s="294" t="s">
        <v>316</v>
      </c>
    </row>
    <row r="1151" spans="1:6" hidden="1" outlineLevel="1" collapsed="1" x14ac:dyDescent="0.25">
      <c r="A1151" s="295" t="s">
        <v>282</v>
      </c>
      <c r="B1151" s="295" t="s">
        <v>403</v>
      </c>
      <c r="C1151" s="293">
        <v>0</v>
      </c>
      <c r="D1151" s="293">
        <v>200</v>
      </c>
      <c r="E1151" s="293">
        <v>200</v>
      </c>
      <c r="F1151" s="294" t="s">
        <v>298</v>
      </c>
    </row>
    <row r="1152" spans="1:6" hidden="1" outlineLevel="1" collapsed="1" x14ac:dyDescent="0.25">
      <c r="A1152" s="295" t="s">
        <v>282</v>
      </c>
      <c r="B1152" s="295" t="s">
        <v>626</v>
      </c>
      <c r="C1152" s="293">
        <v>50</v>
      </c>
      <c r="D1152" s="293">
        <v>500</v>
      </c>
      <c r="E1152" s="293">
        <v>450</v>
      </c>
      <c r="F1152" s="294" t="s">
        <v>785</v>
      </c>
    </row>
    <row r="1153" spans="1:6" hidden="1" outlineLevel="1" collapsed="1" x14ac:dyDescent="0.25">
      <c r="A1153" s="295" t="s">
        <v>282</v>
      </c>
      <c r="B1153" s="295" t="s">
        <v>405</v>
      </c>
      <c r="C1153" s="293">
        <v>100</v>
      </c>
      <c r="D1153" s="293">
        <v>50</v>
      </c>
      <c r="E1153" s="293">
        <v>-50</v>
      </c>
      <c r="F1153" s="294" t="s">
        <v>722</v>
      </c>
    </row>
    <row r="1154" spans="1:6" hidden="1" outlineLevel="1" collapsed="1" x14ac:dyDescent="0.25">
      <c r="A1154" s="295" t="s">
        <v>282</v>
      </c>
      <c r="B1154" s="295" t="s">
        <v>557</v>
      </c>
      <c r="C1154" s="293">
        <v>400</v>
      </c>
      <c r="D1154" s="293">
        <v>100</v>
      </c>
      <c r="E1154" s="293">
        <v>-300</v>
      </c>
      <c r="F1154" s="294" t="s">
        <v>786</v>
      </c>
    </row>
    <row r="1155" spans="1:6" hidden="1" outlineLevel="1" collapsed="1" x14ac:dyDescent="0.25">
      <c r="A1155" s="295" t="s">
        <v>282</v>
      </c>
      <c r="B1155" s="295" t="s">
        <v>422</v>
      </c>
      <c r="C1155" s="293">
        <v>100</v>
      </c>
      <c r="D1155" s="293">
        <v>300</v>
      </c>
      <c r="E1155" s="293">
        <v>200</v>
      </c>
      <c r="F1155" s="294" t="s">
        <v>787</v>
      </c>
    </row>
    <row r="1156" spans="1:6" hidden="1" outlineLevel="1" collapsed="1" x14ac:dyDescent="0.25">
      <c r="A1156" s="295" t="s">
        <v>282</v>
      </c>
      <c r="B1156" s="295" t="s">
        <v>770</v>
      </c>
      <c r="C1156" s="293">
        <v>0</v>
      </c>
      <c r="D1156" s="293">
        <v>800</v>
      </c>
      <c r="E1156" s="293">
        <v>800</v>
      </c>
      <c r="F1156" s="294" t="s">
        <v>298</v>
      </c>
    </row>
    <row r="1157" spans="1:6" collapsed="1" x14ac:dyDescent="0.25">
      <c r="A1157" s="560" t="s">
        <v>788</v>
      </c>
      <c r="B1157" s="561"/>
      <c r="C1157" s="292">
        <v>236060.174272</v>
      </c>
      <c r="D1157" s="293">
        <v>263385.388576</v>
      </c>
      <c r="E1157" s="293">
        <v>27325.214304000001</v>
      </c>
      <c r="F1157" s="294" t="s">
        <v>789</v>
      </c>
    </row>
    <row r="1158" spans="1:6" hidden="1" outlineLevel="1" collapsed="1" x14ac:dyDescent="0.25">
      <c r="A1158" s="295" t="s">
        <v>282</v>
      </c>
      <c r="B1158" s="295" t="s">
        <v>780</v>
      </c>
      <c r="C1158" s="293">
        <v>121449.829272</v>
      </c>
      <c r="D1158" s="293">
        <v>129435.404796</v>
      </c>
      <c r="E1158" s="293">
        <v>7985.5755239999999</v>
      </c>
      <c r="F1158" s="294" t="s">
        <v>790</v>
      </c>
    </row>
    <row r="1159" spans="1:6" hidden="1" outlineLevel="1" collapsed="1" x14ac:dyDescent="0.25">
      <c r="A1159" s="295" t="s">
        <v>282</v>
      </c>
      <c r="B1159" s="295" t="s">
        <v>441</v>
      </c>
      <c r="C1159" s="293">
        <v>0</v>
      </c>
      <c r="D1159" s="293">
        <v>9800</v>
      </c>
      <c r="E1159" s="293">
        <v>9800</v>
      </c>
      <c r="F1159" s="294" t="s">
        <v>298</v>
      </c>
    </row>
    <row r="1160" spans="1:6" hidden="1" outlineLevel="1" collapsed="1" x14ac:dyDescent="0.25">
      <c r="A1160" s="295" t="s">
        <v>282</v>
      </c>
      <c r="B1160" s="295" t="s">
        <v>464</v>
      </c>
      <c r="C1160" s="293">
        <v>52016.436152000002</v>
      </c>
      <c r="D1160" s="293">
        <v>53568.985591999997</v>
      </c>
      <c r="E1160" s="293">
        <v>1552.54944</v>
      </c>
      <c r="F1160" s="294" t="s">
        <v>381</v>
      </c>
    </row>
    <row r="1161" spans="1:6" hidden="1" outlineLevel="1" collapsed="1" x14ac:dyDescent="0.25">
      <c r="A1161" s="295" t="s">
        <v>282</v>
      </c>
      <c r="B1161" s="295" t="s">
        <v>751</v>
      </c>
      <c r="C1161" s="293">
        <v>15849.202716</v>
      </c>
      <c r="D1161" s="293">
        <v>0</v>
      </c>
      <c r="E1161" s="293">
        <v>-15849.202716</v>
      </c>
      <c r="F1161" s="294" t="s">
        <v>286</v>
      </c>
    </row>
    <row r="1162" spans="1:6" hidden="1" outlineLevel="1" collapsed="1" x14ac:dyDescent="0.25">
      <c r="A1162" s="295" t="s">
        <v>282</v>
      </c>
      <c r="B1162" s="295" t="s">
        <v>752</v>
      </c>
      <c r="C1162" s="293">
        <v>0</v>
      </c>
      <c r="D1162" s="293">
        <v>18677.528903999999</v>
      </c>
      <c r="E1162" s="293">
        <v>18677.528903999999</v>
      </c>
      <c r="F1162" s="294" t="s">
        <v>298</v>
      </c>
    </row>
    <row r="1163" spans="1:6" hidden="1" outlineLevel="1" collapsed="1" x14ac:dyDescent="0.25">
      <c r="A1163" s="295" t="s">
        <v>282</v>
      </c>
      <c r="B1163" s="295" t="s">
        <v>384</v>
      </c>
      <c r="C1163" s="293">
        <v>6461.8976640000001</v>
      </c>
      <c r="D1163" s="293">
        <v>0</v>
      </c>
      <c r="E1163" s="293">
        <v>-6461.8976640000001</v>
      </c>
      <c r="F1163" s="294" t="s">
        <v>286</v>
      </c>
    </row>
    <row r="1164" spans="1:6" hidden="1" outlineLevel="1" collapsed="1" x14ac:dyDescent="0.25">
      <c r="A1164" s="295" t="s">
        <v>282</v>
      </c>
      <c r="B1164" s="295" t="s">
        <v>385</v>
      </c>
      <c r="C1164" s="293">
        <v>0</v>
      </c>
      <c r="D1164" s="293">
        <v>8361.1997159999992</v>
      </c>
      <c r="E1164" s="293">
        <v>8361.1997159999992</v>
      </c>
      <c r="F1164" s="294" t="s">
        <v>298</v>
      </c>
    </row>
    <row r="1165" spans="1:6" hidden="1" outlineLevel="1" collapsed="1" x14ac:dyDescent="0.25">
      <c r="A1165" s="295" t="s">
        <v>282</v>
      </c>
      <c r="B1165" s="295" t="s">
        <v>386</v>
      </c>
      <c r="C1165" s="293">
        <v>3225.0190320000002</v>
      </c>
      <c r="D1165" s="293">
        <v>0</v>
      </c>
      <c r="E1165" s="293">
        <v>-3225.0190320000002</v>
      </c>
      <c r="F1165" s="294" t="s">
        <v>286</v>
      </c>
    </row>
    <row r="1166" spans="1:6" hidden="1" outlineLevel="1" collapsed="1" x14ac:dyDescent="0.25">
      <c r="A1166" s="295" t="s">
        <v>282</v>
      </c>
      <c r="B1166" s="295" t="s">
        <v>387</v>
      </c>
      <c r="C1166" s="293">
        <v>0</v>
      </c>
      <c r="D1166" s="293">
        <v>3321.2771039999998</v>
      </c>
      <c r="E1166" s="293">
        <v>3321.2771039999998</v>
      </c>
      <c r="F1166" s="294" t="s">
        <v>298</v>
      </c>
    </row>
    <row r="1167" spans="1:6" hidden="1" outlineLevel="1" collapsed="1" x14ac:dyDescent="0.25">
      <c r="A1167" s="295" t="s">
        <v>282</v>
      </c>
      <c r="B1167" s="295" t="s">
        <v>388</v>
      </c>
      <c r="C1167" s="293">
        <v>754.23831600000005</v>
      </c>
      <c r="D1167" s="293">
        <v>776.75027999999998</v>
      </c>
      <c r="E1167" s="293">
        <v>22.511963999999999</v>
      </c>
      <c r="F1167" s="294" t="s">
        <v>381</v>
      </c>
    </row>
    <row r="1168" spans="1:6" hidden="1" outlineLevel="1" collapsed="1" x14ac:dyDescent="0.25">
      <c r="A1168" s="295" t="s">
        <v>282</v>
      </c>
      <c r="B1168" s="295" t="s">
        <v>444</v>
      </c>
      <c r="C1168" s="293">
        <v>0</v>
      </c>
      <c r="D1168" s="293">
        <v>1199</v>
      </c>
      <c r="E1168" s="293">
        <v>1199</v>
      </c>
      <c r="F1168" s="294" t="s">
        <v>298</v>
      </c>
    </row>
    <row r="1169" spans="1:6" hidden="1" outlineLevel="1" collapsed="1" x14ac:dyDescent="0.25">
      <c r="A1169" s="295" t="s">
        <v>282</v>
      </c>
      <c r="B1169" s="295" t="s">
        <v>389</v>
      </c>
      <c r="C1169" s="293">
        <v>426.12479999999999</v>
      </c>
      <c r="D1169" s="293">
        <v>422.04</v>
      </c>
      <c r="E1169" s="293">
        <v>-4.0848000000000004</v>
      </c>
      <c r="F1169" s="294" t="s">
        <v>364</v>
      </c>
    </row>
    <row r="1170" spans="1:6" hidden="1" outlineLevel="1" collapsed="1" x14ac:dyDescent="0.25">
      <c r="A1170" s="295" t="s">
        <v>282</v>
      </c>
      <c r="B1170" s="295" t="s">
        <v>390</v>
      </c>
      <c r="C1170" s="293">
        <v>15485.27</v>
      </c>
      <c r="D1170" s="293">
        <v>15959.28</v>
      </c>
      <c r="E1170" s="293">
        <v>474.01</v>
      </c>
      <c r="F1170" s="294" t="s">
        <v>391</v>
      </c>
    </row>
    <row r="1171" spans="1:6" hidden="1" outlineLevel="1" collapsed="1" x14ac:dyDescent="0.25">
      <c r="A1171" s="295" t="s">
        <v>282</v>
      </c>
      <c r="B1171" s="295" t="s">
        <v>392</v>
      </c>
      <c r="C1171" s="293">
        <v>233.53919999999999</v>
      </c>
      <c r="D1171" s="293">
        <v>182.88</v>
      </c>
      <c r="E1171" s="293">
        <v>-50.659199999999998</v>
      </c>
      <c r="F1171" s="294" t="s">
        <v>368</v>
      </c>
    </row>
    <row r="1172" spans="1:6" hidden="1" outlineLevel="1" collapsed="1" x14ac:dyDescent="0.25">
      <c r="A1172" s="295" t="s">
        <v>282</v>
      </c>
      <c r="B1172" s="295" t="s">
        <v>754</v>
      </c>
      <c r="C1172" s="293">
        <v>15358.56</v>
      </c>
      <c r="D1172" s="293">
        <v>15959.28</v>
      </c>
      <c r="E1172" s="293">
        <v>600.72</v>
      </c>
      <c r="F1172" s="294" t="s">
        <v>366</v>
      </c>
    </row>
    <row r="1173" spans="1:6" hidden="1" outlineLevel="1" collapsed="1" x14ac:dyDescent="0.25">
      <c r="A1173" s="295" t="s">
        <v>282</v>
      </c>
      <c r="B1173" s="295" t="s">
        <v>755</v>
      </c>
      <c r="C1173" s="293">
        <v>426.12479999999999</v>
      </c>
      <c r="D1173" s="293">
        <v>422.04</v>
      </c>
      <c r="E1173" s="293">
        <v>-4.0848000000000004</v>
      </c>
      <c r="F1173" s="294" t="s">
        <v>364</v>
      </c>
    </row>
    <row r="1174" spans="1:6" hidden="1" outlineLevel="1" collapsed="1" x14ac:dyDescent="0.25">
      <c r="A1174" s="295" t="s">
        <v>282</v>
      </c>
      <c r="B1174" s="295" t="s">
        <v>756</v>
      </c>
      <c r="C1174" s="293">
        <v>233.53919999999999</v>
      </c>
      <c r="D1174" s="293">
        <v>182.88</v>
      </c>
      <c r="E1174" s="293">
        <v>-50.659199999999998</v>
      </c>
      <c r="F1174" s="294" t="s">
        <v>368</v>
      </c>
    </row>
    <row r="1175" spans="1:6" hidden="1" outlineLevel="1" collapsed="1" x14ac:dyDescent="0.25">
      <c r="A1175" s="295" t="s">
        <v>282</v>
      </c>
      <c r="B1175" s="295" t="s">
        <v>393</v>
      </c>
      <c r="C1175" s="293">
        <v>26.008212</v>
      </c>
      <c r="D1175" s="293">
        <v>26.784492</v>
      </c>
      <c r="E1175" s="293">
        <v>0.77627999999999997</v>
      </c>
      <c r="F1175" s="294" t="s">
        <v>381</v>
      </c>
    </row>
    <row r="1176" spans="1:6" hidden="1" outlineLevel="1" collapsed="1" x14ac:dyDescent="0.25">
      <c r="A1176" s="295" t="s">
        <v>282</v>
      </c>
      <c r="B1176" s="295" t="s">
        <v>757</v>
      </c>
      <c r="C1176" s="293">
        <v>61.024908000000003</v>
      </c>
      <c r="D1176" s="293">
        <v>0</v>
      </c>
      <c r="E1176" s="293">
        <v>-61.024908000000003</v>
      </c>
      <c r="F1176" s="294" t="s">
        <v>286</v>
      </c>
    </row>
    <row r="1177" spans="1:6" hidden="1" outlineLevel="1" collapsed="1" x14ac:dyDescent="0.25">
      <c r="A1177" s="295" t="s">
        <v>282</v>
      </c>
      <c r="B1177" s="295" t="s">
        <v>758</v>
      </c>
      <c r="C1177" s="293">
        <v>0</v>
      </c>
      <c r="D1177" s="293">
        <v>65.017691999999997</v>
      </c>
      <c r="E1177" s="293">
        <v>65.017691999999997</v>
      </c>
      <c r="F1177" s="294" t="s">
        <v>298</v>
      </c>
    </row>
    <row r="1178" spans="1:6" hidden="1" outlineLevel="1" collapsed="1" x14ac:dyDescent="0.25">
      <c r="A1178" s="295" t="s">
        <v>282</v>
      </c>
      <c r="B1178" s="295" t="s">
        <v>394</v>
      </c>
      <c r="C1178" s="293">
        <v>1500</v>
      </c>
      <c r="D1178" s="293">
        <v>0</v>
      </c>
      <c r="E1178" s="293">
        <v>-1500</v>
      </c>
      <c r="F1178" s="294" t="s">
        <v>286</v>
      </c>
    </row>
    <row r="1179" spans="1:6" hidden="1" outlineLevel="1" collapsed="1" x14ac:dyDescent="0.25">
      <c r="A1179" s="295" t="s">
        <v>282</v>
      </c>
      <c r="B1179" s="295" t="s">
        <v>395</v>
      </c>
      <c r="C1179" s="293">
        <v>0</v>
      </c>
      <c r="D1179" s="293">
        <v>1500</v>
      </c>
      <c r="E1179" s="293">
        <v>1500</v>
      </c>
      <c r="F1179" s="294" t="s">
        <v>298</v>
      </c>
    </row>
    <row r="1180" spans="1:6" hidden="1" outlineLevel="1" collapsed="1" x14ac:dyDescent="0.25">
      <c r="A1180" s="295" t="s">
        <v>282</v>
      </c>
      <c r="B1180" s="295" t="s">
        <v>759</v>
      </c>
      <c r="C1180" s="293">
        <v>1500</v>
      </c>
      <c r="D1180" s="293">
        <v>0</v>
      </c>
      <c r="E1180" s="293">
        <v>-1500</v>
      </c>
      <c r="F1180" s="294" t="s">
        <v>286</v>
      </c>
    </row>
    <row r="1181" spans="1:6" hidden="1" outlineLevel="1" collapsed="1" x14ac:dyDescent="0.25">
      <c r="A1181" s="295" t="s">
        <v>282</v>
      </c>
      <c r="B1181" s="295" t="s">
        <v>760</v>
      </c>
      <c r="C1181" s="293">
        <v>0</v>
      </c>
      <c r="D1181" s="293">
        <v>1500</v>
      </c>
      <c r="E1181" s="293">
        <v>1500</v>
      </c>
      <c r="F1181" s="294" t="s">
        <v>298</v>
      </c>
    </row>
    <row r="1182" spans="1:6" hidden="1" outlineLevel="1" collapsed="1" x14ac:dyDescent="0.25">
      <c r="A1182" s="295" t="s">
        <v>282</v>
      </c>
      <c r="B1182" s="295" t="s">
        <v>396</v>
      </c>
      <c r="C1182" s="293">
        <v>49.68</v>
      </c>
      <c r="D1182" s="293">
        <v>0</v>
      </c>
      <c r="E1182" s="293">
        <v>-49.68</v>
      </c>
      <c r="F1182" s="294" t="s">
        <v>286</v>
      </c>
    </row>
    <row r="1183" spans="1:6" hidden="1" outlineLevel="1" collapsed="1" x14ac:dyDescent="0.25">
      <c r="A1183" s="295" t="s">
        <v>282</v>
      </c>
      <c r="B1183" s="295" t="s">
        <v>397</v>
      </c>
      <c r="C1183" s="293">
        <v>0</v>
      </c>
      <c r="D1183" s="293">
        <v>48.48</v>
      </c>
      <c r="E1183" s="293">
        <v>48.48</v>
      </c>
      <c r="F1183" s="294" t="s">
        <v>298</v>
      </c>
    </row>
    <row r="1184" spans="1:6" hidden="1" outlineLevel="1" collapsed="1" x14ac:dyDescent="0.25">
      <c r="A1184" s="295" t="s">
        <v>282</v>
      </c>
      <c r="B1184" s="295" t="s">
        <v>761</v>
      </c>
      <c r="C1184" s="293">
        <v>49.68</v>
      </c>
      <c r="D1184" s="293">
        <v>0</v>
      </c>
      <c r="E1184" s="293">
        <v>-49.68</v>
      </c>
      <c r="F1184" s="294" t="s">
        <v>286</v>
      </c>
    </row>
    <row r="1185" spans="1:6" hidden="1" outlineLevel="1" collapsed="1" x14ac:dyDescent="0.25">
      <c r="A1185" s="295" t="s">
        <v>282</v>
      </c>
      <c r="B1185" s="295" t="s">
        <v>762</v>
      </c>
      <c r="C1185" s="293">
        <v>0</v>
      </c>
      <c r="D1185" s="293">
        <v>48.48</v>
      </c>
      <c r="E1185" s="293">
        <v>48.48</v>
      </c>
      <c r="F1185" s="294" t="s">
        <v>298</v>
      </c>
    </row>
    <row r="1186" spans="1:6" hidden="1" outlineLevel="1" collapsed="1" x14ac:dyDescent="0.25">
      <c r="A1186" s="295" t="s">
        <v>282</v>
      </c>
      <c r="B1186" s="295" t="s">
        <v>398</v>
      </c>
      <c r="C1186" s="293">
        <v>24</v>
      </c>
      <c r="D1186" s="293">
        <v>11.04</v>
      </c>
      <c r="E1186" s="293">
        <v>-12.96</v>
      </c>
      <c r="F1186" s="294" t="s">
        <v>374</v>
      </c>
    </row>
    <row r="1187" spans="1:6" hidden="1" outlineLevel="1" collapsed="1" x14ac:dyDescent="0.25">
      <c r="A1187" s="295" t="s">
        <v>282</v>
      </c>
      <c r="B1187" s="295" t="s">
        <v>763</v>
      </c>
      <c r="C1187" s="293">
        <v>24</v>
      </c>
      <c r="D1187" s="293">
        <v>11.04</v>
      </c>
      <c r="E1187" s="293">
        <v>-12.96</v>
      </c>
      <c r="F1187" s="294" t="s">
        <v>374</v>
      </c>
    </row>
    <row r="1188" spans="1:6" hidden="1" outlineLevel="1" collapsed="1" x14ac:dyDescent="0.25">
      <c r="A1188" s="295" t="s">
        <v>282</v>
      </c>
      <c r="B1188" s="295" t="s">
        <v>375</v>
      </c>
      <c r="C1188" s="293">
        <v>100</v>
      </c>
      <c r="D1188" s="293">
        <v>100</v>
      </c>
      <c r="E1188" s="293">
        <v>0</v>
      </c>
      <c r="F1188" s="294" t="s">
        <v>316</v>
      </c>
    </row>
    <row r="1189" spans="1:6" hidden="1" outlineLevel="1" collapsed="1" x14ac:dyDescent="0.25">
      <c r="A1189" s="295" t="s">
        <v>282</v>
      </c>
      <c r="B1189" s="295" t="s">
        <v>431</v>
      </c>
      <c r="C1189" s="293">
        <v>100</v>
      </c>
      <c r="D1189" s="293">
        <v>100</v>
      </c>
      <c r="E1189" s="293">
        <v>0</v>
      </c>
      <c r="F1189" s="294" t="s">
        <v>316</v>
      </c>
    </row>
    <row r="1190" spans="1:6" hidden="1" outlineLevel="1" collapsed="1" x14ac:dyDescent="0.25">
      <c r="A1190" s="295" t="s">
        <v>282</v>
      </c>
      <c r="B1190" s="295" t="s">
        <v>662</v>
      </c>
      <c r="C1190" s="293">
        <v>0</v>
      </c>
      <c r="D1190" s="293">
        <v>1000</v>
      </c>
      <c r="E1190" s="293">
        <v>1000</v>
      </c>
      <c r="F1190" s="294" t="s">
        <v>298</v>
      </c>
    </row>
    <row r="1191" spans="1:6" hidden="1" outlineLevel="1" collapsed="1" x14ac:dyDescent="0.25">
      <c r="A1191" s="295" t="s">
        <v>282</v>
      </c>
      <c r="B1191" s="295" t="s">
        <v>707</v>
      </c>
      <c r="C1191" s="293">
        <v>600</v>
      </c>
      <c r="D1191" s="293">
        <v>600</v>
      </c>
      <c r="E1191" s="293">
        <v>0</v>
      </c>
      <c r="F1191" s="294" t="s">
        <v>316</v>
      </c>
    </row>
    <row r="1192" spans="1:6" hidden="1" outlineLevel="1" collapsed="1" x14ac:dyDescent="0.25">
      <c r="A1192" s="295" t="s">
        <v>282</v>
      </c>
      <c r="B1192" s="295" t="s">
        <v>403</v>
      </c>
      <c r="C1192" s="293">
        <v>25</v>
      </c>
      <c r="D1192" s="293">
        <v>25</v>
      </c>
      <c r="E1192" s="293">
        <v>0</v>
      </c>
      <c r="F1192" s="294" t="s">
        <v>316</v>
      </c>
    </row>
    <row r="1193" spans="1:6" hidden="1" outlineLevel="1" collapsed="1" x14ac:dyDescent="0.25">
      <c r="A1193" s="295" t="s">
        <v>282</v>
      </c>
      <c r="B1193" s="295" t="s">
        <v>422</v>
      </c>
      <c r="C1193" s="293">
        <v>81</v>
      </c>
      <c r="D1193" s="293">
        <v>81</v>
      </c>
      <c r="E1193" s="293">
        <v>0</v>
      </c>
      <c r="F1193" s="294" t="s">
        <v>316</v>
      </c>
    </row>
    <row r="1194" spans="1:6" collapsed="1" x14ac:dyDescent="0.25">
      <c r="A1194" s="560" t="s">
        <v>791</v>
      </c>
      <c r="B1194" s="561"/>
      <c r="C1194" s="292">
        <v>339976.58980399999</v>
      </c>
      <c r="D1194" s="293">
        <v>353079.809955</v>
      </c>
      <c r="E1194" s="293">
        <v>13103.220151</v>
      </c>
      <c r="F1194" s="294" t="s">
        <v>792</v>
      </c>
    </row>
    <row r="1195" spans="1:6" hidden="1" outlineLevel="1" collapsed="1" x14ac:dyDescent="0.25">
      <c r="A1195" s="295" t="s">
        <v>282</v>
      </c>
      <c r="B1195" s="295" t="s">
        <v>780</v>
      </c>
      <c r="C1195" s="293">
        <v>135039.819036</v>
      </c>
      <c r="D1195" s="293">
        <v>137048.31487199999</v>
      </c>
      <c r="E1195" s="293">
        <v>2008.4958360000001</v>
      </c>
      <c r="F1195" s="294" t="s">
        <v>781</v>
      </c>
    </row>
    <row r="1196" spans="1:6" hidden="1" outlineLevel="1" collapsed="1" x14ac:dyDescent="0.25">
      <c r="A1196" s="295" t="s">
        <v>282</v>
      </c>
      <c r="B1196" s="295" t="s">
        <v>464</v>
      </c>
      <c r="C1196" s="293">
        <v>111410.80190799999</v>
      </c>
      <c r="D1196" s="293">
        <v>114720.762064</v>
      </c>
      <c r="E1196" s="293">
        <v>3309.9601560000001</v>
      </c>
      <c r="F1196" s="294" t="s">
        <v>553</v>
      </c>
    </row>
    <row r="1197" spans="1:6" hidden="1" outlineLevel="1" collapsed="1" x14ac:dyDescent="0.25">
      <c r="A1197" s="295" t="s">
        <v>282</v>
      </c>
      <c r="B1197" s="295" t="s">
        <v>751</v>
      </c>
      <c r="C1197" s="293">
        <v>17473.926383999999</v>
      </c>
      <c r="D1197" s="293">
        <v>0</v>
      </c>
      <c r="E1197" s="293">
        <v>-17473.926383999999</v>
      </c>
      <c r="F1197" s="294" t="s">
        <v>286</v>
      </c>
    </row>
    <row r="1198" spans="1:6" hidden="1" outlineLevel="1" collapsed="1" x14ac:dyDescent="0.25">
      <c r="A1198" s="295" t="s">
        <v>282</v>
      </c>
      <c r="B1198" s="295" t="s">
        <v>752</v>
      </c>
      <c r="C1198" s="293">
        <v>0</v>
      </c>
      <c r="D1198" s="293">
        <v>19611.569832000001</v>
      </c>
      <c r="E1198" s="293">
        <v>19611.569832000001</v>
      </c>
      <c r="F1198" s="294" t="s">
        <v>298</v>
      </c>
    </row>
    <row r="1199" spans="1:6" hidden="1" outlineLevel="1" collapsed="1" x14ac:dyDescent="0.25">
      <c r="A1199" s="295" t="s">
        <v>282</v>
      </c>
      <c r="B1199" s="295" t="s">
        <v>384</v>
      </c>
      <c r="C1199" s="293">
        <v>13776.458868</v>
      </c>
      <c r="D1199" s="293">
        <v>0</v>
      </c>
      <c r="E1199" s="293">
        <v>-13776.458868</v>
      </c>
      <c r="F1199" s="294" t="s">
        <v>286</v>
      </c>
    </row>
    <row r="1200" spans="1:6" hidden="1" outlineLevel="1" collapsed="1" x14ac:dyDescent="0.25">
      <c r="A1200" s="295" t="s">
        <v>282</v>
      </c>
      <c r="B1200" s="295" t="s">
        <v>385</v>
      </c>
      <c r="C1200" s="293">
        <v>0</v>
      </c>
      <c r="D1200" s="293">
        <v>17825.680391999998</v>
      </c>
      <c r="E1200" s="293">
        <v>17825.680391999998</v>
      </c>
      <c r="F1200" s="294" t="s">
        <v>298</v>
      </c>
    </row>
    <row r="1201" spans="1:6" hidden="1" outlineLevel="1" collapsed="1" x14ac:dyDescent="0.25">
      <c r="A1201" s="295" t="s">
        <v>282</v>
      </c>
      <c r="B1201" s="295" t="s">
        <v>386</v>
      </c>
      <c r="C1201" s="293">
        <v>6907.4696999999996</v>
      </c>
      <c r="D1201" s="293">
        <v>0</v>
      </c>
      <c r="E1201" s="293">
        <v>-6907.4696999999996</v>
      </c>
      <c r="F1201" s="294" t="s">
        <v>286</v>
      </c>
    </row>
    <row r="1202" spans="1:6" hidden="1" outlineLevel="1" collapsed="1" x14ac:dyDescent="0.25">
      <c r="A1202" s="295" t="s">
        <v>282</v>
      </c>
      <c r="B1202" s="295" t="s">
        <v>387</v>
      </c>
      <c r="C1202" s="293">
        <v>0</v>
      </c>
      <c r="D1202" s="293">
        <v>7112.6872430000003</v>
      </c>
      <c r="E1202" s="293">
        <v>7112.6872430000003</v>
      </c>
      <c r="F1202" s="294" t="s">
        <v>298</v>
      </c>
    </row>
    <row r="1203" spans="1:6" hidden="1" outlineLevel="1" collapsed="1" x14ac:dyDescent="0.25">
      <c r="A1203" s="295" t="s">
        <v>282</v>
      </c>
      <c r="B1203" s="295" t="s">
        <v>388</v>
      </c>
      <c r="C1203" s="293">
        <v>1615.456608</v>
      </c>
      <c r="D1203" s="293">
        <v>1663.451028</v>
      </c>
      <c r="E1203" s="293">
        <v>47.994419999999998</v>
      </c>
      <c r="F1203" s="294" t="s">
        <v>553</v>
      </c>
    </row>
    <row r="1204" spans="1:6" hidden="1" outlineLevel="1" collapsed="1" x14ac:dyDescent="0.25">
      <c r="A1204" s="295" t="s">
        <v>282</v>
      </c>
      <c r="B1204" s="295" t="s">
        <v>389</v>
      </c>
      <c r="C1204" s="293">
        <v>852.24959999999999</v>
      </c>
      <c r="D1204" s="293">
        <v>844.08</v>
      </c>
      <c r="E1204" s="293">
        <v>-8.1696000000000009</v>
      </c>
      <c r="F1204" s="294" t="s">
        <v>364</v>
      </c>
    </row>
    <row r="1205" spans="1:6" hidden="1" outlineLevel="1" collapsed="1" x14ac:dyDescent="0.25">
      <c r="A1205" s="295" t="s">
        <v>282</v>
      </c>
      <c r="B1205" s="295" t="s">
        <v>390</v>
      </c>
      <c r="C1205" s="293">
        <v>30970.54</v>
      </c>
      <c r="D1205" s="293">
        <v>31918.560000000001</v>
      </c>
      <c r="E1205" s="293">
        <v>948.02</v>
      </c>
      <c r="F1205" s="294" t="s">
        <v>391</v>
      </c>
    </row>
    <row r="1206" spans="1:6" hidden="1" outlineLevel="1" collapsed="1" x14ac:dyDescent="0.25">
      <c r="A1206" s="295" t="s">
        <v>282</v>
      </c>
      <c r="B1206" s="295" t="s">
        <v>392</v>
      </c>
      <c r="C1206" s="293">
        <v>467.07839999999999</v>
      </c>
      <c r="D1206" s="293">
        <v>365.76</v>
      </c>
      <c r="E1206" s="293">
        <v>-101.3184</v>
      </c>
      <c r="F1206" s="294" t="s">
        <v>368</v>
      </c>
    </row>
    <row r="1207" spans="1:6" hidden="1" outlineLevel="1" collapsed="1" x14ac:dyDescent="0.25">
      <c r="A1207" s="295" t="s">
        <v>282</v>
      </c>
      <c r="B1207" s="295" t="s">
        <v>754</v>
      </c>
      <c r="C1207" s="293">
        <v>15358.56</v>
      </c>
      <c r="D1207" s="293">
        <v>15959.28</v>
      </c>
      <c r="E1207" s="293">
        <v>600.72</v>
      </c>
      <c r="F1207" s="294" t="s">
        <v>366</v>
      </c>
    </row>
    <row r="1208" spans="1:6" hidden="1" outlineLevel="1" collapsed="1" x14ac:dyDescent="0.25">
      <c r="A1208" s="295" t="s">
        <v>282</v>
      </c>
      <c r="B1208" s="295" t="s">
        <v>755</v>
      </c>
      <c r="C1208" s="293">
        <v>426.12479999999999</v>
      </c>
      <c r="D1208" s="293">
        <v>422.04</v>
      </c>
      <c r="E1208" s="293">
        <v>-4.0848000000000004</v>
      </c>
      <c r="F1208" s="294" t="s">
        <v>364</v>
      </c>
    </row>
    <row r="1209" spans="1:6" hidden="1" outlineLevel="1" collapsed="1" x14ac:dyDescent="0.25">
      <c r="A1209" s="295" t="s">
        <v>282</v>
      </c>
      <c r="B1209" s="295" t="s">
        <v>756</v>
      </c>
      <c r="C1209" s="293">
        <v>233.53919999999999</v>
      </c>
      <c r="D1209" s="293">
        <v>182.88</v>
      </c>
      <c r="E1209" s="293">
        <v>-50.659199999999998</v>
      </c>
      <c r="F1209" s="294" t="s">
        <v>368</v>
      </c>
    </row>
    <row r="1210" spans="1:6" hidden="1" outlineLevel="1" collapsed="1" x14ac:dyDescent="0.25">
      <c r="A1210" s="295" t="s">
        <v>282</v>
      </c>
      <c r="B1210" s="295" t="s">
        <v>393</v>
      </c>
      <c r="C1210" s="293">
        <v>55.705392000000003</v>
      </c>
      <c r="D1210" s="293">
        <v>57.360371999999998</v>
      </c>
      <c r="E1210" s="293">
        <v>1.6549799999999999</v>
      </c>
      <c r="F1210" s="294" t="s">
        <v>553</v>
      </c>
    </row>
    <row r="1211" spans="1:6" hidden="1" outlineLevel="1" collapsed="1" x14ac:dyDescent="0.25">
      <c r="A1211" s="295" t="s">
        <v>282</v>
      </c>
      <c r="B1211" s="295" t="s">
        <v>757</v>
      </c>
      <c r="C1211" s="293">
        <v>67.819907999999998</v>
      </c>
      <c r="D1211" s="293">
        <v>0</v>
      </c>
      <c r="E1211" s="293">
        <v>-67.819907999999998</v>
      </c>
      <c r="F1211" s="294" t="s">
        <v>286</v>
      </c>
    </row>
    <row r="1212" spans="1:6" hidden="1" outlineLevel="1" collapsed="1" x14ac:dyDescent="0.25">
      <c r="A1212" s="295" t="s">
        <v>282</v>
      </c>
      <c r="B1212" s="295" t="s">
        <v>758</v>
      </c>
      <c r="C1212" s="293">
        <v>0</v>
      </c>
      <c r="D1212" s="293">
        <v>68.824151999999998</v>
      </c>
      <c r="E1212" s="293">
        <v>68.824151999999998</v>
      </c>
      <c r="F1212" s="294" t="s">
        <v>298</v>
      </c>
    </row>
    <row r="1213" spans="1:6" hidden="1" outlineLevel="1" collapsed="1" x14ac:dyDescent="0.25">
      <c r="A1213" s="295" t="s">
        <v>282</v>
      </c>
      <c r="B1213" s="295" t="s">
        <v>394</v>
      </c>
      <c r="C1213" s="293">
        <v>3000</v>
      </c>
      <c r="D1213" s="293">
        <v>0</v>
      </c>
      <c r="E1213" s="293">
        <v>-3000</v>
      </c>
      <c r="F1213" s="294" t="s">
        <v>286</v>
      </c>
    </row>
    <row r="1214" spans="1:6" hidden="1" outlineLevel="1" collapsed="1" x14ac:dyDescent="0.25">
      <c r="A1214" s="295" t="s">
        <v>282</v>
      </c>
      <c r="B1214" s="295" t="s">
        <v>395</v>
      </c>
      <c r="C1214" s="293">
        <v>0</v>
      </c>
      <c r="D1214" s="293">
        <v>3000</v>
      </c>
      <c r="E1214" s="293">
        <v>3000</v>
      </c>
      <c r="F1214" s="294" t="s">
        <v>298</v>
      </c>
    </row>
    <row r="1215" spans="1:6" hidden="1" outlineLevel="1" collapsed="1" x14ac:dyDescent="0.25">
      <c r="A1215" s="295" t="s">
        <v>282</v>
      </c>
      <c r="B1215" s="295" t="s">
        <v>759</v>
      </c>
      <c r="C1215" s="293">
        <v>1500</v>
      </c>
      <c r="D1215" s="293">
        <v>0</v>
      </c>
      <c r="E1215" s="293">
        <v>-1500</v>
      </c>
      <c r="F1215" s="294" t="s">
        <v>286</v>
      </c>
    </row>
    <row r="1216" spans="1:6" hidden="1" outlineLevel="1" collapsed="1" x14ac:dyDescent="0.25">
      <c r="A1216" s="295" t="s">
        <v>282</v>
      </c>
      <c r="B1216" s="295" t="s">
        <v>760</v>
      </c>
      <c r="C1216" s="293">
        <v>0</v>
      </c>
      <c r="D1216" s="293">
        <v>1500</v>
      </c>
      <c r="E1216" s="293">
        <v>1500</v>
      </c>
      <c r="F1216" s="294" t="s">
        <v>298</v>
      </c>
    </row>
    <row r="1217" spans="1:6" hidden="1" outlineLevel="1" collapsed="1" x14ac:dyDescent="0.25">
      <c r="A1217" s="295" t="s">
        <v>282</v>
      </c>
      <c r="B1217" s="295" t="s">
        <v>396</v>
      </c>
      <c r="C1217" s="293">
        <v>99.36</v>
      </c>
      <c r="D1217" s="293">
        <v>0</v>
      </c>
      <c r="E1217" s="293">
        <v>-99.36</v>
      </c>
      <c r="F1217" s="294" t="s">
        <v>286</v>
      </c>
    </row>
    <row r="1218" spans="1:6" hidden="1" outlineLevel="1" collapsed="1" x14ac:dyDescent="0.25">
      <c r="A1218" s="295" t="s">
        <v>282</v>
      </c>
      <c r="B1218" s="295" t="s">
        <v>397</v>
      </c>
      <c r="C1218" s="293">
        <v>0</v>
      </c>
      <c r="D1218" s="293">
        <v>96.96</v>
      </c>
      <c r="E1218" s="293">
        <v>96.96</v>
      </c>
      <c r="F1218" s="294" t="s">
        <v>298</v>
      </c>
    </row>
    <row r="1219" spans="1:6" hidden="1" outlineLevel="1" collapsed="1" x14ac:dyDescent="0.25">
      <c r="A1219" s="295" t="s">
        <v>282</v>
      </c>
      <c r="B1219" s="295" t="s">
        <v>761</v>
      </c>
      <c r="C1219" s="293">
        <v>49.68</v>
      </c>
      <c r="D1219" s="293">
        <v>0</v>
      </c>
      <c r="E1219" s="293">
        <v>-49.68</v>
      </c>
      <c r="F1219" s="294" t="s">
        <v>286</v>
      </c>
    </row>
    <row r="1220" spans="1:6" hidden="1" outlineLevel="1" collapsed="1" x14ac:dyDescent="0.25">
      <c r="A1220" s="295" t="s">
        <v>282</v>
      </c>
      <c r="B1220" s="295" t="s">
        <v>762</v>
      </c>
      <c r="C1220" s="293">
        <v>0</v>
      </c>
      <c r="D1220" s="293">
        <v>48.48</v>
      </c>
      <c r="E1220" s="293">
        <v>48.48</v>
      </c>
      <c r="F1220" s="294" t="s">
        <v>298</v>
      </c>
    </row>
    <row r="1221" spans="1:6" hidden="1" outlineLevel="1" collapsed="1" x14ac:dyDescent="0.25">
      <c r="A1221" s="295" t="s">
        <v>282</v>
      </c>
      <c r="B1221" s="295" t="s">
        <v>398</v>
      </c>
      <c r="C1221" s="293">
        <v>48</v>
      </c>
      <c r="D1221" s="293">
        <v>22.08</v>
      </c>
      <c r="E1221" s="293">
        <v>-25.92</v>
      </c>
      <c r="F1221" s="294" t="s">
        <v>374</v>
      </c>
    </row>
    <row r="1222" spans="1:6" hidden="1" outlineLevel="1" collapsed="1" x14ac:dyDescent="0.25">
      <c r="A1222" s="295" t="s">
        <v>282</v>
      </c>
      <c r="B1222" s="295" t="s">
        <v>763</v>
      </c>
      <c r="C1222" s="293">
        <v>24</v>
      </c>
      <c r="D1222" s="293">
        <v>11.04</v>
      </c>
      <c r="E1222" s="293">
        <v>-12.96</v>
      </c>
      <c r="F1222" s="294" t="s">
        <v>374</v>
      </c>
    </row>
    <row r="1223" spans="1:6" hidden="1" outlineLevel="1" collapsed="1" x14ac:dyDescent="0.25">
      <c r="A1223" s="295" t="s">
        <v>282</v>
      </c>
      <c r="B1223" s="295" t="s">
        <v>707</v>
      </c>
      <c r="C1223" s="293">
        <v>600</v>
      </c>
      <c r="D1223" s="293">
        <v>600</v>
      </c>
      <c r="E1223" s="293">
        <v>0</v>
      </c>
      <c r="F1223" s="294" t="s">
        <v>316</v>
      </c>
    </row>
    <row r="1224" spans="1:6" collapsed="1" x14ac:dyDescent="0.25">
      <c r="A1224" s="560" t="s">
        <v>793</v>
      </c>
      <c r="B1224" s="561"/>
      <c r="C1224" s="292">
        <v>203437.31296000001</v>
      </c>
      <c r="D1224" s="293">
        <v>219052.22309000001</v>
      </c>
      <c r="E1224" s="293">
        <v>15614.91013</v>
      </c>
      <c r="F1224" s="294" t="s">
        <v>794</v>
      </c>
    </row>
    <row r="1225" spans="1:6" hidden="1" outlineLevel="1" collapsed="1" x14ac:dyDescent="0.25">
      <c r="A1225" s="295" t="s">
        <v>282</v>
      </c>
      <c r="B1225" s="295" t="s">
        <v>780</v>
      </c>
      <c r="C1225" s="293">
        <v>115666.358076</v>
      </c>
      <c r="D1225" s="293">
        <v>123271.576476</v>
      </c>
      <c r="E1225" s="293">
        <v>7605.2183999999997</v>
      </c>
      <c r="F1225" s="294" t="s">
        <v>790</v>
      </c>
    </row>
    <row r="1226" spans="1:6" hidden="1" outlineLevel="1" collapsed="1" x14ac:dyDescent="0.25">
      <c r="A1226" s="295" t="s">
        <v>282</v>
      </c>
      <c r="B1226" s="295" t="s">
        <v>464</v>
      </c>
      <c r="C1226" s="293">
        <v>34018.359501999999</v>
      </c>
      <c r="D1226" s="293">
        <v>36753.349284999997</v>
      </c>
      <c r="E1226" s="293">
        <v>2734.989783</v>
      </c>
      <c r="F1226" s="294" t="s">
        <v>795</v>
      </c>
    </row>
    <row r="1227" spans="1:6" hidden="1" outlineLevel="1" collapsed="1" x14ac:dyDescent="0.25">
      <c r="A1227" s="295" t="s">
        <v>282</v>
      </c>
      <c r="B1227" s="295" t="s">
        <v>751</v>
      </c>
      <c r="C1227" s="293">
        <v>15094.459728</v>
      </c>
      <c r="D1227" s="293">
        <v>0</v>
      </c>
      <c r="E1227" s="293">
        <v>-15094.459728</v>
      </c>
      <c r="F1227" s="294" t="s">
        <v>286</v>
      </c>
    </row>
    <row r="1228" spans="1:6" hidden="1" outlineLevel="1" collapsed="1" x14ac:dyDescent="0.25">
      <c r="A1228" s="295" t="s">
        <v>282</v>
      </c>
      <c r="B1228" s="295" t="s">
        <v>752</v>
      </c>
      <c r="C1228" s="293">
        <v>0</v>
      </c>
      <c r="D1228" s="293">
        <v>17788.088484</v>
      </c>
      <c r="E1228" s="293">
        <v>17788.088484</v>
      </c>
      <c r="F1228" s="294" t="s">
        <v>298</v>
      </c>
    </row>
    <row r="1229" spans="1:6" hidden="1" outlineLevel="1" collapsed="1" x14ac:dyDescent="0.25">
      <c r="A1229" s="295" t="s">
        <v>282</v>
      </c>
      <c r="B1229" s="295" t="s">
        <v>384</v>
      </c>
      <c r="C1229" s="293">
        <v>4214.0936240000001</v>
      </c>
      <c r="D1229" s="293">
        <v>0</v>
      </c>
      <c r="E1229" s="293">
        <v>-4214.0936240000001</v>
      </c>
      <c r="F1229" s="294" t="s">
        <v>286</v>
      </c>
    </row>
    <row r="1230" spans="1:6" hidden="1" outlineLevel="1" collapsed="1" x14ac:dyDescent="0.25">
      <c r="A1230" s="295" t="s">
        <v>282</v>
      </c>
      <c r="B1230" s="295" t="s">
        <v>385</v>
      </c>
      <c r="C1230" s="293">
        <v>0</v>
      </c>
      <c r="D1230" s="293">
        <v>5724.869181</v>
      </c>
      <c r="E1230" s="293">
        <v>5724.869181</v>
      </c>
      <c r="F1230" s="294" t="s">
        <v>298</v>
      </c>
    </row>
    <row r="1231" spans="1:6" hidden="1" outlineLevel="1" collapsed="1" x14ac:dyDescent="0.25">
      <c r="A1231" s="295" t="s">
        <v>282</v>
      </c>
      <c r="B1231" s="295" t="s">
        <v>386</v>
      </c>
      <c r="C1231" s="293">
        <v>2109.1382819999999</v>
      </c>
      <c r="D1231" s="293">
        <v>0</v>
      </c>
      <c r="E1231" s="293">
        <v>-2109.1382819999999</v>
      </c>
      <c r="F1231" s="294" t="s">
        <v>286</v>
      </c>
    </row>
    <row r="1232" spans="1:6" hidden="1" outlineLevel="1" collapsed="1" x14ac:dyDescent="0.25">
      <c r="A1232" s="295" t="s">
        <v>282</v>
      </c>
      <c r="B1232" s="295" t="s">
        <v>387</v>
      </c>
      <c r="C1232" s="293">
        <v>0</v>
      </c>
      <c r="D1232" s="293">
        <v>2278.7076480000001</v>
      </c>
      <c r="E1232" s="293">
        <v>2278.7076480000001</v>
      </c>
      <c r="F1232" s="294" t="s">
        <v>298</v>
      </c>
    </row>
    <row r="1233" spans="1:6" hidden="1" outlineLevel="1" collapsed="1" x14ac:dyDescent="0.25">
      <c r="A1233" s="295" t="s">
        <v>282</v>
      </c>
      <c r="B1233" s="295" t="s">
        <v>388</v>
      </c>
      <c r="C1233" s="293">
        <v>493.26620500000001</v>
      </c>
      <c r="D1233" s="293">
        <v>532.92356199999995</v>
      </c>
      <c r="E1233" s="293">
        <v>39.657356999999998</v>
      </c>
      <c r="F1233" s="294" t="s">
        <v>795</v>
      </c>
    </row>
    <row r="1234" spans="1:6" hidden="1" outlineLevel="1" collapsed="1" x14ac:dyDescent="0.25">
      <c r="A1234" s="295" t="s">
        <v>282</v>
      </c>
      <c r="B1234" s="295" t="s">
        <v>389</v>
      </c>
      <c r="C1234" s="293">
        <v>340.89983999999998</v>
      </c>
      <c r="D1234" s="293">
        <v>337.63200000000001</v>
      </c>
      <c r="E1234" s="293">
        <v>-3.2678400000000001</v>
      </c>
      <c r="F1234" s="294" t="s">
        <v>364</v>
      </c>
    </row>
    <row r="1235" spans="1:6" hidden="1" outlineLevel="1" collapsed="1" x14ac:dyDescent="0.25">
      <c r="A1235" s="295" t="s">
        <v>282</v>
      </c>
      <c r="B1235" s="295" t="s">
        <v>390</v>
      </c>
      <c r="C1235" s="293">
        <v>12388.216</v>
      </c>
      <c r="D1235" s="293">
        <v>12767.424000000001</v>
      </c>
      <c r="E1235" s="293">
        <v>379.20800000000003</v>
      </c>
      <c r="F1235" s="294" t="s">
        <v>391</v>
      </c>
    </row>
    <row r="1236" spans="1:6" hidden="1" outlineLevel="1" collapsed="1" x14ac:dyDescent="0.25">
      <c r="A1236" s="295" t="s">
        <v>282</v>
      </c>
      <c r="B1236" s="295" t="s">
        <v>392</v>
      </c>
      <c r="C1236" s="293">
        <v>186.83135999999999</v>
      </c>
      <c r="D1236" s="293">
        <v>146.304</v>
      </c>
      <c r="E1236" s="293">
        <v>-40.527360000000002</v>
      </c>
      <c r="F1236" s="294" t="s">
        <v>368</v>
      </c>
    </row>
    <row r="1237" spans="1:6" hidden="1" outlineLevel="1" collapsed="1" x14ac:dyDescent="0.25">
      <c r="A1237" s="295" t="s">
        <v>282</v>
      </c>
      <c r="B1237" s="295" t="s">
        <v>754</v>
      </c>
      <c r="C1237" s="293">
        <v>15358.56</v>
      </c>
      <c r="D1237" s="293">
        <v>15959.28</v>
      </c>
      <c r="E1237" s="293">
        <v>600.72</v>
      </c>
      <c r="F1237" s="294" t="s">
        <v>366</v>
      </c>
    </row>
    <row r="1238" spans="1:6" hidden="1" outlineLevel="1" collapsed="1" x14ac:dyDescent="0.25">
      <c r="A1238" s="295" t="s">
        <v>282</v>
      </c>
      <c r="B1238" s="295" t="s">
        <v>755</v>
      </c>
      <c r="C1238" s="293">
        <v>426.12479999999999</v>
      </c>
      <c r="D1238" s="293">
        <v>422.04</v>
      </c>
      <c r="E1238" s="293">
        <v>-4.0848000000000004</v>
      </c>
      <c r="F1238" s="294" t="s">
        <v>364</v>
      </c>
    </row>
    <row r="1239" spans="1:6" hidden="1" outlineLevel="1" collapsed="1" x14ac:dyDescent="0.25">
      <c r="A1239" s="295" t="s">
        <v>282</v>
      </c>
      <c r="B1239" s="295" t="s">
        <v>756</v>
      </c>
      <c r="C1239" s="293">
        <v>233.53919999999999</v>
      </c>
      <c r="D1239" s="293">
        <v>182.88</v>
      </c>
      <c r="E1239" s="293">
        <v>-50.659199999999998</v>
      </c>
      <c r="F1239" s="294" t="s">
        <v>368</v>
      </c>
    </row>
    <row r="1240" spans="1:6" hidden="1" outlineLevel="1" collapsed="1" x14ac:dyDescent="0.25">
      <c r="A1240" s="295" t="s">
        <v>282</v>
      </c>
      <c r="B1240" s="295" t="s">
        <v>393</v>
      </c>
      <c r="C1240" s="293">
        <v>17.009170999999998</v>
      </c>
      <c r="D1240" s="293">
        <v>18.376674000000001</v>
      </c>
      <c r="E1240" s="293">
        <v>1.3675029999999999</v>
      </c>
      <c r="F1240" s="294" t="s">
        <v>795</v>
      </c>
    </row>
    <row r="1241" spans="1:6" hidden="1" outlineLevel="1" collapsed="1" x14ac:dyDescent="0.25">
      <c r="A1241" s="295" t="s">
        <v>282</v>
      </c>
      <c r="B1241" s="295" t="s">
        <v>757</v>
      </c>
      <c r="C1241" s="293">
        <v>57.833171999999998</v>
      </c>
      <c r="D1241" s="293">
        <v>0</v>
      </c>
      <c r="E1241" s="293">
        <v>-57.833171999999998</v>
      </c>
      <c r="F1241" s="294" t="s">
        <v>286</v>
      </c>
    </row>
    <row r="1242" spans="1:6" hidden="1" outlineLevel="1" collapsed="1" x14ac:dyDescent="0.25">
      <c r="A1242" s="295" t="s">
        <v>282</v>
      </c>
      <c r="B1242" s="295" t="s">
        <v>758</v>
      </c>
      <c r="C1242" s="293">
        <v>0</v>
      </c>
      <c r="D1242" s="293">
        <v>61.635779999999997</v>
      </c>
      <c r="E1242" s="293">
        <v>61.635779999999997</v>
      </c>
      <c r="F1242" s="294" t="s">
        <v>298</v>
      </c>
    </row>
    <row r="1243" spans="1:6" hidden="1" outlineLevel="1" collapsed="1" x14ac:dyDescent="0.25">
      <c r="A1243" s="295" t="s">
        <v>282</v>
      </c>
      <c r="B1243" s="295" t="s">
        <v>394</v>
      </c>
      <c r="C1243" s="293">
        <v>1200</v>
      </c>
      <c r="D1243" s="293">
        <v>0</v>
      </c>
      <c r="E1243" s="293">
        <v>-1200</v>
      </c>
      <c r="F1243" s="294" t="s">
        <v>286</v>
      </c>
    </row>
    <row r="1244" spans="1:6" hidden="1" outlineLevel="1" collapsed="1" x14ac:dyDescent="0.25">
      <c r="A1244" s="295" t="s">
        <v>282</v>
      </c>
      <c r="B1244" s="295" t="s">
        <v>395</v>
      </c>
      <c r="C1244" s="293">
        <v>0</v>
      </c>
      <c r="D1244" s="293">
        <v>1200</v>
      </c>
      <c r="E1244" s="293">
        <v>1200</v>
      </c>
      <c r="F1244" s="294" t="s">
        <v>298</v>
      </c>
    </row>
    <row r="1245" spans="1:6" hidden="1" outlineLevel="1" collapsed="1" x14ac:dyDescent="0.25">
      <c r="A1245" s="295" t="s">
        <v>282</v>
      </c>
      <c r="B1245" s="295" t="s">
        <v>759</v>
      </c>
      <c r="C1245" s="293">
        <v>1500</v>
      </c>
      <c r="D1245" s="293">
        <v>0</v>
      </c>
      <c r="E1245" s="293">
        <v>-1500</v>
      </c>
      <c r="F1245" s="294" t="s">
        <v>286</v>
      </c>
    </row>
    <row r="1246" spans="1:6" hidden="1" outlineLevel="1" collapsed="1" x14ac:dyDescent="0.25">
      <c r="A1246" s="295" t="s">
        <v>282</v>
      </c>
      <c r="B1246" s="295" t="s">
        <v>760</v>
      </c>
      <c r="C1246" s="293">
        <v>0</v>
      </c>
      <c r="D1246" s="293">
        <v>1500</v>
      </c>
      <c r="E1246" s="293">
        <v>1500</v>
      </c>
      <c r="F1246" s="294" t="s">
        <v>298</v>
      </c>
    </row>
    <row r="1247" spans="1:6" hidden="1" outlineLevel="1" collapsed="1" x14ac:dyDescent="0.25">
      <c r="A1247" s="295" t="s">
        <v>282</v>
      </c>
      <c r="B1247" s="295" t="s">
        <v>396</v>
      </c>
      <c r="C1247" s="293">
        <v>39.744</v>
      </c>
      <c r="D1247" s="293">
        <v>0</v>
      </c>
      <c r="E1247" s="293">
        <v>-39.744</v>
      </c>
      <c r="F1247" s="294" t="s">
        <v>286</v>
      </c>
    </row>
    <row r="1248" spans="1:6" hidden="1" outlineLevel="1" collapsed="1" x14ac:dyDescent="0.25">
      <c r="A1248" s="295" t="s">
        <v>282</v>
      </c>
      <c r="B1248" s="295" t="s">
        <v>397</v>
      </c>
      <c r="C1248" s="293">
        <v>0</v>
      </c>
      <c r="D1248" s="293">
        <v>38.783999999999999</v>
      </c>
      <c r="E1248" s="293">
        <v>38.783999999999999</v>
      </c>
      <c r="F1248" s="294" t="s">
        <v>298</v>
      </c>
    </row>
    <row r="1249" spans="1:6" hidden="1" outlineLevel="1" collapsed="1" x14ac:dyDescent="0.25">
      <c r="A1249" s="295" t="s">
        <v>282</v>
      </c>
      <c r="B1249" s="295" t="s">
        <v>761</v>
      </c>
      <c r="C1249" s="293">
        <v>49.68</v>
      </c>
      <c r="D1249" s="293">
        <v>0</v>
      </c>
      <c r="E1249" s="293">
        <v>-49.68</v>
      </c>
      <c r="F1249" s="294" t="s">
        <v>286</v>
      </c>
    </row>
    <row r="1250" spans="1:6" hidden="1" outlineLevel="1" collapsed="1" x14ac:dyDescent="0.25">
      <c r="A1250" s="295" t="s">
        <v>282</v>
      </c>
      <c r="B1250" s="295" t="s">
        <v>762</v>
      </c>
      <c r="C1250" s="293">
        <v>0</v>
      </c>
      <c r="D1250" s="293">
        <v>48.48</v>
      </c>
      <c r="E1250" s="293">
        <v>48.48</v>
      </c>
      <c r="F1250" s="294" t="s">
        <v>298</v>
      </c>
    </row>
    <row r="1251" spans="1:6" hidden="1" outlineLevel="1" collapsed="1" x14ac:dyDescent="0.25">
      <c r="A1251" s="295" t="s">
        <v>282</v>
      </c>
      <c r="B1251" s="295" t="s">
        <v>398</v>
      </c>
      <c r="C1251" s="293">
        <v>19.2</v>
      </c>
      <c r="D1251" s="293">
        <v>8.8320000000000007</v>
      </c>
      <c r="E1251" s="293">
        <v>-10.368</v>
      </c>
      <c r="F1251" s="294" t="s">
        <v>374</v>
      </c>
    </row>
    <row r="1252" spans="1:6" hidden="1" outlineLevel="1" collapsed="1" x14ac:dyDescent="0.25">
      <c r="A1252" s="295" t="s">
        <v>282</v>
      </c>
      <c r="B1252" s="295" t="s">
        <v>763</v>
      </c>
      <c r="C1252" s="293">
        <v>24</v>
      </c>
      <c r="D1252" s="293">
        <v>11.04</v>
      </c>
      <c r="E1252" s="293">
        <v>-12.96</v>
      </c>
      <c r="F1252" s="294" t="s">
        <v>374</v>
      </c>
    </row>
    <row r="1253" spans="1:6" collapsed="1" x14ac:dyDescent="0.25">
      <c r="A1253" s="560" t="s">
        <v>796</v>
      </c>
      <c r="B1253" s="561"/>
      <c r="C1253" s="292">
        <v>76718.864136999997</v>
      </c>
      <c r="D1253" s="293">
        <v>83560.782806000003</v>
      </c>
      <c r="E1253" s="293">
        <v>6841.9186689999997</v>
      </c>
      <c r="F1253" s="294" t="s">
        <v>797</v>
      </c>
    </row>
    <row r="1254" spans="1:6" hidden="1" outlineLevel="1" collapsed="1" x14ac:dyDescent="0.25">
      <c r="A1254" s="295" t="s">
        <v>282</v>
      </c>
      <c r="B1254" s="295" t="s">
        <v>464</v>
      </c>
      <c r="C1254" s="293">
        <v>41656.090915000001</v>
      </c>
      <c r="D1254" s="293">
        <v>53087.824151000001</v>
      </c>
      <c r="E1254" s="293">
        <v>11431.733236</v>
      </c>
      <c r="F1254" s="294" t="s">
        <v>798</v>
      </c>
    </row>
    <row r="1255" spans="1:6" hidden="1" outlineLevel="1" collapsed="1" x14ac:dyDescent="0.25">
      <c r="A1255" s="295" t="s">
        <v>282</v>
      </c>
      <c r="B1255" s="295" t="s">
        <v>799</v>
      </c>
      <c r="C1255" s="293">
        <v>7480</v>
      </c>
      <c r="D1255" s="293">
        <v>0</v>
      </c>
      <c r="E1255" s="293">
        <v>-7480</v>
      </c>
      <c r="F1255" s="294" t="s">
        <v>286</v>
      </c>
    </row>
    <row r="1256" spans="1:6" hidden="1" outlineLevel="1" collapsed="1" x14ac:dyDescent="0.25">
      <c r="A1256" s="295" t="s">
        <v>282</v>
      </c>
      <c r="B1256" s="295" t="s">
        <v>384</v>
      </c>
      <c r="C1256" s="293">
        <v>6080.6802360000001</v>
      </c>
      <c r="D1256" s="293">
        <v>0</v>
      </c>
      <c r="E1256" s="293">
        <v>-6080.6802360000001</v>
      </c>
      <c r="F1256" s="294" t="s">
        <v>286</v>
      </c>
    </row>
    <row r="1257" spans="1:6" hidden="1" outlineLevel="1" collapsed="1" x14ac:dyDescent="0.25">
      <c r="A1257" s="295" t="s">
        <v>282</v>
      </c>
      <c r="B1257" s="295" t="s">
        <v>385</v>
      </c>
      <c r="C1257" s="293">
        <v>0</v>
      </c>
      <c r="D1257" s="293">
        <v>8261.4762090000004</v>
      </c>
      <c r="E1257" s="293">
        <v>8261.4762090000004</v>
      </c>
      <c r="F1257" s="294" t="s">
        <v>298</v>
      </c>
    </row>
    <row r="1258" spans="1:6" hidden="1" outlineLevel="1" collapsed="1" x14ac:dyDescent="0.25">
      <c r="A1258" s="295" t="s">
        <v>282</v>
      </c>
      <c r="B1258" s="295" t="s">
        <v>386</v>
      </c>
      <c r="C1258" s="293">
        <v>3046.437633</v>
      </c>
      <c r="D1258" s="293">
        <v>0</v>
      </c>
      <c r="E1258" s="293">
        <v>-3046.437633</v>
      </c>
      <c r="F1258" s="294" t="s">
        <v>286</v>
      </c>
    </row>
    <row r="1259" spans="1:6" hidden="1" outlineLevel="1" collapsed="1" x14ac:dyDescent="0.25">
      <c r="A1259" s="295" t="s">
        <v>282</v>
      </c>
      <c r="B1259" s="295" t="s">
        <v>387</v>
      </c>
      <c r="C1259" s="293">
        <v>0</v>
      </c>
      <c r="D1259" s="293">
        <v>3291.445095</v>
      </c>
      <c r="E1259" s="293">
        <v>3291.445095</v>
      </c>
      <c r="F1259" s="294" t="s">
        <v>298</v>
      </c>
    </row>
    <row r="1260" spans="1:6" hidden="1" outlineLevel="1" collapsed="1" x14ac:dyDescent="0.25">
      <c r="A1260" s="295" t="s">
        <v>282</v>
      </c>
      <c r="B1260" s="295" t="s">
        <v>388</v>
      </c>
      <c r="C1260" s="293">
        <v>712.47331199999996</v>
      </c>
      <c r="D1260" s="293">
        <v>769.77344100000005</v>
      </c>
      <c r="E1260" s="293">
        <v>57.300128999999998</v>
      </c>
      <c r="F1260" s="294" t="s">
        <v>795</v>
      </c>
    </row>
    <row r="1261" spans="1:6" hidden="1" outlineLevel="1" collapsed="1" x14ac:dyDescent="0.25">
      <c r="A1261" s="295" t="s">
        <v>282</v>
      </c>
      <c r="B1261" s="295" t="s">
        <v>444</v>
      </c>
      <c r="C1261" s="293">
        <v>828</v>
      </c>
      <c r="D1261" s="293">
        <v>0</v>
      </c>
      <c r="E1261" s="293">
        <v>-828</v>
      </c>
      <c r="F1261" s="294" t="s">
        <v>286</v>
      </c>
    </row>
    <row r="1262" spans="1:6" hidden="1" outlineLevel="1" collapsed="1" x14ac:dyDescent="0.25">
      <c r="A1262" s="295" t="s">
        <v>282</v>
      </c>
      <c r="B1262" s="295" t="s">
        <v>389</v>
      </c>
      <c r="C1262" s="293">
        <v>426.12479999999999</v>
      </c>
      <c r="D1262" s="293">
        <v>422.04</v>
      </c>
      <c r="E1262" s="293">
        <v>-4.0848000000000004</v>
      </c>
      <c r="F1262" s="294" t="s">
        <v>364</v>
      </c>
    </row>
    <row r="1263" spans="1:6" hidden="1" outlineLevel="1" collapsed="1" x14ac:dyDescent="0.25">
      <c r="A1263" s="295" t="s">
        <v>282</v>
      </c>
      <c r="B1263" s="295" t="s">
        <v>390</v>
      </c>
      <c r="C1263" s="293">
        <v>14657.27</v>
      </c>
      <c r="D1263" s="293">
        <v>15959.28</v>
      </c>
      <c r="E1263" s="293">
        <v>1302.01</v>
      </c>
      <c r="F1263" s="294" t="s">
        <v>800</v>
      </c>
    </row>
    <row r="1264" spans="1:6" hidden="1" outlineLevel="1" collapsed="1" x14ac:dyDescent="0.25">
      <c r="A1264" s="295" t="s">
        <v>282</v>
      </c>
      <c r="B1264" s="295" t="s">
        <v>392</v>
      </c>
      <c r="C1264" s="293">
        <v>233.53919999999999</v>
      </c>
      <c r="D1264" s="293">
        <v>182.88</v>
      </c>
      <c r="E1264" s="293">
        <v>-50.659199999999998</v>
      </c>
      <c r="F1264" s="294" t="s">
        <v>368</v>
      </c>
    </row>
    <row r="1265" spans="1:6" hidden="1" outlineLevel="1" collapsed="1" x14ac:dyDescent="0.25">
      <c r="A1265" s="295" t="s">
        <v>282</v>
      </c>
      <c r="B1265" s="295" t="s">
        <v>393</v>
      </c>
      <c r="C1265" s="293">
        <v>24.568041000000001</v>
      </c>
      <c r="D1265" s="293">
        <v>26.54391</v>
      </c>
      <c r="E1265" s="293">
        <v>1.9758690000000001</v>
      </c>
      <c r="F1265" s="294" t="s">
        <v>795</v>
      </c>
    </row>
    <row r="1266" spans="1:6" hidden="1" outlineLevel="1" collapsed="1" x14ac:dyDescent="0.25">
      <c r="A1266" s="295" t="s">
        <v>282</v>
      </c>
      <c r="B1266" s="295" t="s">
        <v>394</v>
      </c>
      <c r="C1266" s="293">
        <v>1500</v>
      </c>
      <c r="D1266" s="293">
        <v>0</v>
      </c>
      <c r="E1266" s="293">
        <v>-1500</v>
      </c>
      <c r="F1266" s="294" t="s">
        <v>286</v>
      </c>
    </row>
    <row r="1267" spans="1:6" hidden="1" outlineLevel="1" collapsed="1" x14ac:dyDescent="0.25">
      <c r="A1267" s="295" t="s">
        <v>282</v>
      </c>
      <c r="B1267" s="295" t="s">
        <v>395</v>
      </c>
      <c r="C1267" s="293">
        <v>0</v>
      </c>
      <c r="D1267" s="293">
        <v>1500</v>
      </c>
      <c r="E1267" s="293">
        <v>1500</v>
      </c>
      <c r="F1267" s="294" t="s">
        <v>298</v>
      </c>
    </row>
    <row r="1268" spans="1:6" hidden="1" outlineLevel="1" collapsed="1" x14ac:dyDescent="0.25">
      <c r="A1268" s="295" t="s">
        <v>282</v>
      </c>
      <c r="B1268" s="295" t="s">
        <v>396</v>
      </c>
      <c r="C1268" s="293">
        <v>49.68</v>
      </c>
      <c r="D1268" s="293">
        <v>0</v>
      </c>
      <c r="E1268" s="293">
        <v>-49.68</v>
      </c>
      <c r="F1268" s="294" t="s">
        <v>286</v>
      </c>
    </row>
    <row r="1269" spans="1:6" hidden="1" outlineLevel="1" collapsed="1" x14ac:dyDescent="0.25">
      <c r="A1269" s="295" t="s">
        <v>282</v>
      </c>
      <c r="B1269" s="295" t="s">
        <v>397</v>
      </c>
      <c r="C1269" s="293">
        <v>0</v>
      </c>
      <c r="D1269" s="293">
        <v>48.48</v>
      </c>
      <c r="E1269" s="293">
        <v>48.48</v>
      </c>
      <c r="F1269" s="294" t="s">
        <v>298</v>
      </c>
    </row>
    <row r="1270" spans="1:6" hidden="1" outlineLevel="1" collapsed="1" x14ac:dyDescent="0.25">
      <c r="A1270" s="295" t="s">
        <v>282</v>
      </c>
      <c r="B1270" s="295" t="s">
        <v>398</v>
      </c>
      <c r="C1270" s="293">
        <v>24</v>
      </c>
      <c r="D1270" s="293">
        <v>11.04</v>
      </c>
      <c r="E1270" s="293">
        <v>-12.96</v>
      </c>
      <c r="F1270" s="294" t="s">
        <v>374</v>
      </c>
    </row>
    <row r="1271" spans="1:6" collapsed="1" x14ac:dyDescent="0.25">
      <c r="A1271" s="560" t="s">
        <v>801</v>
      </c>
      <c r="B1271" s="561"/>
      <c r="C1271" s="292">
        <v>13756.689496000001</v>
      </c>
      <c r="D1271" s="293">
        <v>14951.800585999999</v>
      </c>
      <c r="E1271" s="293">
        <v>1195.1110900000001</v>
      </c>
      <c r="F1271" s="294" t="s">
        <v>802</v>
      </c>
    </row>
    <row r="1272" spans="1:6" hidden="1" outlineLevel="1" collapsed="1" x14ac:dyDescent="0.25">
      <c r="A1272" s="295" t="s">
        <v>282</v>
      </c>
      <c r="B1272" s="295" t="s">
        <v>464</v>
      </c>
      <c r="C1272" s="293">
        <v>8504.589876</v>
      </c>
      <c r="D1272" s="293">
        <v>9188.3373210000009</v>
      </c>
      <c r="E1272" s="293">
        <v>683.74744499999997</v>
      </c>
      <c r="F1272" s="294" t="s">
        <v>795</v>
      </c>
    </row>
    <row r="1273" spans="1:6" hidden="1" outlineLevel="1" collapsed="1" x14ac:dyDescent="0.25">
      <c r="A1273" s="295" t="s">
        <v>282</v>
      </c>
      <c r="B1273" s="295" t="s">
        <v>384</v>
      </c>
      <c r="C1273" s="293">
        <v>1053.523406</v>
      </c>
      <c r="D1273" s="293">
        <v>0</v>
      </c>
      <c r="E1273" s="293">
        <v>-1053.523406</v>
      </c>
      <c r="F1273" s="294" t="s">
        <v>286</v>
      </c>
    </row>
    <row r="1274" spans="1:6" hidden="1" outlineLevel="1" collapsed="1" x14ac:dyDescent="0.25">
      <c r="A1274" s="295" t="s">
        <v>282</v>
      </c>
      <c r="B1274" s="295" t="s">
        <v>385</v>
      </c>
      <c r="C1274" s="293">
        <v>0</v>
      </c>
      <c r="D1274" s="293">
        <v>1431.2172949999999</v>
      </c>
      <c r="E1274" s="293">
        <v>1431.2172949999999</v>
      </c>
      <c r="F1274" s="294" t="s">
        <v>298</v>
      </c>
    </row>
    <row r="1275" spans="1:6" hidden="1" outlineLevel="1" collapsed="1" x14ac:dyDescent="0.25">
      <c r="A1275" s="295" t="s">
        <v>282</v>
      </c>
      <c r="B1275" s="295" t="s">
        <v>386</v>
      </c>
      <c r="C1275" s="293">
        <v>527.28457000000003</v>
      </c>
      <c r="D1275" s="293">
        <v>0</v>
      </c>
      <c r="E1275" s="293">
        <v>-527.28457000000003</v>
      </c>
      <c r="F1275" s="294" t="s">
        <v>286</v>
      </c>
    </row>
    <row r="1276" spans="1:6" hidden="1" outlineLevel="1" collapsed="1" x14ac:dyDescent="0.25">
      <c r="A1276" s="295" t="s">
        <v>282</v>
      </c>
      <c r="B1276" s="295" t="s">
        <v>387</v>
      </c>
      <c r="C1276" s="293">
        <v>0</v>
      </c>
      <c r="D1276" s="293">
        <v>569.67691200000002</v>
      </c>
      <c r="E1276" s="293">
        <v>569.67691200000002</v>
      </c>
      <c r="F1276" s="294" t="s">
        <v>298</v>
      </c>
    </row>
    <row r="1277" spans="1:6" hidden="1" outlineLevel="1" collapsed="1" x14ac:dyDescent="0.25">
      <c r="A1277" s="295" t="s">
        <v>282</v>
      </c>
      <c r="B1277" s="295" t="s">
        <v>388</v>
      </c>
      <c r="C1277" s="293">
        <v>123.316551</v>
      </c>
      <c r="D1277" s="293">
        <v>133.23088999999999</v>
      </c>
      <c r="E1277" s="293">
        <v>9.914339</v>
      </c>
      <c r="F1277" s="294" t="s">
        <v>795</v>
      </c>
    </row>
    <row r="1278" spans="1:6" hidden="1" outlineLevel="1" collapsed="1" x14ac:dyDescent="0.25">
      <c r="A1278" s="295" t="s">
        <v>282</v>
      </c>
      <c r="B1278" s="295" t="s">
        <v>389</v>
      </c>
      <c r="C1278" s="293">
        <v>85.224959999999996</v>
      </c>
      <c r="D1278" s="293">
        <v>84.408000000000001</v>
      </c>
      <c r="E1278" s="293">
        <v>-0.81696000000000002</v>
      </c>
      <c r="F1278" s="294" t="s">
        <v>364</v>
      </c>
    </row>
    <row r="1279" spans="1:6" hidden="1" outlineLevel="1" collapsed="1" x14ac:dyDescent="0.25">
      <c r="A1279" s="295" t="s">
        <v>282</v>
      </c>
      <c r="B1279" s="295" t="s">
        <v>390</v>
      </c>
      <c r="C1279" s="293">
        <v>3097.0540000000001</v>
      </c>
      <c r="D1279" s="293">
        <v>3191.8560000000002</v>
      </c>
      <c r="E1279" s="293">
        <v>94.802000000000007</v>
      </c>
      <c r="F1279" s="294" t="s">
        <v>391</v>
      </c>
    </row>
    <row r="1280" spans="1:6" hidden="1" outlineLevel="1" collapsed="1" x14ac:dyDescent="0.25">
      <c r="A1280" s="295" t="s">
        <v>282</v>
      </c>
      <c r="B1280" s="295" t="s">
        <v>392</v>
      </c>
      <c r="C1280" s="293">
        <v>46.707839999999997</v>
      </c>
      <c r="D1280" s="293">
        <v>36.576000000000001</v>
      </c>
      <c r="E1280" s="293">
        <v>-10.13184</v>
      </c>
      <c r="F1280" s="294" t="s">
        <v>368</v>
      </c>
    </row>
    <row r="1281" spans="1:6" hidden="1" outlineLevel="1" collapsed="1" x14ac:dyDescent="0.25">
      <c r="A1281" s="295" t="s">
        <v>282</v>
      </c>
      <c r="B1281" s="295" t="s">
        <v>393</v>
      </c>
      <c r="C1281" s="293">
        <v>4.2522929999999999</v>
      </c>
      <c r="D1281" s="293">
        <v>4.5941679999999998</v>
      </c>
      <c r="E1281" s="293">
        <v>0.34187499999999998</v>
      </c>
      <c r="F1281" s="294" t="s">
        <v>795</v>
      </c>
    </row>
    <row r="1282" spans="1:6" hidden="1" outlineLevel="1" collapsed="1" x14ac:dyDescent="0.25">
      <c r="A1282" s="295" t="s">
        <v>282</v>
      </c>
      <c r="B1282" s="295" t="s">
        <v>394</v>
      </c>
      <c r="C1282" s="293">
        <v>300</v>
      </c>
      <c r="D1282" s="293">
        <v>0</v>
      </c>
      <c r="E1282" s="293">
        <v>-300</v>
      </c>
      <c r="F1282" s="294" t="s">
        <v>286</v>
      </c>
    </row>
    <row r="1283" spans="1:6" hidden="1" outlineLevel="1" collapsed="1" x14ac:dyDescent="0.25">
      <c r="A1283" s="295" t="s">
        <v>282</v>
      </c>
      <c r="B1283" s="295" t="s">
        <v>395</v>
      </c>
      <c r="C1283" s="293">
        <v>0</v>
      </c>
      <c r="D1283" s="293">
        <v>300</v>
      </c>
      <c r="E1283" s="293">
        <v>300</v>
      </c>
      <c r="F1283" s="294" t="s">
        <v>298</v>
      </c>
    </row>
    <row r="1284" spans="1:6" hidden="1" outlineLevel="1" collapsed="1" x14ac:dyDescent="0.25">
      <c r="A1284" s="295" t="s">
        <v>282</v>
      </c>
      <c r="B1284" s="295" t="s">
        <v>396</v>
      </c>
      <c r="C1284" s="293">
        <v>9.9359999999999999</v>
      </c>
      <c r="D1284" s="293">
        <v>0</v>
      </c>
      <c r="E1284" s="293">
        <v>-9.9359999999999999</v>
      </c>
      <c r="F1284" s="294" t="s">
        <v>286</v>
      </c>
    </row>
    <row r="1285" spans="1:6" hidden="1" outlineLevel="1" collapsed="1" x14ac:dyDescent="0.25">
      <c r="A1285" s="295" t="s">
        <v>282</v>
      </c>
      <c r="B1285" s="295" t="s">
        <v>397</v>
      </c>
      <c r="C1285" s="293">
        <v>0</v>
      </c>
      <c r="D1285" s="293">
        <v>9.6959999999999997</v>
      </c>
      <c r="E1285" s="293">
        <v>9.6959999999999997</v>
      </c>
      <c r="F1285" s="294" t="s">
        <v>298</v>
      </c>
    </row>
    <row r="1286" spans="1:6" hidden="1" outlineLevel="1" collapsed="1" x14ac:dyDescent="0.25">
      <c r="A1286" s="295" t="s">
        <v>282</v>
      </c>
      <c r="B1286" s="295" t="s">
        <v>398</v>
      </c>
      <c r="C1286" s="293">
        <v>4.8</v>
      </c>
      <c r="D1286" s="293">
        <v>2.2080000000000002</v>
      </c>
      <c r="E1286" s="293">
        <v>-2.5920000000000001</v>
      </c>
      <c r="F1286" s="294" t="s">
        <v>374</v>
      </c>
    </row>
    <row r="1287" spans="1:6" collapsed="1" x14ac:dyDescent="0.25">
      <c r="A1287" s="560" t="s">
        <v>803</v>
      </c>
      <c r="B1287" s="561"/>
      <c r="C1287" s="292">
        <v>264377.98461099999</v>
      </c>
      <c r="D1287" s="293">
        <v>265728.75467599998</v>
      </c>
      <c r="E1287" s="293">
        <v>1350.7700649999999</v>
      </c>
      <c r="F1287" s="294" t="s">
        <v>804</v>
      </c>
    </row>
    <row r="1288" spans="1:6" hidden="1" outlineLevel="1" collapsed="1" x14ac:dyDescent="0.25">
      <c r="A1288" s="295" t="s">
        <v>282</v>
      </c>
      <c r="B1288" s="295" t="s">
        <v>780</v>
      </c>
      <c r="C1288" s="293">
        <v>121449.829272</v>
      </c>
      <c r="D1288" s="293">
        <v>129435.404796</v>
      </c>
      <c r="E1288" s="293">
        <v>7985.5755239999999</v>
      </c>
      <c r="F1288" s="294" t="s">
        <v>790</v>
      </c>
    </row>
    <row r="1289" spans="1:6" hidden="1" outlineLevel="1" collapsed="1" x14ac:dyDescent="0.25">
      <c r="A1289" s="295" t="s">
        <v>282</v>
      </c>
      <c r="B1289" s="295" t="s">
        <v>464</v>
      </c>
      <c r="C1289" s="293">
        <v>52920.236151999998</v>
      </c>
      <c r="D1289" s="293">
        <v>54472.785592</v>
      </c>
      <c r="E1289" s="293">
        <v>1552.54944</v>
      </c>
      <c r="F1289" s="294" t="s">
        <v>805</v>
      </c>
    </row>
    <row r="1290" spans="1:6" hidden="1" outlineLevel="1" collapsed="1" x14ac:dyDescent="0.25">
      <c r="A1290" s="295" t="s">
        <v>282</v>
      </c>
      <c r="B1290" s="295" t="s">
        <v>475</v>
      </c>
      <c r="C1290" s="293">
        <v>601.34</v>
      </c>
      <c r="D1290" s="293">
        <v>108</v>
      </c>
      <c r="E1290" s="293">
        <v>-493.34</v>
      </c>
      <c r="F1290" s="294" t="s">
        <v>806</v>
      </c>
    </row>
    <row r="1291" spans="1:6" hidden="1" outlineLevel="1" collapsed="1" x14ac:dyDescent="0.25">
      <c r="A1291" s="295" t="s">
        <v>282</v>
      </c>
      <c r="B1291" s="295" t="s">
        <v>425</v>
      </c>
      <c r="C1291" s="293">
        <v>1057.1600000000001</v>
      </c>
      <c r="D1291" s="293">
        <v>1836</v>
      </c>
      <c r="E1291" s="293">
        <v>778.84</v>
      </c>
      <c r="F1291" s="294" t="s">
        <v>807</v>
      </c>
    </row>
    <row r="1292" spans="1:6" hidden="1" outlineLevel="1" collapsed="1" x14ac:dyDescent="0.25">
      <c r="A1292" s="295" t="s">
        <v>282</v>
      </c>
      <c r="B1292" s="295" t="s">
        <v>488</v>
      </c>
      <c r="C1292" s="293">
        <v>15800</v>
      </c>
      <c r="D1292" s="293">
        <v>0</v>
      </c>
      <c r="E1292" s="293">
        <v>-15800</v>
      </c>
      <c r="F1292" s="294" t="s">
        <v>286</v>
      </c>
    </row>
    <row r="1293" spans="1:6" hidden="1" outlineLevel="1" collapsed="1" x14ac:dyDescent="0.25">
      <c r="A1293" s="295" t="s">
        <v>282</v>
      </c>
      <c r="B1293" s="295" t="s">
        <v>384</v>
      </c>
      <c r="C1293" s="293">
        <v>21740.286179999999</v>
      </c>
      <c r="D1293" s="293">
        <v>0</v>
      </c>
      <c r="E1293" s="293">
        <v>-21740.286179999999</v>
      </c>
      <c r="F1293" s="294" t="s">
        <v>286</v>
      </c>
    </row>
    <row r="1294" spans="1:6" hidden="1" outlineLevel="1" collapsed="1" x14ac:dyDescent="0.25">
      <c r="A1294" s="295" t="s">
        <v>282</v>
      </c>
      <c r="B1294" s="295" t="s">
        <v>385</v>
      </c>
      <c r="C1294" s="293">
        <v>0</v>
      </c>
      <c r="D1294" s="293">
        <v>28811.993664000001</v>
      </c>
      <c r="E1294" s="293">
        <v>28811.993664000001</v>
      </c>
      <c r="F1294" s="294" t="s">
        <v>298</v>
      </c>
    </row>
    <row r="1295" spans="1:6" hidden="1" outlineLevel="1" collapsed="1" x14ac:dyDescent="0.25">
      <c r="A1295" s="295" t="s">
        <v>282</v>
      </c>
      <c r="B1295" s="295" t="s">
        <v>386</v>
      </c>
      <c r="C1295" s="293">
        <v>3281.054639</v>
      </c>
      <c r="D1295" s="293">
        <v>0</v>
      </c>
      <c r="E1295" s="293">
        <v>-3281.054639</v>
      </c>
      <c r="F1295" s="294" t="s">
        <v>286</v>
      </c>
    </row>
    <row r="1296" spans="1:6" hidden="1" outlineLevel="1" collapsed="1" x14ac:dyDescent="0.25">
      <c r="A1296" s="295" t="s">
        <v>282</v>
      </c>
      <c r="B1296" s="295" t="s">
        <v>387</v>
      </c>
      <c r="C1296" s="293">
        <v>0</v>
      </c>
      <c r="D1296" s="293">
        <v>3377.3126999999999</v>
      </c>
      <c r="E1296" s="293">
        <v>3377.3126999999999</v>
      </c>
      <c r="F1296" s="294" t="s">
        <v>298</v>
      </c>
    </row>
    <row r="1297" spans="1:6" hidden="1" outlineLevel="1" collapsed="1" x14ac:dyDescent="0.25">
      <c r="A1297" s="295" t="s">
        <v>282</v>
      </c>
      <c r="B1297" s="295" t="s">
        <v>753</v>
      </c>
      <c r="C1297" s="293">
        <v>7567.0894079999998</v>
      </c>
      <c r="D1297" s="293">
        <v>8062.1950919999999</v>
      </c>
      <c r="E1297" s="293">
        <v>495.105684</v>
      </c>
      <c r="F1297" s="294" t="s">
        <v>808</v>
      </c>
    </row>
    <row r="1298" spans="1:6" hidden="1" outlineLevel="1" collapsed="1" x14ac:dyDescent="0.25">
      <c r="A1298" s="295" t="s">
        <v>282</v>
      </c>
      <c r="B1298" s="295" t="s">
        <v>388</v>
      </c>
      <c r="C1298" s="293">
        <v>2537.0659439999999</v>
      </c>
      <c r="D1298" s="293">
        <v>2675.3687519999999</v>
      </c>
      <c r="E1298" s="293">
        <v>138.302808</v>
      </c>
      <c r="F1298" s="294" t="s">
        <v>809</v>
      </c>
    </row>
    <row r="1299" spans="1:6" hidden="1" outlineLevel="1" collapsed="1" x14ac:dyDescent="0.25">
      <c r="A1299" s="295" t="s">
        <v>282</v>
      </c>
      <c r="B1299" s="295" t="s">
        <v>444</v>
      </c>
      <c r="C1299" s="293">
        <v>1425.92</v>
      </c>
      <c r="D1299" s="293">
        <v>10</v>
      </c>
      <c r="E1299" s="293">
        <v>-1415.92</v>
      </c>
      <c r="F1299" s="294" t="s">
        <v>810</v>
      </c>
    </row>
    <row r="1300" spans="1:6" hidden="1" outlineLevel="1" collapsed="1" x14ac:dyDescent="0.25">
      <c r="A1300" s="295" t="s">
        <v>282</v>
      </c>
      <c r="B1300" s="295" t="s">
        <v>389</v>
      </c>
      <c r="C1300" s="293">
        <v>426.12479999999999</v>
      </c>
      <c r="D1300" s="293">
        <v>422.04</v>
      </c>
      <c r="E1300" s="293">
        <v>-4.0848000000000004</v>
      </c>
      <c r="F1300" s="294" t="s">
        <v>364</v>
      </c>
    </row>
    <row r="1301" spans="1:6" hidden="1" outlineLevel="1" collapsed="1" x14ac:dyDescent="0.25">
      <c r="A1301" s="295" t="s">
        <v>282</v>
      </c>
      <c r="B1301" s="295" t="s">
        <v>390</v>
      </c>
      <c r="C1301" s="293">
        <v>15485.27</v>
      </c>
      <c r="D1301" s="293">
        <v>15959.28</v>
      </c>
      <c r="E1301" s="293">
        <v>474.01</v>
      </c>
      <c r="F1301" s="294" t="s">
        <v>391</v>
      </c>
    </row>
    <row r="1302" spans="1:6" hidden="1" outlineLevel="1" collapsed="1" x14ac:dyDescent="0.25">
      <c r="A1302" s="295" t="s">
        <v>282</v>
      </c>
      <c r="B1302" s="295" t="s">
        <v>392</v>
      </c>
      <c r="C1302" s="293">
        <v>233.53919999999999</v>
      </c>
      <c r="D1302" s="293">
        <v>182.88</v>
      </c>
      <c r="E1302" s="293">
        <v>-50.659199999999998</v>
      </c>
      <c r="F1302" s="294" t="s">
        <v>368</v>
      </c>
    </row>
    <row r="1303" spans="1:6" hidden="1" outlineLevel="1" collapsed="1" x14ac:dyDescent="0.25">
      <c r="A1303" s="295" t="s">
        <v>282</v>
      </c>
      <c r="B1303" s="295" t="s">
        <v>754</v>
      </c>
      <c r="C1303" s="293">
        <v>15358.56</v>
      </c>
      <c r="D1303" s="293">
        <v>15959.28</v>
      </c>
      <c r="E1303" s="293">
        <v>600.72</v>
      </c>
      <c r="F1303" s="294" t="s">
        <v>366</v>
      </c>
    </row>
    <row r="1304" spans="1:6" hidden="1" outlineLevel="1" collapsed="1" x14ac:dyDescent="0.25">
      <c r="A1304" s="295" t="s">
        <v>282</v>
      </c>
      <c r="B1304" s="295" t="s">
        <v>755</v>
      </c>
      <c r="C1304" s="293">
        <v>426.12479999999999</v>
      </c>
      <c r="D1304" s="293">
        <v>422.04</v>
      </c>
      <c r="E1304" s="293">
        <v>-4.0848000000000004</v>
      </c>
      <c r="F1304" s="294" t="s">
        <v>364</v>
      </c>
    </row>
    <row r="1305" spans="1:6" hidden="1" outlineLevel="1" collapsed="1" x14ac:dyDescent="0.25">
      <c r="A1305" s="295" t="s">
        <v>282</v>
      </c>
      <c r="B1305" s="295" t="s">
        <v>756</v>
      </c>
      <c r="C1305" s="293">
        <v>233.53919999999999</v>
      </c>
      <c r="D1305" s="293">
        <v>182.88</v>
      </c>
      <c r="E1305" s="293">
        <v>-50.659199999999998</v>
      </c>
      <c r="F1305" s="294" t="s">
        <v>368</v>
      </c>
    </row>
    <row r="1306" spans="1:6" hidden="1" outlineLevel="1" collapsed="1" x14ac:dyDescent="0.25">
      <c r="A1306" s="295" t="s">
        <v>282</v>
      </c>
      <c r="B1306" s="295" t="s">
        <v>393</v>
      </c>
      <c r="C1306" s="293">
        <v>26.460108000000002</v>
      </c>
      <c r="D1306" s="293">
        <v>27.236388000000002</v>
      </c>
      <c r="E1306" s="293">
        <v>0.77627999999999997</v>
      </c>
      <c r="F1306" s="294" t="s">
        <v>805</v>
      </c>
    </row>
    <row r="1307" spans="1:6" hidden="1" outlineLevel="1" collapsed="1" x14ac:dyDescent="0.25">
      <c r="A1307" s="295" t="s">
        <v>282</v>
      </c>
      <c r="B1307" s="295" t="s">
        <v>757</v>
      </c>
      <c r="C1307" s="293">
        <v>61.024908000000003</v>
      </c>
      <c r="D1307" s="293">
        <v>0</v>
      </c>
      <c r="E1307" s="293">
        <v>-61.024908000000003</v>
      </c>
      <c r="F1307" s="294" t="s">
        <v>286</v>
      </c>
    </row>
    <row r="1308" spans="1:6" hidden="1" outlineLevel="1" collapsed="1" x14ac:dyDescent="0.25">
      <c r="A1308" s="295" t="s">
        <v>282</v>
      </c>
      <c r="B1308" s="295" t="s">
        <v>758</v>
      </c>
      <c r="C1308" s="293">
        <v>0</v>
      </c>
      <c r="D1308" s="293">
        <v>65.017691999999997</v>
      </c>
      <c r="E1308" s="293">
        <v>65.017691999999997</v>
      </c>
      <c r="F1308" s="294" t="s">
        <v>298</v>
      </c>
    </row>
    <row r="1309" spans="1:6" hidden="1" outlineLevel="1" collapsed="1" x14ac:dyDescent="0.25">
      <c r="A1309" s="295" t="s">
        <v>282</v>
      </c>
      <c r="B1309" s="295" t="s">
        <v>394</v>
      </c>
      <c r="C1309" s="293">
        <v>1500</v>
      </c>
      <c r="D1309" s="293">
        <v>0</v>
      </c>
      <c r="E1309" s="293">
        <v>-1500</v>
      </c>
      <c r="F1309" s="294" t="s">
        <v>286</v>
      </c>
    </row>
    <row r="1310" spans="1:6" hidden="1" outlineLevel="1" collapsed="1" x14ac:dyDescent="0.25">
      <c r="A1310" s="295" t="s">
        <v>282</v>
      </c>
      <c r="B1310" s="295" t="s">
        <v>395</v>
      </c>
      <c r="C1310" s="293">
        <v>0</v>
      </c>
      <c r="D1310" s="293">
        <v>1500</v>
      </c>
      <c r="E1310" s="293">
        <v>1500</v>
      </c>
      <c r="F1310" s="294" t="s">
        <v>298</v>
      </c>
    </row>
    <row r="1311" spans="1:6" hidden="1" outlineLevel="1" collapsed="1" x14ac:dyDescent="0.25">
      <c r="A1311" s="295" t="s">
        <v>282</v>
      </c>
      <c r="B1311" s="295" t="s">
        <v>759</v>
      </c>
      <c r="C1311" s="293">
        <v>1500</v>
      </c>
      <c r="D1311" s="293">
        <v>0</v>
      </c>
      <c r="E1311" s="293">
        <v>-1500</v>
      </c>
      <c r="F1311" s="294" t="s">
        <v>286</v>
      </c>
    </row>
    <row r="1312" spans="1:6" hidden="1" outlineLevel="1" collapsed="1" x14ac:dyDescent="0.25">
      <c r="A1312" s="295" t="s">
        <v>282</v>
      </c>
      <c r="B1312" s="295" t="s">
        <v>760</v>
      </c>
      <c r="C1312" s="293">
        <v>0</v>
      </c>
      <c r="D1312" s="293">
        <v>1500</v>
      </c>
      <c r="E1312" s="293">
        <v>1500</v>
      </c>
      <c r="F1312" s="294" t="s">
        <v>298</v>
      </c>
    </row>
    <row r="1313" spans="1:6" hidden="1" outlineLevel="1" collapsed="1" x14ac:dyDescent="0.25">
      <c r="A1313" s="295" t="s">
        <v>282</v>
      </c>
      <c r="B1313" s="295" t="s">
        <v>396</v>
      </c>
      <c r="C1313" s="293">
        <v>49.68</v>
      </c>
      <c r="D1313" s="293">
        <v>0</v>
      </c>
      <c r="E1313" s="293">
        <v>-49.68</v>
      </c>
      <c r="F1313" s="294" t="s">
        <v>286</v>
      </c>
    </row>
    <row r="1314" spans="1:6" hidden="1" outlineLevel="1" collapsed="1" x14ac:dyDescent="0.25">
      <c r="A1314" s="295" t="s">
        <v>282</v>
      </c>
      <c r="B1314" s="295" t="s">
        <v>397</v>
      </c>
      <c r="C1314" s="293">
        <v>0</v>
      </c>
      <c r="D1314" s="293">
        <v>48.48</v>
      </c>
      <c r="E1314" s="293">
        <v>48.48</v>
      </c>
      <c r="F1314" s="294" t="s">
        <v>298</v>
      </c>
    </row>
    <row r="1315" spans="1:6" hidden="1" outlineLevel="1" collapsed="1" x14ac:dyDescent="0.25">
      <c r="A1315" s="295" t="s">
        <v>282</v>
      </c>
      <c r="B1315" s="295" t="s">
        <v>761</v>
      </c>
      <c r="C1315" s="293">
        <v>49.68</v>
      </c>
      <c r="D1315" s="293">
        <v>0</v>
      </c>
      <c r="E1315" s="293">
        <v>-49.68</v>
      </c>
      <c r="F1315" s="294" t="s">
        <v>286</v>
      </c>
    </row>
    <row r="1316" spans="1:6" hidden="1" outlineLevel="1" collapsed="1" x14ac:dyDescent="0.25">
      <c r="A1316" s="295" t="s">
        <v>282</v>
      </c>
      <c r="B1316" s="295" t="s">
        <v>762</v>
      </c>
      <c r="C1316" s="293">
        <v>0</v>
      </c>
      <c r="D1316" s="293">
        <v>48.48</v>
      </c>
      <c r="E1316" s="293">
        <v>48.48</v>
      </c>
      <c r="F1316" s="294" t="s">
        <v>298</v>
      </c>
    </row>
    <row r="1317" spans="1:6" hidden="1" outlineLevel="1" collapsed="1" x14ac:dyDescent="0.25">
      <c r="A1317" s="295" t="s">
        <v>282</v>
      </c>
      <c r="B1317" s="295" t="s">
        <v>398</v>
      </c>
      <c r="C1317" s="293">
        <v>24</v>
      </c>
      <c r="D1317" s="293">
        <v>11.04</v>
      </c>
      <c r="E1317" s="293">
        <v>-12.96</v>
      </c>
      <c r="F1317" s="294" t="s">
        <v>374</v>
      </c>
    </row>
    <row r="1318" spans="1:6" hidden="1" outlineLevel="1" collapsed="1" x14ac:dyDescent="0.25">
      <c r="A1318" s="295" t="s">
        <v>282</v>
      </c>
      <c r="B1318" s="295" t="s">
        <v>763</v>
      </c>
      <c r="C1318" s="293">
        <v>24</v>
      </c>
      <c r="D1318" s="293">
        <v>11.04</v>
      </c>
      <c r="E1318" s="293">
        <v>-12.96</v>
      </c>
      <c r="F1318" s="294" t="s">
        <v>374</v>
      </c>
    </row>
    <row r="1319" spans="1:6" hidden="1" outlineLevel="1" collapsed="1" x14ac:dyDescent="0.25">
      <c r="A1319" s="295" t="s">
        <v>282</v>
      </c>
      <c r="B1319" s="295" t="s">
        <v>707</v>
      </c>
      <c r="C1319" s="293">
        <v>600</v>
      </c>
      <c r="D1319" s="293">
        <v>600</v>
      </c>
      <c r="E1319" s="293">
        <v>0</v>
      </c>
      <c r="F1319" s="294" t="s">
        <v>316</v>
      </c>
    </row>
    <row r="1320" spans="1:6" collapsed="1" x14ac:dyDescent="0.25">
      <c r="A1320" s="560" t="s">
        <v>811</v>
      </c>
      <c r="B1320" s="561"/>
      <c r="C1320" s="292">
        <v>237055.99427200001</v>
      </c>
      <c r="D1320" s="293">
        <v>251782.208576</v>
      </c>
      <c r="E1320" s="293">
        <v>14726.214303999999</v>
      </c>
      <c r="F1320" s="294" t="s">
        <v>812</v>
      </c>
    </row>
    <row r="1321" spans="1:6" hidden="1" outlineLevel="1" collapsed="1" x14ac:dyDescent="0.25">
      <c r="A1321" s="295" t="s">
        <v>282</v>
      </c>
      <c r="B1321" s="295" t="s">
        <v>780</v>
      </c>
      <c r="C1321" s="293">
        <v>122589.829272</v>
      </c>
      <c r="D1321" s="293">
        <v>130575.404796</v>
      </c>
      <c r="E1321" s="293">
        <v>7985.5755239999999</v>
      </c>
      <c r="F1321" s="294" t="s">
        <v>813</v>
      </c>
    </row>
    <row r="1322" spans="1:6" hidden="1" outlineLevel="1" collapsed="1" x14ac:dyDescent="0.25">
      <c r="A1322" s="295" t="s">
        <v>282</v>
      </c>
      <c r="B1322" s="295" t="s">
        <v>464</v>
      </c>
      <c r="C1322" s="293">
        <v>52166.436152000002</v>
      </c>
      <c r="D1322" s="293">
        <v>53718.985591999997</v>
      </c>
      <c r="E1322" s="293">
        <v>1552.54944</v>
      </c>
      <c r="F1322" s="294" t="s">
        <v>381</v>
      </c>
    </row>
    <row r="1323" spans="1:6" hidden="1" outlineLevel="1" collapsed="1" x14ac:dyDescent="0.25">
      <c r="A1323" s="295" t="s">
        <v>282</v>
      </c>
      <c r="B1323" s="295" t="s">
        <v>751</v>
      </c>
      <c r="C1323" s="293">
        <v>15849.202716</v>
      </c>
      <c r="D1323" s="293">
        <v>0</v>
      </c>
      <c r="E1323" s="293">
        <v>-15849.202716</v>
      </c>
      <c r="F1323" s="294" t="s">
        <v>286</v>
      </c>
    </row>
    <row r="1324" spans="1:6" hidden="1" outlineLevel="1" collapsed="1" x14ac:dyDescent="0.25">
      <c r="A1324" s="295" t="s">
        <v>282</v>
      </c>
      <c r="B1324" s="295" t="s">
        <v>752</v>
      </c>
      <c r="C1324" s="293">
        <v>0</v>
      </c>
      <c r="D1324" s="293">
        <v>18677.528903999999</v>
      </c>
      <c r="E1324" s="293">
        <v>18677.528903999999</v>
      </c>
      <c r="F1324" s="294" t="s">
        <v>298</v>
      </c>
    </row>
    <row r="1325" spans="1:6" hidden="1" outlineLevel="1" collapsed="1" x14ac:dyDescent="0.25">
      <c r="A1325" s="295" t="s">
        <v>282</v>
      </c>
      <c r="B1325" s="295" t="s">
        <v>384</v>
      </c>
      <c r="C1325" s="293">
        <v>6461.8976640000001</v>
      </c>
      <c r="D1325" s="293">
        <v>0</v>
      </c>
      <c r="E1325" s="293">
        <v>-6461.8976640000001</v>
      </c>
      <c r="F1325" s="294" t="s">
        <v>286</v>
      </c>
    </row>
    <row r="1326" spans="1:6" hidden="1" outlineLevel="1" collapsed="1" x14ac:dyDescent="0.25">
      <c r="A1326" s="295" t="s">
        <v>282</v>
      </c>
      <c r="B1326" s="295" t="s">
        <v>385</v>
      </c>
      <c r="C1326" s="293">
        <v>0</v>
      </c>
      <c r="D1326" s="293">
        <v>8361.1997159999992</v>
      </c>
      <c r="E1326" s="293">
        <v>8361.1997159999992</v>
      </c>
      <c r="F1326" s="294" t="s">
        <v>298</v>
      </c>
    </row>
    <row r="1327" spans="1:6" hidden="1" outlineLevel="1" collapsed="1" x14ac:dyDescent="0.25">
      <c r="A1327" s="295" t="s">
        <v>282</v>
      </c>
      <c r="B1327" s="295" t="s">
        <v>386</v>
      </c>
      <c r="C1327" s="293">
        <v>3234.3190319999999</v>
      </c>
      <c r="D1327" s="293">
        <v>0</v>
      </c>
      <c r="E1327" s="293">
        <v>-3234.3190319999999</v>
      </c>
      <c r="F1327" s="294" t="s">
        <v>286</v>
      </c>
    </row>
    <row r="1328" spans="1:6" hidden="1" outlineLevel="1" collapsed="1" x14ac:dyDescent="0.25">
      <c r="A1328" s="295" t="s">
        <v>282</v>
      </c>
      <c r="B1328" s="295" t="s">
        <v>387</v>
      </c>
      <c r="C1328" s="293">
        <v>0</v>
      </c>
      <c r="D1328" s="293">
        <v>3330.577104</v>
      </c>
      <c r="E1328" s="293">
        <v>3330.577104</v>
      </c>
      <c r="F1328" s="294" t="s">
        <v>298</v>
      </c>
    </row>
    <row r="1329" spans="1:6" hidden="1" outlineLevel="1" collapsed="1" x14ac:dyDescent="0.25">
      <c r="A1329" s="295" t="s">
        <v>282</v>
      </c>
      <c r="B1329" s="295" t="s">
        <v>388</v>
      </c>
      <c r="C1329" s="293">
        <v>756.41331600000001</v>
      </c>
      <c r="D1329" s="293">
        <v>778.92528000000004</v>
      </c>
      <c r="E1329" s="293">
        <v>22.511963999999999</v>
      </c>
      <c r="F1329" s="294" t="s">
        <v>381</v>
      </c>
    </row>
    <row r="1330" spans="1:6" hidden="1" outlineLevel="1" collapsed="1" x14ac:dyDescent="0.25">
      <c r="A1330" s="295" t="s">
        <v>282</v>
      </c>
      <c r="B1330" s="295" t="s">
        <v>389</v>
      </c>
      <c r="C1330" s="293">
        <v>426.12479999999999</v>
      </c>
      <c r="D1330" s="293">
        <v>422.04</v>
      </c>
      <c r="E1330" s="293">
        <v>-4.0848000000000004</v>
      </c>
      <c r="F1330" s="294" t="s">
        <v>364</v>
      </c>
    </row>
    <row r="1331" spans="1:6" hidden="1" outlineLevel="1" collapsed="1" x14ac:dyDescent="0.25">
      <c r="A1331" s="295" t="s">
        <v>282</v>
      </c>
      <c r="B1331" s="295" t="s">
        <v>390</v>
      </c>
      <c r="C1331" s="293">
        <v>15485.27</v>
      </c>
      <c r="D1331" s="293">
        <v>15959.28</v>
      </c>
      <c r="E1331" s="293">
        <v>474.01</v>
      </c>
      <c r="F1331" s="294" t="s">
        <v>391</v>
      </c>
    </row>
    <row r="1332" spans="1:6" hidden="1" outlineLevel="1" collapsed="1" x14ac:dyDescent="0.25">
      <c r="A1332" s="295" t="s">
        <v>282</v>
      </c>
      <c r="B1332" s="295" t="s">
        <v>392</v>
      </c>
      <c r="C1332" s="293">
        <v>233.53919999999999</v>
      </c>
      <c r="D1332" s="293">
        <v>182.88</v>
      </c>
      <c r="E1332" s="293">
        <v>-50.659199999999998</v>
      </c>
      <c r="F1332" s="294" t="s">
        <v>368</v>
      </c>
    </row>
    <row r="1333" spans="1:6" hidden="1" outlineLevel="1" collapsed="1" x14ac:dyDescent="0.25">
      <c r="A1333" s="295" t="s">
        <v>282</v>
      </c>
      <c r="B1333" s="295" t="s">
        <v>754</v>
      </c>
      <c r="C1333" s="293">
        <v>15358.56</v>
      </c>
      <c r="D1333" s="293">
        <v>15959.28</v>
      </c>
      <c r="E1333" s="293">
        <v>600.72</v>
      </c>
      <c r="F1333" s="294" t="s">
        <v>366</v>
      </c>
    </row>
    <row r="1334" spans="1:6" hidden="1" outlineLevel="1" collapsed="1" x14ac:dyDescent="0.25">
      <c r="A1334" s="295" t="s">
        <v>282</v>
      </c>
      <c r="B1334" s="295" t="s">
        <v>755</v>
      </c>
      <c r="C1334" s="293">
        <v>426.12479999999999</v>
      </c>
      <c r="D1334" s="293">
        <v>422.04</v>
      </c>
      <c r="E1334" s="293">
        <v>-4.0848000000000004</v>
      </c>
      <c r="F1334" s="294" t="s">
        <v>364</v>
      </c>
    </row>
    <row r="1335" spans="1:6" hidden="1" outlineLevel="1" collapsed="1" x14ac:dyDescent="0.25">
      <c r="A1335" s="295" t="s">
        <v>282</v>
      </c>
      <c r="B1335" s="295" t="s">
        <v>756</v>
      </c>
      <c r="C1335" s="293">
        <v>233.53919999999999</v>
      </c>
      <c r="D1335" s="293">
        <v>182.88</v>
      </c>
      <c r="E1335" s="293">
        <v>-50.659199999999998</v>
      </c>
      <c r="F1335" s="294" t="s">
        <v>368</v>
      </c>
    </row>
    <row r="1336" spans="1:6" hidden="1" outlineLevel="1" collapsed="1" x14ac:dyDescent="0.25">
      <c r="A1336" s="295" t="s">
        <v>282</v>
      </c>
      <c r="B1336" s="295" t="s">
        <v>393</v>
      </c>
      <c r="C1336" s="293">
        <v>26.083212</v>
      </c>
      <c r="D1336" s="293">
        <v>26.859491999999999</v>
      </c>
      <c r="E1336" s="293">
        <v>0.77627999999999997</v>
      </c>
      <c r="F1336" s="294" t="s">
        <v>381</v>
      </c>
    </row>
    <row r="1337" spans="1:6" hidden="1" outlineLevel="1" collapsed="1" x14ac:dyDescent="0.25">
      <c r="A1337" s="295" t="s">
        <v>282</v>
      </c>
      <c r="B1337" s="295" t="s">
        <v>757</v>
      </c>
      <c r="C1337" s="293">
        <v>61.294908</v>
      </c>
      <c r="D1337" s="293">
        <v>0</v>
      </c>
      <c r="E1337" s="293">
        <v>-61.294908</v>
      </c>
      <c r="F1337" s="294" t="s">
        <v>286</v>
      </c>
    </row>
    <row r="1338" spans="1:6" hidden="1" outlineLevel="1" collapsed="1" x14ac:dyDescent="0.25">
      <c r="A1338" s="295" t="s">
        <v>282</v>
      </c>
      <c r="B1338" s="295" t="s">
        <v>758</v>
      </c>
      <c r="C1338" s="293">
        <v>0</v>
      </c>
      <c r="D1338" s="293">
        <v>65.287692000000007</v>
      </c>
      <c r="E1338" s="293">
        <v>65.287692000000007</v>
      </c>
      <c r="F1338" s="294" t="s">
        <v>298</v>
      </c>
    </row>
    <row r="1339" spans="1:6" hidden="1" outlineLevel="1" collapsed="1" x14ac:dyDescent="0.25">
      <c r="A1339" s="295" t="s">
        <v>282</v>
      </c>
      <c r="B1339" s="295" t="s">
        <v>394</v>
      </c>
      <c r="C1339" s="293">
        <v>1500</v>
      </c>
      <c r="D1339" s="293">
        <v>0</v>
      </c>
      <c r="E1339" s="293">
        <v>-1500</v>
      </c>
      <c r="F1339" s="294" t="s">
        <v>286</v>
      </c>
    </row>
    <row r="1340" spans="1:6" hidden="1" outlineLevel="1" collapsed="1" x14ac:dyDescent="0.25">
      <c r="A1340" s="295" t="s">
        <v>282</v>
      </c>
      <c r="B1340" s="295" t="s">
        <v>395</v>
      </c>
      <c r="C1340" s="293">
        <v>0</v>
      </c>
      <c r="D1340" s="293">
        <v>1500</v>
      </c>
      <c r="E1340" s="293">
        <v>1500</v>
      </c>
      <c r="F1340" s="294" t="s">
        <v>298</v>
      </c>
    </row>
    <row r="1341" spans="1:6" hidden="1" outlineLevel="1" collapsed="1" x14ac:dyDescent="0.25">
      <c r="A1341" s="295" t="s">
        <v>282</v>
      </c>
      <c r="B1341" s="295" t="s">
        <v>759</v>
      </c>
      <c r="C1341" s="293">
        <v>1500</v>
      </c>
      <c r="D1341" s="293">
        <v>0</v>
      </c>
      <c r="E1341" s="293">
        <v>-1500</v>
      </c>
      <c r="F1341" s="294" t="s">
        <v>286</v>
      </c>
    </row>
    <row r="1342" spans="1:6" hidden="1" outlineLevel="1" collapsed="1" x14ac:dyDescent="0.25">
      <c r="A1342" s="295" t="s">
        <v>282</v>
      </c>
      <c r="B1342" s="295" t="s">
        <v>760</v>
      </c>
      <c r="C1342" s="293">
        <v>0</v>
      </c>
      <c r="D1342" s="293">
        <v>1500</v>
      </c>
      <c r="E1342" s="293">
        <v>1500</v>
      </c>
      <c r="F1342" s="294" t="s">
        <v>298</v>
      </c>
    </row>
    <row r="1343" spans="1:6" hidden="1" outlineLevel="1" collapsed="1" x14ac:dyDescent="0.25">
      <c r="A1343" s="295" t="s">
        <v>282</v>
      </c>
      <c r="B1343" s="295" t="s">
        <v>396</v>
      </c>
      <c r="C1343" s="293">
        <v>49.68</v>
      </c>
      <c r="D1343" s="293">
        <v>0</v>
      </c>
      <c r="E1343" s="293">
        <v>-49.68</v>
      </c>
      <c r="F1343" s="294" t="s">
        <v>286</v>
      </c>
    </row>
    <row r="1344" spans="1:6" hidden="1" outlineLevel="1" collapsed="1" x14ac:dyDescent="0.25">
      <c r="A1344" s="295" t="s">
        <v>282</v>
      </c>
      <c r="B1344" s="295" t="s">
        <v>397</v>
      </c>
      <c r="C1344" s="293">
        <v>0</v>
      </c>
      <c r="D1344" s="293">
        <v>48.48</v>
      </c>
      <c r="E1344" s="293">
        <v>48.48</v>
      </c>
      <c r="F1344" s="294" t="s">
        <v>298</v>
      </c>
    </row>
    <row r="1345" spans="1:6" hidden="1" outlineLevel="1" collapsed="1" x14ac:dyDescent="0.25">
      <c r="A1345" s="295" t="s">
        <v>282</v>
      </c>
      <c r="B1345" s="295" t="s">
        <v>761</v>
      </c>
      <c r="C1345" s="293">
        <v>49.68</v>
      </c>
      <c r="D1345" s="293">
        <v>0</v>
      </c>
      <c r="E1345" s="293">
        <v>-49.68</v>
      </c>
      <c r="F1345" s="294" t="s">
        <v>286</v>
      </c>
    </row>
    <row r="1346" spans="1:6" hidden="1" outlineLevel="1" collapsed="1" x14ac:dyDescent="0.25">
      <c r="A1346" s="295" t="s">
        <v>282</v>
      </c>
      <c r="B1346" s="295" t="s">
        <v>762</v>
      </c>
      <c r="C1346" s="293">
        <v>0</v>
      </c>
      <c r="D1346" s="293">
        <v>48.48</v>
      </c>
      <c r="E1346" s="293">
        <v>48.48</v>
      </c>
      <c r="F1346" s="294" t="s">
        <v>298</v>
      </c>
    </row>
    <row r="1347" spans="1:6" hidden="1" outlineLevel="1" collapsed="1" x14ac:dyDescent="0.25">
      <c r="A1347" s="295" t="s">
        <v>282</v>
      </c>
      <c r="B1347" s="295" t="s">
        <v>398</v>
      </c>
      <c r="C1347" s="293">
        <v>24</v>
      </c>
      <c r="D1347" s="293">
        <v>11.04</v>
      </c>
      <c r="E1347" s="293">
        <v>-12.96</v>
      </c>
      <c r="F1347" s="294" t="s">
        <v>374</v>
      </c>
    </row>
    <row r="1348" spans="1:6" hidden="1" outlineLevel="1" collapsed="1" x14ac:dyDescent="0.25">
      <c r="A1348" s="295" t="s">
        <v>282</v>
      </c>
      <c r="B1348" s="295" t="s">
        <v>763</v>
      </c>
      <c r="C1348" s="293">
        <v>24</v>
      </c>
      <c r="D1348" s="293">
        <v>11.04</v>
      </c>
      <c r="E1348" s="293">
        <v>-12.96</v>
      </c>
      <c r="F1348" s="294" t="s">
        <v>374</v>
      </c>
    </row>
    <row r="1349" spans="1:6" hidden="1" outlineLevel="1" collapsed="1" x14ac:dyDescent="0.25">
      <c r="A1349" s="295" t="s">
        <v>282</v>
      </c>
      <c r="B1349" s="295" t="s">
        <v>707</v>
      </c>
      <c r="C1349" s="293">
        <v>600</v>
      </c>
      <c r="D1349" s="293">
        <v>0</v>
      </c>
      <c r="E1349" s="293">
        <v>-600</v>
      </c>
      <c r="F1349" s="294" t="s">
        <v>286</v>
      </c>
    </row>
    <row r="1350" spans="1:6" collapsed="1" x14ac:dyDescent="0.25">
      <c r="A1350" s="560" t="s">
        <v>814</v>
      </c>
      <c r="B1350" s="561"/>
      <c r="C1350" s="292">
        <v>1200866.0204690001</v>
      </c>
      <c r="D1350" s="293">
        <v>765900.98884799995</v>
      </c>
      <c r="E1350" s="293">
        <v>-434965.03162099997</v>
      </c>
      <c r="F1350" s="294" t="s">
        <v>815</v>
      </c>
    </row>
    <row r="1351" spans="1:6" hidden="1" outlineLevel="1" collapsed="1" x14ac:dyDescent="0.25">
      <c r="A1351" s="295" t="s">
        <v>282</v>
      </c>
      <c r="B1351" s="295" t="s">
        <v>780</v>
      </c>
      <c r="C1351" s="293">
        <v>62950.505268000001</v>
      </c>
      <c r="D1351" s="293">
        <v>67087.425587999998</v>
      </c>
      <c r="E1351" s="293">
        <v>4136.9203200000002</v>
      </c>
      <c r="F1351" s="294" t="s">
        <v>816</v>
      </c>
    </row>
    <row r="1352" spans="1:6" hidden="1" outlineLevel="1" collapsed="1" x14ac:dyDescent="0.25">
      <c r="A1352" s="295" t="s">
        <v>282</v>
      </c>
      <c r="B1352" s="295" t="s">
        <v>441</v>
      </c>
      <c r="C1352" s="293">
        <v>1176</v>
      </c>
      <c r="D1352" s="293">
        <v>0</v>
      </c>
      <c r="E1352" s="293">
        <v>-1176</v>
      </c>
      <c r="F1352" s="294" t="s">
        <v>286</v>
      </c>
    </row>
    <row r="1353" spans="1:6" hidden="1" outlineLevel="1" collapsed="1" x14ac:dyDescent="0.25">
      <c r="A1353" s="295" t="s">
        <v>282</v>
      </c>
      <c r="B1353" s="295" t="s">
        <v>464</v>
      </c>
      <c r="C1353" s="293">
        <v>45603.600807000003</v>
      </c>
      <c r="D1353" s="293">
        <v>47931.274548000001</v>
      </c>
      <c r="E1353" s="293">
        <v>2327.6737410000001</v>
      </c>
      <c r="F1353" s="294" t="s">
        <v>817</v>
      </c>
    </row>
    <row r="1354" spans="1:6" hidden="1" outlineLevel="1" collapsed="1" x14ac:dyDescent="0.25">
      <c r="A1354" s="295" t="s">
        <v>282</v>
      </c>
      <c r="B1354" s="295" t="s">
        <v>818</v>
      </c>
      <c r="C1354" s="293">
        <v>0</v>
      </c>
      <c r="D1354" s="293">
        <v>80000</v>
      </c>
      <c r="E1354" s="293">
        <v>80000</v>
      </c>
      <c r="F1354" s="294" t="s">
        <v>298</v>
      </c>
    </row>
    <row r="1355" spans="1:6" hidden="1" outlineLevel="1" collapsed="1" x14ac:dyDescent="0.25">
      <c r="A1355" s="295" t="s">
        <v>282</v>
      </c>
      <c r="B1355" s="295" t="s">
        <v>751</v>
      </c>
      <c r="C1355" s="293">
        <v>8215.0409280000003</v>
      </c>
      <c r="D1355" s="293">
        <v>0</v>
      </c>
      <c r="E1355" s="293">
        <v>-8215.0409280000003</v>
      </c>
      <c r="F1355" s="294" t="s">
        <v>286</v>
      </c>
    </row>
    <row r="1356" spans="1:6" hidden="1" outlineLevel="1" collapsed="1" x14ac:dyDescent="0.25">
      <c r="A1356" s="295" t="s">
        <v>282</v>
      </c>
      <c r="B1356" s="295" t="s">
        <v>752</v>
      </c>
      <c r="C1356" s="293">
        <v>0</v>
      </c>
      <c r="D1356" s="293">
        <v>9680.7155039999998</v>
      </c>
      <c r="E1356" s="293">
        <v>9680.7155039999998</v>
      </c>
      <c r="F1356" s="294" t="s">
        <v>298</v>
      </c>
    </row>
    <row r="1357" spans="1:6" hidden="1" outlineLevel="1" collapsed="1" x14ac:dyDescent="0.25">
      <c r="A1357" s="295" t="s">
        <v>282</v>
      </c>
      <c r="B1357" s="295" t="s">
        <v>384</v>
      </c>
      <c r="C1357" s="293">
        <v>5736.9329760000001</v>
      </c>
      <c r="D1357" s="293">
        <v>0</v>
      </c>
      <c r="E1357" s="293">
        <v>-5736.9329760000001</v>
      </c>
      <c r="F1357" s="294" t="s">
        <v>286</v>
      </c>
    </row>
    <row r="1358" spans="1:6" hidden="1" outlineLevel="1" collapsed="1" x14ac:dyDescent="0.25">
      <c r="A1358" s="295" t="s">
        <v>282</v>
      </c>
      <c r="B1358" s="295" t="s">
        <v>385</v>
      </c>
      <c r="C1358" s="293">
        <v>0</v>
      </c>
      <c r="D1358" s="293">
        <v>7573.14138</v>
      </c>
      <c r="E1358" s="293">
        <v>7573.14138</v>
      </c>
      <c r="F1358" s="294" t="s">
        <v>298</v>
      </c>
    </row>
    <row r="1359" spans="1:6" hidden="1" outlineLevel="1" collapsed="1" x14ac:dyDescent="0.25">
      <c r="A1359" s="295" t="s">
        <v>282</v>
      </c>
      <c r="B1359" s="295" t="s">
        <v>386</v>
      </c>
      <c r="C1359" s="293">
        <v>2827.4232440000001</v>
      </c>
      <c r="D1359" s="293">
        <v>0</v>
      </c>
      <c r="E1359" s="293">
        <v>-2827.4232440000001</v>
      </c>
      <c r="F1359" s="294" t="s">
        <v>286</v>
      </c>
    </row>
    <row r="1360" spans="1:6" hidden="1" outlineLevel="1" collapsed="1" x14ac:dyDescent="0.25">
      <c r="A1360" s="295" t="s">
        <v>282</v>
      </c>
      <c r="B1360" s="295" t="s">
        <v>387</v>
      </c>
      <c r="C1360" s="293">
        <v>0</v>
      </c>
      <c r="D1360" s="293">
        <v>2971.739016</v>
      </c>
      <c r="E1360" s="293">
        <v>2971.739016</v>
      </c>
      <c r="F1360" s="294" t="s">
        <v>298</v>
      </c>
    </row>
    <row r="1361" spans="1:6" hidden="1" outlineLevel="1" collapsed="1" x14ac:dyDescent="0.25">
      <c r="A1361" s="295" t="s">
        <v>282</v>
      </c>
      <c r="B1361" s="295" t="s">
        <v>388</v>
      </c>
      <c r="C1361" s="293">
        <v>661.25220400000001</v>
      </c>
      <c r="D1361" s="293">
        <v>695.00347199999999</v>
      </c>
      <c r="E1361" s="293">
        <v>33.751268000000003</v>
      </c>
      <c r="F1361" s="294" t="s">
        <v>817</v>
      </c>
    </row>
    <row r="1362" spans="1:6" hidden="1" outlineLevel="1" collapsed="1" x14ac:dyDescent="0.25">
      <c r="A1362" s="295" t="s">
        <v>282</v>
      </c>
      <c r="B1362" s="295" t="s">
        <v>444</v>
      </c>
      <c r="C1362" s="293">
        <v>0</v>
      </c>
      <c r="D1362" s="293">
        <v>7200</v>
      </c>
      <c r="E1362" s="293">
        <v>7200</v>
      </c>
      <c r="F1362" s="294" t="s">
        <v>298</v>
      </c>
    </row>
    <row r="1363" spans="1:6" hidden="1" outlineLevel="1" collapsed="1" x14ac:dyDescent="0.25">
      <c r="A1363" s="295" t="s">
        <v>282</v>
      </c>
      <c r="B1363" s="295" t="s">
        <v>389</v>
      </c>
      <c r="C1363" s="293">
        <v>426.12479999999999</v>
      </c>
      <c r="D1363" s="293">
        <v>422.04</v>
      </c>
      <c r="E1363" s="293">
        <v>-4.0848000000000004</v>
      </c>
      <c r="F1363" s="294" t="s">
        <v>364</v>
      </c>
    </row>
    <row r="1364" spans="1:6" hidden="1" outlineLevel="1" collapsed="1" x14ac:dyDescent="0.25">
      <c r="A1364" s="295" t="s">
        <v>282</v>
      </c>
      <c r="B1364" s="295" t="s">
        <v>392</v>
      </c>
      <c r="C1364" s="293">
        <v>233.53919999999999</v>
      </c>
      <c r="D1364" s="293">
        <v>182.88</v>
      </c>
      <c r="E1364" s="293">
        <v>-50.659199999999998</v>
      </c>
      <c r="F1364" s="294" t="s">
        <v>368</v>
      </c>
    </row>
    <row r="1365" spans="1:6" hidden="1" outlineLevel="1" collapsed="1" x14ac:dyDescent="0.25">
      <c r="A1365" s="295" t="s">
        <v>282</v>
      </c>
      <c r="B1365" s="295" t="s">
        <v>755</v>
      </c>
      <c r="C1365" s="293">
        <v>426.12479999999999</v>
      </c>
      <c r="D1365" s="293">
        <v>422.04</v>
      </c>
      <c r="E1365" s="293">
        <v>-4.0848000000000004</v>
      </c>
      <c r="F1365" s="294" t="s">
        <v>364</v>
      </c>
    </row>
    <row r="1366" spans="1:6" hidden="1" outlineLevel="1" collapsed="1" x14ac:dyDescent="0.25">
      <c r="A1366" s="295" t="s">
        <v>282</v>
      </c>
      <c r="B1366" s="295" t="s">
        <v>756</v>
      </c>
      <c r="C1366" s="293">
        <v>233.53919999999999</v>
      </c>
      <c r="D1366" s="293">
        <v>182.88</v>
      </c>
      <c r="E1366" s="293">
        <v>-50.659199999999998</v>
      </c>
      <c r="F1366" s="294" t="s">
        <v>368</v>
      </c>
    </row>
    <row r="1367" spans="1:6" hidden="1" outlineLevel="1" collapsed="1" x14ac:dyDescent="0.25">
      <c r="A1367" s="295" t="s">
        <v>282</v>
      </c>
      <c r="B1367" s="295" t="s">
        <v>393</v>
      </c>
      <c r="C1367" s="293">
        <v>22.801798000000002</v>
      </c>
      <c r="D1367" s="293">
        <v>23.965631999999999</v>
      </c>
      <c r="E1367" s="293">
        <v>1.163834</v>
      </c>
      <c r="F1367" s="294" t="s">
        <v>817</v>
      </c>
    </row>
    <row r="1368" spans="1:6" hidden="1" outlineLevel="1" collapsed="1" x14ac:dyDescent="0.25">
      <c r="A1368" s="295" t="s">
        <v>282</v>
      </c>
      <c r="B1368" s="295" t="s">
        <v>757</v>
      </c>
      <c r="C1368" s="293">
        <v>31.775244000000001</v>
      </c>
      <c r="D1368" s="293">
        <v>0</v>
      </c>
      <c r="E1368" s="293">
        <v>-31.775244000000001</v>
      </c>
      <c r="F1368" s="294" t="s">
        <v>286</v>
      </c>
    </row>
    <row r="1369" spans="1:6" hidden="1" outlineLevel="1" collapsed="1" x14ac:dyDescent="0.25">
      <c r="A1369" s="295" t="s">
        <v>282</v>
      </c>
      <c r="B1369" s="295" t="s">
        <v>758</v>
      </c>
      <c r="C1369" s="293">
        <v>0</v>
      </c>
      <c r="D1369" s="293">
        <v>33.843707999999999</v>
      </c>
      <c r="E1369" s="293">
        <v>33.843707999999999</v>
      </c>
      <c r="F1369" s="294" t="s">
        <v>298</v>
      </c>
    </row>
    <row r="1370" spans="1:6" hidden="1" outlineLevel="1" collapsed="1" x14ac:dyDescent="0.25">
      <c r="A1370" s="295" t="s">
        <v>282</v>
      </c>
      <c r="B1370" s="295" t="s">
        <v>394</v>
      </c>
      <c r="C1370" s="293">
        <v>1500</v>
      </c>
      <c r="D1370" s="293">
        <v>0</v>
      </c>
      <c r="E1370" s="293">
        <v>-1500</v>
      </c>
      <c r="F1370" s="294" t="s">
        <v>286</v>
      </c>
    </row>
    <row r="1371" spans="1:6" hidden="1" outlineLevel="1" collapsed="1" x14ac:dyDescent="0.25">
      <c r="A1371" s="295" t="s">
        <v>282</v>
      </c>
      <c r="B1371" s="295" t="s">
        <v>395</v>
      </c>
      <c r="C1371" s="293">
        <v>0</v>
      </c>
      <c r="D1371" s="293">
        <v>1500</v>
      </c>
      <c r="E1371" s="293">
        <v>1500</v>
      </c>
      <c r="F1371" s="294" t="s">
        <v>298</v>
      </c>
    </row>
    <row r="1372" spans="1:6" hidden="1" outlineLevel="1" collapsed="1" x14ac:dyDescent="0.25">
      <c r="A1372" s="295" t="s">
        <v>282</v>
      </c>
      <c r="B1372" s="295" t="s">
        <v>759</v>
      </c>
      <c r="C1372" s="293">
        <v>1500</v>
      </c>
      <c r="D1372" s="293">
        <v>0</v>
      </c>
      <c r="E1372" s="293">
        <v>-1500</v>
      </c>
      <c r="F1372" s="294" t="s">
        <v>286</v>
      </c>
    </row>
    <row r="1373" spans="1:6" hidden="1" outlineLevel="1" collapsed="1" x14ac:dyDescent="0.25">
      <c r="A1373" s="295" t="s">
        <v>282</v>
      </c>
      <c r="B1373" s="295" t="s">
        <v>760</v>
      </c>
      <c r="C1373" s="293">
        <v>0</v>
      </c>
      <c r="D1373" s="293">
        <v>1500</v>
      </c>
      <c r="E1373" s="293">
        <v>1500</v>
      </c>
      <c r="F1373" s="294" t="s">
        <v>298</v>
      </c>
    </row>
    <row r="1374" spans="1:6" hidden="1" outlineLevel="1" collapsed="1" x14ac:dyDescent="0.25">
      <c r="A1374" s="295" t="s">
        <v>282</v>
      </c>
      <c r="B1374" s="295" t="s">
        <v>396</v>
      </c>
      <c r="C1374" s="293">
        <v>49.68</v>
      </c>
      <c r="D1374" s="293">
        <v>0</v>
      </c>
      <c r="E1374" s="293">
        <v>-49.68</v>
      </c>
      <c r="F1374" s="294" t="s">
        <v>286</v>
      </c>
    </row>
    <row r="1375" spans="1:6" hidden="1" outlineLevel="1" collapsed="1" x14ac:dyDescent="0.25">
      <c r="A1375" s="295" t="s">
        <v>282</v>
      </c>
      <c r="B1375" s="295" t="s">
        <v>397</v>
      </c>
      <c r="C1375" s="293">
        <v>0</v>
      </c>
      <c r="D1375" s="293">
        <v>48.48</v>
      </c>
      <c r="E1375" s="293">
        <v>48.48</v>
      </c>
      <c r="F1375" s="294" t="s">
        <v>298</v>
      </c>
    </row>
    <row r="1376" spans="1:6" hidden="1" outlineLevel="1" collapsed="1" x14ac:dyDescent="0.25">
      <c r="A1376" s="295" t="s">
        <v>282</v>
      </c>
      <c r="B1376" s="295" t="s">
        <v>761</v>
      </c>
      <c r="C1376" s="293">
        <v>49.68</v>
      </c>
      <c r="D1376" s="293">
        <v>0</v>
      </c>
      <c r="E1376" s="293">
        <v>-49.68</v>
      </c>
      <c r="F1376" s="294" t="s">
        <v>286</v>
      </c>
    </row>
    <row r="1377" spans="1:6" hidden="1" outlineLevel="1" collapsed="1" x14ac:dyDescent="0.25">
      <c r="A1377" s="295" t="s">
        <v>282</v>
      </c>
      <c r="B1377" s="295" t="s">
        <v>762</v>
      </c>
      <c r="C1377" s="293">
        <v>0</v>
      </c>
      <c r="D1377" s="293">
        <v>48.48</v>
      </c>
      <c r="E1377" s="293">
        <v>48.48</v>
      </c>
      <c r="F1377" s="294" t="s">
        <v>298</v>
      </c>
    </row>
    <row r="1378" spans="1:6" hidden="1" outlineLevel="1" collapsed="1" x14ac:dyDescent="0.25">
      <c r="A1378" s="295" t="s">
        <v>282</v>
      </c>
      <c r="B1378" s="295" t="s">
        <v>398</v>
      </c>
      <c r="C1378" s="293">
        <v>24</v>
      </c>
      <c r="D1378" s="293">
        <v>11.04</v>
      </c>
      <c r="E1378" s="293">
        <v>-12.96</v>
      </c>
      <c r="F1378" s="294" t="s">
        <v>374</v>
      </c>
    </row>
    <row r="1379" spans="1:6" hidden="1" outlineLevel="1" collapsed="1" x14ac:dyDescent="0.25">
      <c r="A1379" s="295" t="s">
        <v>282</v>
      </c>
      <c r="B1379" s="295" t="s">
        <v>763</v>
      </c>
      <c r="C1379" s="293">
        <v>24</v>
      </c>
      <c r="D1379" s="293">
        <v>11.04</v>
      </c>
      <c r="E1379" s="293">
        <v>-12.96</v>
      </c>
      <c r="F1379" s="294" t="s">
        <v>374</v>
      </c>
    </row>
    <row r="1380" spans="1:6" hidden="1" outlineLevel="1" collapsed="1" x14ac:dyDescent="0.25">
      <c r="A1380" s="295" t="s">
        <v>282</v>
      </c>
      <c r="B1380" s="295" t="s">
        <v>522</v>
      </c>
      <c r="C1380" s="293">
        <v>6000</v>
      </c>
      <c r="D1380" s="293">
        <v>6000</v>
      </c>
      <c r="E1380" s="293">
        <v>0</v>
      </c>
      <c r="F1380" s="294" t="s">
        <v>316</v>
      </c>
    </row>
    <row r="1381" spans="1:6" hidden="1" outlineLevel="1" collapsed="1" x14ac:dyDescent="0.25">
      <c r="A1381" s="295" t="s">
        <v>282</v>
      </c>
      <c r="B1381" s="295" t="s">
        <v>567</v>
      </c>
      <c r="C1381" s="293">
        <v>1062574</v>
      </c>
      <c r="D1381" s="293">
        <v>531775</v>
      </c>
      <c r="E1381" s="293">
        <v>-530799</v>
      </c>
      <c r="F1381" s="294" t="s">
        <v>819</v>
      </c>
    </row>
    <row r="1382" spans="1:6" hidden="1" outlineLevel="1" collapsed="1" x14ac:dyDescent="0.25">
      <c r="A1382" s="295" t="s">
        <v>282</v>
      </c>
      <c r="B1382" s="295" t="s">
        <v>707</v>
      </c>
      <c r="C1382" s="293">
        <v>600</v>
      </c>
      <c r="D1382" s="293">
        <v>600</v>
      </c>
      <c r="E1382" s="293">
        <v>0</v>
      </c>
      <c r="F1382" s="294" t="s">
        <v>316</v>
      </c>
    </row>
    <row r="1383" spans="1:6" collapsed="1" x14ac:dyDescent="0.25">
      <c r="A1383" s="560" t="s">
        <v>820</v>
      </c>
      <c r="B1383" s="561"/>
      <c r="C1383" s="292">
        <v>128419</v>
      </c>
      <c r="D1383" s="293">
        <v>128419</v>
      </c>
      <c r="E1383" s="293">
        <v>0</v>
      </c>
      <c r="F1383" s="294" t="s">
        <v>316</v>
      </c>
    </row>
    <row r="1384" spans="1:6" hidden="1" outlineLevel="1" collapsed="1" x14ac:dyDescent="0.25">
      <c r="A1384" s="295" t="s">
        <v>282</v>
      </c>
      <c r="B1384" s="295" t="s">
        <v>441</v>
      </c>
      <c r="C1384" s="293">
        <v>30000</v>
      </c>
      <c r="D1384" s="293">
        <v>29000</v>
      </c>
      <c r="E1384" s="293">
        <v>-1000</v>
      </c>
      <c r="F1384" s="294" t="s">
        <v>821</v>
      </c>
    </row>
    <row r="1385" spans="1:6" hidden="1" outlineLevel="1" collapsed="1" x14ac:dyDescent="0.25">
      <c r="A1385" s="295" t="s">
        <v>282</v>
      </c>
      <c r="B1385" s="295" t="s">
        <v>822</v>
      </c>
      <c r="C1385" s="293">
        <v>7640</v>
      </c>
      <c r="D1385" s="293">
        <v>6400</v>
      </c>
      <c r="E1385" s="293">
        <v>-1240</v>
      </c>
      <c r="F1385" s="294" t="s">
        <v>823</v>
      </c>
    </row>
    <row r="1386" spans="1:6" hidden="1" outlineLevel="1" collapsed="1" x14ac:dyDescent="0.25">
      <c r="A1386" s="295" t="s">
        <v>282</v>
      </c>
      <c r="B1386" s="295" t="s">
        <v>818</v>
      </c>
      <c r="C1386" s="293">
        <v>67075</v>
      </c>
      <c r="D1386" s="293">
        <v>62640</v>
      </c>
      <c r="E1386" s="293">
        <v>-4435</v>
      </c>
      <c r="F1386" s="294" t="s">
        <v>824</v>
      </c>
    </row>
    <row r="1387" spans="1:6" hidden="1" outlineLevel="1" collapsed="1" x14ac:dyDescent="0.25">
      <c r="A1387" s="295" t="s">
        <v>282</v>
      </c>
      <c r="B1387" s="295" t="s">
        <v>444</v>
      </c>
      <c r="C1387" s="293">
        <v>9968</v>
      </c>
      <c r="D1387" s="293">
        <v>9968</v>
      </c>
      <c r="E1387" s="293">
        <v>0</v>
      </c>
      <c r="F1387" s="294" t="s">
        <v>316</v>
      </c>
    </row>
    <row r="1388" spans="1:6" hidden="1" outlineLevel="1" collapsed="1" x14ac:dyDescent="0.25">
      <c r="A1388" s="295" t="s">
        <v>282</v>
      </c>
      <c r="B1388" s="295" t="s">
        <v>399</v>
      </c>
      <c r="C1388" s="293">
        <v>76</v>
      </c>
      <c r="D1388" s="293">
        <v>76</v>
      </c>
      <c r="E1388" s="293">
        <v>0</v>
      </c>
      <c r="F1388" s="294" t="s">
        <v>316</v>
      </c>
    </row>
    <row r="1389" spans="1:6" hidden="1" outlineLevel="1" collapsed="1" x14ac:dyDescent="0.25">
      <c r="A1389" s="295" t="s">
        <v>282</v>
      </c>
      <c r="B1389" s="295" t="s">
        <v>375</v>
      </c>
      <c r="C1389" s="293">
        <v>548</v>
      </c>
      <c r="D1389" s="293">
        <v>1288</v>
      </c>
      <c r="E1389" s="293">
        <v>740</v>
      </c>
      <c r="F1389" s="294" t="s">
        <v>825</v>
      </c>
    </row>
    <row r="1390" spans="1:6" hidden="1" outlineLevel="1" collapsed="1" x14ac:dyDescent="0.25">
      <c r="A1390" s="295" t="s">
        <v>282</v>
      </c>
      <c r="B1390" s="295" t="s">
        <v>376</v>
      </c>
      <c r="C1390" s="293">
        <v>2099</v>
      </c>
      <c r="D1390" s="293">
        <v>3869</v>
      </c>
      <c r="E1390" s="293">
        <v>1770</v>
      </c>
      <c r="F1390" s="294" t="s">
        <v>826</v>
      </c>
    </row>
    <row r="1391" spans="1:6" hidden="1" outlineLevel="1" collapsed="1" x14ac:dyDescent="0.25">
      <c r="A1391" s="295" t="s">
        <v>282</v>
      </c>
      <c r="B1391" s="295" t="s">
        <v>662</v>
      </c>
      <c r="C1391" s="293">
        <v>83</v>
      </c>
      <c r="D1391" s="293">
        <v>300</v>
      </c>
      <c r="E1391" s="293">
        <v>217</v>
      </c>
      <c r="F1391" s="294" t="s">
        <v>827</v>
      </c>
    </row>
    <row r="1392" spans="1:6" hidden="1" outlineLevel="1" collapsed="1" x14ac:dyDescent="0.25">
      <c r="A1392" s="295" t="s">
        <v>282</v>
      </c>
      <c r="B1392" s="295" t="s">
        <v>828</v>
      </c>
      <c r="C1392" s="293">
        <v>0</v>
      </c>
      <c r="D1392" s="293">
        <v>50</v>
      </c>
      <c r="E1392" s="293">
        <v>50</v>
      </c>
      <c r="F1392" s="294" t="s">
        <v>298</v>
      </c>
    </row>
    <row r="1393" spans="1:6" hidden="1" outlineLevel="1" collapsed="1" x14ac:dyDescent="0.25">
      <c r="A1393" s="295" t="s">
        <v>282</v>
      </c>
      <c r="B1393" s="295" t="s">
        <v>567</v>
      </c>
      <c r="C1393" s="293">
        <v>9136</v>
      </c>
      <c r="D1393" s="293">
        <v>9136</v>
      </c>
      <c r="E1393" s="293">
        <v>0</v>
      </c>
      <c r="F1393" s="294" t="s">
        <v>316</v>
      </c>
    </row>
    <row r="1394" spans="1:6" hidden="1" outlineLevel="1" collapsed="1" x14ac:dyDescent="0.25">
      <c r="A1394" s="295" t="s">
        <v>282</v>
      </c>
      <c r="B1394" s="295" t="s">
        <v>426</v>
      </c>
      <c r="C1394" s="293">
        <v>300</v>
      </c>
      <c r="D1394" s="293">
        <v>500</v>
      </c>
      <c r="E1394" s="293">
        <v>200</v>
      </c>
      <c r="F1394" s="294" t="s">
        <v>829</v>
      </c>
    </row>
    <row r="1395" spans="1:6" hidden="1" outlineLevel="1" collapsed="1" x14ac:dyDescent="0.25">
      <c r="A1395" s="295" t="s">
        <v>282</v>
      </c>
      <c r="B1395" s="295" t="s">
        <v>482</v>
      </c>
      <c r="C1395" s="293">
        <v>1103</v>
      </c>
      <c r="D1395" s="293">
        <v>1000</v>
      </c>
      <c r="E1395" s="293">
        <v>-103</v>
      </c>
      <c r="F1395" s="294" t="s">
        <v>830</v>
      </c>
    </row>
    <row r="1396" spans="1:6" hidden="1" outlineLevel="1" collapsed="1" x14ac:dyDescent="0.25">
      <c r="A1396" s="295" t="s">
        <v>282</v>
      </c>
      <c r="B1396" s="295" t="s">
        <v>416</v>
      </c>
      <c r="C1396" s="293">
        <v>40</v>
      </c>
      <c r="D1396" s="293">
        <v>40</v>
      </c>
      <c r="E1396" s="293">
        <v>0</v>
      </c>
      <c r="F1396" s="294" t="s">
        <v>316</v>
      </c>
    </row>
    <row r="1397" spans="1:6" hidden="1" outlineLevel="1" collapsed="1" x14ac:dyDescent="0.25">
      <c r="A1397" s="295" t="s">
        <v>282</v>
      </c>
      <c r="B1397" s="295" t="s">
        <v>403</v>
      </c>
      <c r="C1397" s="293">
        <v>0</v>
      </c>
      <c r="D1397" s="293">
        <v>1451</v>
      </c>
      <c r="E1397" s="293">
        <v>1451</v>
      </c>
      <c r="F1397" s="294" t="s">
        <v>298</v>
      </c>
    </row>
    <row r="1398" spans="1:6" hidden="1" outlineLevel="1" collapsed="1" x14ac:dyDescent="0.25">
      <c r="A1398" s="295" t="s">
        <v>282</v>
      </c>
      <c r="B1398" s="295" t="s">
        <v>557</v>
      </c>
      <c r="C1398" s="293">
        <v>351</v>
      </c>
      <c r="D1398" s="293">
        <v>351</v>
      </c>
      <c r="E1398" s="293">
        <v>0</v>
      </c>
      <c r="F1398" s="294" t="s">
        <v>316</v>
      </c>
    </row>
    <row r="1399" spans="1:6" hidden="1" outlineLevel="1" collapsed="1" x14ac:dyDescent="0.25">
      <c r="A1399" s="295" t="s">
        <v>282</v>
      </c>
      <c r="B1399" s="295" t="s">
        <v>831</v>
      </c>
      <c r="C1399" s="293">
        <v>0</v>
      </c>
      <c r="D1399" s="293">
        <v>660</v>
      </c>
      <c r="E1399" s="293">
        <v>660</v>
      </c>
      <c r="F1399" s="294" t="s">
        <v>298</v>
      </c>
    </row>
    <row r="1400" spans="1:6" hidden="1" outlineLevel="1" collapsed="1" x14ac:dyDescent="0.25">
      <c r="A1400" s="295" t="s">
        <v>282</v>
      </c>
      <c r="B1400" s="295" t="s">
        <v>422</v>
      </c>
      <c r="C1400" s="293">
        <v>0</v>
      </c>
      <c r="D1400" s="293">
        <v>1690</v>
      </c>
      <c r="E1400" s="293">
        <v>1690</v>
      </c>
      <c r="F1400" s="294" t="s">
        <v>298</v>
      </c>
    </row>
    <row r="1401" spans="1:6" collapsed="1" x14ac:dyDescent="0.25">
      <c r="A1401" s="560" t="s">
        <v>832</v>
      </c>
      <c r="B1401" s="561"/>
      <c r="C1401" s="292">
        <v>721616.45672799996</v>
      </c>
      <c r="D1401" s="293">
        <v>748304.34479</v>
      </c>
      <c r="E1401" s="293">
        <v>26687.888062000002</v>
      </c>
      <c r="F1401" s="294" t="s">
        <v>833</v>
      </c>
    </row>
    <row r="1402" spans="1:6" hidden="1" outlineLevel="1" collapsed="1" x14ac:dyDescent="0.25">
      <c r="A1402" s="295" t="s">
        <v>282</v>
      </c>
      <c r="B1402" s="295" t="s">
        <v>780</v>
      </c>
      <c r="C1402" s="293">
        <v>162750.17823600001</v>
      </c>
      <c r="D1402" s="293">
        <v>165191.43055200001</v>
      </c>
      <c r="E1402" s="293">
        <v>2441.2523160000001</v>
      </c>
      <c r="F1402" s="294" t="s">
        <v>510</v>
      </c>
    </row>
    <row r="1403" spans="1:6" hidden="1" outlineLevel="1" collapsed="1" x14ac:dyDescent="0.25">
      <c r="A1403" s="295" t="s">
        <v>282</v>
      </c>
      <c r="B1403" s="295" t="s">
        <v>834</v>
      </c>
      <c r="C1403" s="293">
        <v>100400</v>
      </c>
      <c r="D1403" s="293">
        <v>100400</v>
      </c>
      <c r="E1403" s="293">
        <v>0</v>
      </c>
      <c r="F1403" s="294" t="s">
        <v>316</v>
      </c>
    </row>
    <row r="1404" spans="1:6" hidden="1" outlineLevel="1" collapsed="1" x14ac:dyDescent="0.25">
      <c r="A1404" s="295" t="s">
        <v>282</v>
      </c>
      <c r="B1404" s="295" t="s">
        <v>835</v>
      </c>
      <c r="C1404" s="293">
        <v>6480</v>
      </c>
      <c r="D1404" s="293">
        <v>6480</v>
      </c>
      <c r="E1404" s="293">
        <v>0</v>
      </c>
      <c r="F1404" s="294" t="s">
        <v>316</v>
      </c>
    </row>
    <row r="1405" spans="1:6" hidden="1" outlineLevel="1" collapsed="1" x14ac:dyDescent="0.25">
      <c r="A1405" s="295" t="s">
        <v>282</v>
      </c>
      <c r="B1405" s="295" t="s">
        <v>836</v>
      </c>
      <c r="C1405" s="293">
        <v>6628</v>
      </c>
      <c r="D1405" s="293">
        <v>14040</v>
      </c>
      <c r="E1405" s="293">
        <v>7412</v>
      </c>
      <c r="F1405" s="294" t="s">
        <v>837</v>
      </c>
    </row>
    <row r="1406" spans="1:6" hidden="1" outlineLevel="1" collapsed="1" x14ac:dyDescent="0.25">
      <c r="A1406" s="295" t="s">
        <v>282</v>
      </c>
      <c r="B1406" s="295" t="s">
        <v>838</v>
      </c>
      <c r="C1406" s="293">
        <v>5313</v>
      </c>
      <c r="D1406" s="293">
        <v>5313</v>
      </c>
      <c r="E1406" s="293">
        <v>0</v>
      </c>
      <c r="F1406" s="294" t="s">
        <v>316</v>
      </c>
    </row>
    <row r="1407" spans="1:6" hidden="1" outlineLevel="1" collapsed="1" x14ac:dyDescent="0.25">
      <c r="A1407" s="295" t="s">
        <v>282</v>
      </c>
      <c r="B1407" s="295" t="s">
        <v>441</v>
      </c>
      <c r="C1407" s="293">
        <v>19199</v>
      </c>
      <c r="D1407" s="293">
        <v>19199</v>
      </c>
      <c r="E1407" s="293">
        <v>0</v>
      </c>
      <c r="F1407" s="294" t="s">
        <v>316</v>
      </c>
    </row>
    <row r="1408" spans="1:6" hidden="1" outlineLevel="1" collapsed="1" x14ac:dyDescent="0.25">
      <c r="A1408" s="295" t="s">
        <v>282</v>
      </c>
      <c r="B1408" s="295" t="s">
        <v>822</v>
      </c>
      <c r="C1408" s="293">
        <v>13369</v>
      </c>
      <c r="D1408" s="293">
        <v>13369</v>
      </c>
      <c r="E1408" s="293">
        <v>0</v>
      </c>
      <c r="F1408" s="294" t="s">
        <v>316</v>
      </c>
    </row>
    <row r="1409" spans="1:6" hidden="1" outlineLevel="1" collapsed="1" x14ac:dyDescent="0.25">
      <c r="A1409" s="295" t="s">
        <v>282</v>
      </c>
      <c r="B1409" s="295" t="s">
        <v>464</v>
      </c>
      <c r="C1409" s="293">
        <v>206090.30199800001</v>
      </c>
      <c r="D1409" s="293">
        <v>214386.36049399999</v>
      </c>
      <c r="E1409" s="293">
        <v>8296.0584959999996</v>
      </c>
      <c r="F1409" s="294" t="s">
        <v>839</v>
      </c>
    </row>
    <row r="1410" spans="1:6" hidden="1" outlineLevel="1" collapsed="1" x14ac:dyDescent="0.25">
      <c r="A1410" s="295" t="s">
        <v>282</v>
      </c>
      <c r="B1410" s="295" t="s">
        <v>475</v>
      </c>
      <c r="C1410" s="293">
        <v>5000</v>
      </c>
      <c r="D1410" s="293">
        <v>5000</v>
      </c>
      <c r="E1410" s="293">
        <v>0</v>
      </c>
      <c r="F1410" s="294" t="s">
        <v>316</v>
      </c>
    </row>
    <row r="1411" spans="1:6" hidden="1" outlineLevel="1" collapsed="1" x14ac:dyDescent="0.25">
      <c r="A1411" s="295" t="s">
        <v>282</v>
      </c>
      <c r="B1411" s="295" t="s">
        <v>476</v>
      </c>
      <c r="C1411" s="293">
        <v>500</v>
      </c>
      <c r="D1411" s="293">
        <v>500</v>
      </c>
      <c r="E1411" s="293">
        <v>0</v>
      </c>
      <c r="F1411" s="294" t="s">
        <v>316</v>
      </c>
    </row>
    <row r="1412" spans="1:6" hidden="1" outlineLevel="1" collapsed="1" x14ac:dyDescent="0.25">
      <c r="A1412" s="295" t="s">
        <v>282</v>
      </c>
      <c r="B1412" s="295" t="s">
        <v>488</v>
      </c>
      <c r="C1412" s="293">
        <v>3000</v>
      </c>
      <c r="D1412" s="293">
        <v>3000</v>
      </c>
      <c r="E1412" s="293">
        <v>0</v>
      </c>
      <c r="F1412" s="294" t="s">
        <v>316</v>
      </c>
    </row>
    <row r="1413" spans="1:6" hidden="1" outlineLevel="1" collapsed="1" x14ac:dyDescent="0.25">
      <c r="A1413" s="295" t="s">
        <v>282</v>
      </c>
      <c r="B1413" s="295" t="s">
        <v>751</v>
      </c>
      <c r="C1413" s="293">
        <v>21238.898256</v>
      </c>
      <c r="D1413" s="293">
        <v>0</v>
      </c>
      <c r="E1413" s="293">
        <v>-21238.898256</v>
      </c>
      <c r="F1413" s="294" t="s">
        <v>286</v>
      </c>
    </row>
    <row r="1414" spans="1:6" hidden="1" outlineLevel="1" collapsed="1" x14ac:dyDescent="0.25">
      <c r="A1414" s="295" t="s">
        <v>282</v>
      </c>
      <c r="B1414" s="295" t="s">
        <v>752</v>
      </c>
      <c r="C1414" s="293">
        <v>0</v>
      </c>
      <c r="D1414" s="293">
        <v>23837.123424000001</v>
      </c>
      <c r="E1414" s="293">
        <v>23837.123424000001</v>
      </c>
      <c r="F1414" s="294" t="s">
        <v>298</v>
      </c>
    </row>
    <row r="1415" spans="1:6" hidden="1" outlineLevel="1" collapsed="1" x14ac:dyDescent="0.25">
      <c r="A1415" s="295" t="s">
        <v>282</v>
      </c>
      <c r="B1415" s="295" t="s">
        <v>384</v>
      </c>
      <c r="C1415" s="293">
        <v>25567.629970000002</v>
      </c>
      <c r="D1415" s="293">
        <v>0</v>
      </c>
      <c r="E1415" s="293">
        <v>-25567.629970000002</v>
      </c>
      <c r="F1415" s="294" t="s">
        <v>286</v>
      </c>
    </row>
    <row r="1416" spans="1:6" hidden="1" outlineLevel="1" collapsed="1" x14ac:dyDescent="0.25">
      <c r="A1416" s="295" t="s">
        <v>282</v>
      </c>
      <c r="B1416" s="295" t="s">
        <v>385</v>
      </c>
      <c r="C1416" s="293">
        <v>0</v>
      </c>
      <c r="D1416" s="293">
        <v>33422.744936000003</v>
      </c>
      <c r="E1416" s="293">
        <v>33422.744936000003</v>
      </c>
      <c r="F1416" s="294" t="s">
        <v>298</v>
      </c>
    </row>
    <row r="1417" spans="1:6" hidden="1" outlineLevel="1" collapsed="1" x14ac:dyDescent="0.25">
      <c r="A1417" s="295" t="s">
        <v>282</v>
      </c>
      <c r="B1417" s="295" t="s">
        <v>386</v>
      </c>
      <c r="C1417" s="293">
        <v>12777.598695999999</v>
      </c>
      <c r="D1417" s="293">
        <v>0</v>
      </c>
      <c r="E1417" s="293">
        <v>-12777.598695999999</v>
      </c>
      <c r="F1417" s="294" t="s">
        <v>286</v>
      </c>
    </row>
    <row r="1418" spans="1:6" hidden="1" outlineLevel="1" collapsed="1" x14ac:dyDescent="0.25">
      <c r="A1418" s="295" t="s">
        <v>282</v>
      </c>
      <c r="B1418" s="295" t="s">
        <v>387</v>
      </c>
      <c r="C1418" s="293">
        <v>0</v>
      </c>
      <c r="D1418" s="293">
        <v>13291.95433</v>
      </c>
      <c r="E1418" s="293">
        <v>13291.95433</v>
      </c>
      <c r="F1418" s="294" t="s">
        <v>298</v>
      </c>
    </row>
    <row r="1419" spans="1:6" hidden="1" outlineLevel="1" collapsed="1" x14ac:dyDescent="0.25">
      <c r="A1419" s="295" t="s">
        <v>282</v>
      </c>
      <c r="B1419" s="295" t="s">
        <v>388</v>
      </c>
      <c r="C1419" s="293">
        <v>2988.3093520000002</v>
      </c>
      <c r="D1419" s="293">
        <v>3108.602198</v>
      </c>
      <c r="E1419" s="293">
        <v>120.292846</v>
      </c>
      <c r="F1419" s="294" t="s">
        <v>839</v>
      </c>
    </row>
    <row r="1420" spans="1:6" hidden="1" outlineLevel="1" collapsed="1" x14ac:dyDescent="0.25">
      <c r="A1420" s="295" t="s">
        <v>282</v>
      </c>
      <c r="B1420" s="295" t="s">
        <v>444</v>
      </c>
      <c r="C1420" s="293">
        <v>17374</v>
      </c>
      <c r="D1420" s="293">
        <v>19537</v>
      </c>
      <c r="E1420" s="293">
        <v>2163</v>
      </c>
      <c r="F1420" s="294" t="s">
        <v>840</v>
      </c>
    </row>
    <row r="1421" spans="1:6" hidden="1" outlineLevel="1" collapsed="1" x14ac:dyDescent="0.25">
      <c r="A1421" s="295" t="s">
        <v>282</v>
      </c>
      <c r="B1421" s="295" t="s">
        <v>389</v>
      </c>
      <c r="C1421" s="293">
        <v>1704.4992</v>
      </c>
      <c r="D1421" s="293">
        <v>1688.16</v>
      </c>
      <c r="E1421" s="293">
        <v>-16.339200000000002</v>
      </c>
      <c r="F1421" s="294" t="s">
        <v>364</v>
      </c>
    </row>
    <row r="1422" spans="1:6" hidden="1" outlineLevel="1" collapsed="1" x14ac:dyDescent="0.25">
      <c r="A1422" s="295" t="s">
        <v>282</v>
      </c>
      <c r="B1422" s="295" t="s">
        <v>390</v>
      </c>
      <c r="C1422" s="293">
        <v>30970.54</v>
      </c>
      <c r="D1422" s="293">
        <v>31918.560000000001</v>
      </c>
      <c r="E1422" s="293">
        <v>948.02</v>
      </c>
      <c r="F1422" s="294" t="s">
        <v>391</v>
      </c>
    </row>
    <row r="1423" spans="1:6" hidden="1" outlineLevel="1" collapsed="1" x14ac:dyDescent="0.25">
      <c r="A1423" s="295" t="s">
        <v>282</v>
      </c>
      <c r="B1423" s="295" t="s">
        <v>392</v>
      </c>
      <c r="C1423" s="293">
        <v>934.15679999999998</v>
      </c>
      <c r="D1423" s="293">
        <v>731.52</v>
      </c>
      <c r="E1423" s="293">
        <v>-202.63679999999999</v>
      </c>
      <c r="F1423" s="294" t="s">
        <v>368</v>
      </c>
    </row>
    <row r="1424" spans="1:6" hidden="1" outlineLevel="1" collapsed="1" x14ac:dyDescent="0.25">
      <c r="A1424" s="295" t="s">
        <v>282</v>
      </c>
      <c r="B1424" s="295" t="s">
        <v>754</v>
      </c>
      <c r="C1424" s="293">
        <v>15358.56</v>
      </c>
      <c r="D1424" s="293">
        <v>15959.28</v>
      </c>
      <c r="E1424" s="293">
        <v>600.72</v>
      </c>
      <c r="F1424" s="294" t="s">
        <v>366</v>
      </c>
    </row>
    <row r="1425" spans="1:6" hidden="1" outlineLevel="1" collapsed="1" x14ac:dyDescent="0.25">
      <c r="A1425" s="295" t="s">
        <v>282</v>
      </c>
      <c r="B1425" s="295" t="s">
        <v>755</v>
      </c>
      <c r="C1425" s="293">
        <v>426.12479999999999</v>
      </c>
      <c r="D1425" s="293">
        <v>422.04</v>
      </c>
      <c r="E1425" s="293">
        <v>-4.0848000000000004</v>
      </c>
      <c r="F1425" s="294" t="s">
        <v>364</v>
      </c>
    </row>
    <row r="1426" spans="1:6" hidden="1" outlineLevel="1" collapsed="1" x14ac:dyDescent="0.25">
      <c r="A1426" s="295" t="s">
        <v>282</v>
      </c>
      <c r="B1426" s="295" t="s">
        <v>756</v>
      </c>
      <c r="C1426" s="293">
        <v>233.53919999999999</v>
      </c>
      <c r="D1426" s="293">
        <v>182.88</v>
      </c>
      <c r="E1426" s="293">
        <v>-50.659199999999998</v>
      </c>
      <c r="F1426" s="294" t="s">
        <v>368</v>
      </c>
    </row>
    <row r="1427" spans="1:6" hidden="1" outlineLevel="1" collapsed="1" x14ac:dyDescent="0.25">
      <c r="A1427" s="295" t="s">
        <v>282</v>
      </c>
      <c r="B1427" s="295" t="s">
        <v>393</v>
      </c>
      <c r="C1427" s="293">
        <v>103.045136</v>
      </c>
      <c r="D1427" s="293">
        <v>107.193144</v>
      </c>
      <c r="E1427" s="293">
        <v>4.1480079999999999</v>
      </c>
      <c r="F1427" s="294" t="s">
        <v>839</v>
      </c>
    </row>
    <row r="1428" spans="1:6" hidden="1" outlineLevel="1" collapsed="1" x14ac:dyDescent="0.25">
      <c r="A1428" s="295" t="s">
        <v>282</v>
      </c>
      <c r="B1428" s="295" t="s">
        <v>757</v>
      </c>
      <c r="C1428" s="293">
        <v>81.675083999999998</v>
      </c>
      <c r="D1428" s="293">
        <v>0</v>
      </c>
      <c r="E1428" s="293">
        <v>-81.675083999999998</v>
      </c>
      <c r="F1428" s="294" t="s">
        <v>286</v>
      </c>
    </row>
    <row r="1429" spans="1:6" hidden="1" outlineLevel="1" collapsed="1" x14ac:dyDescent="0.25">
      <c r="A1429" s="295" t="s">
        <v>282</v>
      </c>
      <c r="B1429" s="295" t="s">
        <v>758</v>
      </c>
      <c r="C1429" s="293">
        <v>0</v>
      </c>
      <c r="D1429" s="293">
        <v>82.895712000000003</v>
      </c>
      <c r="E1429" s="293">
        <v>82.895712000000003</v>
      </c>
      <c r="F1429" s="294" t="s">
        <v>298</v>
      </c>
    </row>
    <row r="1430" spans="1:6" hidden="1" outlineLevel="1" collapsed="1" x14ac:dyDescent="0.25">
      <c r="A1430" s="295" t="s">
        <v>282</v>
      </c>
      <c r="B1430" s="295" t="s">
        <v>394</v>
      </c>
      <c r="C1430" s="293">
        <v>6000</v>
      </c>
      <c r="D1430" s="293">
        <v>0</v>
      </c>
      <c r="E1430" s="293">
        <v>-6000</v>
      </c>
      <c r="F1430" s="294" t="s">
        <v>286</v>
      </c>
    </row>
    <row r="1431" spans="1:6" hidden="1" outlineLevel="1" collapsed="1" x14ac:dyDescent="0.25">
      <c r="A1431" s="295" t="s">
        <v>282</v>
      </c>
      <c r="B1431" s="295" t="s">
        <v>395</v>
      </c>
      <c r="C1431" s="293">
        <v>0</v>
      </c>
      <c r="D1431" s="293">
        <v>6000</v>
      </c>
      <c r="E1431" s="293">
        <v>6000</v>
      </c>
      <c r="F1431" s="294" t="s">
        <v>298</v>
      </c>
    </row>
    <row r="1432" spans="1:6" hidden="1" outlineLevel="1" collapsed="1" x14ac:dyDescent="0.25">
      <c r="A1432" s="295" t="s">
        <v>282</v>
      </c>
      <c r="B1432" s="295" t="s">
        <v>759</v>
      </c>
      <c r="C1432" s="293">
        <v>1500</v>
      </c>
      <c r="D1432" s="293">
        <v>0</v>
      </c>
      <c r="E1432" s="293">
        <v>-1500</v>
      </c>
      <c r="F1432" s="294" t="s">
        <v>286</v>
      </c>
    </row>
    <row r="1433" spans="1:6" hidden="1" outlineLevel="1" collapsed="1" x14ac:dyDescent="0.25">
      <c r="A1433" s="295" t="s">
        <v>282</v>
      </c>
      <c r="B1433" s="295" t="s">
        <v>760</v>
      </c>
      <c r="C1433" s="293">
        <v>0</v>
      </c>
      <c r="D1433" s="293">
        <v>1500</v>
      </c>
      <c r="E1433" s="293">
        <v>1500</v>
      </c>
      <c r="F1433" s="294" t="s">
        <v>298</v>
      </c>
    </row>
    <row r="1434" spans="1:6" hidden="1" outlineLevel="1" collapsed="1" x14ac:dyDescent="0.25">
      <c r="A1434" s="295" t="s">
        <v>282</v>
      </c>
      <c r="B1434" s="295" t="s">
        <v>396</v>
      </c>
      <c r="C1434" s="293">
        <v>198.72</v>
      </c>
      <c r="D1434" s="293">
        <v>0</v>
      </c>
      <c r="E1434" s="293">
        <v>-198.72</v>
      </c>
      <c r="F1434" s="294" t="s">
        <v>286</v>
      </c>
    </row>
    <row r="1435" spans="1:6" hidden="1" outlineLevel="1" collapsed="1" x14ac:dyDescent="0.25">
      <c r="A1435" s="295" t="s">
        <v>282</v>
      </c>
      <c r="B1435" s="295" t="s">
        <v>397</v>
      </c>
      <c r="C1435" s="293">
        <v>0</v>
      </c>
      <c r="D1435" s="293">
        <v>193.92</v>
      </c>
      <c r="E1435" s="293">
        <v>193.92</v>
      </c>
      <c r="F1435" s="294" t="s">
        <v>298</v>
      </c>
    </row>
    <row r="1436" spans="1:6" hidden="1" outlineLevel="1" collapsed="1" x14ac:dyDescent="0.25">
      <c r="A1436" s="295" t="s">
        <v>282</v>
      </c>
      <c r="B1436" s="295" t="s">
        <v>761</v>
      </c>
      <c r="C1436" s="293">
        <v>49.68</v>
      </c>
      <c r="D1436" s="293">
        <v>0</v>
      </c>
      <c r="E1436" s="293">
        <v>-49.68</v>
      </c>
      <c r="F1436" s="294" t="s">
        <v>286</v>
      </c>
    </row>
    <row r="1437" spans="1:6" hidden="1" outlineLevel="1" collapsed="1" x14ac:dyDescent="0.25">
      <c r="A1437" s="295" t="s">
        <v>282</v>
      </c>
      <c r="B1437" s="295" t="s">
        <v>762</v>
      </c>
      <c r="C1437" s="293">
        <v>0</v>
      </c>
      <c r="D1437" s="293">
        <v>48.48</v>
      </c>
      <c r="E1437" s="293">
        <v>48.48</v>
      </c>
      <c r="F1437" s="294" t="s">
        <v>298</v>
      </c>
    </row>
    <row r="1438" spans="1:6" hidden="1" outlineLevel="1" collapsed="1" x14ac:dyDescent="0.25">
      <c r="A1438" s="295" t="s">
        <v>282</v>
      </c>
      <c r="B1438" s="295" t="s">
        <v>398</v>
      </c>
      <c r="C1438" s="293">
        <v>96</v>
      </c>
      <c r="D1438" s="293">
        <v>44.16</v>
      </c>
      <c r="E1438" s="293">
        <v>-51.84</v>
      </c>
      <c r="F1438" s="294" t="s">
        <v>374</v>
      </c>
    </row>
    <row r="1439" spans="1:6" hidden="1" outlineLevel="1" collapsed="1" x14ac:dyDescent="0.25">
      <c r="A1439" s="295" t="s">
        <v>282</v>
      </c>
      <c r="B1439" s="295" t="s">
        <v>763</v>
      </c>
      <c r="C1439" s="293">
        <v>24</v>
      </c>
      <c r="D1439" s="293">
        <v>11.04</v>
      </c>
      <c r="E1439" s="293">
        <v>-12.96</v>
      </c>
      <c r="F1439" s="294" t="s">
        <v>374</v>
      </c>
    </row>
    <row r="1440" spans="1:6" hidden="1" outlineLevel="1" collapsed="1" x14ac:dyDescent="0.25">
      <c r="A1440" s="295" t="s">
        <v>282</v>
      </c>
      <c r="B1440" s="295" t="s">
        <v>522</v>
      </c>
      <c r="C1440" s="293">
        <v>6000</v>
      </c>
      <c r="D1440" s="293">
        <v>6000</v>
      </c>
      <c r="E1440" s="293">
        <v>0</v>
      </c>
      <c r="F1440" s="294" t="s">
        <v>316</v>
      </c>
    </row>
    <row r="1441" spans="1:6" hidden="1" outlineLevel="1" collapsed="1" x14ac:dyDescent="0.25">
      <c r="A1441" s="295" t="s">
        <v>282</v>
      </c>
      <c r="B1441" s="295" t="s">
        <v>523</v>
      </c>
      <c r="C1441" s="293">
        <v>490</v>
      </c>
      <c r="D1441" s="293">
        <v>490</v>
      </c>
      <c r="E1441" s="293">
        <v>0</v>
      </c>
      <c r="F1441" s="294" t="s">
        <v>316</v>
      </c>
    </row>
    <row r="1442" spans="1:6" hidden="1" outlineLevel="1" collapsed="1" x14ac:dyDescent="0.25">
      <c r="A1442" s="295" t="s">
        <v>282</v>
      </c>
      <c r="B1442" s="295" t="s">
        <v>376</v>
      </c>
      <c r="C1442" s="293">
        <v>3284</v>
      </c>
      <c r="D1442" s="293">
        <v>3284</v>
      </c>
      <c r="E1442" s="293">
        <v>0</v>
      </c>
      <c r="F1442" s="294" t="s">
        <v>316</v>
      </c>
    </row>
    <row r="1443" spans="1:6" hidden="1" outlineLevel="1" collapsed="1" x14ac:dyDescent="0.25">
      <c r="A1443" s="295" t="s">
        <v>282</v>
      </c>
      <c r="B1443" s="295" t="s">
        <v>567</v>
      </c>
      <c r="C1443" s="293">
        <v>20699</v>
      </c>
      <c r="D1443" s="293">
        <v>20699</v>
      </c>
      <c r="E1443" s="293">
        <v>0</v>
      </c>
      <c r="F1443" s="294" t="s">
        <v>316</v>
      </c>
    </row>
    <row r="1444" spans="1:6" hidden="1" outlineLevel="1" collapsed="1" x14ac:dyDescent="0.25">
      <c r="A1444" s="295" t="s">
        <v>282</v>
      </c>
      <c r="B1444" s="295" t="s">
        <v>426</v>
      </c>
      <c r="C1444" s="293">
        <v>9050</v>
      </c>
      <c r="D1444" s="293">
        <v>4488</v>
      </c>
      <c r="E1444" s="293">
        <v>-4562</v>
      </c>
      <c r="F1444" s="294" t="s">
        <v>841</v>
      </c>
    </row>
    <row r="1445" spans="1:6" hidden="1" outlineLevel="1" collapsed="1" x14ac:dyDescent="0.25">
      <c r="A1445" s="295" t="s">
        <v>282</v>
      </c>
      <c r="B1445" s="295" t="s">
        <v>707</v>
      </c>
      <c r="C1445" s="293">
        <v>600</v>
      </c>
      <c r="D1445" s="293">
        <v>600</v>
      </c>
      <c r="E1445" s="293">
        <v>0</v>
      </c>
      <c r="F1445" s="294" t="s">
        <v>316</v>
      </c>
    </row>
    <row r="1446" spans="1:6" hidden="1" outlineLevel="1" collapsed="1" x14ac:dyDescent="0.25">
      <c r="A1446" s="295" t="s">
        <v>282</v>
      </c>
      <c r="B1446" s="295" t="s">
        <v>597</v>
      </c>
      <c r="C1446" s="293">
        <v>300</v>
      </c>
      <c r="D1446" s="293">
        <v>300</v>
      </c>
      <c r="E1446" s="293">
        <v>0</v>
      </c>
      <c r="F1446" s="294" t="s">
        <v>316</v>
      </c>
    </row>
    <row r="1447" spans="1:6" hidden="1" outlineLevel="1" collapsed="1" x14ac:dyDescent="0.25">
      <c r="A1447" s="295" t="s">
        <v>282</v>
      </c>
      <c r="B1447" s="295" t="s">
        <v>842</v>
      </c>
      <c r="C1447" s="293">
        <v>499</v>
      </c>
      <c r="D1447" s="293">
        <v>499</v>
      </c>
      <c r="E1447" s="293">
        <v>0</v>
      </c>
      <c r="F1447" s="294" t="s">
        <v>316</v>
      </c>
    </row>
    <row r="1448" spans="1:6" hidden="1" outlineLevel="1" collapsed="1" x14ac:dyDescent="0.25">
      <c r="A1448" s="295" t="s">
        <v>282</v>
      </c>
      <c r="B1448" s="295" t="s">
        <v>843</v>
      </c>
      <c r="C1448" s="293">
        <v>0</v>
      </c>
      <c r="D1448" s="293">
        <v>540</v>
      </c>
      <c r="E1448" s="293">
        <v>540</v>
      </c>
      <c r="F1448" s="294" t="s">
        <v>298</v>
      </c>
    </row>
    <row r="1449" spans="1:6" hidden="1" outlineLevel="1" collapsed="1" x14ac:dyDescent="0.25">
      <c r="A1449" s="295" t="s">
        <v>282</v>
      </c>
      <c r="B1449" s="295" t="s">
        <v>416</v>
      </c>
      <c r="C1449" s="293">
        <v>0</v>
      </c>
      <c r="D1449" s="293">
        <v>100</v>
      </c>
      <c r="E1449" s="293">
        <v>100</v>
      </c>
      <c r="F1449" s="294" t="s">
        <v>298</v>
      </c>
    </row>
    <row r="1450" spans="1:6" hidden="1" outlineLevel="1" collapsed="1" x14ac:dyDescent="0.25">
      <c r="A1450" s="295" t="s">
        <v>282</v>
      </c>
      <c r="B1450" s="295" t="s">
        <v>401</v>
      </c>
      <c r="C1450" s="293">
        <v>100</v>
      </c>
      <c r="D1450" s="293">
        <v>0</v>
      </c>
      <c r="E1450" s="293">
        <v>-100</v>
      </c>
      <c r="F1450" s="294" t="s">
        <v>286</v>
      </c>
    </row>
    <row r="1451" spans="1:6" hidden="1" outlineLevel="1" collapsed="1" x14ac:dyDescent="0.25">
      <c r="A1451" s="295" t="s">
        <v>282</v>
      </c>
      <c r="B1451" s="295" t="s">
        <v>403</v>
      </c>
      <c r="C1451" s="293">
        <v>108</v>
      </c>
      <c r="D1451" s="293">
        <v>108</v>
      </c>
      <c r="E1451" s="293">
        <v>0</v>
      </c>
      <c r="F1451" s="294" t="s">
        <v>316</v>
      </c>
    </row>
    <row r="1452" spans="1:6" hidden="1" outlineLevel="1" collapsed="1" x14ac:dyDescent="0.25">
      <c r="A1452" s="295" t="s">
        <v>282</v>
      </c>
      <c r="B1452" s="295" t="s">
        <v>557</v>
      </c>
      <c r="C1452" s="293">
        <v>40</v>
      </c>
      <c r="D1452" s="293">
        <v>40</v>
      </c>
      <c r="E1452" s="293">
        <v>0</v>
      </c>
      <c r="F1452" s="294" t="s">
        <v>316</v>
      </c>
    </row>
    <row r="1453" spans="1:6" hidden="1" outlineLevel="1" collapsed="1" x14ac:dyDescent="0.25">
      <c r="A1453" s="295" t="s">
        <v>282</v>
      </c>
      <c r="B1453" s="295" t="s">
        <v>422</v>
      </c>
      <c r="C1453" s="293">
        <v>90</v>
      </c>
      <c r="D1453" s="293">
        <v>1190</v>
      </c>
      <c r="E1453" s="293">
        <v>1100</v>
      </c>
      <c r="F1453" s="294" t="s">
        <v>844</v>
      </c>
    </row>
    <row r="1454" spans="1:6" hidden="1" outlineLevel="1" collapsed="1" x14ac:dyDescent="0.25">
      <c r="A1454" s="295" t="s">
        <v>282</v>
      </c>
      <c r="B1454" s="295" t="s">
        <v>770</v>
      </c>
      <c r="C1454" s="293">
        <v>14000</v>
      </c>
      <c r="D1454" s="293">
        <v>11000</v>
      </c>
      <c r="E1454" s="293">
        <v>-3000</v>
      </c>
      <c r="F1454" s="294" t="s">
        <v>845</v>
      </c>
    </row>
    <row r="1455" spans="1:6" collapsed="1" x14ac:dyDescent="0.25">
      <c r="A1455" s="560" t="s">
        <v>846</v>
      </c>
      <c r="B1455" s="561"/>
      <c r="C1455" s="292">
        <v>38254</v>
      </c>
      <c r="D1455" s="293">
        <v>38137</v>
      </c>
      <c r="E1455" s="293">
        <v>-117</v>
      </c>
      <c r="F1455" s="294" t="s">
        <v>847</v>
      </c>
    </row>
    <row r="1456" spans="1:6" hidden="1" outlineLevel="1" collapsed="1" x14ac:dyDescent="0.25">
      <c r="A1456" s="295" t="s">
        <v>282</v>
      </c>
      <c r="B1456" s="295" t="s">
        <v>441</v>
      </c>
      <c r="C1456" s="293">
        <v>18700</v>
      </c>
      <c r="D1456" s="293">
        <v>18711</v>
      </c>
      <c r="E1456" s="293">
        <v>11</v>
      </c>
      <c r="F1456" s="294" t="s">
        <v>848</v>
      </c>
    </row>
    <row r="1457" spans="1:6" hidden="1" outlineLevel="1" collapsed="1" x14ac:dyDescent="0.25">
      <c r="A1457" s="295" t="s">
        <v>282</v>
      </c>
      <c r="B1457" s="295" t="s">
        <v>822</v>
      </c>
      <c r="C1457" s="293">
        <v>7500</v>
      </c>
      <c r="D1457" s="293">
        <v>7500</v>
      </c>
      <c r="E1457" s="293">
        <v>0</v>
      </c>
      <c r="F1457" s="294" t="s">
        <v>316</v>
      </c>
    </row>
    <row r="1458" spans="1:6" hidden="1" outlineLevel="1" collapsed="1" x14ac:dyDescent="0.25">
      <c r="A1458" s="295" t="s">
        <v>282</v>
      </c>
      <c r="B1458" s="295" t="s">
        <v>475</v>
      </c>
      <c r="C1458" s="293">
        <v>1000</v>
      </c>
      <c r="D1458" s="293">
        <v>950</v>
      </c>
      <c r="E1458" s="293">
        <v>-50</v>
      </c>
      <c r="F1458" s="294" t="s">
        <v>849</v>
      </c>
    </row>
    <row r="1459" spans="1:6" hidden="1" outlineLevel="1" collapsed="1" x14ac:dyDescent="0.25">
      <c r="A1459" s="295" t="s">
        <v>282</v>
      </c>
      <c r="B1459" s="295" t="s">
        <v>444</v>
      </c>
      <c r="C1459" s="293">
        <v>3294</v>
      </c>
      <c r="D1459" s="293">
        <v>3291</v>
      </c>
      <c r="E1459" s="293">
        <v>-3</v>
      </c>
      <c r="F1459" s="294" t="s">
        <v>850</v>
      </c>
    </row>
    <row r="1460" spans="1:6" hidden="1" outlineLevel="1" collapsed="1" x14ac:dyDescent="0.25">
      <c r="A1460" s="295" t="s">
        <v>282</v>
      </c>
      <c r="B1460" s="295" t="s">
        <v>376</v>
      </c>
      <c r="C1460" s="293">
        <v>27</v>
      </c>
      <c r="D1460" s="293">
        <v>50</v>
      </c>
      <c r="E1460" s="293">
        <v>23</v>
      </c>
      <c r="F1460" s="294" t="s">
        <v>851</v>
      </c>
    </row>
    <row r="1461" spans="1:6" hidden="1" outlineLevel="1" collapsed="1" x14ac:dyDescent="0.25">
      <c r="A1461" s="295" t="s">
        <v>282</v>
      </c>
      <c r="B1461" s="295" t="s">
        <v>426</v>
      </c>
      <c r="C1461" s="293">
        <v>110</v>
      </c>
      <c r="D1461" s="293">
        <v>110</v>
      </c>
      <c r="E1461" s="293">
        <v>0</v>
      </c>
      <c r="F1461" s="294" t="s">
        <v>316</v>
      </c>
    </row>
    <row r="1462" spans="1:6" hidden="1" outlineLevel="1" collapsed="1" x14ac:dyDescent="0.25">
      <c r="A1462" s="295" t="s">
        <v>282</v>
      </c>
      <c r="B1462" s="295" t="s">
        <v>482</v>
      </c>
      <c r="C1462" s="293">
        <v>600</v>
      </c>
      <c r="D1462" s="293">
        <v>500</v>
      </c>
      <c r="E1462" s="293">
        <v>-100</v>
      </c>
      <c r="F1462" s="294" t="s">
        <v>852</v>
      </c>
    </row>
    <row r="1463" spans="1:6" hidden="1" outlineLevel="1" collapsed="1" x14ac:dyDescent="0.25">
      <c r="A1463" s="295" t="s">
        <v>282</v>
      </c>
      <c r="B1463" s="295" t="s">
        <v>416</v>
      </c>
      <c r="C1463" s="293">
        <v>6223</v>
      </c>
      <c r="D1463" s="293">
        <v>6225</v>
      </c>
      <c r="E1463" s="293">
        <v>2</v>
      </c>
      <c r="F1463" s="294" t="s">
        <v>853</v>
      </c>
    </row>
    <row r="1464" spans="1:6" hidden="1" outlineLevel="1" collapsed="1" x14ac:dyDescent="0.25">
      <c r="A1464" s="295" t="s">
        <v>282</v>
      </c>
      <c r="B1464" s="295" t="s">
        <v>626</v>
      </c>
      <c r="C1464" s="293">
        <v>800</v>
      </c>
      <c r="D1464" s="293">
        <v>800</v>
      </c>
      <c r="E1464" s="293">
        <v>0</v>
      </c>
      <c r="F1464" s="294" t="s">
        <v>316</v>
      </c>
    </row>
    <row r="1465" spans="1:6" collapsed="1" x14ac:dyDescent="0.25">
      <c r="A1465" s="560" t="s">
        <v>854</v>
      </c>
      <c r="B1465" s="561"/>
      <c r="C1465" s="292">
        <v>3234</v>
      </c>
      <c r="D1465" s="293">
        <v>3713</v>
      </c>
      <c r="E1465" s="293">
        <v>479</v>
      </c>
      <c r="F1465" s="294" t="s">
        <v>855</v>
      </c>
    </row>
    <row r="1466" spans="1:6" hidden="1" outlineLevel="1" collapsed="1" x14ac:dyDescent="0.25">
      <c r="A1466" s="295" t="s">
        <v>282</v>
      </c>
      <c r="B1466" s="295" t="s">
        <v>424</v>
      </c>
      <c r="C1466" s="293">
        <v>3234</v>
      </c>
      <c r="D1466" s="293">
        <v>3234</v>
      </c>
      <c r="E1466" s="293">
        <v>0</v>
      </c>
      <c r="F1466" s="294" t="s">
        <v>316</v>
      </c>
    </row>
    <row r="1467" spans="1:6" hidden="1" outlineLevel="1" collapsed="1" x14ac:dyDescent="0.25">
      <c r="A1467" s="295" t="s">
        <v>282</v>
      </c>
      <c r="B1467" s="295" t="s">
        <v>843</v>
      </c>
      <c r="C1467" s="293">
        <v>0</v>
      </c>
      <c r="D1467" s="293">
        <v>479</v>
      </c>
      <c r="E1467" s="293">
        <v>479</v>
      </c>
      <c r="F1467" s="294" t="s">
        <v>298</v>
      </c>
    </row>
    <row r="1468" spans="1:6" collapsed="1" x14ac:dyDescent="0.25">
      <c r="A1468" s="560" t="s">
        <v>856</v>
      </c>
      <c r="B1468" s="561"/>
      <c r="C1468" s="292">
        <v>6190</v>
      </c>
      <c r="D1468" s="293">
        <v>6190</v>
      </c>
      <c r="E1468" s="293">
        <v>0</v>
      </c>
      <c r="F1468" s="294" t="s">
        <v>316</v>
      </c>
    </row>
    <row r="1469" spans="1:6" hidden="1" outlineLevel="1" collapsed="1" x14ac:dyDescent="0.25">
      <c r="A1469" s="295" t="s">
        <v>282</v>
      </c>
      <c r="B1469" s="295" t="s">
        <v>376</v>
      </c>
      <c r="C1469" s="293">
        <v>200</v>
      </c>
      <c r="D1469" s="293">
        <v>200</v>
      </c>
      <c r="E1469" s="293">
        <v>0</v>
      </c>
      <c r="F1469" s="294" t="s">
        <v>316</v>
      </c>
    </row>
    <row r="1470" spans="1:6" hidden="1" outlineLevel="1" collapsed="1" x14ac:dyDescent="0.25">
      <c r="A1470" s="295" t="s">
        <v>282</v>
      </c>
      <c r="B1470" s="295" t="s">
        <v>506</v>
      </c>
      <c r="C1470" s="293">
        <v>350</v>
      </c>
      <c r="D1470" s="293">
        <v>800</v>
      </c>
      <c r="E1470" s="293">
        <v>450</v>
      </c>
      <c r="F1470" s="294" t="s">
        <v>857</v>
      </c>
    </row>
    <row r="1471" spans="1:6" hidden="1" outlineLevel="1" collapsed="1" x14ac:dyDescent="0.25">
      <c r="A1471" s="295" t="s">
        <v>282</v>
      </c>
      <c r="B1471" s="295" t="s">
        <v>567</v>
      </c>
      <c r="C1471" s="293">
        <v>500</v>
      </c>
      <c r="D1471" s="293">
        <v>500</v>
      </c>
      <c r="E1471" s="293">
        <v>0</v>
      </c>
      <c r="F1471" s="294" t="s">
        <v>316</v>
      </c>
    </row>
    <row r="1472" spans="1:6" hidden="1" outlineLevel="1" collapsed="1" x14ac:dyDescent="0.25">
      <c r="A1472" s="295" t="s">
        <v>282</v>
      </c>
      <c r="B1472" s="295" t="s">
        <v>426</v>
      </c>
      <c r="C1472" s="293">
        <v>750</v>
      </c>
      <c r="D1472" s="293">
        <v>500</v>
      </c>
      <c r="E1472" s="293">
        <v>-250</v>
      </c>
      <c r="F1472" s="294" t="s">
        <v>858</v>
      </c>
    </row>
    <row r="1473" spans="1:6" hidden="1" outlineLevel="1" collapsed="1" x14ac:dyDescent="0.25">
      <c r="A1473" s="295" t="s">
        <v>282</v>
      </c>
      <c r="B1473" s="295" t="s">
        <v>597</v>
      </c>
      <c r="C1473" s="293">
        <v>500</v>
      </c>
      <c r="D1473" s="293">
        <v>400</v>
      </c>
      <c r="E1473" s="293">
        <v>-100</v>
      </c>
      <c r="F1473" s="294" t="s">
        <v>859</v>
      </c>
    </row>
    <row r="1474" spans="1:6" hidden="1" outlineLevel="1" collapsed="1" x14ac:dyDescent="0.25">
      <c r="A1474" s="295" t="s">
        <v>282</v>
      </c>
      <c r="B1474" s="295" t="s">
        <v>401</v>
      </c>
      <c r="C1474" s="293">
        <v>2000</v>
      </c>
      <c r="D1474" s="293">
        <v>2000</v>
      </c>
      <c r="E1474" s="293">
        <v>0</v>
      </c>
      <c r="F1474" s="294" t="s">
        <v>316</v>
      </c>
    </row>
    <row r="1475" spans="1:6" hidden="1" outlineLevel="1" collapsed="1" x14ac:dyDescent="0.25">
      <c r="A1475" s="295" t="s">
        <v>282</v>
      </c>
      <c r="B1475" s="295" t="s">
        <v>405</v>
      </c>
      <c r="C1475" s="293">
        <v>1690</v>
      </c>
      <c r="D1475" s="293">
        <v>1790</v>
      </c>
      <c r="E1475" s="293">
        <v>100</v>
      </c>
      <c r="F1475" s="294" t="s">
        <v>860</v>
      </c>
    </row>
    <row r="1476" spans="1:6" hidden="1" outlineLevel="1" collapsed="1" x14ac:dyDescent="0.25">
      <c r="A1476" s="295" t="s">
        <v>282</v>
      </c>
      <c r="B1476" s="295" t="s">
        <v>557</v>
      </c>
      <c r="C1476" s="293">
        <v>200</v>
      </c>
      <c r="D1476" s="293">
        <v>0</v>
      </c>
      <c r="E1476" s="293">
        <v>-200</v>
      </c>
      <c r="F1476" s="294" t="s">
        <v>286</v>
      </c>
    </row>
    <row r="1477" spans="1:6" collapsed="1" x14ac:dyDescent="0.25">
      <c r="A1477" s="560" t="s">
        <v>861</v>
      </c>
      <c r="B1477" s="561"/>
      <c r="C1477" s="292">
        <v>4727</v>
      </c>
      <c r="D1477" s="293">
        <v>4727</v>
      </c>
      <c r="E1477" s="293">
        <v>0</v>
      </c>
      <c r="F1477" s="294" t="s">
        <v>316</v>
      </c>
    </row>
    <row r="1478" spans="1:6" hidden="1" outlineLevel="1" collapsed="1" x14ac:dyDescent="0.25">
      <c r="A1478" s="295" t="s">
        <v>282</v>
      </c>
      <c r="B1478" s="295" t="s">
        <v>441</v>
      </c>
      <c r="C1478" s="293">
        <v>4212</v>
      </c>
      <c r="D1478" s="293">
        <v>4212</v>
      </c>
      <c r="E1478" s="293">
        <v>0</v>
      </c>
      <c r="F1478" s="294" t="s">
        <v>316</v>
      </c>
    </row>
    <row r="1479" spans="1:6" hidden="1" outlineLevel="1" collapsed="1" x14ac:dyDescent="0.25">
      <c r="A1479" s="295" t="s">
        <v>282</v>
      </c>
      <c r="B1479" s="295" t="s">
        <v>444</v>
      </c>
      <c r="C1479" s="293">
        <v>515</v>
      </c>
      <c r="D1479" s="293">
        <v>515</v>
      </c>
      <c r="E1479" s="293">
        <v>0</v>
      </c>
      <c r="F1479" s="294" t="s">
        <v>316</v>
      </c>
    </row>
    <row r="1480" spans="1:6" collapsed="1" x14ac:dyDescent="0.25">
      <c r="A1480" s="560" t="s">
        <v>862</v>
      </c>
      <c r="B1480" s="561"/>
      <c r="C1480" s="292">
        <v>9298.06</v>
      </c>
      <c r="D1480" s="293">
        <v>6303</v>
      </c>
      <c r="E1480" s="293">
        <v>-2995.06</v>
      </c>
      <c r="F1480" s="294" t="s">
        <v>863</v>
      </c>
    </row>
    <row r="1481" spans="1:6" hidden="1" outlineLevel="1" collapsed="1" x14ac:dyDescent="0.25">
      <c r="A1481" s="295" t="s">
        <v>282</v>
      </c>
      <c r="B1481" s="295" t="s">
        <v>441</v>
      </c>
      <c r="C1481" s="293">
        <v>0</v>
      </c>
      <c r="D1481" s="293">
        <v>5616</v>
      </c>
      <c r="E1481" s="293">
        <v>5616</v>
      </c>
      <c r="F1481" s="294" t="s">
        <v>298</v>
      </c>
    </row>
    <row r="1482" spans="1:6" hidden="1" outlineLevel="1" collapsed="1" x14ac:dyDescent="0.25">
      <c r="A1482" s="295" t="s">
        <v>282</v>
      </c>
      <c r="B1482" s="295" t="s">
        <v>488</v>
      </c>
      <c r="C1482" s="293">
        <v>5616</v>
      </c>
      <c r="D1482" s="293">
        <v>0</v>
      </c>
      <c r="E1482" s="293">
        <v>-5616</v>
      </c>
      <c r="F1482" s="294" t="s">
        <v>286</v>
      </c>
    </row>
    <row r="1483" spans="1:6" hidden="1" outlineLevel="1" collapsed="1" x14ac:dyDescent="0.25">
      <c r="A1483" s="295" t="s">
        <v>282</v>
      </c>
      <c r="B1483" s="295" t="s">
        <v>752</v>
      </c>
      <c r="C1483" s="293">
        <v>687</v>
      </c>
      <c r="D1483" s="293">
        <v>0</v>
      </c>
      <c r="E1483" s="293">
        <v>-687</v>
      </c>
      <c r="F1483" s="294" t="s">
        <v>286</v>
      </c>
    </row>
    <row r="1484" spans="1:6" hidden="1" outlineLevel="1" collapsed="1" x14ac:dyDescent="0.25">
      <c r="A1484" s="295" t="s">
        <v>282</v>
      </c>
      <c r="B1484" s="295" t="s">
        <v>444</v>
      </c>
      <c r="C1484" s="293">
        <v>0</v>
      </c>
      <c r="D1484" s="293">
        <v>687</v>
      </c>
      <c r="E1484" s="293">
        <v>687</v>
      </c>
      <c r="F1484" s="294" t="s">
        <v>298</v>
      </c>
    </row>
    <row r="1485" spans="1:6" hidden="1" outlineLevel="1" collapsed="1" x14ac:dyDescent="0.25">
      <c r="A1485" s="295" t="s">
        <v>282</v>
      </c>
      <c r="B1485" s="295" t="s">
        <v>375</v>
      </c>
      <c r="C1485" s="293">
        <v>2995.06</v>
      </c>
      <c r="D1485" s="293">
        <v>0</v>
      </c>
      <c r="E1485" s="293">
        <v>-2995.06</v>
      </c>
      <c r="F1485" s="294" t="s">
        <v>286</v>
      </c>
    </row>
    <row r="1486" spans="1:6" collapsed="1" x14ac:dyDescent="0.25">
      <c r="A1486" s="560" t="s">
        <v>864</v>
      </c>
      <c r="B1486" s="561"/>
      <c r="C1486" s="292">
        <v>10287</v>
      </c>
      <c r="D1486" s="293">
        <v>10287</v>
      </c>
      <c r="E1486" s="293">
        <v>0</v>
      </c>
      <c r="F1486" s="294" t="s">
        <v>316</v>
      </c>
    </row>
    <row r="1487" spans="1:6" hidden="1" outlineLevel="1" collapsed="1" x14ac:dyDescent="0.25">
      <c r="A1487" s="295" t="s">
        <v>282</v>
      </c>
      <c r="B1487" s="295" t="s">
        <v>426</v>
      </c>
      <c r="C1487" s="293">
        <v>7617</v>
      </c>
      <c r="D1487" s="293">
        <v>7263</v>
      </c>
      <c r="E1487" s="293">
        <v>-354</v>
      </c>
      <c r="F1487" s="294" t="s">
        <v>865</v>
      </c>
    </row>
    <row r="1488" spans="1:6" hidden="1" outlineLevel="1" collapsed="1" x14ac:dyDescent="0.25">
      <c r="A1488" s="295" t="s">
        <v>282</v>
      </c>
      <c r="B1488" s="295" t="s">
        <v>597</v>
      </c>
      <c r="C1488" s="293">
        <v>2670</v>
      </c>
      <c r="D1488" s="293">
        <v>3024</v>
      </c>
      <c r="E1488" s="293">
        <v>354</v>
      </c>
      <c r="F1488" s="294" t="s">
        <v>866</v>
      </c>
    </row>
    <row r="1489" spans="1:6" collapsed="1" x14ac:dyDescent="0.25">
      <c r="A1489" s="560" t="s">
        <v>867</v>
      </c>
      <c r="B1489" s="561"/>
      <c r="C1489" s="292">
        <v>6389</v>
      </c>
      <c r="D1489" s="293">
        <v>25134</v>
      </c>
      <c r="E1489" s="293">
        <v>18745</v>
      </c>
      <c r="F1489" s="294" t="s">
        <v>868</v>
      </c>
    </row>
    <row r="1490" spans="1:6" hidden="1" outlineLevel="1" collapsed="1" x14ac:dyDescent="0.25">
      <c r="A1490" s="295" t="s">
        <v>282</v>
      </c>
      <c r="B1490" s="295" t="s">
        <v>822</v>
      </c>
      <c r="C1490" s="293">
        <v>0</v>
      </c>
      <c r="D1490" s="293">
        <v>9000</v>
      </c>
      <c r="E1490" s="293">
        <v>9000</v>
      </c>
      <c r="F1490" s="294" t="s">
        <v>298</v>
      </c>
    </row>
    <row r="1491" spans="1:6" hidden="1" outlineLevel="1" collapsed="1" x14ac:dyDescent="0.25">
      <c r="A1491" s="295" t="s">
        <v>282</v>
      </c>
      <c r="B1491" s="295" t="s">
        <v>452</v>
      </c>
      <c r="C1491" s="293">
        <v>0</v>
      </c>
      <c r="D1491" s="293">
        <v>2160</v>
      </c>
      <c r="E1491" s="293">
        <v>2160</v>
      </c>
      <c r="F1491" s="294" t="s">
        <v>298</v>
      </c>
    </row>
    <row r="1492" spans="1:6" hidden="1" outlineLevel="1" collapsed="1" x14ac:dyDescent="0.25">
      <c r="A1492" s="295" t="s">
        <v>282</v>
      </c>
      <c r="B1492" s="295" t="s">
        <v>444</v>
      </c>
      <c r="C1492" s="293">
        <v>0</v>
      </c>
      <c r="D1492" s="293">
        <v>1101</v>
      </c>
      <c r="E1492" s="293">
        <v>1101</v>
      </c>
      <c r="F1492" s="294" t="s">
        <v>298</v>
      </c>
    </row>
    <row r="1493" spans="1:6" hidden="1" outlineLevel="1" collapsed="1" x14ac:dyDescent="0.25">
      <c r="A1493" s="295" t="s">
        <v>282</v>
      </c>
      <c r="B1493" s="295" t="s">
        <v>376</v>
      </c>
      <c r="C1493" s="293">
        <v>0</v>
      </c>
      <c r="D1493" s="293">
        <v>1995</v>
      </c>
      <c r="E1493" s="293">
        <v>1995</v>
      </c>
      <c r="F1493" s="294" t="s">
        <v>298</v>
      </c>
    </row>
    <row r="1494" spans="1:6" hidden="1" outlineLevel="1" collapsed="1" x14ac:dyDescent="0.25">
      <c r="A1494" s="295" t="s">
        <v>282</v>
      </c>
      <c r="B1494" s="295" t="s">
        <v>567</v>
      </c>
      <c r="C1494" s="293">
        <v>0</v>
      </c>
      <c r="D1494" s="293">
        <v>4489</v>
      </c>
      <c r="E1494" s="293">
        <v>4489</v>
      </c>
      <c r="F1494" s="294" t="s">
        <v>298</v>
      </c>
    </row>
    <row r="1495" spans="1:6" hidden="1" outlineLevel="1" collapsed="1" x14ac:dyDescent="0.25">
      <c r="A1495" s="295" t="s">
        <v>282</v>
      </c>
      <c r="B1495" s="295" t="s">
        <v>426</v>
      </c>
      <c r="C1495" s="293">
        <v>1900</v>
      </c>
      <c r="D1495" s="293">
        <v>1900</v>
      </c>
      <c r="E1495" s="293">
        <v>0</v>
      </c>
      <c r="F1495" s="294" t="s">
        <v>316</v>
      </c>
    </row>
    <row r="1496" spans="1:6" hidden="1" outlineLevel="1" collapsed="1" x14ac:dyDescent="0.25">
      <c r="A1496" s="295" t="s">
        <v>282</v>
      </c>
      <c r="B1496" s="295" t="s">
        <v>405</v>
      </c>
      <c r="C1496" s="293">
        <v>4489</v>
      </c>
      <c r="D1496" s="293">
        <v>4489</v>
      </c>
      <c r="E1496" s="293">
        <v>0</v>
      </c>
      <c r="F1496" s="294" t="s">
        <v>316</v>
      </c>
    </row>
    <row r="1497" spans="1:6" collapsed="1" x14ac:dyDescent="0.25">
      <c r="A1497" s="560" t="s">
        <v>869</v>
      </c>
      <c r="B1497" s="561"/>
      <c r="C1497" s="292">
        <v>166110.44482400001</v>
      </c>
      <c r="D1497" s="293">
        <v>174242.976352</v>
      </c>
      <c r="E1497" s="293">
        <v>8132.5315280000004</v>
      </c>
      <c r="F1497" s="294" t="s">
        <v>870</v>
      </c>
    </row>
    <row r="1498" spans="1:6" hidden="1" outlineLevel="1" collapsed="1" x14ac:dyDescent="0.25">
      <c r="A1498" s="295" t="s">
        <v>282</v>
      </c>
      <c r="B1498" s="295" t="s">
        <v>380</v>
      </c>
      <c r="C1498" s="293">
        <v>109029.338536</v>
      </c>
      <c r="D1498" s="293">
        <v>112212.479032</v>
      </c>
      <c r="E1498" s="293">
        <v>3183.140496</v>
      </c>
      <c r="F1498" s="294" t="s">
        <v>871</v>
      </c>
    </row>
    <row r="1499" spans="1:6" hidden="1" outlineLevel="1" collapsed="1" x14ac:dyDescent="0.25">
      <c r="A1499" s="295" t="s">
        <v>282</v>
      </c>
      <c r="B1499" s="295" t="s">
        <v>384</v>
      </c>
      <c r="C1499" s="293">
        <v>13248.619248000001</v>
      </c>
      <c r="D1499" s="293">
        <v>0</v>
      </c>
      <c r="E1499" s="293">
        <v>-13248.619248000001</v>
      </c>
      <c r="F1499" s="294" t="s">
        <v>286</v>
      </c>
    </row>
    <row r="1500" spans="1:6" hidden="1" outlineLevel="1" collapsed="1" x14ac:dyDescent="0.25">
      <c r="A1500" s="295" t="s">
        <v>282</v>
      </c>
      <c r="B1500" s="295" t="s">
        <v>385</v>
      </c>
      <c r="C1500" s="293">
        <v>0</v>
      </c>
      <c r="D1500" s="293">
        <v>17142.696479999999</v>
      </c>
      <c r="E1500" s="293">
        <v>17142.696479999999</v>
      </c>
      <c r="F1500" s="294" t="s">
        <v>298</v>
      </c>
    </row>
    <row r="1501" spans="1:6" hidden="1" outlineLevel="1" collapsed="1" x14ac:dyDescent="0.25">
      <c r="A1501" s="295" t="s">
        <v>282</v>
      </c>
      <c r="B1501" s="295" t="s">
        <v>386</v>
      </c>
      <c r="C1501" s="293">
        <v>6759.8189759999996</v>
      </c>
      <c r="D1501" s="293">
        <v>0</v>
      </c>
      <c r="E1501" s="293">
        <v>-6759.8189759999996</v>
      </c>
      <c r="F1501" s="294" t="s">
        <v>286</v>
      </c>
    </row>
    <row r="1502" spans="1:6" hidden="1" outlineLevel="1" collapsed="1" x14ac:dyDescent="0.25">
      <c r="A1502" s="295" t="s">
        <v>282</v>
      </c>
      <c r="B1502" s="295" t="s">
        <v>387</v>
      </c>
      <c r="C1502" s="293">
        <v>0</v>
      </c>
      <c r="D1502" s="293">
        <v>6957.1736879999999</v>
      </c>
      <c r="E1502" s="293">
        <v>6957.1736879999999</v>
      </c>
      <c r="F1502" s="294" t="s">
        <v>298</v>
      </c>
    </row>
    <row r="1503" spans="1:6" hidden="1" outlineLevel="1" collapsed="1" x14ac:dyDescent="0.25">
      <c r="A1503" s="295" t="s">
        <v>282</v>
      </c>
      <c r="B1503" s="295" t="s">
        <v>388</v>
      </c>
      <c r="C1503" s="293">
        <v>1580.9253960000001</v>
      </c>
      <c r="D1503" s="293">
        <v>1627.0809240000001</v>
      </c>
      <c r="E1503" s="293">
        <v>46.155527999999997</v>
      </c>
      <c r="F1503" s="294" t="s">
        <v>871</v>
      </c>
    </row>
    <row r="1504" spans="1:6" hidden="1" outlineLevel="1" collapsed="1" x14ac:dyDescent="0.25">
      <c r="A1504" s="295" t="s">
        <v>282</v>
      </c>
      <c r="B1504" s="295" t="s">
        <v>389</v>
      </c>
      <c r="C1504" s="293">
        <v>852.24959999999999</v>
      </c>
      <c r="D1504" s="293">
        <v>844.08</v>
      </c>
      <c r="E1504" s="293">
        <v>-8.1696000000000009</v>
      </c>
      <c r="F1504" s="294" t="s">
        <v>364</v>
      </c>
    </row>
    <row r="1505" spans="1:6" hidden="1" outlineLevel="1" collapsed="1" x14ac:dyDescent="0.25">
      <c r="A1505" s="295" t="s">
        <v>282</v>
      </c>
      <c r="B1505" s="295" t="s">
        <v>390</v>
      </c>
      <c r="C1505" s="293">
        <v>30970.54</v>
      </c>
      <c r="D1505" s="293">
        <v>31918.560000000001</v>
      </c>
      <c r="E1505" s="293">
        <v>948.02</v>
      </c>
      <c r="F1505" s="294" t="s">
        <v>391</v>
      </c>
    </row>
    <row r="1506" spans="1:6" hidden="1" outlineLevel="1" collapsed="1" x14ac:dyDescent="0.25">
      <c r="A1506" s="295" t="s">
        <v>282</v>
      </c>
      <c r="B1506" s="295" t="s">
        <v>392</v>
      </c>
      <c r="C1506" s="293">
        <v>467.07839999999999</v>
      </c>
      <c r="D1506" s="293">
        <v>365.76</v>
      </c>
      <c r="E1506" s="293">
        <v>-101.3184</v>
      </c>
      <c r="F1506" s="294" t="s">
        <v>368</v>
      </c>
    </row>
    <row r="1507" spans="1:6" hidden="1" outlineLevel="1" collapsed="1" x14ac:dyDescent="0.25">
      <c r="A1507" s="295" t="s">
        <v>282</v>
      </c>
      <c r="B1507" s="295" t="s">
        <v>393</v>
      </c>
      <c r="C1507" s="293">
        <v>54.514668</v>
      </c>
      <c r="D1507" s="293">
        <v>56.106228000000002</v>
      </c>
      <c r="E1507" s="293">
        <v>1.5915600000000001</v>
      </c>
      <c r="F1507" s="294" t="s">
        <v>871</v>
      </c>
    </row>
    <row r="1508" spans="1:6" hidden="1" outlineLevel="1" collapsed="1" x14ac:dyDescent="0.25">
      <c r="A1508" s="295" t="s">
        <v>282</v>
      </c>
      <c r="B1508" s="295" t="s">
        <v>394</v>
      </c>
      <c r="C1508" s="293">
        <v>3000</v>
      </c>
      <c r="D1508" s="293">
        <v>0</v>
      </c>
      <c r="E1508" s="293">
        <v>-3000</v>
      </c>
      <c r="F1508" s="294" t="s">
        <v>286</v>
      </c>
    </row>
    <row r="1509" spans="1:6" hidden="1" outlineLevel="1" collapsed="1" x14ac:dyDescent="0.25">
      <c r="A1509" s="295" t="s">
        <v>282</v>
      </c>
      <c r="B1509" s="295" t="s">
        <v>395</v>
      </c>
      <c r="C1509" s="293">
        <v>0</v>
      </c>
      <c r="D1509" s="293">
        <v>3000</v>
      </c>
      <c r="E1509" s="293">
        <v>3000</v>
      </c>
      <c r="F1509" s="294" t="s">
        <v>298</v>
      </c>
    </row>
    <row r="1510" spans="1:6" hidden="1" outlineLevel="1" collapsed="1" x14ac:dyDescent="0.25">
      <c r="A1510" s="295" t="s">
        <v>282</v>
      </c>
      <c r="B1510" s="295" t="s">
        <v>396</v>
      </c>
      <c r="C1510" s="293">
        <v>99.36</v>
      </c>
      <c r="D1510" s="293">
        <v>0</v>
      </c>
      <c r="E1510" s="293">
        <v>-99.36</v>
      </c>
      <c r="F1510" s="294" t="s">
        <v>286</v>
      </c>
    </row>
    <row r="1511" spans="1:6" hidden="1" outlineLevel="1" collapsed="1" x14ac:dyDescent="0.25">
      <c r="A1511" s="295" t="s">
        <v>282</v>
      </c>
      <c r="B1511" s="295" t="s">
        <v>397</v>
      </c>
      <c r="C1511" s="293">
        <v>0</v>
      </c>
      <c r="D1511" s="293">
        <v>96.96</v>
      </c>
      <c r="E1511" s="293">
        <v>96.96</v>
      </c>
      <c r="F1511" s="294" t="s">
        <v>298</v>
      </c>
    </row>
    <row r="1512" spans="1:6" hidden="1" outlineLevel="1" collapsed="1" x14ac:dyDescent="0.25">
      <c r="A1512" s="295" t="s">
        <v>282</v>
      </c>
      <c r="B1512" s="295" t="s">
        <v>398</v>
      </c>
      <c r="C1512" s="293">
        <v>48</v>
      </c>
      <c r="D1512" s="293">
        <v>22.08</v>
      </c>
      <c r="E1512" s="293">
        <v>-25.92</v>
      </c>
      <c r="F1512" s="294" t="s">
        <v>374</v>
      </c>
    </row>
    <row r="1513" spans="1:6" collapsed="1" x14ac:dyDescent="0.25">
      <c r="A1513" s="560" t="s">
        <v>308</v>
      </c>
      <c r="B1513" s="561"/>
      <c r="C1513" s="292">
        <v>1326733.4374820001</v>
      </c>
      <c r="D1513" s="293">
        <v>1386424.6864440001</v>
      </c>
      <c r="E1513" s="293">
        <v>59691.248961999998</v>
      </c>
      <c r="F1513" s="294" t="s">
        <v>872</v>
      </c>
    </row>
    <row r="1514" spans="1:6" hidden="1" outlineLevel="1" collapsed="1" x14ac:dyDescent="0.25">
      <c r="A1514" s="295" t="s">
        <v>282</v>
      </c>
      <c r="B1514" s="295" t="s">
        <v>780</v>
      </c>
      <c r="C1514" s="293">
        <v>104917.50879599999</v>
      </c>
      <c r="D1514" s="293">
        <v>111812.375988</v>
      </c>
      <c r="E1514" s="293">
        <v>6894.8671919999997</v>
      </c>
      <c r="F1514" s="294" t="s">
        <v>816</v>
      </c>
    </row>
    <row r="1515" spans="1:6" hidden="1" outlineLevel="1" collapsed="1" x14ac:dyDescent="0.25">
      <c r="A1515" s="295" t="s">
        <v>282</v>
      </c>
      <c r="B1515" s="295" t="s">
        <v>750</v>
      </c>
      <c r="C1515" s="293">
        <v>439247.99997599999</v>
      </c>
      <c r="D1515" s="293">
        <v>449068.47996000003</v>
      </c>
      <c r="E1515" s="293">
        <v>9820.4799839999996</v>
      </c>
      <c r="F1515" s="294" t="s">
        <v>873</v>
      </c>
    </row>
    <row r="1516" spans="1:6" hidden="1" outlineLevel="1" collapsed="1" x14ac:dyDescent="0.25">
      <c r="A1516" s="295" t="s">
        <v>282</v>
      </c>
      <c r="B1516" s="295" t="s">
        <v>412</v>
      </c>
      <c r="C1516" s="293">
        <v>5000</v>
      </c>
      <c r="D1516" s="293">
        <v>5000</v>
      </c>
      <c r="E1516" s="293">
        <v>0</v>
      </c>
      <c r="F1516" s="294" t="s">
        <v>316</v>
      </c>
    </row>
    <row r="1517" spans="1:6" hidden="1" outlineLevel="1" collapsed="1" x14ac:dyDescent="0.25">
      <c r="A1517" s="295" t="s">
        <v>282</v>
      </c>
      <c r="B1517" s="295" t="s">
        <v>441</v>
      </c>
      <c r="C1517" s="293">
        <v>30719</v>
      </c>
      <c r="D1517" s="293">
        <v>30719</v>
      </c>
      <c r="E1517" s="293">
        <v>0</v>
      </c>
      <c r="F1517" s="294" t="s">
        <v>316</v>
      </c>
    </row>
    <row r="1518" spans="1:6" hidden="1" outlineLevel="1" collapsed="1" x14ac:dyDescent="0.25">
      <c r="A1518" s="295" t="s">
        <v>282</v>
      </c>
      <c r="B1518" s="295" t="s">
        <v>874</v>
      </c>
      <c r="C1518" s="293">
        <v>68921.328315999999</v>
      </c>
      <c r="D1518" s="293">
        <v>69935.646556000007</v>
      </c>
      <c r="E1518" s="293">
        <v>1014.3182399999999</v>
      </c>
      <c r="F1518" s="294" t="s">
        <v>875</v>
      </c>
    </row>
    <row r="1519" spans="1:6" hidden="1" outlineLevel="1" collapsed="1" x14ac:dyDescent="0.25">
      <c r="A1519" s="295" t="s">
        <v>282</v>
      </c>
      <c r="B1519" s="295" t="s">
        <v>464</v>
      </c>
      <c r="C1519" s="293">
        <v>250100.26133199999</v>
      </c>
      <c r="D1519" s="293">
        <v>262721.87829999998</v>
      </c>
      <c r="E1519" s="293">
        <v>12621.616968</v>
      </c>
      <c r="F1519" s="294" t="s">
        <v>876</v>
      </c>
    </row>
    <row r="1520" spans="1:6" hidden="1" outlineLevel="1" collapsed="1" x14ac:dyDescent="0.25">
      <c r="A1520" s="295" t="s">
        <v>282</v>
      </c>
      <c r="B1520" s="295" t="s">
        <v>424</v>
      </c>
      <c r="C1520" s="293">
        <v>15100</v>
      </c>
      <c r="D1520" s="293">
        <v>13500</v>
      </c>
      <c r="E1520" s="293">
        <v>-1600</v>
      </c>
      <c r="F1520" s="294" t="s">
        <v>877</v>
      </c>
    </row>
    <row r="1521" spans="1:6" hidden="1" outlineLevel="1" collapsed="1" x14ac:dyDescent="0.25">
      <c r="A1521" s="295" t="s">
        <v>282</v>
      </c>
      <c r="B1521" s="295" t="s">
        <v>475</v>
      </c>
      <c r="C1521" s="293">
        <v>11600</v>
      </c>
      <c r="D1521" s="293">
        <v>11600</v>
      </c>
      <c r="E1521" s="293">
        <v>0</v>
      </c>
      <c r="F1521" s="294" t="s">
        <v>316</v>
      </c>
    </row>
    <row r="1522" spans="1:6" hidden="1" outlineLevel="1" collapsed="1" x14ac:dyDescent="0.25">
      <c r="A1522" s="295" t="s">
        <v>282</v>
      </c>
      <c r="B1522" s="295" t="s">
        <v>751</v>
      </c>
      <c r="C1522" s="293">
        <v>71013.598847999994</v>
      </c>
      <c r="D1522" s="293">
        <v>0</v>
      </c>
      <c r="E1522" s="293">
        <v>-71013.598847999994</v>
      </c>
      <c r="F1522" s="294" t="s">
        <v>286</v>
      </c>
    </row>
    <row r="1523" spans="1:6" hidden="1" outlineLevel="1" collapsed="1" x14ac:dyDescent="0.25">
      <c r="A1523" s="295" t="s">
        <v>282</v>
      </c>
      <c r="B1523" s="295" t="s">
        <v>752</v>
      </c>
      <c r="C1523" s="293">
        <v>0</v>
      </c>
      <c r="D1523" s="293">
        <v>80935.107468000002</v>
      </c>
      <c r="E1523" s="293">
        <v>80935.107468000002</v>
      </c>
      <c r="F1523" s="294" t="s">
        <v>298</v>
      </c>
    </row>
    <row r="1524" spans="1:6" hidden="1" outlineLevel="1" collapsed="1" x14ac:dyDescent="0.25">
      <c r="A1524" s="295" t="s">
        <v>282</v>
      </c>
      <c r="B1524" s="295" t="s">
        <v>384</v>
      </c>
      <c r="C1524" s="293">
        <v>39566.705245999998</v>
      </c>
      <c r="D1524" s="293">
        <v>0</v>
      </c>
      <c r="E1524" s="293">
        <v>-39566.705245999998</v>
      </c>
      <c r="F1524" s="294" t="s">
        <v>286</v>
      </c>
    </row>
    <row r="1525" spans="1:6" hidden="1" outlineLevel="1" collapsed="1" x14ac:dyDescent="0.25">
      <c r="A1525" s="295" t="s">
        <v>282</v>
      </c>
      <c r="B1525" s="295" t="s">
        <v>385</v>
      </c>
      <c r="C1525" s="293">
        <v>0</v>
      </c>
      <c r="D1525" s="293">
        <v>51848.749862999997</v>
      </c>
      <c r="E1525" s="293">
        <v>51848.749862999997</v>
      </c>
      <c r="F1525" s="294" t="s">
        <v>298</v>
      </c>
    </row>
    <row r="1526" spans="1:6" hidden="1" outlineLevel="1" collapsed="1" x14ac:dyDescent="0.25">
      <c r="A1526" s="295" t="s">
        <v>282</v>
      </c>
      <c r="B1526" s="295" t="s">
        <v>386</v>
      </c>
      <c r="C1526" s="293">
        <v>19779.338526</v>
      </c>
      <c r="D1526" s="293">
        <v>0</v>
      </c>
      <c r="E1526" s="293">
        <v>-19779.338526</v>
      </c>
      <c r="F1526" s="294" t="s">
        <v>286</v>
      </c>
    </row>
    <row r="1527" spans="1:6" hidden="1" outlineLevel="1" collapsed="1" x14ac:dyDescent="0.25">
      <c r="A1527" s="295" t="s">
        <v>282</v>
      </c>
      <c r="B1527" s="295" t="s">
        <v>387</v>
      </c>
      <c r="C1527" s="293">
        <v>0</v>
      </c>
      <c r="D1527" s="293">
        <v>20624.766492999999</v>
      </c>
      <c r="E1527" s="293">
        <v>20624.766492999999</v>
      </c>
      <c r="F1527" s="294" t="s">
        <v>298</v>
      </c>
    </row>
    <row r="1528" spans="1:6" hidden="1" outlineLevel="1" collapsed="1" x14ac:dyDescent="0.25">
      <c r="A1528" s="295" t="s">
        <v>282</v>
      </c>
      <c r="B1528" s="295" t="s">
        <v>753</v>
      </c>
      <c r="C1528" s="293">
        <v>27543.375972000002</v>
      </c>
      <c r="D1528" s="293">
        <v>28152.245724</v>
      </c>
      <c r="E1528" s="293">
        <v>608.86975199999995</v>
      </c>
      <c r="F1528" s="294" t="s">
        <v>878</v>
      </c>
    </row>
    <row r="1529" spans="1:6" hidden="1" outlineLevel="1" collapsed="1" x14ac:dyDescent="0.25">
      <c r="A1529" s="295" t="s">
        <v>282</v>
      </c>
      <c r="B1529" s="295" t="s">
        <v>388</v>
      </c>
      <c r="C1529" s="293">
        <v>11067.40899</v>
      </c>
      <c r="D1529" s="293">
        <v>11407.526997999999</v>
      </c>
      <c r="E1529" s="293">
        <v>340.11800799999997</v>
      </c>
      <c r="F1529" s="294" t="s">
        <v>879</v>
      </c>
    </row>
    <row r="1530" spans="1:6" hidden="1" outlineLevel="1" collapsed="1" x14ac:dyDescent="0.25">
      <c r="A1530" s="295" t="s">
        <v>282</v>
      </c>
      <c r="B1530" s="295" t="s">
        <v>444</v>
      </c>
      <c r="C1530" s="293">
        <v>4369</v>
      </c>
      <c r="D1530" s="293">
        <v>4801</v>
      </c>
      <c r="E1530" s="293">
        <v>432</v>
      </c>
      <c r="F1530" s="294" t="s">
        <v>640</v>
      </c>
    </row>
    <row r="1531" spans="1:6" hidden="1" outlineLevel="1" collapsed="1" x14ac:dyDescent="0.25">
      <c r="A1531" s="295" t="s">
        <v>282</v>
      </c>
      <c r="B1531" s="295" t="s">
        <v>389</v>
      </c>
      <c r="C1531" s="293">
        <v>2982.8735999999999</v>
      </c>
      <c r="D1531" s="293">
        <v>2954.28</v>
      </c>
      <c r="E1531" s="293">
        <v>-28.593599999999999</v>
      </c>
      <c r="F1531" s="294" t="s">
        <v>364</v>
      </c>
    </row>
    <row r="1532" spans="1:6" hidden="1" outlineLevel="1" collapsed="1" x14ac:dyDescent="0.25">
      <c r="A1532" s="295" t="s">
        <v>282</v>
      </c>
      <c r="B1532" s="295" t="s">
        <v>390</v>
      </c>
      <c r="C1532" s="293">
        <v>108396.89</v>
      </c>
      <c r="D1532" s="293">
        <v>111714.96</v>
      </c>
      <c r="E1532" s="293">
        <v>3318.07</v>
      </c>
      <c r="F1532" s="294" t="s">
        <v>391</v>
      </c>
    </row>
    <row r="1533" spans="1:6" hidden="1" outlineLevel="1" collapsed="1" x14ac:dyDescent="0.25">
      <c r="A1533" s="295" t="s">
        <v>282</v>
      </c>
      <c r="B1533" s="295" t="s">
        <v>392</v>
      </c>
      <c r="C1533" s="293">
        <v>1634.7744</v>
      </c>
      <c r="D1533" s="293">
        <v>1280.1600000000001</v>
      </c>
      <c r="E1533" s="293">
        <v>-354.61439999999999</v>
      </c>
      <c r="F1533" s="294" t="s">
        <v>368</v>
      </c>
    </row>
    <row r="1534" spans="1:6" hidden="1" outlineLevel="1" collapsed="1" x14ac:dyDescent="0.25">
      <c r="A1534" s="295" t="s">
        <v>282</v>
      </c>
      <c r="B1534" s="295" t="s">
        <v>754</v>
      </c>
      <c r="C1534" s="293">
        <v>76792.800000000003</v>
      </c>
      <c r="D1534" s="293">
        <v>79796.399999999994</v>
      </c>
      <c r="E1534" s="293">
        <v>3003.6</v>
      </c>
      <c r="F1534" s="294" t="s">
        <v>366</v>
      </c>
    </row>
    <row r="1535" spans="1:6" hidden="1" outlineLevel="1" collapsed="1" x14ac:dyDescent="0.25">
      <c r="A1535" s="295" t="s">
        <v>282</v>
      </c>
      <c r="B1535" s="295" t="s">
        <v>755</v>
      </c>
      <c r="C1535" s="293">
        <v>2130.6239999999998</v>
      </c>
      <c r="D1535" s="293">
        <v>2110.1999999999998</v>
      </c>
      <c r="E1535" s="293">
        <v>-20.423999999999999</v>
      </c>
      <c r="F1535" s="294" t="s">
        <v>364</v>
      </c>
    </row>
    <row r="1536" spans="1:6" hidden="1" outlineLevel="1" collapsed="1" x14ac:dyDescent="0.25">
      <c r="A1536" s="295" t="s">
        <v>282</v>
      </c>
      <c r="B1536" s="295" t="s">
        <v>756</v>
      </c>
      <c r="C1536" s="293">
        <v>1167.6959999999999</v>
      </c>
      <c r="D1536" s="293">
        <v>914.4</v>
      </c>
      <c r="E1536" s="293">
        <v>-253.29599999999999</v>
      </c>
      <c r="F1536" s="294" t="s">
        <v>368</v>
      </c>
    </row>
    <row r="1537" spans="1:6" hidden="1" outlineLevel="1" collapsed="1" x14ac:dyDescent="0.25">
      <c r="A1537" s="295" t="s">
        <v>282</v>
      </c>
      <c r="B1537" s="295" t="s">
        <v>393</v>
      </c>
      <c r="C1537" s="293">
        <v>159.51076399999999</v>
      </c>
      <c r="D1537" s="293">
        <v>166.32871399999999</v>
      </c>
      <c r="E1537" s="293">
        <v>6.8179499999999997</v>
      </c>
      <c r="F1537" s="294" t="s">
        <v>880</v>
      </c>
    </row>
    <row r="1538" spans="1:6" hidden="1" outlineLevel="1" collapsed="1" x14ac:dyDescent="0.25">
      <c r="A1538" s="295" t="s">
        <v>282</v>
      </c>
      <c r="B1538" s="295" t="s">
        <v>757</v>
      </c>
      <c r="C1538" s="293">
        <v>274.582716</v>
      </c>
      <c r="D1538" s="293">
        <v>0</v>
      </c>
      <c r="E1538" s="293">
        <v>-274.582716</v>
      </c>
      <c r="F1538" s="294" t="s">
        <v>286</v>
      </c>
    </row>
    <row r="1539" spans="1:6" hidden="1" outlineLevel="1" collapsed="1" x14ac:dyDescent="0.25">
      <c r="A1539" s="295" t="s">
        <v>282</v>
      </c>
      <c r="B1539" s="295" t="s">
        <v>758</v>
      </c>
      <c r="C1539" s="293">
        <v>0</v>
      </c>
      <c r="D1539" s="293">
        <v>282.94038</v>
      </c>
      <c r="E1539" s="293">
        <v>282.94038</v>
      </c>
      <c r="F1539" s="294" t="s">
        <v>298</v>
      </c>
    </row>
    <row r="1540" spans="1:6" hidden="1" outlineLevel="1" collapsed="1" x14ac:dyDescent="0.25">
      <c r="A1540" s="295" t="s">
        <v>282</v>
      </c>
      <c r="B1540" s="295" t="s">
        <v>394</v>
      </c>
      <c r="C1540" s="293">
        <v>10500</v>
      </c>
      <c r="D1540" s="293">
        <v>0</v>
      </c>
      <c r="E1540" s="293">
        <v>-10500</v>
      </c>
      <c r="F1540" s="294" t="s">
        <v>286</v>
      </c>
    </row>
    <row r="1541" spans="1:6" hidden="1" outlineLevel="1" collapsed="1" x14ac:dyDescent="0.25">
      <c r="A1541" s="295" t="s">
        <v>282</v>
      </c>
      <c r="B1541" s="295" t="s">
        <v>395</v>
      </c>
      <c r="C1541" s="293">
        <v>0</v>
      </c>
      <c r="D1541" s="293">
        <v>10500</v>
      </c>
      <c r="E1541" s="293">
        <v>10500</v>
      </c>
      <c r="F1541" s="294" t="s">
        <v>298</v>
      </c>
    </row>
    <row r="1542" spans="1:6" hidden="1" outlineLevel="1" collapsed="1" x14ac:dyDescent="0.25">
      <c r="A1542" s="295" t="s">
        <v>282</v>
      </c>
      <c r="B1542" s="295" t="s">
        <v>759</v>
      </c>
      <c r="C1542" s="293">
        <v>7500</v>
      </c>
      <c r="D1542" s="293">
        <v>0</v>
      </c>
      <c r="E1542" s="293">
        <v>-7500</v>
      </c>
      <c r="F1542" s="294" t="s">
        <v>286</v>
      </c>
    </row>
    <row r="1543" spans="1:6" hidden="1" outlineLevel="1" collapsed="1" x14ac:dyDescent="0.25">
      <c r="A1543" s="295" t="s">
        <v>282</v>
      </c>
      <c r="B1543" s="295" t="s">
        <v>760</v>
      </c>
      <c r="C1543" s="293">
        <v>0</v>
      </c>
      <c r="D1543" s="293">
        <v>7500</v>
      </c>
      <c r="E1543" s="293">
        <v>7500</v>
      </c>
      <c r="F1543" s="294" t="s">
        <v>298</v>
      </c>
    </row>
    <row r="1544" spans="1:6" hidden="1" outlineLevel="1" collapsed="1" x14ac:dyDescent="0.25">
      <c r="A1544" s="295" t="s">
        <v>282</v>
      </c>
      <c r="B1544" s="295" t="s">
        <v>396</v>
      </c>
      <c r="C1544" s="293">
        <v>347.76</v>
      </c>
      <c r="D1544" s="293">
        <v>0</v>
      </c>
      <c r="E1544" s="293">
        <v>-347.76</v>
      </c>
      <c r="F1544" s="294" t="s">
        <v>286</v>
      </c>
    </row>
    <row r="1545" spans="1:6" hidden="1" outlineLevel="1" collapsed="1" x14ac:dyDescent="0.25">
      <c r="A1545" s="295" t="s">
        <v>282</v>
      </c>
      <c r="B1545" s="295" t="s">
        <v>397</v>
      </c>
      <c r="C1545" s="293">
        <v>0</v>
      </c>
      <c r="D1545" s="293">
        <v>339.36</v>
      </c>
      <c r="E1545" s="293">
        <v>339.36</v>
      </c>
      <c r="F1545" s="294" t="s">
        <v>298</v>
      </c>
    </row>
    <row r="1546" spans="1:6" hidden="1" outlineLevel="1" collapsed="1" x14ac:dyDescent="0.25">
      <c r="A1546" s="295" t="s">
        <v>282</v>
      </c>
      <c r="B1546" s="295" t="s">
        <v>761</v>
      </c>
      <c r="C1546" s="293">
        <v>248.4</v>
      </c>
      <c r="D1546" s="293">
        <v>0</v>
      </c>
      <c r="E1546" s="293">
        <v>-248.4</v>
      </c>
      <c r="F1546" s="294" t="s">
        <v>286</v>
      </c>
    </row>
    <row r="1547" spans="1:6" hidden="1" outlineLevel="1" collapsed="1" x14ac:dyDescent="0.25">
      <c r="A1547" s="295" t="s">
        <v>282</v>
      </c>
      <c r="B1547" s="295" t="s">
        <v>762</v>
      </c>
      <c r="C1547" s="293">
        <v>0</v>
      </c>
      <c r="D1547" s="293">
        <v>242.4</v>
      </c>
      <c r="E1547" s="293">
        <v>242.4</v>
      </c>
      <c r="F1547" s="294" t="s">
        <v>298</v>
      </c>
    </row>
    <row r="1548" spans="1:6" hidden="1" outlineLevel="1" collapsed="1" x14ac:dyDescent="0.25">
      <c r="A1548" s="295" t="s">
        <v>282</v>
      </c>
      <c r="B1548" s="295" t="s">
        <v>398</v>
      </c>
      <c r="C1548" s="293">
        <v>168</v>
      </c>
      <c r="D1548" s="293">
        <v>77.28</v>
      </c>
      <c r="E1548" s="293">
        <v>-90.72</v>
      </c>
      <c r="F1548" s="294" t="s">
        <v>374</v>
      </c>
    </row>
    <row r="1549" spans="1:6" hidden="1" outlineLevel="1" collapsed="1" x14ac:dyDescent="0.25">
      <c r="A1549" s="295" t="s">
        <v>282</v>
      </c>
      <c r="B1549" s="295" t="s">
        <v>763</v>
      </c>
      <c r="C1549" s="293">
        <v>120</v>
      </c>
      <c r="D1549" s="293">
        <v>55.2</v>
      </c>
      <c r="E1549" s="293">
        <v>-64.8</v>
      </c>
      <c r="F1549" s="294" t="s">
        <v>374</v>
      </c>
    </row>
    <row r="1550" spans="1:6" hidden="1" outlineLevel="1" collapsed="1" x14ac:dyDescent="0.25">
      <c r="A1550" s="295" t="s">
        <v>282</v>
      </c>
      <c r="B1550" s="295" t="s">
        <v>376</v>
      </c>
      <c r="C1550" s="293">
        <v>9620</v>
      </c>
      <c r="D1550" s="293">
        <v>8000</v>
      </c>
      <c r="E1550" s="293">
        <v>-1620</v>
      </c>
      <c r="F1550" s="294" t="s">
        <v>881</v>
      </c>
    </row>
    <row r="1551" spans="1:6" hidden="1" outlineLevel="1" collapsed="1" x14ac:dyDescent="0.25">
      <c r="A1551" s="295" t="s">
        <v>282</v>
      </c>
      <c r="B1551" s="295" t="s">
        <v>506</v>
      </c>
      <c r="C1551" s="293">
        <v>500</v>
      </c>
      <c r="D1551" s="293">
        <v>600</v>
      </c>
      <c r="E1551" s="293">
        <v>100</v>
      </c>
      <c r="F1551" s="294" t="s">
        <v>882</v>
      </c>
    </row>
    <row r="1552" spans="1:6" hidden="1" outlineLevel="1" collapsed="1" x14ac:dyDescent="0.25">
      <c r="A1552" s="295" t="s">
        <v>282</v>
      </c>
      <c r="B1552" s="295" t="s">
        <v>567</v>
      </c>
      <c r="C1552" s="293">
        <v>0</v>
      </c>
      <c r="D1552" s="293">
        <v>400</v>
      </c>
      <c r="E1552" s="293">
        <v>400</v>
      </c>
      <c r="F1552" s="294" t="s">
        <v>298</v>
      </c>
    </row>
    <row r="1553" spans="1:6" hidden="1" outlineLevel="1" collapsed="1" x14ac:dyDescent="0.25">
      <c r="A1553" s="295" t="s">
        <v>282</v>
      </c>
      <c r="B1553" s="295" t="s">
        <v>426</v>
      </c>
      <c r="C1553" s="293">
        <v>350</v>
      </c>
      <c r="D1553" s="293">
        <v>1064</v>
      </c>
      <c r="E1553" s="293">
        <v>714</v>
      </c>
      <c r="F1553" s="294" t="s">
        <v>883</v>
      </c>
    </row>
    <row r="1554" spans="1:6" hidden="1" outlineLevel="1" collapsed="1" x14ac:dyDescent="0.25">
      <c r="A1554" s="295" t="s">
        <v>282</v>
      </c>
      <c r="B1554" s="295" t="s">
        <v>448</v>
      </c>
      <c r="C1554" s="293">
        <v>2000</v>
      </c>
      <c r="D1554" s="293">
        <v>3000</v>
      </c>
      <c r="E1554" s="293">
        <v>1000</v>
      </c>
      <c r="F1554" s="294" t="s">
        <v>784</v>
      </c>
    </row>
    <row r="1555" spans="1:6" hidden="1" outlineLevel="1" collapsed="1" x14ac:dyDescent="0.25">
      <c r="A1555" s="295" t="s">
        <v>282</v>
      </c>
      <c r="B1555" s="295" t="s">
        <v>884</v>
      </c>
      <c r="C1555" s="293">
        <v>2494</v>
      </c>
      <c r="D1555" s="293">
        <v>2500</v>
      </c>
      <c r="E1555" s="293">
        <v>6</v>
      </c>
      <c r="F1555" s="294" t="s">
        <v>885</v>
      </c>
    </row>
    <row r="1556" spans="1:6" hidden="1" outlineLevel="1" collapsed="1" x14ac:dyDescent="0.25">
      <c r="A1556" s="295" t="s">
        <v>282</v>
      </c>
      <c r="B1556" s="295" t="s">
        <v>403</v>
      </c>
      <c r="C1556" s="293">
        <v>300</v>
      </c>
      <c r="D1556" s="293">
        <v>400</v>
      </c>
      <c r="E1556" s="293">
        <v>100</v>
      </c>
      <c r="F1556" s="294" t="s">
        <v>886</v>
      </c>
    </row>
    <row r="1557" spans="1:6" hidden="1" outlineLevel="1" collapsed="1" x14ac:dyDescent="0.25">
      <c r="A1557" s="295" t="s">
        <v>282</v>
      </c>
      <c r="B1557" s="295" t="s">
        <v>405</v>
      </c>
      <c r="C1557" s="293">
        <v>100</v>
      </c>
      <c r="D1557" s="293">
        <v>400</v>
      </c>
      <c r="E1557" s="293">
        <v>300</v>
      </c>
      <c r="F1557" s="294" t="s">
        <v>887</v>
      </c>
    </row>
    <row r="1558" spans="1:6" collapsed="1" x14ac:dyDescent="0.25">
      <c r="A1558" s="560" t="s">
        <v>310</v>
      </c>
      <c r="B1558" s="561"/>
      <c r="C1558" s="292">
        <v>1075646.910437</v>
      </c>
      <c r="D1558" s="293">
        <v>1107345.916521</v>
      </c>
      <c r="E1558" s="293">
        <v>31699.006084000001</v>
      </c>
      <c r="F1558" s="294" t="s">
        <v>465</v>
      </c>
    </row>
    <row r="1559" spans="1:6" hidden="1" outlineLevel="1" collapsed="1" x14ac:dyDescent="0.25">
      <c r="A1559" s="295" t="s">
        <v>282</v>
      </c>
      <c r="B1559" s="295" t="s">
        <v>464</v>
      </c>
      <c r="C1559" s="293">
        <v>468082.52701800002</v>
      </c>
      <c r="D1559" s="293">
        <v>549810.49868800002</v>
      </c>
      <c r="E1559" s="293">
        <v>81727.971669999999</v>
      </c>
      <c r="F1559" s="294" t="s">
        <v>888</v>
      </c>
    </row>
    <row r="1560" spans="1:6" hidden="1" outlineLevel="1" collapsed="1" x14ac:dyDescent="0.25">
      <c r="A1560" s="295" t="s">
        <v>282</v>
      </c>
      <c r="B1560" s="295" t="s">
        <v>424</v>
      </c>
      <c r="C1560" s="293">
        <v>0</v>
      </c>
      <c r="D1560" s="293">
        <v>2700</v>
      </c>
      <c r="E1560" s="293">
        <v>2700</v>
      </c>
      <c r="F1560" s="294" t="s">
        <v>298</v>
      </c>
    </row>
    <row r="1561" spans="1:6" hidden="1" outlineLevel="1" collapsed="1" x14ac:dyDescent="0.25">
      <c r="A1561" s="295" t="s">
        <v>282</v>
      </c>
      <c r="B1561" s="295" t="s">
        <v>475</v>
      </c>
      <c r="C1561" s="293">
        <v>2934</v>
      </c>
      <c r="D1561" s="293">
        <v>3368</v>
      </c>
      <c r="E1561" s="293">
        <v>434</v>
      </c>
      <c r="F1561" s="294" t="s">
        <v>889</v>
      </c>
    </row>
    <row r="1562" spans="1:6" hidden="1" outlineLevel="1" collapsed="1" x14ac:dyDescent="0.25">
      <c r="A1562" s="295" t="s">
        <v>282</v>
      </c>
      <c r="B1562" s="295" t="s">
        <v>425</v>
      </c>
      <c r="C1562" s="293">
        <v>163</v>
      </c>
      <c r="D1562" s="293">
        <v>3000</v>
      </c>
      <c r="E1562" s="293">
        <v>2837</v>
      </c>
      <c r="F1562" s="294" t="s">
        <v>890</v>
      </c>
    </row>
    <row r="1563" spans="1:6" hidden="1" outlineLevel="1" collapsed="1" x14ac:dyDescent="0.25">
      <c r="A1563" s="295" t="s">
        <v>282</v>
      </c>
      <c r="B1563" s="295" t="s">
        <v>476</v>
      </c>
      <c r="C1563" s="293">
        <v>24047</v>
      </c>
      <c r="D1563" s="293">
        <v>14047</v>
      </c>
      <c r="E1563" s="293">
        <v>-10000</v>
      </c>
      <c r="F1563" s="294" t="s">
        <v>891</v>
      </c>
    </row>
    <row r="1564" spans="1:6" hidden="1" outlineLevel="1" collapsed="1" x14ac:dyDescent="0.25">
      <c r="A1564" s="295" t="s">
        <v>282</v>
      </c>
      <c r="B1564" s="295" t="s">
        <v>799</v>
      </c>
      <c r="C1564" s="293">
        <v>0</v>
      </c>
      <c r="D1564" s="293">
        <v>0</v>
      </c>
      <c r="E1564" s="293">
        <v>0</v>
      </c>
      <c r="F1564" s="294" t="s">
        <v>316</v>
      </c>
    </row>
    <row r="1565" spans="1:6" hidden="1" outlineLevel="1" collapsed="1" x14ac:dyDescent="0.25">
      <c r="A1565" s="295" t="s">
        <v>282</v>
      </c>
      <c r="B1565" s="295" t="s">
        <v>384</v>
      </c>
      <c r="C1565" s="293">
        <v>60871.215950999998</v>
      </c>
      <c r="D1565" s="293">
        <v>0</v>
      </c>
      <c r="E1565" s="293">
        <v>-60871.215950999998</v>
      </c>
      <c r="F1565" s="294" t="s">
        <v>286</v>
      </c>
    </row>
    <row r="1566" spans="1:6" hidden="1" outlineLevel="1" collapsed="1" x14ac:dyDescent="0.25">
      <c r="A1566" s="295" t="s">
        <v>282</v>
      </c>
      <c r="B1566" s="295" t="s">
        <v>385</v>
      </c>
      <c r="C1566" s="293">
        <v>0</v>
      </c>
      <c r="D1566" s="293">
        <v>85843.529582000003</v>
      </c>
      <c r="E1566" s="293">
        <v>85843.529582000003</v>
      </c>
      <c r="F1566" s="294" t="s">
        <v>298</v>
      </c>
    </row>
    <row r="1567" spans="1:6" hidden="1" outlineLevel="1" collapsed="1" x14ac:dyDescent="0.25">
      <c r="A1567" s="295" t="s">
        <v>282</v>
      </c>
      <c r="B1567" s="295" t="s">
        <v>386</v>
      </c>
      <c r="C1567" s="293">
        <v>30428.702635000001</v>
      </c>
      <c r="D1567" s="293">
        <v>0</v>
      </c>
      <c r="E1567" s="293">
        <v>-30428.702635000001</v>
      </c>
      <c r="F1567" s="294" t="s">
        <v>286</v>
      </c>
    </row>
    <row r="1568" spans="1:6" hidden="1" outlineLevel="1" collapsed="1" x14ac:dyDescent="0.25">
      <c r="A1568" s="295" t="s">
        <v>282</v>
      </c>
      <c r="B1568" s="295" t="s">
        <v>387</v>
      </c>
      <c r="C1568" s="293">
        <v>0</v>
      </c>
      <c r="D1568" s="293">
        <v>34088.250873999998</v>
      </c>
      <c r="E1568" s="293">
        <v>34088.250873999998</v>
      </c>
      <c r="F1568" s="294" t="s">
        <v>298</v>
      </c>
    </row>
    <row r="1569" spans="1:6" hidden="1" outlineLevel="1" collapsed="1" x14ac:dyDescent="0.25">
      <c r="A1569" s="295" t="s">
        <v>282</v>
      </c>
      <c r="B1569" s="295" t="s">
        <v>388</v>
      </c>
      <c r="C1569" s="293">
        <v>7116.3901150000002</v>
      </c>
      <c r="D1569" s="293">
        <v>7972.2521900000002</v>
      </c>
      <c r="E1569" s="293">
        <v>855.862075</v>
      </c>
      <c r="F1569" s="294" t="s">
        <v>892</v>
      </c>
    </row>
    <row r="1570" spans="1:6" hidden="1" outlineLevel="1" collapsed="1" x14ac:dyDescent="0.25">
      <c r="A1570" s="295" t="s">
        <v>282</v>
      </c>
      <c r="B1570" s="295" t="s">
        <v>444</v>
      </c>
      <c r="C1570" s="293">
        <v>1507</v>
      </c>
      <c r="D1570" s="293">
        <v>1567</v>
      </c>
      <c r="E1570" s="293">
        <v>60</v>
      </c>
      <c r="F1570" s="294" t="s">
        <v>893</v>
      </c>
    </row>
    <row r="1571" spans="1:6" hidden="1" outlineLevel="1" collapsed="1" x14ac:dyDescent="0.25">
      <c r="A1571" s="295" t="s">
        <v>282</v>
      </c>
      <c r="B1571" s="295" t="s">
        <v>389</v>
      </c>
      <c r="C1571" s="293">
        <v>3231.4463999999998</v>
      </c>
      <c r="D1571" s="293">
        <v>3376.32</v>
      </c>
      <c r="E1571" s="293">
        <v>144.87360000000001</v>
      </c>
      <c r="F1571" s="294" t="s">
        <v>894</v>
      </c>
    </row>
    <row r="1572" spans="1:6" hidden="1" outlineLevel="1" collapsed="1" x14ac:dyDescent="0.25">
      <c r="A1572" s="295" t="s">
        <v>282</v>
      </c>
      <c r="B1572" s="295" t="s">
        <v>390</v>
      </c>
      <c r="C1572" s="293">
        <v>101997.49</v>
      </c>
      <c r="D1572" s="293">
        <v>111714.96</v>
      </c>
      <c r="E1572" s="293">
        <v>9717.4699999999993</v>
      </c>
      <c r="F1572" s="294" t="s">
        <v>895</v>
      </c>
    </row>
    <row r="1573" spans="1:6" hidden="1" outlineLevel="1" collapsed="1" x14ac:dyDescent="0.25">
      <c r="A1573" s="295" t="s">
        <v>282</v>
      </c>
      <c r="B1573" s="295" t="s">
        <v>392</v>
      </c>
      <c r="C1573" s="293">
        <v>1771.0056</v>
      </c>
      <c r="D1573" s="293">
        <v>1463.04</v>
      </c>
      <c r="E1573" s="293">
        <v>-307.96559999999999</v>
      </c>
      <c r="F1573" s="294" t="s">
        <v>896</v>
      </c>
    </row>
    <row r="1574" spans="1:6" hidden="1" outlineLevel="1" collapsed="1" x14ac:dyDescent="0.25">
      <c r="A1574" s="295" t="s">
        <v>282</v>
      </c>
      <c r="B1574" s="295" t="s">
        <v>393</v>
      </c>
      <c r="C1574" s="293">
        <v>245.392718</v>
      </c>
      <c r="D1574" s="293">
        <v>274.90518700000001</v>
      </c>
      <c r="E1574" s="293">
        <v>29.512468999999999</v>
      </c>
      <c r="F1574" s="294" t="s">
        <v>892</v>
      </c>
    </row>
    <row r="1575" spans="1:6" hidden="1" outlineLevel="1" collapsed="1" x14ac:dyDescent="0.25">
      <c r="A1575" s="295" t="s">
        <v>282</v>
      </c>
      <c r="B1575" s="295" t="s">
        <v>394</v>
      </c>
      <c r="C1575" s="293">
        <v>11375</v>
      </c>
      <c r="D1575" s="293">
        <v>0</v>
      </c>
      <c r="E1575" s="293">
        <v>-11375</v>
      </c>
      <c r="F1575" s="294" t="s">
        <v>286</v>
      </c>
    </row>
    <row r="1576" spans="1:6" hidden="1" outlineLevel="1" collapsed="1" x14ac:dyDescent="0.25">
      <c r="A1576" s="295" t="s">
        <v>282</v>
      </c>
      <c r="B1576" s="295" t="s">
        <v>395</v>
      </c>
      <c r="C1576" s="293">
        <v>0</v>
      </c>
      <c r="D1576" s="293">
        <v>12000</v>
      </c>
      <c r="E1576" s="293">
        <v>12000</v>
      </c>
      <c r="F1576" s="294" t="s">
        <v>298</v>
      </c>
    </row>
    <row r="1577" spans="1:6" hidden="1" outlineLevel="1" collapsed="1" x14ac:dyDescent="0.25">
      <c r="A1577" s="295" t="s">
        <v>282</v>
      </c>
      <c r="B1577" s="295" t="s">
        <v>396</v>
      </c>
      <c r="C1577" s="293">
        <v>376.74</v>
      </c>
      <c r="D1577" s="293">
        <v>0</v>
      </c>
      <c r="E1577" s="293">
        <v>-376.74</v>
      </c>
      <c r="F1577" s="294" t="s">
        <v>286</v>
      </c>
    </row>
    <row r="1578" spans="1:6" hidden="1" outlineLevel="1" collapsed="1" x14ac:dyDescent="0.25">
      <c r="A1578" s="295" t="s">
        <v>282</v>
      </c>
      <c r="B1578" s="295" t="s">
        <v>397</v>
      </c>
      <c r="C1578" s="293">
        <v>0</v>
      </c>
      <c r="D1578" s="293">
        <v>387.84</v>
      </c>
      <c r="E1578" s="293">
        <v>387.84</v>
      </c>
      <c r="F1578" s="294" t="s">
        <v>298</v>
      </c>
    </row>
    <row r="1579" spans="1:6" hidden="1" outlineLevel="1" collapsed="1" x14ac:dyDescent="0.25">
      <c r="A1579" s="295" t="s">
        <v>282</v>
      </c>
      <c r="B1579" s="295" t="s">
        <v>398</v>
      </c>
      <c r="C1579" s="293">
        <v>182</v>
      </c>
      <c r="D1579" s="293">
        <v>88.32</v>
      </c>
      <c r="E1579" s="293">
        <v>-93.68</v>
      </c>
      <c r="F1579" s="294" t="s">
        <v>897</v>
      </c>
    </row>
    <row r="1580" spans="1:6" hidden="1" outlineLevel="1" collapsed="1" x14ac:dyDescent="0.25">
      <c r="A1580" s="295" t="s">
        <v>282</v>
      </c>
      <c r="B1580" s="295" t="s">
        <v>522</v>
      </c>
      <c r="C1580" s="293">
        <v>3000</v>
      </c>
      <c r="D1580" s="293">
        <v>3000</v>
      </c>
      <c r="E1580" s="293">
        <v>0</v>
      </c>
      <c r="F1580" s="294" t="s">
        <v>316</v>
      </c>
    </row>
    <row r="1581" spans="1:6" hidden="1" outlineLevel="1" collapsed="1" x14ac:dyDescent="0.25">
      <c r="A1581" s="295" t="s">
        <v>282</v>
      </c>
      <c r="B1581" s="295" t="s">
        <v>399</v>
      </c>
      <c r="C1581" s="293">
        <v>150</v>
      </c>
      <c r="D1581" s="293">
        <v>150</v>
      </c>
      <c r="E1581" s="293">
        <v>0</v>
      </c>
      <c r="F1581" s="294" t="s">
        <v>316</v>
      </c>
    </row>
    <row r="1582" spans="1:6" hidden="1" outlineLevel="1" collapsed="1" x14ac:dyDescent="0.25">
      <c r="A1582" s="295" t="s">
        <v>282</v>
      </c>
      <c r="B1582" s="295" t="s">
        <v>375</v>
      </c>
      <c r="C1582" s="293">
        <v>10000</v>
      </c>
      <c r="D1582" s="293">
        <v>10000</v>
      </c>
      <c r="E1582" s="293">
        <v>0</v>
      </c>
      <c r="F1582" s="294" t="s">
        <v>316</v>
      </c>
    </row>
    <row r="1583" spans="1:6" hidden="1" outlineLevel="1" collapsed="1" x14ac:dyDescent="0.25">
      <c r="A1583" s="295" t="s">
        <v>282</v>
      </c>
      <c r="B1583" s="295" t="s">
        <v>431</v>
      </c>
      <c r="C1583" s="293">
        <v>200</v>
      </c>
      <c r="D1583" s="293">
        <v>200</v>
      </c>
      <c r="E1583" s="293">
        <v>0</v>
      </c>
      <c r="F1583" s="294" t="s">
        <v>316</v>
      </c>
    </row>
    <row r="1584" spans="1:6" hidden="1" outlineLevel="1" collapsed="1" x14ac:dyDescent="0.25">
      <c r="A1584" s="295" t="s">
        <v>282</v>
      </c>
      <c r="B1584" s="295" t="s">
        <v>496</v>
      </c>
      <c r="C1584" s="293">
        <v>0</v>
      </c>
      <c r="D1584" s="293">
        <v>50</v>
      </c>
      <c r="E1584" s="293">
        <v>50</v>
      </c>
      <c r="F1584" s="294" t="s">
        <v>298</v>
      </c>
    </row>
    <row r="1585" spans="1:6" hidden="1" outlineLevel="1" collapsed="1" x14ac:dyDescent="0.25">
      <c r="A1585" s="295" t="s">
        <v>282</v>
      </c>
      <c r="B1585" s="295" t="s">
        <v>376</v>
      </c>
      <c r="C1585" s="293">
        <v>33809</v>
      </c>
      <c r="D1585" s="293">
        <v>35800</v>
      </c>
      <c r="E1585" s="293">
        <v>1991</v>
      </c>
      <c r="F1585" s="294" t="s">
        <v>898</v>
      </c>
    </row>
    <row r="1586" spans="1:6" hidden="1" outlineLevel="1" collapsed="1" x14ac:dyDescent="0.25">
      <c r="A1586" s="295" t="s">
        <v>282</v>
      </c>
      <c r="B1586" s="295" t="s">
        <v>567</v>
      </c>
      <c r="C1586" s="293">
        <v>0</v>
      </c>
      <c r="D1586" s="293">
        <v>1000</v>
      </c>
      <c r="E1586" s="293">
        <v>1000</v>
      </c>
      <c r="F1586" s="294" t="s">
        <v>298</v>
      </c>
    </row>
    <row r="1587" spans="1:6" hidden="1" outlineLevel="1" collapsed="1" x14ac:dyDescent="0.25">
      <c r="A1587" s="295" t="s">
        <v>282</v>
      </c>
      <c r="B1587" s="295" t="s">
        <v>426</v>
      </c>
      <c r="C1587" s="293">
        <v>0</v>
      </c>
      <c r="D1587" s="293">
        <v>900</v>
      </c>
      <c r="E1587" s="293">
        <v>900</v>
      </c>
      <c r="F1587" s="294" t="s">
        <v>298</v>
      </c>
    </row>
    <row r="1588" spans="1:6" hidden="1" outlineLevel="1" collapsed="1" x14ac:dyDescent="0.25">
      <c r="A1588" s="295" t="s">
        <v>282</v>
      </c>
      <c r="B1588" s="295" t="s">
        <v>482</v>
      </c>
      <c r="C1588" s="293">
        <v>100</v>
      </c>
      <c r="D1588" s="293">
        <v>100</v>
      </c>
      <c r="E1588" s="293">
        <v>0</v>
      </c>
      <c r="F1588" s="294" t="s">
        <v>316</v>
      </c>
    </row>
    <row r="1589" spans="1:6" hidden="1" outlineLevel="1" collapsed="1" x14ac:dyDescent="0.25">
      <c r="A1589" s="295" t="s">
        <v>282</v>
      </c>
      <c r="B1589" s="295" t="s">
        <v>543</v>
      </c>
      <c r="C1589" s="293">
        <v>73099</v>
      </c>
      <c r="D1589" s="293">
        <v>104000</v>
      </c>
      <c r="E1589" s="293">
        <v>30901</v>
      </c>
      <c r="F1589" s="294" t="s">
        <v>899</v>
      </c>
    </row>
    <row r="1590" spans="1:6" hidden="1" outlineLevel="1" collapsed="1" x14ac:dyDescent="0.25">
      <c r="A1590" s="295" t="s">
        <v>282</v>
      </c>
      <c r="B1590" s="295" t="s">
        <v>448</v>
      </c>
      <c r="C1590" s="293">
        <v>65233</v>
      </c>
      <c r="D1590" s="293">
        <v>45000</v>
      </c>
      <c r="E1590" s="293">
        <v>-20233</v>
      </c>
      <c r="F1590" s="294" t="s">
        <v>900</v>
      </c>
    </row>
    <row r="1591" spans="1:6" hidden="1" outlineLevel="1" collapsed="1" x14ac:dyDescent="0.25">
      <c r="A1591" s="295" t="s">
        <v>282</v>
      </c>
      <c r="B1591" s="295" t="s">
        <v>901</v>
      </c>
      <c r="C1591" s="293">
        <v>30000</v>
      </c>
      <c r="D1591" s="293">
        <v>4000</v>
      </c>
      <c r="E1591" s="293">
        <v>-26000</v>
      </c>
      <c r="F1591" s="294" t="s">
        <v>902</v>
      </c>
    </row>
    <row r="1592" spans="1:6" hidden="1" outlineLevel="1" collapsed="1" x14ac:dyDescent="0.25">
      <c r="A1592" s="295" t="s">
        <v>282</v>
      </c>
      <c r="B1592" s="295" t="s">
        <v>403</v>
      </c>
      <c r="C1592" s="293">
        <v>1329</v>
      </c>
      <c r="D1592" s="293">
        <v>3000</v>
      </c>
      <c r="E1592" s="293">
        <v>1671</v>
      </c>
      <c r="F1592" s="294" t="s">
        <v>903</v>
      </c>
    </row>
    <row r="1593" spans="1:6" hidden="1" outlineLevel="1" collapsed="1" x14ac:dyDescent="0.25">
      <c r="A1593" s="295" t="s">
        <v>282</v>
      </c>
      <c r="B1593" s="295" t="s">
        <v>405</v>
      </c>
      <c r="C1593" s="293">
        <v>0</v>
      </c>
      <c r="D1593" s="293">
        <v>500</v>
      </c>
      <c r="E1593" s="293">
        <v>500</v>
      </c>
      <c r="F1593" s="294" t="s">
        <v>298</v>
      </c>
    </row>
    <row r="1594" spans="1:6" hidden="1" outlineLevel="1" collapsed="1" x14ac:dyDescent="0.25">
      <c r="A1594" s="295" t="s">
        <v>282</v>
      </c>
      <c r="B1594" s="295" t="s">
        <v>422</v>
      </c>
      <c r="C1594" s="293">
        <v>8048</v>
      </c>
      <c r="D1594" s="293">
        <v>9200</v>
      </c>
      <c r="E1594" s="293">
        <v>1152</v>
      </c>
      <c r="F1594" s="294" t="s">
        <v>904</v>
      </c>
    </row>
    <row r="1595" spans="1:6" hidden="1" outlineLevel="1" collapsed="1" x14ac:dyDescent="0.25">
      <c r="A1595" s="295" t="s">
        <v>282</v>
      </c>
      <c r="B1595" s="295" t="s">
        <v>770</v>
      </c>
      <c r="C1595" s="293">
        <v>136350</v>
      </c>
      <c r="D1595" s="293">
        <v>58744</v>
      </c>
      <c r="E1595" s="293">
        <v>-77606</v>
      </c>
      <c r="F1595" s="294" t="s">
        <v>905</v>
      </c>
    </row>
    <row r="1596" spans="1:6" collapsed="1" x14ac:dyDescent="0.25">
      <c r="A1596" s="560" t="s">
        <v>906</v>
      </c>
      <c r="B1596" s="561"/>
      <c r="C1596" s="292">
        <v>489646.23459200002</v>
      </c>
      <c r="D1596" s="293">
        <v>521366.06767600001</v>
      </c>
      <c r="E1596" s="293">
        <v>31719.833084000002</v>
      </c>
      <c r="F1596" s="294" t="s">
        <v>907</v>
      </c>
    </row>
    <row r="1597" spans="1:6" hidden="1" outlineLevel="1" collapsed="1" x14ac:dyDescent="0.25">
      <c r="A1597" s="295" t="s">
        <v>282</v>
      </c>
      <c r="B1597" s="295" t="s">
        <v>780</v>
      </c>
      <c r="C1597" s="293">
        <v>74942.782191000006</v>
      </c>
      <c r="D1597" s="293">
        <v>62119.907542000001</v>
      </c>
      <c r="E1597" s="293">
        <v>-12822.874648999999</v>
      </c>
      <c r="F1597" s="294" t="s">
        <v>908</v>
      </c>
    </row>
    <row r="1598" spans="1:6" hidden="1" outlineLevel="1" collapsed="1" x14ac:dyDescent="0.25">
      <c r="A1598" s="295" t="s">
        <v>282</v>
      </c>
      <c r="B1598" s="295" t="s">
        <v>750</v>
      </c>
      <c r="C1598" s="293">
        <v>112679.999991</v>
      </c>
      <c r="D1598" s="293">
        <v>157333.11998399999</v>
      </c>
      <c r="E1598" s="293">
        <v>44653.119993</v>
      </c>
      <c r="F1598" s="294" t="s">
        <v>909</v>
      </c>
    </row>
    <row r="1599" spans="1:6" hidden="1" outlineLevel="1" collapsed="1" x14ac:dyDescent="0.25">
      <c r="A1599" s="295" t="s">
        <v>282</v>
      </c>
      <c r="B1599" s="295" t="s">
        <v>441</v>
      </c>
      <c r="C1599" s="293">
        <v>30000</v>
      </c>
      <c r="D1599" s="293">
        <v>30000</v>
      </c>
      <c r="E1599" s="293">
        <v>0</v>
      </c>
      <c r="F1599" s="294" t="s">
        <v>316</v>
      </c>
    </row>
    <row r="1600" spans="1:6" hidden="1" outlineLevel="1" collapsed="1" x14ac:dyDescent="0.25">
      <c r="A1600" s="295" t="s">
        <v>282</v>
      </c>
      <c r="B1600" s="295" t="s">
        <v>488</v>
      </c>
      <c r="C1600" s="293">
        <v>50000</v>
      </c>
      <c r="D1600" s="293">
        <v>50000</v>
      </c>
      <c r="E1600" s="293">
        <v>0</v>
      </c>
      <c r="F1600" s="294" t="s">
        <v>316</v>
      </c>
    </row>
    <row r="1601" spans="1:6" hidden="1" outlineLevel="1" collapsed="1" x14ac:dyDescent="0.25">
      <c r="A1601" s="295" t="s">
        <v>282</v>
      </c>
      <c r="B1601" s="295" t="s">
        <v>452</v>
      </c>
      <c r="C1601" s="293">
        <v>20000</v>
      </c>
      <c r="D1601" s="293">
        <v>20000</v>
      </c>
      <c r="E1601" s="293">
        <v>0</v>
      </c>
      <c r="F1601" s="294" t="s">
        <v>316</v>
      </c>
    </row>
    <row r="1602" spans="1:6" hidden="1" outlineLevel="1" collapsed="1" x14ac:dyDescent="0.25">
      <c r="A1602" s="295" t="s">
        <v>282</v>
      </c>
      <c r="B1602" s="295" t="s">
        <v>453</v>
      </c>
      <c r="C1602" s="293">
        <v>102566</v>
      </c>
      <c r="D1602" s="293">
        <v>84531</v>
      </c>
      <c r="E1602" s="293">
        <v>-18035</v>
      </c>
      <c r="F1602" s="294" t="s">
        <v>910</v>
      </c>
    </row>
    <row r="1603" spans="1:6" hidden="1" outlineLevel="1" collapsed="1" x14ac:dyDescent="0.25">
      <c r="A1603" s="295" t="s">
        <v>282</v>
      </c>
      <c r="B1603" s="295" t="s">
        <v>360</v>
      </c>
      <c r="C1603" s="293">
        <v>7585.7039910000003</v>
      </c>
      <c r="D1603" s="293">
        <v>11700.755964</v>
      </c>
      <c r="E1603" s="293">
        <v>4115.0519729999996</v>
      </c>
      <c r="F1603" s="294" t="s">
        <v>911</v>
      </c>
    </row>
    <row r="1604" spans="1:6" hidden="1" outlineLevel="1" collapsed="1" x14ac:dyDescent="0.25">
      <c r="A1604" s="295" t="s">
        <v>282</v>
      </c>
      <c r="B1604" s="295" t="s">
        <v>751</v>
      </c>
      <c r="C1604" s="293">
        <v>16899.069060000002</v>
      </c>
      <c r="D1604" s="293">
        <v>0</v>
      </c>
      <c r="E1604" s="293">
        <v>-16899.069060000002</v>
      </c>
      <c r="F1604" s="294" t="s">
        <v>286</v>
      </c>
    </row>
    <row r="1605" spans="1:6" hidden="1" outlineLevel="1" collapsed="1" x14ac:dyDescent="0.25">
      <c r="A1605" s="295" t="s">
        <v>282</v>
      </c>
      <c r="B1605" s="295" t="s">
        <v>752</v>
      </c>
      <c r="C1605" s="293">
        <v>0</v>
      </c>
      <c r="D1605" s="293">
        <v>19966.315881999999</v>
      </c>
      <c r="E1605" s="293">
        <v>19966.315881999999</v>
      </c>
      <c r="F1605" s="294" t="s">
        <v>298</v>
      </c>
    </row>
    <row r="1606" spans="1:6" hidden="1" outlineLevel="1" collapsed="1" x14ac:dyDescent="0.25">
      <c r="A1606" s="295" t="s">
        <v>282</v>
      </c>
      <c r="B1606" s="295" t="s">
        <v>753</v>
      </c>
      <c r="C1606" s="293">
        <v>3382.2239939999999</v>
      </c>
      <c r="D1606" s="293">
        <v>4727.3015880000003</v>
      </c>
      <c r="E1606" s="293">
        <v>1345.0775940000001</v>
      </c>
      <c r="F1606" s="294" t="s">
        <v>912</v>
      </c>
    </row>
    <row r="1607" spans="1:6" hidden="1" outlineLevel="1" collapsed="1" x14ac:dyDescent="0.25">
      <c r="A1607" s="295" t="s">
        <v>282</v>
      </c>
      <c r="B1607" s="295" t="s">
        <v>362</v>
      </c>
      <c r="C1607" s="293">
        <v>842.85599400000001</v>
      </c>
      <c r="D1607" s="293">
        <v>1175.751636</v>
      </c>
      <c r="E1607" s="293">
        <v>332.89564200000001</v>
      </c>
      <c r="F1607" s="294" t="s">
        <v>913</v>
      </c>
    </row>
    <row r="1608" spans="1:6" hidden="1" outlineLevel="1" collapsed="1" x14ac:dyDescent="0.25">
      <c r="A1608" s="295" t="s">
        <v>282</v>
      </c>
      <c r="B1608" s="295" t="s">
        <v>388</v>
      </c>
      <c r="C1608" s="293">
        <v>791.00399700000003</v>
      </c>
      <c r="D1608" s="293">
        <v>1105.5785880000001</v>
      </c>
      <c r="E1608" s="293">
        <v>314.574591</v>
      </c>
      <c r="F1608" s="294" t="s">
        <v>912</v>
      </c>
    </row>
    <row r="1609" spans="1:6" hidden="1" outlineLevel="1" collapsed="1" x14ac:dyDescent="0.25">
      <c r="A1609" s="295" t="s">
        <v>282</v>
      </c>
      <c r="B1609" s="295" t="s">
        <v>363</v>
      </c>
      <c r="C1609" s="293">
        <v>319.59359999999998</v>
      </c>
      <c r="D1609" s="293">
        <v>422.04</v>
      </c>
      <c r="E1609" s="293">
        <v>102.4464</v>
      </c>
      <c r="F1609" s="294" t="s">
        <v>914</v>
      </c>
    </row>
    <row r="1610" spans="1:6" hidden="1" outlineLevel="1" collapsed="1" x14ac:dyDescent="0.25">
      <c r="A1610" s="295" t="s">
        <v>282</v>
      </c>
      <c r="B1610" s="295" t="s">
        <v>365</v>
      </c>
      <c r="C1610" s="293">
        <v>11518.92</v>
      </c>
      <c r="D1610" s="293">
        <v>15959.28</v>
      </c>
      <c r="E1610" s="293">
        <v>4440.3599999999997</v>
      </c>
      <c r="F1610" s="294" t="s">
        <v>915</v>
      </c>
    </row>
    <row r="1611" spans="1:6" hidden="1" outlineLevel="1" collapsed="1" x14ac:dyDescent="0.25">
      <c r="A1611" s="295" t="s">
        <v>282</v>
      </c>
      <c r="B1611" s="295" t="s">
        <v>367</v>
      </c>
      <c r="C1611" s="293">
        <v>175.15440000000001</v>
      </c>
      <c r="D1611" s="293">
        <v>182.88</v>
      </c>
      <c r="E1611" s="293">
        <v>7.7256</v>
      </c>
      <c r="F1611" s="294" t="s">
        <v>916</v>
      </c>
    </row>
    <row r="1612" spans="1:6" hidden="1" outlineLevel="1" collapsed="1" x14ac:dyDescent="0.25">
      <c r="A1612" s="295" t="s">
        <v>282</v>
      </c>
      <c r="B1612" s="295" t="s">
        <v>444</v>
      </c>
      <c r="C1612" s="293">
        <v>14281</v>
      </c>
      <c r="D1612" s="293">
        <v>15777</v>
      </c>
      <c r="E1612" s="293">
        <v>1496</v>
      </c>
      <c r="F1612" s="294" t="s">
        <v>917</v>
      </c>
    </row>
    <row r="1613" spans="1:6" hidden="1" outlineLevel="1" collapsed="1" x14ac:dyDescent="0.25">
      <c r="A1613" s="295" t="s">
        <v>282</v>
      </c>
      <c r="B1613" s="295" t="s">
        <v>754</v>
      </c>
      <c r="C1613" s="293">
        <v>23037.84</v>
      </c>
      <c r="D1613" s="293">
        <v>25268.86</v>
      </c>
      <c r="E1613" s="293">
        <v>2231.02</v>
      </c>
      <c r="F1613" s="294" t="s">
        <v>918</v>
      </c>
    </row>
    <row r="1614" spans="1:6" hidden="1" outlineLevel="1" collapsed="1" x14ac:dyDescent="0.25">
      <c r="A1614" s="295" t="s">
        <v>282</v>
      </c>
      <c r="B1614" s="295" t="s">
        <v>755</v>
      </c>
      <c r="C1614" s="293">
        <v>639.18719999999996</v>
      </c>
      <c r="D1614" s="293">
        <v>668.23</v>
      </c>
      <c r="E1614" s="293">
        <v>29.0428</v>
      </c>
      <c r="F1614" s="294" t="s">
        <v>719</v>
      </c>
    </row>
    <row r="1615" spans="1:6" hidden="1" outlineLevel="1" collapsed="1" x14ac:dyDescent="0.25">
      <c r="A1615" s="295" t="s">
        <v>282</v>
      </c>
      <c r="B1615" s="295" t="s">
        <v>756</v>
      </c>
      <c r="C1615" s="293">
        <v>350.30880000000002</v>
      </c>
      <c r="D1615" s="293">
        <v>289.56</v>
      </c>
      <c r="E1615" s="293">
        <v>-60.748800000000003</v>
      </c>
      <c r="F1615" s="294" t="s">
        <v>919</v>
      </c>
    </row>
    <row r="1616" spans="1:6" hidden="1" outlineLevel="1" collapsed="1" x14ac:dyDescent="0.25">
      <c r="A1616" s="295" t="s">
        <v>282</v>
      </c>
      <c r="B1616" s="295" t="s">
        <v>369</v>
      </c>
      <c r="C1616" s="293">
        <v>29.063997000000001</v>
      </c>
      <c r="D1616" s="293">
        <v>40.543151999999999</v>
      </c>
      <c r="E1616" s="293">
        <v>11.479155</v>
      </c>
      <c r="F1616" s="294" t="s">
        <v>913</v>
      </c>
    </row>
    <row r="1617" spans="1:6" hidden="1" outlineLevel="1" collapsed="1" x14ac:dyDescent="0.25">
      <c r="A1617" s="295" t="s">
        <v>282</v>
      </c>
      <c r="B1617" s="295" t="s">
        <v>757</v>
      </c>
      <c r="C1617" s="293">
        <v>64.747377</v>
      </c>
      <c r="D1617" s="293">
        <v>0</v>
      </c>
      <c r="E1617" s="293">
        <v>-64.747377</v>
      </c>
      <c r="F1617" s="294" t="s">
        <v>286</v>
      </c>
    </row>
    <row r="1618" spans="1:6" hidden="1" outlineLevel="1" collapsed="1" x14ac:dyDescent="0.25">
      <c r="A1618" s="295" t="s">
        <v>282</v>
      </c>
      <c r="B1618" s="295" t="s">
        <v>758</v>
      </c>
      <c r="C1618" s="293">
        <v>0</v>
      </c>
      <c r="D1618" s="293">
        <v>69.183340000000001</v>
      </c>
      <c r="E1618" s="293">
        <v>69.183340000000001</v>
      </c>
      <c r="F1618" s="294" t="s">
        <v>298</v>
      </c>
    </row>
    <row r="1619" spans="1:6" hidden="1" outlineLevel="1" collapsed="1" x14ac:dyDescent="0.25">
      <c r="A1619" s="295" t="s">
        <v>282</v>
      </c>
      <c r="B1619" s="295" t="s">
        <v>370</v>
      </c>
      <c r="C1619" s="293">
        <v>1125</v>
      </c>
      <c r="D1619" s="293">
        <v>1500</v>
      </c>
      <c r="E1619" s="293">
        <v>375</v>
      </c>
      <c r="F1619" s="294" t="s">
        <v>886</v>
      </c>
    </row>
    <row r="1620" spans="1:6" hidden="1" outlineLevel="1" collapsed="1" x14ac:dyDescent="0.25">
      <c r="A1620" s="295" t="s">
        <v>282</v>
      </c>
      <c r="B1620" s="295" t="s">
        <v>759</v>
      </c>
      <c r="C1620" s="293">
        <v>2250</v>
      </c>
      <c r="D1620" s="293">
        <v>0</v>
      </c>
      <c r="E1620" s="293">
        <v>-2250</v>
      </c>
      <c r="F1620" s="294" t="s">
        <v>286</v>
      </c>
    </row>
    <row r="1621" spans="1:6" hidden="1" outlineLevel="1" collapsed="1" x14ac:dyDescent="0.25">
      <c r="A1621" s="295" t="s">
        <v>282</v>
      </c>
      <c r="B1621" s="295" t="s">
        <v>760</v>
      </c>
      <c r="C1621" s="293">
        <v>0</v>
      </c>
      <c r="D1621" s="293">
        <v>2375</v>
      </c>
      <c r="E1621" s="293">
        <v>2375</v>
      </c>
      <c r="F1621" s="294" t="s">
        <v>298</v>
      </c>
    </row>
    <row r="1622" spans="1:6" hidden="1" outlineLevel="1" collapsed="1" x14ac:dyDescent="0.25">
      <c r="A1622" s="295" t="s">
        <v>282</v>
      </c>
      <c r="B1622" s="295" t="s">
        <v>371</v>
      </c>
      <c r="C1622" s="293">
        <v>37.26</v>
      </c>
      <c r="D1622" s="293">
        <v>48.48</v>
      </c>
      <c r="E1622" s="293">
        <v>11.22</v>
      </c>
      <c r="F1622" s="294" t="s">
        <v>920</v>
      </c>
    </row>
    <row r="1623" spans="1:6" hidden="1" outlineLevel="1" collapsed="1" x14ac:dyDescent="0.25">
      <c r="A1623" s="295" t="s">
        <v>282</v>
      </c>
      <c r="B1623" s="295" t="s">
        <v>761</v>
      </c>
      <c r="C1623" s="293">
        <v>74.52</v>
      </c>
      <c r="D1623" s="293">
        <v>0</v>
      </c>
      <c r="E1623" s="293">
        <v>-74.52</v>
      </c>
      <c r="F1623" s="294" t="s">
        <v>286</v>
      </c>
    </row>
    <row r="1624" spans="1:6" hidden="1" outlineLevel="1" collapsed="1" x14ac:dyDescent="0.25">
      <c r="A1624" s="295" t="s">
        <v>282</v>
      </c>
      <c r="B1624" s="295" t="s">
        <v>762</v>
      </c>
      <c r="C1624" s="293">
        <v>0</v>
      </c>
      <c r="D1624" s="293">
        <v>76.760000000000005</v>
      </c>
      <c r="E1624" s="293">
        <v>76.760000000000005</v>
      </c>
      <c r="F1624" s="294" t="s">
        <v>298</v>
      </c>
    </row>
    <row r="1625" spans="1:6" hidden="1" outlineLevel="1" collapsed="1" x14ac:dyDescent="0.25">
      <c r="A1625" s="295" t="s">
        <v>282</v>
      </c>
      <c r="B1625" s="295" t="s">
        <v>373</v>
      </c>
      <c r="C1625" s="293">
        <v>18</v>
      </c>
      <c r="D1625" s="293">
        <v>11.04</v>
      </c>
      <c r="E1625" s="293">
        <v>-6.96</v>
      </c>
      <c r="F1625" s="294" t="s">
        <v>921</v>
      </c>
    </row>
    <row r="1626" spans="1:6" hidden="1" outlineLevel="1" collapsed="1" x14ac:dyDescent="0.25">
      <c r="A1626" s="295" t="s">
        <v>282</v>
      </c>
      <c r="B1626" s="295" t="s">
        <v>763</v>
      </c>
      <c r="C1626" s="293">
        <v>36</v>
      </c>
      <c r="D1626" s="293">
        <v>17.48</v>
      </c>
      <c r="E1626" s="293">
        <v>-18.52</v>
      </c>
      <c r="F1626" s="294" t="s">
        <v>922</v>
      </c>
    </row>
    <row r="1627" spans="1:6" hidden="1" outlineLevel="1" collapsed="1" x14ac:dyDescent="0.25">
      <c r="A1627" s="295" t="s">
        <v>282</v>
      </c>
      <c r="B1627" s="295" t="s">
        <v>505</v>
      </c>
      <c r="C1627" s="293">
        <v>5000</v>
      </c>
      <c r="D1627" s="293">
        <v>0</v>
      </c>
      <c r="E1627" s="293">
        <v>-5000</v>
      </c>
      <c r="F1627" s="294" t="s">
        <v>286</v>
      </c>
    </row>
    <row r="1628" spans="1:6" hidden="1" outlineLevel="1" collapsed="1" x14ac:dyDescent="0.25">
      <c r="A1628" s="295" t="s">
        <v>282</v>
      </c>
      <c r="B1628" s="295" t="s">
        <v>375</v>
      </c>
      <c r="C1628" s="293">
        <v>0</v>
      </c>
      <c r="D1628" s="293">
        <v>8000</v>
      </c>
      <c r="E1628" s="293">
        <v>8000</v>
      </c>
      <c r="F1628" s="294" t="s">
        <v>298</v>
      </c>
    </row>
    <row r="1629" spans="1:6" hidden="1" outlineLevel="1" collapsed="1" x14ac:dyDescent="0.25">
      <c r="A1629" s="295" t="s">
        <v>282</v>
      </c>
      <c r="B1629" s="295" t="s">
        <v>376</v>
      </c>
      <c r="C1629" s="293">
        <v>9040</v>
      </c>
      <c r="D1629" s="293">
        <v>8000</v>
      </c>
      <c r="E1629" s="293">
        <v>-1040</v>
      </c>
      <c r="F1629" s="294" t="s">
        <v>923</v>
      </c>
    </row>
    <row r="1630" spans="1:6" hidden="1" outlineLevel="1" collapsed="1" x14ac:dyDescent="0.25">
      <c r="A1630" s="295" t="s">
        <v>282</v>
      </c>
      <c r="B1630" s="295" t="s">
        <v>557</v>
      </c>
      <c r="C1630" s="293">
        <v>1960</v>
      </c>
      <c r="D1630" s="293">
        <v>0</v>
      </c>
      <c r="E1630" s="293">
        <v>-1960</v>
      </c>
      <c r="F1630" s="294" t="s">
        <v>286</v>
      </c>
    </row>
    <row r="1631" spans="1:6" collapsed="1" x14ac:dyDescent="0.25">
      <c r="A1631" s="560" t="s">
        <v>924</v>
      </c>
      <c r="B1631" s="561"/>
      <c r="C1631" s="292">
        <v>169709.63496600001</v>
      </c>
      <c r="D1631" s="293">
        <v>165708.765033</v>
      </c>
      <c r="E1631" s="293">
        <v>-4000.8699329999999</v>
      </c>
      <c r="F1631" s="294" t="s">
        <v>925</v>
      </c>
    </row>
    <row r="1632" spans="1:6" hidden="1" outlineLevel="1" collapsed="1" x14ac:dyDescent="0.25">
      <c r="A1632" s="295" t="s">
        <v>282</v>
      </c>
      <c r="B1632" s="295" t="s">
        <v>750</v>
      </c>
      <c r="C1632" s="293">
        <v>47.999997</v>
      </c>
      <c r="D1632" s="293">
        <v>0</v>
      </c>
      <c r="E1632" s="293">
        <v>-47.999997</v>
      </c>
      <c r="F1632" s="294" t="s">
        <v>286</v>
      </c>
    </row>
    <row r="1633" spans="1:6" hidden="1" outlineLevel="1" collapsed="1" x14ac:dyDescent="0.25">
      <c r="A1633" s="295" t="s">
        <v>282</v>
      </c>
      <c r="B1633" s="295" t="s">
        <v>464</v>
      </c>
      <c r="C1633" s="293">
        <v>116268.279562</v>
      </c>
      <c r="D1633" s="293">
        <v>118033.14961399999</v>
      </c>
      <c r="E1633" s="293">
        <v>1764.870052</v>
      </c>
      <c r="F1633" s="294" t="s">
        <v>926</v>
      </c>
    </row>
    <row r="1634" spans="1:6" hidden="1" outlineLevel="1" collapsed="1" x14ac:dyDescent="0.25">
      <c r="A1634" s="295" t="s">
        <v>282</v>
      </c>
      <c r="B1634" s="295" t="s">
        <v>360</v>
      </c>
      <c r="C1634" s="293">
        <v>2022.8543979999999</v>
      </c>
      <c r="D1634" s="293">
        <v>0</v>
      </c>
      <c r="E1634" s="293">
        <v>-2022.8543979999999</v>
      </c>
      <c r="F1634" s="294" t="s">
        <v>286</v>
      </c>
    </row>
    <row r="1635" spans="1:6" hidden="1" outlineLevel="1" collapsed="1" x14ac:dyDescent="0.25">
      <c r="A1635" s="295" t="s">
        <v>282</v>
      </c>
      <c r="B1635" s="295" t="s">
        <v>751</v>
      </c>
      <c r="C1635" s="293">
        <v>1898.409598</v>
      </c>
      <c r="D1635" s="293">
        <v>0</v>
      </c>
      <c r="E1635" s="293">
        <v>-1898.409598</v>
      </c>
      <c r="F1635" s="294" t="s">
        <v>286</v>
      </c>
    </row>
    <row r="1636" spans="1:6" hidden="1" outlineLevel="1" collapsed="1" x14ac:dyDescent="0.25">
      <c r="A1636" s="295" t="s">
        <v>282</v>
      </c>
      <c r="B1636" s="295" t="s">
        <v>384</v>
      </c>
      <c r="C1636" s="293">
        <v>11791.32142</v>
      </c>
      <c r="D1636" s="293">
        <v>0</v>
      </c>
      <c r="E1636" s="293">
        <v>-11791.32142</v>
      </c>
      <c r="F1636" s="294" t="s">
        <v>286</v>
      </c>
    </row>
    <row r="1637" spans="1:6" hidden="1" outlineLevel="1" collapsed="1" x14ac:dyDescent="0.25">
      <c r="A1637" s="295" t="s">
        <v>282</v>
      </c>
      <c r="B1637" s="295" t="s">
        <v>385</v>
      </c>
      <c r="C1637" s="293">
        <v>0</v>
      </c>
      <c r="D1637" s="293">
        <v>16413.013146000001</v>
      </c>
      <c r="E1637" s="293">
        <v>16413.013146000001</v>
      </c>
      <c r="F1637" s="294" t="s">
        <v>298</v>
      </c>
    </row>
    <row r="1638" spans="1:6" hidden="1" outlineLevel="1" collapsed="1" x14ac:dyDescent="0.25">
      <c r="A1638" s="295" t="s">
        <v>282</v>
      </c>
      <c r="B1638" s="295" t="s">
        <v>386</v>
      </c>
      <c r="C1638" s="293">
        <v>7208.6333139999997</v>
      </c>
      <c r="D1638" s="293">
        <v>0</v>
      </c>
      <c r="E1638" s="293">
        <v>-7208.6333139999997</v>
      </c>
      <c r="F1638" s="294" t="s">
        <v>286</v>
      </c>
    </row>
    <row r="1639" spans="1:6" hidden="1" outlineLevel="1" collapsed="1" x14ac:dyDescent="0.25">
      <c r="A1639" s="295" t="s">
        <v>282</v>
      </c>
      <c r="B1639" s="295" t="s">
        <v>387</v>
      </c>
      <c r="C1639" s="293">
        <v>0</v>
      </c>
      <c r="D1639" s="293">
        <v>7318.0552580000003</v>
      </c>
      <c r="E1639" s="293">
        <v>7318.0552580000003</v>
      </c>
      <c r="F1639" s="294" t="s">
        <v>298</v>
      </c>
    </row>
    <row r="1640" spans="1:6" hidden="1" outlineLevel="1" collapsed="1" x14ac:dyDescent="0.25">
      <c r="A1640" s="295" t="s">
        <v>282</v>
      </c>
      <c r="B1640" s="295" t="s">
        <v>753</v>
      </c>
      <c r="C1640" s="293">
        <v>901.92639799999995</v>
      </c>
      <c r="D1640" s="293">
        <v>0</v>
      </c>
      <c r="E1640" s="293">
        <v>-901.92639799999995</v>
      </c>
      <c r="F1640" s="294" t="s">
        <v>286</v>
      </c>
    </row>
    <row r="1641" spans="1:6" hidden="1" outlineLevel="1" collapsed="1" x14ac:dyDescent="0.25">
      <c r="A1641" s="295" t="s">
        <v>282</v>
      </c>
      <c r="B1641" s="295" t="s">
        <v>362</v>
      </c>
      <c r="C1641" s="293">
        <v>224.76159799999999</v>
      </c>
      <c r="D1641" s="293">
        <v>0</v>
      </c>
      <c r="E1641" s="293">
        <v>-224.76159799999999</v>
      </c>
      <c r="F1641" s="294" t="s">
        <v>286</v>
      </c>
    </row>
    <row r="1642" spans="1:6" hidden="1" outlineLevel="1" collapsed="1" x14ac:dyDescent="0.25">
      <c r="A1642" s="295" t="s">
        <v>282</v>
      </c>
      <c r="B1642" s="295" t="s">
        <v>388</v>
      </c>
      <c r="C1642" s="293">
        <v>1896.8244380000001</v>
      </c>
      <c r="D1642" s="293">
        <v>1711.4806510000001</v>
      </c>
      <c r="E1642" s="293">
        <v>-185.34378699999999</v>
      </c>
      <c r="F1642" s="294" t="s">
        <v>927</v>
      </c>
    </row>
    <row r="1643" spans="1:6" hidden="1" outlineLevel="1" collapsed="1" x14ac:dyDescent="0.25">
      <c r="A1643" s="295" t="s">
        <v>282</v>
      </c>
      <c r="B1643" s="295" t="s">
        <v>480</v>
      </c>
      <c r="C1643" s="293">
        <v>286.34491500000001</v>
      </c>
      <c r="D1643" s="293">
        <v>176.99980199999999</v>
      </c>
      <c r="E1643" s="293">
        <v>-109.345113</v>
      </c>
      <c r="F1643" s="294" t="s">
        <v>928</v>
      </c>
    </row>
    <row r="1644" spans="1:6" hidden="1" outlineLevel="1" collapsed="1" x14ac:dyDescent="0.25">
      <c r="A1644" s="295" t="s">
        <v>282</v>
      </c>
      <c r="B1644" s="295" t="s">
        <v>363</v>
      </c>
      <c r="C1644" s="293">
        <v>85.224959999999996</v>
      </c>
      <c r="D1644" s="293">
        <v>0</v>
      </c>
      <c r="E1644" s="293">
        <v>-85.224959999999996</v>
      </c>
      <c r="F1644" s="294" t="s">
        <v>286</v>
      </c>
    </row>
    <row r="1645" spans="1:6" hidden="1" outlineLevel="1" collapsed="1" x14ac:dyDescent="0.25">
      <c r="A1645" s="295" t="s">
        <v>282</v>
      </c>
      <c r="B1645" s="295" t="s">
        <v>365</v>
      </c>
      <c r="C1645" s="293">
        <v>3071.712</v>
      </c>
      <c r="D1645" s="293">
        <v>0</v>
      </c>
      <c r="E1645" s="293">
        <v>-3071.712</v>
      </c>
      <c r="F1645" s="294" t="s">
        <v>286</v>
      </c>
    </row>
    <row r="1646" spans="1:6" hidden="1" outlineLevel="1" collapsed="1" x14ac:dyDescent="0.25">
      <c r="A1646" s="295" t="s">
        <v>282</v>
      </c>
      <c r="B1646" s="295" t="s">
        <v>367</v>
      </c>
      <c r="C1646" s="293">
        <v>46.707839999999997</v>
      </c>
      <c r="D1646" s="293">
        <v>0</v>
      </c>
      <c r="E1646" s="293">
        <v>-46.707839999999997</v>
      </c>
      <c r="F1646" s="294" t="s">
        <v>286</v>
      </c>
    </row>
    <row r="1647" spans="1:6" hidden="1" outlineLevel="1" collapsed="1" x14ac:dyDescent="0.25">
      <c r="A1647" s="295" t="s">
        <v>282</v>
      </c>
      <c r="B1647" s="295" t="s">
        <v>389</v>
      </c>
      <c r="C1647" s="293">
        <v>703.10591999999997</v>
      </c>
      <c r="D1647" s="293">
        <v>738.57</v>
      </c>
      <c r="E1647" s="293">
        <v>35.464080000000003</v>
      </c>
      <c r="F1647" s="294" t="s">
        <v>729</v>
      </c>
    </row>
    <row r="1648" spans="1:6" hidden="1" outlineLevel="1" collapsed="1" x14ac:dyDescent="0.25">
      <c r="A1648" s="295" t="s">
        <v>282</v>
      </c>
      <c r="B1648" s="295" t="s">
        <v>390</v>
      </c>
      <c r="C1648" s="293">
        <v>14717.342000000001</v>
      </c>
      <c r="D1648" s="293">
        <v>15959.28</v>
      </c>
      <c r="E1648" s="293">
        <v>1241.9380000000001</v>
      </c>
      <c r="F1648" s="294" t="s">
        <v>929</v>
      </c>
    </row>
    <row r="1649" spans="1:6" hidden="1" outlineLevel="1" collapsed="1" x14ac:dyDescent="0.25">
      <c r="A1649" s="295" t="s">
        <v>282</v>
      </c>
      <c r="B1649" s="295" t="s">
        <v>392</v>
      </c>
      <c r="C1649" s="293">
        <v>385.33967999999999</v>
      </c>
      <c r="D1649" s="293">
        <v>320.04000000000002</v>
      </c>
      <c r="E1649" s="293">
        <v>-65.299679999999995</v>
      </c>
      <c r="F1649" s="294" t="s">
        <v>930</v>
      </c>
    </row>
    <row r="1650" spans="1:6" hidden="1" outlineLevel="1" collapsed="1" x14ac:dyDescent="0.25">
      <c r="A1650" s="295" t="s">
        <v>282</v>
      </c>
      <c r="B1650" s="295" t="s">
        <v>754</v>
      </c>
      <c r="C1650" s="293">
        <v>3071.712</v>
      </c>
      <c r="D1650" s="293">
        <v>0</v>
      </c>
      <c r="E1650" s="293">
        <v>-3071.712</v>
      </c>
      <c r="F1650" s="294" t="s">
        <v>286</v>
      </c>
    </row>
    <row r="1651" spans="1:6" hidden="1" outlineLevel="1" collapsed="1" x14ac:dyDescent="0.25">
      <c r="A1651" s="295" t="s">
        <v>282</v>
      </c>
      <c r="B1651" s="295" t="s">
        <v>755</v>
      </c>
      <c r="C1651" s="293">
        <v>85.224959999999996</v>
      </c>
      <c r="D1651" s="293">
        <v>0</v>
      </c>
      <c r="E1651" s="293">
        <v>-85.224959999999996</v>
      </c>
      <c r="F1651" s="294" t="s">
        <v>286</v>
      </c>
    </row>
    <row r="1652" spans="1:6" hidden="1" outlineLevel="1" collapsed="1" x14ac:dyDescent="0.25">
      <c r="A1652" s="295" t="s">
        <v>282</v>
      </c>
      <c r="B1652" s="295" t="s">
        <v>756</v>
      </c>
      <c r="C1652" s="293">
        <v>46.707839999999997</v>
      </c>
      <c r="D1652" s="293">
        <v>0</v>
      </c>
      <c r="E1652" s="293">
        <v>-46.707839999999997</v>
      </c>
      <c r="F1652" s="294" t="s">
        <v>286</v>
      </c>
    </row>
    <row r="1653" spans="1:6" hidden="1" outlineLevel="1" collapsed="1" x14ac:dyDescent="0.25">
      <c r="A1653" s="295" t="s">
        <v>282</v>
      </c>
      <c r="B1653" s="295" t="s">
        <v>369</v>
      </c>
      <c r="C1653" s="293">
        <v>7.7503989999999998</v>
      </c>
      <c r="D1653" s="293">
        <v>0</v>
      </c>
      <c r="E1653" s="293">
        <v>-7.7503989999999998</v>
      </c>
      <c r="F1653" s="294" t="s">
        <v>286</v>
      </c>
    </row>
    <row r="1654" spans="1:6" hidden="1" outlineLevel="1" collapsed="1" x14ac:dyDescent="0.25">
      <c r="A1654" s="295" t="s">
        <v>282</v>
      </c>
      <c r="B1654" s="295" t="s">
        <v>393</v>
      </c>
      <c r="C1654" s="293">
        <v>58.134131000000004</v>
      </c>
      <c r="D1654" s="293">
        <v>59.016562</v>
      </c>
      <c r="E1654" s="293">
        <v>0.88243099999999997</v>
      </c>
      <c r="F1654" s="294" t="s">
        <v>926</v>
      </c>
    </row>
    <row r="1655" spans="1:6" hidden="1" outlineLevel="1" collapsed="1" x14ac:dyDescent="0.25">
      <c r="A1655" s="295" t="s">
        <v>282</v>
      </c>
      <c r="B1655" s="295" t="s">
        <v>757</v>
      </c>
      <c r="C1655" s="293">
        <v>7.2735979999999998</v>
      </c>
      <c r="D1655" s="293">
        <v>0</v>
      </c>
      <c r="E1655" s="293">
        <v>-7.2735979999999998</v>
      </c>
      <c r="F1655" s="294" t="s">
        <v>286</v>
      </c>
    </row>
    <row r="1656" spans="1:6" hidden="1" outlineLevel="1" collapsed="1" x14ac:dyDescent="0.25">
      <c r="A1656" s="295" t="s">
        <v>282</v>
      </c>
      <c r="B1656" s="295" t="s">
        <v>370</v>
      </c>
      <c r="C1656" s="293">
        <v>300</v>
      </c>
      <c r="D1656" s="293">
        <v>0</v>
      </c>
      <c r="E1656" s="293">
        <v>-300</v>
      </c>
      <c r="F1656" s="294" t="s">
        <v>286</v>
      </c>
    </row>
    <row r="1657" spans="1:6" hidden="1" outlineLevel="1" collapsed="1" x14ac:dyDescent="0.25">
      <c r="A1657" s="295" t="s">
        <v>282</v>
      </c>
      <c r="B1657" s="295" t="s">
        <v>394</v>
      </c>
      <c r="C1657" s="293">
        <v>2475</v>
      </c>
      <c r="D1657" s="293">
        <v>0</v>
      </c>
      <c r="E1657" s="293">
        <v>-2475</v>
      </c>
      <c r="F1657" s="294" t="s">
        <v>286</v>
      </c>
    </row>
    <row r="1658" spans="1:6" hidden="1" outlineLevel="1" collapsed="1" x14ac:dyDescent="0.25">
      <c r="A1658" s="295" t="s">
        <v>282</v>
      </c>
      <c r="B1658" s="295" t="s">
        <v>395</v>
      </c>
      <c r="C1658" s="293">
        <v>0</v>
      </c>
      <c r="D1658" s="293">
        <v>2625</v>
      </c>
      <c r="E1658" s="293">
        <v>2625</v>
      </c>
      <c r="F1658" s="294" t="s">
        <v>298</v>
      </c>
    </row>
    <row r="1659" spans="1:6" hidden="1" outlineLevel="1" collapsed="1" x14ac:dyDescent="0.25">
      <c r="A1659" s="295" t="s">
        <v>282</v>
      </c>
      <c r="B1659" s="295" t="s">
        <v>759</v>
      </c>
      <c r="C1659" s="293">
        <v>300</v>
      </c>
      <c r="D1659" s="293">
        <v>0</v>
      </c>
      <c r="E1659" s="293">
        <v>-300</v>
      </c>
      <c r="F1659" s="294" t="s">
        <v>286</v>
      </c>
    </row>
    <row r="1660" spans="1:6" hidden="1" outlineLevel="1" collapsed="1" x14ac:dyDescent="0.25">
      <c r="A1660" s="295" t="s">
        <v>282</v>
      </c>
      <c r="B1660" s="295" t="s">
        <v>371</v>
      </c>
      <c r="C1660" s="293">
        <v>9.9359999999999999</v>
      </c>
      <c r="D1660" s="293">
        <v>0</v>
      </c>
      <c r="E1660" s="293">
        <v>-9.9359999999999999</v>
      </c>
      <c r="F1660" s="294" t="s">
        <v>286</v>
      </c>
    </row>
    <row r="1661" spans="1:6" hidden="1" outlineLevel="1" collapsed="1" x14ac:dyDescent="0.25">
      <c r="A1661" s="295" t="s">
        <v>282</v>
      </c>
      <c r="B1661" s="295" t="s">
        <v>396</v>
      </c>
      <c r="C1661" s="293">
        <v>81.971999999999994</v>
      </c>
      <c r="D1661" s="293">
        <v>0</v>
      </c>
      <c r="E1661" s="293">
        <v>-81.971999999999994</v>
      </c>
      <c r="F1661" s="294" t="s">
        <v>286</v>
      </c>
    </row>
    <row r="1662" spans="1:6" hidden="1" outlineLevel="1" collapsed="1" x14ac:dyDescent="0.25">
      <c r="A1662" s="295" t="s">
        <v>282</v>
      </c>
      <c r="B1662" s="295" t="s">
        <v>397</v>
      </c>
      <c r="C1662" s="293">
        <v>0</v>
      </c>
      <c r="D1662" s="293">
        <v>84.84</v>
      </c>
      <c r="E1662" s="293">
        <v>84.84</v>
      </c>
      <c r="F1662" s="294" t="s">
        <v>298</v>
      </c>
    </row>
    <row r="1663" spans="1:6" hidden="1" outlineLevel="1" collapsed="1" x14ac:dyDescent="0.25">
      <c r="A1663" s="295" t="s">
        <v>282</v>
      </c>
      <c r="B1663" s="295" t="s">
        <v>761</v>
      </c>
      <c r="C1663" s="293">
        <v>9.9359999999999999</v>
      </c>
      <c r="D1663" s="293">
        <v>0</v>
      </c>
      <c r="E1663" s="293">
        <v>-9.9359999999999999</v>
      </c>
      <c r="F1663" s="294" t="s">
        <v>286</v>
      </c>
    </row>
    <row r="1664" spans="1:6" hidden="1" outlineLevel="1" collapsed="1" x14ac:dyDescent="0.25">
      <c r="A1664" s="295" t="s">
        <v>282</v>
      </c>
      <c r="B1664" s="295" t="s">
        <v>373</v>
      </c>
      <c r="C1664" s="293">
        <v>4.8</v>
      </c>
      <c r="D1664" s="293">
        <v>0</v>
      </c>
      <c r="E1664" s="293">
        <v>-4.8</v>
      </c>
      <c r="F1664" s="294" t="s">
        <v>286</v>
      </c>
    </row>
    <row r="1665" spans="1:6" hidden="1" outlineLevel="1" collapsed="1" x14ac:dyDescent="0.25">
      <c r="A1665" s="295" t="s">
        <v>282</v>
      </c>
      <c r="B1665" s="295" t="s">
        <v>398</v>
      </c>
      <c r="C1665" s="293">
        <v>39.6</v>
      </c>
      <c r="D1665" s="293">
        <v>19.32</v>
      </c>
      <c r="E1665" s="293">
        <v>-20.28</v>
      </c>
      <c r="F1665" s="294" t="s">
        <v>931</v>
      </c>
    </row>
    <row r="1666" spans="1:6" hidden="1" outlineLevel="1" collapsed="1" x14ac:dyDescent="0.25">
      <c r="A1666" s="295" t="s">
        <v>282</v>
      </c>
      <c r="B1666" s="295" t="s">
        <v>763</v>
      </c>
      <c r="C1666" s="293">
        <v>4.8</v>
      </c>
      <c r="D1666" s="293">
        <v>0</v>
      </c>
      <c r="E1666" s="293">
        <v>-4.8</v>
      </c>
      <c r="F1666" s="294" t="s">
        <v>286</v>
      </c>
    </row>
    <row r="1667" spans="1:6" hidden="1" outlineLevel="1" collapsed="1" x14ac:dyDescent="0.25">
      <c r="A1667" s="295" t="s">
        <v>282</v>
      </c>
      <c r="B1667" s="295" t="s">
        <v>522</v>
      </c>
      <c r="C1667" s="293">
        <v>1650</v>
      </c>
      <c r="D1667" s="293">
        <v>2250</v>
      </c>
      <c r="E1667" s="293">
        <v>600</v>
      </c>
      <c r="F1667" s="294" t="s">
        <v>932</v>
      </c>
    </row>
    <row r="1668" spans="1:6" collapsed="1" x14ac:dyDescent="0.25">
      <c r="A1668" s="560" t="s">
        <v>933</v>
      </c>
      <c r="B1668" s="561"/>
      <c r="C1668" s="292">
        <v>304328.318921</v>
      </c>
      <c r="D1668" s="293">
        <v>288241.38369599998</v>
      </c>
      <c r="E1668" s="293">
        <v>-16086.935224999999</v>
      </c>
      <c r="F1668" s="294" t="s">
        <v>934</v>
      </c>
    </row>
    <row r="1669" spans="1:6" hidden="1" outlineLevel="1" collapsed="1" x14ac:dyDescent="0.25">
      <c r="A1669" s="295" t="s">
        <v>282</v>
      </c>
      <c r="B1669" s="295" t="s">
        <v>780</v>
      </c>
      <c r="C1669" s="293">
        <v>135039.819036</v>
      </c>
      <c r="D1669" s="293">
        <v>137048.31487199999</v>
      </c>
      <c r="E1669" s="293">
        <v>2008.4958360000001</v>
      </c>
      <c r="F1669" s="294" t="s">
        <v>781</v>
      </c>
    </row>
    <row r="1670" spans="1:6" hidden="1" outlineLevel="1" collapsed="1" x14ac:dyDescent="0.25">
      <c r="A1670" s="295" t="s">
        <v>282</v>
      </c>
      <c r="B1670" s="295" t="s">
        <v>464</v>
      </c>
      <c r="C1670" s="293">
        <v>71405.861011000001</v>
      </c>
      <c r="D1670" s="293">
        <v>73704.554548999993</v>
      </c>
      <c r="E1670" s="293">
        <v>2298.693538</v>
      </c>
      <c r="F1670" s="294" t="s">
        <v>647</v>
      </c>
    </row>
    <row r="1671" spans="1:6" hidden="1" outlineLevel="1" collapsed="1" x14ac:dyDescent="0.25">
      <c r="A1671" s="295" t="s">
        <v>282</v>
      </c>
      <c r="B1671" s="295" t="s">
        <v>935</v>
      </c>
      <c r="C1671" s="293">
        <v>24812</v>
      </c>
      <c r="D1671" s="293">
        <v>0</v>
      </c>
      <c r="E1671" s="293">
        <v>-24812</v>
      </c>
      <c r="F1671" s="294" t="s">
        <v>286</v>
      </c>
    </row>
    <row r="1672" spans="1:6" hidden="1" outlineLevel="1" collapsed="1" x14ac:dyDescent="0.25">
      <c r="A1672" s="295" t="s">
        <v>282</v>
      </c>
      <c r="B1672" s="295" t="s">
        <v>751</v>
      </c>
      <c r="C1672" s="293">
        <v>17473.926383999999</v>
      </c>
      <c r="D1672" s="293">
        <v>0</v>
      </c>
      <c r="E1672" s="293">
        <v>-17473.926383999999</v>
      </c>
      <c r="F1672" s="294" t="s">
        <v>286</v>
      </c>
    </row>
    <row r="1673" spans="1:6" hidden="1" outlineLevel="1" collapsed="1" x14ac:dyDescent="0.25">
      <c r="A1673" s="295" t="s">
        <v>282</v>
      </c>
      <c r="B1673" s="295" t="s">
        <v>752</v>
      </c>
      <c r="C1673" s="293">
        <v>0</v>
      </c>
      <c r="D1673" s="293">
        <v>19611.569832000001</v>
      </c>
      <c r="E1673" s="293">
        <v>19611.569832000001</v>
      </c>
      <c r="F1673" s="294" t="s">
        <v>298</v>
      </c>
    </row>
    <row r="1674" spans="1:6" hidden="1" outlineLevel="1" collapsed="1" x14ac:dyDescent="0.25">
      <c r="A1674" s="295" t="s">
        <v>282</v>
      </c>
      <c r="B1674" s="295" t="s">
        <v>384</v>
      </c>
      <c r="C1674" s="293">
        <v>8901.0873100000008</v>
      </c>
      <c r="D1674" s="293">
        <v>0</v>
      </c>
      <c r="E1674" s="293">
        <v>-8901.0873100000008</v>
      </c>
      <c r="F1674" s="294" t="s">
        <v>286</v>
      </c>
    </row>
    <row r="1675" spans="1:6" hidden="1" outlineLevel="1" collapsed="1" x14ac:dyDescent="0.25">
      <c r="A1675" s="295" t="s">
        <v>282</v>
      </c>
      <c r="B1675" s="295" t="s">
        <v>385</v>
      </c>
      <c r="C1675" s="293">
        <v>0</v>
      </c>
      <c r="D1675" s="293">
        <v>11542.61961</v>
      </c>
      <c r="E1675" s="293">
        <v>11542.61961</v>
      </c>
      <c r="F1675" s="294" t="s">
        <v>298</v>
      </c>
    </row>
    <row r="1676" spans="1:6" hidden="1" outlineLevel="1" collapsed="1" x14ac:dyDescent="0.25">
      <c r="A1676" s="295" t="s">
        <v>282</v>
      </c>
      <c r="B1676" s="295" t="s">
        <v>386</v>
      </c>
      <c r="C1676" s="293">
        <v>4427.1633730000003</v>
      </c>
      <c r="D1676" s="293">
        <v>0</v>
      </c>
      <c r="E1676" s="293">
        <v>-4427.1633730000003</v>
      </c>
      <c r="F1676" s="294" t="s">
        <v>286</v>
      </c>
    </row>
    <row r="1677" spans="1:6" hidden="1" outlineLevel="1" collapsed="1" x14ac:dyDescent="0.25">
      <c r="A1677" s="295" t="s">
        <v>282</v>
      </c>
      <c r="B1677" s="295" t="s">
        <v>387</v>
      </c>
      <c r="C1677" s="293">
        <v>0</v>
      </c>
      <c r="D1677" s="293">
        <v>4569.6823770000001</v>
      </c>
      <c r="E1677" s="293">
        <v>4569.6823770000001</v>
      </c>
      <c r="F1677" s="294" t="s">
        <v>298</v>
      </c>
    </row>
    <row r="1678" spans="1:6" hidden="1" outlineLevel="1" collapsed="1" x14ac:dyDescent="0.25">
      <c r="A1678" s="295" t="s">
        <v>282</v>
      </c>
      <c r="B1678" s="295" t="s">
        <v>388</v>
      </c>
      <c r="C1678" s="293">
        <v>1035.3849749999999</v>
      </c>
      <c r="D1678" s="293">
        <v>1068.7160280000001</v>
      </c>
      <c r="E1678" s="293">
        <v>33.331052999999997</v>
      </c>
      <c r="F1678" s="294" t="s">
        <v>647</v>
      </c>
    </row>
    <row r="1679" spans="1:6" hidden="1" outlineLevel="1" collapsed="1" x14ac:dyDescent="0.25">
      <c r="A1679" s="295" t="s">
        <v>282</v>
      </c>
      <c r="B1679" s="295" t="s">
        <v>444</v>
      </c>
      <c r="C1679" s="293">
        <v>1109</v>
      </c>
      <c r="D1679" s="293">
        <v>0</v>
      </c>
      <c r="E1679" s="293">
        <v>-1109</v>
      </c>
      <c r="F1679" s="294" t="s">
        <v>286</v>
      </c>
    </row>
    <row r="1680" spans="1:6" hidden="1" outlineLevel="1" collapsed="1" x14ac:dyDescent="0.25">
      <c r="A1680" s="295" t="s">
        <v>282</v>
      </c>
      <c r="B1680" s="295" t="s">
        <v>389</v>
      </c>
      <c r="C1680" s="293">
        <v>532.65599999999995</v>
      </c>
      <c r="D1680" s="293">
        <v>527.54999999999995</v>
      </c>
      <c r="E1680" s="293">
        <v>-5.1059999999999999</v>
      </c>
      <c r="F1680" s="294" t="s">
        <v>364</v>
      </c>
    </row>
    <row r="1681" spans="1:6" hidden="1" outlineLevel="1" collapsed="1" x14ac:dyDescent="0.25">
      <c r="A1681" s="295" t="s">
        <v>282</v>
      </c>
      <c r="B1681" s="295" t="s">
        <v>390</v>
      </c>
      <c r="C1681" s="293">
        <v>15485.27</v>
      </c>
      <c r="D1681" s="293">
        <v>15959.28</v>
      </c>
      <c r="E1681" s="293">
        <v>474.01</v>
      </c>
      <c r="F1681" s="294" t="s">
        <v>391</v>
      </c>
    </row>
    <row r="1682" spans="1:6" hidden="1" outlineLevel="1" collapsed="1" x14ac:dyDescent="0.25">
      <c r="A1682" s="295" t="s">
        <v>282</v>
      </c>
      <c r="B1682" s="295" t="s">
        <v>392</v>
      </c>
      <c r="C1682" s="293">
        <v>291.92399999999998</v>
      </c>
      <c r="D1682" s="293">
        <v>228.6</v>
      </c>
      <c r="E1682" s="293">
        <v>-63.323999999999998</v>
      </c>
      <c r="F1682" s="294" t="s">
        <v>368</v>
      </c>
    </row>
    <row r="1683" spans="1:6" hidden="1" outlineLevel="1" collapsed="1" x14ac:dyDescent="0.25">
      <c r="A1683" s="295" t="s">
        <v>282</v>
      </c>
      <c r="B1683" s="295" t="s">
        <v>754</v>
      </c>
      <c r="C1683" s="293">
        <v>15358.56</v>
      </c>
      <c r="D1683" s="293">
        <v>15959.28</v>
      </c>
      <c r="E1683" s="293">
        <v>600.72</v>
      </c>
      <c r="F1683" s="294" t="s">
        <v>366</v>
      </c>
    </row>
    <row r="1684" spans="1:6" hidden="1" outlineLevel="1" collapsed="1" x14ac:dyDescent="0.25">
      <c r="A1684" s="295" t="s">
        <v>282</v>
      </c>
      <c r="B1684" s="295" t="s">
        <v>755</v>
      </c>
      <c r="C1684" s="293">
        <v>426.12479999999999</v>
      </c>
      <c r="D1684" s="293">
        <v>422.04</v>
      </c>
      <c r="E1684" s="293">
        <v>-4.0848000000000004</v>
      </c>
      <c r="F1684" s="294" t="s">
        <v>364</v>
      </c>
    </row>
    <row r="1685" spans="1:6" hidden="1" outlineLevel="1" collapsed="1" x14ac:dyDescent="0.25">
      <c r="A1685" s="295" t="s">
        <v>282</v>
      </c>
      <c r="B1685" s="295" t="s">
        <v>756</v>
      </c>
      <c r="C1685" s="293">
        <v>233.53919999999999</v>
      </c>
      <c r="D1685" s="293">
        <v>182.88</v>
      </c>
      <c r="E1685" s="293">
        <v>-50.659199999999998</v>
      </c>
      <c r="F1685" s="294" t="s">
        <v>368</v>
      </c>
    </row>
    <row r="1686" spans="1:6" hidden="1" outlineLevel="1" collapsed="1" x14ac:dyDescent="0.25">
      <c r="A1686" s="295" t="s">
        <v>282</v>
      </c>
      <c r="B1686" s="295" t="s">
        <v>393</v>
      </c>
      <c r="C1686" s="293">
        <v>35.702924000000003</v>
      </c>
      <c r="D1686" s="293">
        <v>36.852276000000003</v>
      </c>
      <c r="E1686" s="293">
        <v>1.1493519999999999</v>
      </c>
      <c r="F1686" s="294" t="s">
        <v>647</v>
      </c>
    </row>
    <row r="1687" spans="1:6" hidden="1" outlineLevel="1" collapsed="1" x14ac:dyDescent="0.25">
      <c r="A1687" s="295" t="s">
        <v>282</v>
      </c>
      <c r="B1687" s="295" t="s">
        <v>757</v>
      </c>
      <c r="C1687" s="293">
        <v>67.519908000000001</v>
      </c>
      <c r="D1687" s="293">
        <v>0</v>
      </c>
      <c r="E1687" s="293">
        <v>-67.519908000000001</v>
      </c>
      <c r="F1687" s="294" t="s">
        <v>286</v>
      </c>
    </row>
    <row r="1688" spans="1:6" hidden="1" outlineLevel="1" collapsed="1" x14ac:dyDescent="0.25">
      <c r="A1688" s="295" t="s">
        <v>282</v>
      </c>
      <c r="B1688" s="295" t="s">
        <v>758</v>
      </c>
      <c r="C1688" s="293">
        <v>0</v>
      </c>
      <c r="D1688" s="293">
        <v>68.524152000000001</v>
      </c>
      <c r="E1688" s="293">
        <v>68.524152000000001</v>
      </c>
      <c r="F1688" s="294" t="s">
        <v>298</v>
      </c>
    </row>
    <row r="1689" spans="1:6" hidden="1" outlineLevel="1" collapsed="1" x14ac:dyDescent="0.25">
      <c r="A1689" s="295" t="s">
        <v>282</v>
      </c>
      <c r="B1689" s="295" t="s">
        <v>394</v>
      </c>
      <c r="C1689" s="293">
        <v>1875</v>
      </c>
      <c r="D1689" s="293">
        <v>0</v>
      </c>
      <c r="E1689" s="293">
        <v>-1875</v>
      </c>
      <c r="F1689" s="294" t="s">
        <v>286</v>
      </c>
    </row>
    <row r="1690" spans="1:6" hidden="1" outlineLevel="1" collapsed="1" x14ac:dyDescent="0.25">
      <c r="A1690" s="295" t="s">
        <v>282</v>
      </c>
      <c r="B1690" s="295" t="s">
        <v>395</v>
      </c>
      <c r="C1690" s="293">
        <v>0</v>
      </c>
      <c r="D1690" s="293">
        <v>1875</v>
      </c>
      <c r="E1690" s="293">
        <v>1875</v>
      </c>
      <c r="F1690" s="294" t="s">
        <v>298</v>
      </c>
    </row>
    <row r="1691" spans="1:6" hidden="1" outlineLevel="1" collapsed="1" x14ac:dyDescent="0.25">
      <c r="A1691" s="295" t="s">
        <v>282</v>
      </c>
      <c r="B1691" s="295" t="s">
        <v>759</v>
      </c>
      <c r="C1691" s="293">
        <v>1500</v>
      </c>
      <c r="D1691" s="293">
        <v>0</v>
      </c>
      <c r="E1691" s="293">
        <v>-1500</v>
      </c>
      <c r="F1691" s="294" t="s">
        <v>286</v>
      </c>
    </row>
    <row r="1692" spans="1:6" hidden="1" outlineLevel="1" collapsed="1" x14ac:dyDescent="0.25">
      <c r="A1692" s="295" t="s">
        <v>282</v>
      </c>
      <c r="B1692" s="295" t="s">
        <v>760</v>
      </c>
      <c r="C1692" s="293">
        <v>0</v>
      </c>
      <c r="D1692" s="293">
        <v>1500</v>
      </c>
      <c r="E1692" s="293">
        <v>1500</v>
      </c>
      <c r="F1692" s="294" t="s">
        <v>298</v>
      </c>
    </row>
    <row r="1693" spans="1:6" hidden="1" outlineLevel="1" collapsed="1" x14ac:dyDescent="0.25">
      <c r="A1693" s="295" t="s">
        <v>282</v>
      </c>
      <c r="B1693" s="295" t="s">
        <v>396</v>
      </c>
      <c r="C1693" s="293">
        <v>62.1</v>
      </c>
      <c r="D1693" s="293">
        <v>0</v>
      </c>
      <c r="E1693" s="293">
        <v>-62.1</v>
      </c>
      <c r="F1693" s="294" t="s">
        <v>286</v>
      </c>
    </row>
    <row r="1694" spans="1:6" hidden="1" outlineLevel="1" collapsed="1" x14ac:dyDescent="0.25">
      <c r="A1694" s="295" t="s">
        <v>282</v>
      </c>
      <c r="B1694" s="295" t="s">
        <v>397</v>
      </c>
      <c r="C1694" s="293">
        <v>0</v>
      </c>
      <c r="D1694" s="293">
        <v>60.6</v>
      </c>
      <c r="E1694" s="293">
        <v>60.6</v>
      </c>
      <c r="F1694" s="294" t="s">
        <v>298</v>
      </c>
    </row>
    <row r="1695" spans="1:6" hidden="1" outlineLevel="1" collapsed="1" x14ac:dyDescent="0.25">
      <c r="A1695" s="295" t="s">
        <v>282</v>
      </c>
      <c r="B1695" s="295" t="s">
        <v>761</v>
      </c>
      <c r="C1695" s="293">
        <v>49.68</v>
      </c>
      <c r="D1695" s="293">
        <v>0</v>
      </c>
      <c r="E1695" s="293">
        <v>-49.68</v>
      </c>
      <c r="F1695" s="294" t="s">
        <v>286</v>
      </c>
    </row>
    <row r="1696" spans="1:6" hidden="1" outlineLevel="1" collapsed="1" x14ac:dyDescent="0.25">
      <c r="A1696" s="295" t="s">
        <v>282</v>
      </c>
      <c r="B1696" s="295" t="s">
        <v>762</v>
      </c>
      <c r="C1696" s="293">
        <v>0</v>
      </c>
      <c r="D1696" s="293">
        <v>48.48</v>
      </c>
      <c r="E1696" s="293">
        <v>48.48</v>
      </c>
      <c r="F1696" s="294" t="s">
        <v>298</v>
      </c>
    </row>
    <row r="1697" spans="1:6" hidden="1" outlineLevel="1" collapsed="1" x14ac:dyDescent="0.25">
      <c r="A1697" s="295" t="s">
        <v>282</v>
      </c>
      <c r="B1697" s="295" t="s">
        <v>398</v>
      </c>
      <c r="C1697" s="293">
        <v>30</v>
      </c>
      <c r="D1697" s="293">
        <v>13.8</v>
      </c>
      <c r="E1697" s="293">
        <v>-16.2</v>
      </c>
      <c r="F1697" s="294" t="s">
        <v>374</v>
      </c>
    </row>
    <row r="1698" spans="1:6" hidden="1" outlineLevel="1" collapsed="1" x14ac:dyDescent="0.25">
      <c r="A1698" s="295" t="s">
        <v>282</v>
      </c>
      <c r="B1698" s="295" t="s">
        <v>763</v>
      </c>
      <c r="C1698" s="293">
        <v>24</v>
      </c>
      <c r="D1698" s="293">
        <v>11.04</v>
      </c>
      <c r="E1698" s="293">
        <v>-12.96</v>
      </c>
      <c r="F1698" s="294" t="s">
        <v>374</v>
      </c>
    </row>
    <row r="1699" spans="1:6" hidden="1" outlineLevel="1" collapsed="1" x14ac:dyDescent="0.25">
      <c r="A1699" s="295" t="s">
        <v>282</v>
      </c>
      <c r="B1699" s="295" t="s">
        <v>522</v>
      </c>
      <c r="C1699" s="293">
        <v>750</v>
      </c>
      <c r="D1699" s="293">
        <v>750</v>
      </c>
      <c r="E1699" s="293">
        <v>0</v>
      </c>
      <c r="F1699" s="294" t="s">
        <v>316</v>
      </c>
    </row>
    <row r="1700" spans="1:6" hidden="1" outlineLevel="1" collapsed="1" x14ac:dyDescent="0.25">
      <c r="A1700" s="295" t="s">
        <v>282</v>
      </c>
      <c r="B1700" s="295" t="s">
        <v>523</v>
      </c>
      <c r="C1700" s="293">
        <v>75.83</v>
      </c>
      <c r="D1700" s="293">
        <v>90</v>
      </c>
      <c r="E1700" s="293">
        <v>14.17</v>
      </c>
      <c r="F1700" s="294" t="s">
        <v>936</v>
      </c>
    </row>
    <row r="1701" spans="1:6" hidden="1" outlineLevel="1" collapsed="1" x14ac:dyDescent="0.25">
      <c r="A1701" s="295" t="s">
        <v>282</v>
      </c>
      <c r="B1701" s="295" t="s">
        <v>399</v>
      </c>
      <c r="C1701" s="293">
        <v>285</v>
      </c>
      <c r="D1701" s="293">
        <v>229</v>
      </c>
      <c r="E1701" s="293">
        <v>-56</v>
      </c>
      <c r="F1701" s="294" t="s">
        <v>937</v>
      </c>
    </row>
    <row r="1702" spans="1:6" hidden="1" outlineLevel="1" collapsed="1" x14ac:dyDescent="0.25">
      <c r="A1702" s="295" t="s">
        <v>282</v>
      </c>
      <c r="B1702" s="295" t="s">
        <v>431</v>
      </c>
      <c r="C1702" s="293">
        <v>350</v>
      </c>
      <c r="D1702" s="293">
        <v>0</v>
      </c>
      <c r="E1702" s="293">
        <v>-350</v>
      </c>
      <c r="F1702" s="294" t="s">
        <v>286</v>
      </c>
    </row>
    <row r="1703" spans="1:6" hidden="1" outlineLevel="1" collapsed="1" x14ac:dyDescent="0.25">
      <c r="A1703" s="295" t="s">
        <v>282</v>
      </c>
      <c r="B1703" s="295" t="s">
        <v>376</v>
      </c>
      <c r="C1703" s="293">
        <v>364</v>
      </c>
      <c r="D1703" s="293">
        <v>364</v>
      </c>
      <c r="E1703" s="293">
        <v>0</v>
      </c>
      <c r="F1703" s="294" t="s">
        <v>316</v>
      </c>
    </row>
    <row r="1704" spans="1:6" hidden="1" outlineLevel="1" collapsed="1" x14ac:dyDescent="0.25">
      <c r="A1704" s="295" t="s">
        <v>282</v>
      </c>
      <c r="B1704" s="295" t="s">
        <v>662</v>
      </c>
      <c r="C1704" s="293">
        <v>250</v>
      </c>
      <c r="D1704" s="293">
        <v>240</v>
      </c>
      <c r="E1704" s="293">
        <v>-10</v>
      </c>
      <c r="F1704" s="294" t="s">
        <v>938</v>
      </c>
    </row>
    <row r="1705" spans="1:6" hidden="1" outlineLevel="1" collapsed="1" x14ac:dyDescent="0.25">
      <c r="A1705" s="295" t="s">
        <v>282</v>
      </c>
      <c r="B1705" s="295" t="s">
        <v>426</v>
      </c>
      <c r="C1705" s="293">
        <v>1628.17</v>
      </c>
      <c r="D1705" s="293">
        <v>1629</v>
      </c>
      <c r="E1705" s="293">
        <v>0.83</v>
      </c>
      <c r="F1705" s="294" t="s">
        <v>939</v>
      </c>
    </row>
    <row r="1706" spans="1:6" hidden="1" outlineLevel="1" collapsed="1" x14ac:dyDescent="0.25">
      <c r="A1706" s="295" t="s">
        <v>282</v>
      </c>
      <c r="B1706" s="295" t="s">
        <v>597</v>
      </c>
      <c r="C1706" s="293">
        <v>449</v>
      </c>
      <c r="D1706" s="293">
        <v>500</v>
      </c>
      <c r="E1706" s="293">
        <v>51</v>
      </c>
      <c r="F1706" s="294" t="s">
        <v>940</v>
      </c>
    </row>
    <row r="1707" spans="1:6" collapsed="1" x14ac:dyDescent="0.25">
      <c r="A1707" s="560" t="s">
        <v>941</v>
      </c>
      <c r="B1707" s="561"/>
      <c r="C1707" s="292">
        <v>315443.55914299999</v>
      </c>
      <c r="D1707" s="293">
        <v>326991.68007399997</v>
      </c>
      <c r="E1707" s="293">
        <v>11548.120930999999</v>
      </c>
      <c r="F1707" s="294" t="s">
        <v>414</v>
      </c>
    </row>
    <row r="1708" spans="1:6" hidden="1" outlineLevel="1" collapsed="1" x14ac:dyDescent="0.25">
      <c r="A1708" s="295" t="s">
        <v>282</v>
      </c>
      <c r="B1708" s="295" t="s">
        <v>942</v>
      </c>
      <c r="C1708" s="293">
        <v>115666.358076</v>
      </c>
      <c r="D1708" s="293">
        <v>123271.576476</v>
      </c>
      <c r="E1708" s="293">
        <v>7605.2183999999997</v>
      </c>
      <c r="F1708" s="294" t="s">
        <v>790</v>
      </c>
    </row>
    <row r="1709" spans="1:6" hidden="1" outlineLevel="1" collapsed="1" x14ac:dyDescent="0.25">
      <c r="A1709" s="295" t="s">
        <v>282</v>
      </c>
      <c r="B1709" s="295" t="s">
        <v>464</v>
      </c>
      <c r="C1709" s="293">
        <v>42990.093142999998</v>
      </c>
      <c r="D1709" s="293">
        <v>46350.231585000001</v>
      </c>
      <c r="E1709" s="293">
        <v>3360.1384419999999</v>
      </c>
      <c r="F1709" s="294" t="s">
        <v>943</v>
      </c>
    </row>
    <row r="1710" spans="1:6" hidden="1" outlineLevel="1" collapsed="1" x14ac:dyDescent="0.25">
      <c r="A1710" s="295" t="s">
        <v>282</v>
      </c>
      <c r="B1710" s="295" t="s">
        <v>424</v>
      </c>
      <c r="C1710" s="293">
        <v>5000</v>
      </c>
      <c r="D1710" s="293">
        <v>3500</v>
      </c>
      <c r="E1710" s="293">
        <v>-1500</v>
      </c>
      <c r="F1710" s="294" t="s">
        <v>944</v>
      </c>
    </row>
    <row r="1711" spans="1:6" hidden="1" outlineLevel="1" collapsed="1" x14ac:dyDescent="0.25">
      <c r="A1711" s="295" t="s">
        <v>282</v>
      </c>
      <c r="B1711" s="295" t="s">
        <v>945</v>
      </c>
      <c r="C1711" s="293">
        <v>36500</v>
      </c>
      <c r="D1711" s="293">
        <v>35000</v>
      </c>
      <c r="E1711" s="293">
        <v>-1500</v>
      </c>
      <c r="F1711" s="294" t="s">
        <v>946</v>
      </c>
    </row>
    <row r="1712" spans="1:6" hidden="1" outlineLevel="1" collapsed="1" x14ac:dyDescent="0.25">
      <c r="A1712" s="295" t="s">
        <v>282</v>
      </c>
      <c r="B1712" s="295" t="s">
        <v>384</v>
      </c>
      <c r="C1712" s="293">
        <v>19566.806358000002</v>
      </c>
      <c r="D1712" s="293">
        <v>0</v>
      </c>
      <c r="E1712" s="293">
        <v>-19566.806358000002</v>
      </c>
      <c r="F1712" s="294" t="s">
        <v>286</v>
      </c>
    </row>
    <row r="1713" spans="1:6" hidden="1" outlineLevel="1" collapsed="1" x14ac:dyDescent="0.25">
      <c r="A1713" s="295" t="s">
        <v>282</v>
      </c>
      <c r="B1713" s="295" t="s">
        <v>385</v>
      </c>
      <c r="C1713" s="293">
        <v>0</v>
      </c>
      <c r="D1713" s="293">
        <v>26292.801060000002</v>
      </c>
      <c r="E1713" s="293">
        <v>26292.801060000002</v>
      </c>
      <c r="F1713" s="294" t="s">
        <v>298</v>
      </c>
    </row>
    <row r="1714" spans="1:6" hidden="1" outlineLevel="1" collapsed="1" x14ac:dyDescent="0.25">
      <c r="A1714" s="295" t="s">
        <v>282</v>
      </c>
      <c r="B1714" s="295" t="s">
        <v>386</v>
      </c>
      <c r="C1714" s="293">
        <v>9836.6999629999991</v>
      </c>
      <c r="D1714" s="293">
        <v>0</v>
      </c>
      <c r="E1714" s="293">
        <v>-9836.6999629999991</v>
      </c>
      <c r="F1714" s="294" t="s">
        <v>286</v>
      </c>
    </row>
    <row r="1715" spans="1:6" hidden="1" outlineLevel="1" collapsed="1" x14ac:dyDescent="0.25">
      <c r="A1715" s="295" t="s">
        <v>282</v>
      </c>
      <c r="B1715" s="295" t="s">
        <v>387</v>
      </c>
      <c r="C1715" s="293">
        <v>0</v>
      </c>
      <c r="D1715" s="293">
        <v>10516.552092</v>
      </c>
      <c r="E1715" s="293">
        <v>10516.552092</v>
      </c>
      <c r="F1715" s="294" t="s">
        <v>298</v>
      </c>
    </row>
    <row r="1716" spans="1:6" hidden="1" outlineLevel="1" collapsed="1" x14ac:dyDescent="0.25">
      <c r="A1716" s="295" t="s">
        <v>282</v>
      </c>
      <c r="B1716" s="295" t="s">
        <v>388</v>
      </c>
      <c r="C1716" s="293">
        <v>2300.5185419999998</v>
      </c>
      <c r="D1716" s="293">
        <v>2459.5162009999999</v>
      </c>
      <c r="E1716" s="293">
        <v>158.997659</v>
      </c>
      <c r="F1716" s="294" t="s">
        <v>947</v>
      </c>
    </row>
    <row r="1717" spans="1:6" hidden="1" outlineLevel="1" collapsed="1" x14ac:dyDescent="0.25">
      <c r="A1717" s="295" t="s">
        <v>282</v>
      </c>
      <c r="B1717" s="295" t="s">
        <v>480</v>
      </c>
      <c r="C1717" s="293">
        <v>40.526848999999999</v>
      </c>
      <c r="D1717" s="293">
        <v>41.751769000000003</v>
      </c>
      <c r="E1717" s="293">
        <v>1.22492</v>
      </c>
      <c r="F1717" s="294" t="s">
        <v>520</v>
      </c>
    </row>
    <row r="1718" spans="1:6" hidden="1" outlineLevel="1" collapsed="1" x14ac:dyDescent="0.25">
      <c r="A1718" s="295" t="s">
        <v>282</v>
      </c>
      <c r="B1718" s="295" t="s">
        <v>444</v>
      </c>
      <c r="C1718" s="293">
        <v>0</v>
      </c>
      <c r="D1718" s="293">
        <v>3150</v>
      </c>
      <c r="E1718" s="293">
        <v>3150</v>
      </c>
      <c r="F1718" s="294" t="s">
        <v>298</v>
      </c>
    </row>
    <row r="1719" spans="1:6" hidden="1" outlineLevel="1" collapsed="1" x14ac:dyDescent="0.25">
      <c r="A1719" s="295" t="s">
        <v>282</v>
      </c>
      <c r="B1719" s="295" t="s">
        <v>389</v>
      </c>
      <c r="C1719" s="293">
        <v>852.24959999999999</v>
      </c>
      <c r="D1719" s="293">
        <v>844.08</v>
      </c>
      <c r="E1719" s="293">
        <v>-8.1696000000000009</v>
      </c>
      <c r="F1719" s="294" t="s">
        <v>364</v>
      </c>
    </row>
    <row r="1720" spans="1:6" hidden="1" outlineLevel="1" collapsed="1" x14ac:dyDescent="0.25">
      <c r="A1720" s="295" t="s">
        <v>282</v>
      </c>
      <c r="B1720" s="295" t="s">
        <v>390</v>
      </c>
      <c r="C1720" s="293">
        <v>30970.54</v>
      </c>
      <c r="D1720" s="293">
        <v>31918.560000000001</v>
      </c>
      <c r="E1720" s="293">
        <v>948.02</v>
      </c>
      <c r="F1720" s="294" t="s">
        <v>391</v>
      </c>
    </row>
    <row r="1721" spans="1:6" hidden="1" outlineLevel="1" collapsed="1" x14ac:dyDescent="0.25">
      <c r="A1721" s="295" t="s">
        <v>282</v>
      </c>
      <c r="B1721" s="295" t="s">
        <v>392</v>
      </c>
      <c r="C1721" s="293">
        <v>467.07839999999999</v>
      </c>
      <c r="D1721" s="293">
        <v>365.76</v>
      </c>
      <c r="E1721" s="293">
        <v>-101.3184</v>
      </c>
      <c r="F1721" s="294" t="s">
        <v>368</v>
      </c>
    </row>
    <row r="1722" spans="1:6" hidden="1" outlineLevel="1" collapsed="1" x14ac:dyDescent="0.25">
      <c r="A1722" s="295" t="s">
        <v>282</v>
      </c>
      <c r="B1722" s="295" t="s">
        <v>393</v>
      </c>
      <c r="C1722" s="293">
        <v>79.328211999999994</v>
      </c>
      <c r="D1722" s="293">
        <v>84.810890999999998</v>
      </c>
      <c r="E1722" s="293">
        <v>5.4826790000000001</v>
      </c>
      <c r="F1722" s="294" t="s">
        <v>947</v>
      </c>
    </row>
    <row r="1723" spans="1:6" hidden="1" outlineLevel="1" collapsed="1" x14ac:dyDescent="0.25">
      <c r="A1723" s="295" t="s">
        <v>282</v>
      </c>
      <c r="B1723" s="295" t="s">
        <v>394</v>
      </c>
      <c r="C1723" s="293">
        <v>3000</v>
      </c>
      <c r="D1723" s="293">
        <v>0</v>
      </c>
      <c r="E1723" s="293">
        <v>-3000</v>
      </c>
      <c r="F1723" s="294" t="s">
        <v>286</v>
      </c>
    </row>
    <row r="1724" spans="1:6" hidden="1" outlineLevel="1" collapsed="1" x14ac:dyDescent="0.25">
      <c r="A1724" s="295" t="s">
        <v>282</v>
      </c>
      <c r="B1724" s="295" t="s">
        <v>395</v>
      </c>
      <c r="C1724" s="293">
        <v>0</v>
      </c>
      <c r="D1724" s="293">
        <v>3000</v>
      </c>
      <c r="E1724" s="293">
        <v>3000</v>
      </c>
      <c r="F1724" s="294" t="s">
        <v>298</v>
      </c>
    </row>
    <row r="1725" spans="1:6" hidden="1" outlineLevel="1" collapsed="1" x14ac:dyDescent="0.25">
      <c r="A1725" s="295" t="s">
        <v>282</v>
      </c>
      <c r="B1725" s="295" t="s">
        <v>396</v>
      </c>
      <c r="C1725" s="293">
        <v>99.36</v>
      </c>
      <c r="D1725" s="293">
        <v>0</v>
      </c>
      <c r="E1725" s="293">
        <v>-99.36</v>
      </c>
      <c r="F1725" s="294" t="s">
        <v>286</v>
      </c>
    </row>
    <row r="1726" spans="1:6" hidden="1" outlineLevel="1" collapsed="1" x14ac:dyDescent="0.25">
      <c r="A1726" s="295" t="s">
        <v>282</v>
      </c>
      <c r="B1726" s="295" t="s">
        <v>397</v>
      </c>
      <c r="C1726" s="293">
        <v>0</v>
      </c>
      <c r="D1726" s="293">
        <v>96.96</v>
      </c>
      <c r="E1726" s="293">
        <v>96.96</v>
      </c>
      <c r="F1726" s="294" t="s">
        <v>298</v>
      </c>
    </row>
    <row r="1727" spans="1:6" hidden="1" outlineLevel="1" collapsed="1" x14ac:dyDescent="0.25">
      <c r="A1727" s="295" t="s">
        <v>282</v>
      </c>
      <c r="B1727" s="295" t="s">
        <v>398</v>
      </c>
      <c r="C1727" s="293">
        <v>48</v>
      </c>
      <c r="D1727" s="293">
        <v>22.08</v>
      </c>
      <c r="E1727" s="293">
        <v>-25.92</v>
      </c>
      <c r="F1727" s="294" t="s">
        <v>374</v>
      </c>
    </row>
    <row r="1728" spans="1:6" hidden="1" outlineLevel="1" collapsed="1" x14ac:dyDescent="0.25">
      <c r="A1728" s="295" t="s">
        <v>282</v>
      </c>
      <c r="B1728" s="295" t="s">
        <v>431</v>
      </c>
      <c r="C1728" s="293">
        <v>500</v>
      </c>
      <c r="D1728" s="293">
        <v>0</v>
      </c>
      <c r="E1728" s="293">
        <v>-500</v>
      </c>
      <c r="F1728" s="294" t="s">
        <v>286</v>
      </c>
    </row>
    <row r="1729" spans="1:6" hidden="1" outlineLevel="1" collapsed="1" x14ac:dyDescent="0.25">
      <c r="A1729" s="295" t="s">
        <v>282</v>
      </c>
      <c r="B1729" s="295" t="s">
        <v>376</v>
      </c>
      <c r="C1729" s="293">
        <v>2576</v>
      </c>
      <c r="D1729" s="293">
        <v>3300</v>
      </c>
      <c r="E1729" s="293">
        <v>724</v>
      </c>
      <c r="F1729" s="294" t="s">
        <v>948</v>
      </c>
    </row>
    <row r="1730" spans="1:6" hidden="1" outlineLevel="1" collapsed="1" x14ac:dyDescent="0.25">
      <c r="A1730" s="295" t="s">
        <v>282</v>
      </c>
      <c r="B1730" s="295" t="s">
        <v>662</v>
      </c>
      <c r="C1730" s="293">
        <v>6100</v>
      </c>
      <c r="D1730" s="293">
        <v>4000</v>
      </c>
      <c r="E1730" s="293">
        <v>-2100</v>
      </c>
      <c r="F1730" s="294" t="s">
        <v>949</v>
      </c>
    </row>
    <row r="1731" spans="1:6" hidden="1" outlineLevel="1" collapsed="1" x14ac:dyDescent="0.25">
      <c r="A1731" s="295" t="s">
        <v>282</v>
      </c>
      <c r="B1731" s="295" t="s">
        <v>567</v>
      </c>
      <c r="C1731" s="293">
        <v>5900</v>
      </c>
      <c r="D1731" s="293">
        <v>8500</v>
      </c>
      <c r="E1731" s="293">
        <v>2600</v>
      </c>
      <c r="F1731" s="294" t="s">
        <v>950</v>
      </c>
    </row>
    <row r="1732" spans="1:6" hidden="1" outlineLevel="1" collapsed="1" x14ac:dyDescent="0.25">
      <c r="A1732" s="295" t="s">
        <v>282</v>
      </c>
      <c r="B1732" s="295" t="s">
        <v>426</v>
      </c>
      <c r="C1732" s="293">
        <v>6390</v>
      </c>
      <c r="D1732" s="293">
        <v>7277</v>
      </c>
      <c r="E1732" s="293">
        <v>887</v>
      </c>
      <c r="F1732" s="294" t="s">
        <v>951</v>
      </c>
    </row>
    <row r="1733" spans="1:6" hidden="1" outlineLevel="1" collapsed="1" x14ac:dyDescent="0.25">
      <c r="A1733" s="295" t="s">
        <v>282</v>
      </c>
      <c r="B1733" s="295" t="s">
        <v>952</v>
      </c>
      <c r="C1733" s="293">
        <v>600</v>
      </c>
      <c r="D1733" s="293">
        <v>600</v>
      </c>
      <c r="E1733" s="293">
        <v>0</v>
      </c>
      <c r="F1733" s="294" t="s">
        <v>316</v>
      </c>
    </row>
    <row r="1734" spans="1:6" hidden="1" outlineLevel="1" collapsed="1" x14ac:dyDescent="0.25">
      <c r="A1734" s="295" t="s">
        <v>282</v>
      </c>
      <c r="B1734" s="295" t="s">
        <v>597</v>
      </c>
      <c r="C1734" s="293">
        <v>2000</v>
      </c>
      <c r="D1734" s="293">
        <v>2000</v>
      </c>
      <c r="E1734" s="293">
        <v>0</v>
      </c>
      <c r="F1734" s="294" t="s">
        <v>316</v>
      </c>
    </row>
    <row r="1735" spans="1:6" hidden="1" outlineLevel="1" collapsed="1" x14ac:dyDescent="0.25">
      <c r="A1735" s="295" t="s">
        <v>282</v>
      </c>
      <c r="B1735" s="295" t="s">
        <v>842</v>
      </c>
      <c r="C1735" s="293">
        <v>4208</v>
      </c>
      <c r="D1735" s="293">
        <v>4300</v>
      </c>
      <c r="E1735" s="293">
        <v>92</v>
      </c>
      <c r="F1735" s="294" t="s">
        <v>953</v>
      </c>
    </row>
    <row r="1736" spans="1:6" hidden="1" outlineLevel="1" collapsed="1" x14ac:dyDescent="0.25">
      <c r="A1736" s="295" t="s">
        <v>282</v>
      </c>
      <c r="B1736" s="295" t="s">
        <v>843</v>
      </c>
      <c r="C1736" s="293">
        <v>600</v>
      </c>
      <c r="D1736" s="293">
        <v>600</v>
      </c>
      <c r="E1736" s="293">
        <v>0</v>
      </c>
      <c r="F1736" s="294" t="s">
        <v>316</v>
      </c>
    </row>
    <row r="1737" spans="1:6" hidden="1" outlineLevel="1" collapsed="1" x14ac:dyDescent="0.25">
      <c r="A1737" s="295" t="s">
        <v>282</v>
      </c>
      <c r="B1737" s="295" t="s">
        <v>448</v>
      </c>
      <c r="C1737" s="293">
        <v>12738.26</v>
      </c>
      <c r="D1737" s="293">
        <v>4500</v>
      </c>
      <c r="E1737" s="293">
        <v>-8238.26</v>
      </c>
      <c r="F1737" s="294" t="s">
        <v>954</v>
      </c>
    </row>
    <row r="1738" spans="1:6" hidden="1" outlineLevel="1" collapsed="1" x14ac:dyDescent="0.25">
      <c r="A1738" s="295" t="s">
        <v>282</v>
      </c>
      <c r="B1738" s="295" t="s">
        <v>626</v>
      </c>
      <c r="C1738" s="293">
        <v>4000</v>
      </c>
      <c r="D1738" s="293">
        <v>4000</v>
      </c>
      <c r="E1738" s="293">
        <v>0</v>
      </c>
      <c r="F1738" s="294" t="s">
        <v>316</v>
      </c>
    </row>
    <row r="1739" spans="1:6" hidden="1" outlineLevel="1" collapsed="1" x14ac:dyDescent="0.25">
      <c r="A1739" s="295" t="s">
        <v>282</v>
      </c>
      <c r="B1739" s="295" t="s">
        <v>557</v>
      </c>
      <c r="C1739" s="293">
        <v>1750</v>
      </c>
      <c r="D1739" s="293">
        <v>1000</v>
      </c>
      <c r="E1739" s="293">
        <v>-750</v>
      </c>
      <c r="F1739" s="294" t="s">
        <v>311</v>
      </c>
    </row>
    <row r="1740" spans="1:6" hidden="1" outlineLevel="1" collapsed="1" x14ac:dyDescent="0.25">
      <c r="A1740" s="295" t="s">
        <v>282</v>
      </c>
      <c r="B1740" s="295" t="s">
        <v>770</v>
      </c>
      <c r="C1740" s="293">
        <v>663.74</v>
      </c>
      <c r="D1740" s="293">
        <v>0</v>
      </c>
      <c r="E1740" s="293">
        <v>-663.74</v>
      </c>
      <c r="F1740" s="294" t="s">
        <v>286</v>
      </c>
    </row>
    <row r="1741" spans="1:6" collapsed="1" x14ac:dyDescent="0.25">
      <c r="A1741" s="560" t="s">
        <v>955</v>
      </c>
      <c r="B1741" s="561"/>
      <c r="C1741" s="292">
        <v>1245562.759175</v>
      </c>
      <c r="D1741" s="293">
        <v>1248049.5602770001</v>
      </c>
      <c r="E1741" s="293">
        <v>2486.8011019999999</v>
      </c>
      <c r="F1741" s="294" t="s">
        <v>956</v>
      </c>
    </row>
    <row r="1742" spans="1:6" hidden="1" outlineLevel="1" collapsed="1" x14ac:dyDescent="0.25">
      <c r="A1742" s="295" t="s">
        <v>282</v>
      </c>
      <c r="B1742" s="295" t="s">
        <v>942</v>
      </c>
      <c r="C1742" s="293">
        <v>95274.928151999993</v>
      </c>
      <c r="D1742" s="293">
        <v>101529.063828</v>
      </c>
      <c r="E1742" s="293">
        <v>6254.1356759999999</v>
      </c>
      <c r="F1742" s="294" t="s">
        <v>957</v>
      </c>
    </row>
    <row r="1743" spans="1:6" hidden="1" outlineLevel="1" collapsed="1" x14ac:dyDescent="0.25">
      <c r="A1743" s="295" t="s">
        <v>282</v>
      </c>
      <c r="B1743" s="295" t="s">
        <v>464</v>
      </c>
      <c r="C1743" s="293">
        <v>669554.02697899996</v>
      </c>
      <c r="D1743" s="293">
        <v>681837.02843800001</v>
      </c>
      <c r="E1743" s="293">
        <v>12283.001458999999</v>
      </c>
      <c r="F1743" s="294" t="s">
        <v>494</v>
      </c>
    </row>
    <row r="1744" spans="1:6" hidden="1" outlineLevel="1" collapsed="1" x14ac:dyDescent="0.25">
      <c r="A1744" s="295" t="s">
        <v>282</v>
      </c>
      <c r="B1744" s="295" t="s">
        <v>424</v>
      </c>
      <c r="C1744" s="293">
        <v>15</v>
      </c>
      <c r="D1744" s="293">
        <v>0</v>
      </c>
      <c r="E1744" s="293">
        <v>-15</v>
      </c>
      <c r="F1744" s="294" t="s">
        <v>286</v>
      </c>
    </row>
    <row r="1745" spans="1:6" hidden="1" outlineLevel="1" collapsed="1" x14ac:dyDescent="0.25">
      <c r="A1745" s="295" t="s">
        <v>282</v>
      </c>
      <c r="B1745" s="295" t="s">
        <v>475</v>
      </c>
      <c r="C1745" s="293">
        <v>1415</v>
      </c>
      <c r="D1745" s="293">
        <v>2405</v>
      </c>
      <c r="E1745" s="293">
        <v>990</v>
      </c>
      <c r="F1745" s="294" t="s">
        <v>958</v>
      </c>
    </row>
    <row r="1746" spans="1:6" hidden="1" outlineLevel="1" collapsed="1" x14ac:dyDescent="0.25">
      <c r="A1746" s="295" t="s">
        <v>282</v>
      </c>
      <c r="B1746" s="295" t="s">
        <v>425</v>
      </c>
      <c r="C1746" s="293">
        <v>1100</v>
      </c>
      <c r="D1746" s="293">
        <v>3000</v>
      </c>
      <c r="E1746" s="293">
        <v>1900</v>
      </c>
      <c r="F1746" s="294" t="s">
        <v>959</v>
      </c>
    </row>
    <row r="1747" spans="1:6" hidden="1" outlineLevel="1" collapsed="1" x14ac:dyDescent="0.25">
      <c r="A1747" s="295" t="s">
        <v>282</v>
      </c>
      <c r="B1747" s="295" t="s">
        <v>799</v>
      </c>
      <c r="C1747" s="293">
        <v>28600</v>
      </c>
      <c r="D1747" s="293">
        <v>0</v>
      </c>
      <c r="E1747" s="293">
        <v>-28600</v>
      </c>
      <c r="F1747" s="294" t="s">
        <v>286</v>
      </c>
    </row>
    <row r="1748" spans="1:6" hidden="1" outlineLevel="1" collapsed="1" x14ac:dyDescent="0.25">
      <c r="A1748" s="295" t="s">
        <v>282</v>
      </c>
      <c r="B1748" s="295" t="s">
        <v>384</v>
      </c>
      <c r="C1748" s="293">
        <v>91321.668772000005</v>
      </c>
      <c r="D1748" s="293">
        <v>0</v>
      </c>
      <c r="E1748" s="293">
        <v>-91321.668772000005</v>
      </c>
      <c r="F1748" s="294" t="s">
        <v>286</v>
      </c>
    </row>
    <row r="1749" spans="1:6" hidden="1" outlineLevel="1" collapsed="1" x14ac:dyDescent="0.25">
      <c r="A1749" s="295" t="s">
        <v>282</v>
      </c>
      <c r="B1749" s="295" t="s">
        <v>385</v>
      </c>
      <c r="C1749" s="293">
        <v>0</v>
      </c>
      <c r="D1749" s="293">
        <v>121932.479208</v>
      </c>
      <c r="E1749" s="293">
        <v>121932.479208</v>
      </c>
      <c r="F1749" s="294" t="s">
        <v>298</v>
      </c>
    </row>
    <row r="1750" spans="1:6" hidden="1" outlineLevel="1" collapsed="1" x14ac:dyDescent="0.25">
      <c r="A1750" s="295" t="s">
        <v>282</v>
      </c>
      <c r="B1750" s="295" t="s">
        <v>386</v>
      </c>
      <c r="C1750" s="293">
        <v>45729.275131000002</v>
      </c>
      <c r="D1750" s="293">
        <v>0</v>
      </c>
      <c r="E1750" s="293">
        <v>-45729.275131000002</v>
      </c>
      <c r="F1750" s="294" t="s">
        <v>286</v>
      </c>
    </row>
    <row r="1751" spans="1:6" hidden="1" outlineLevel="1" collapsed="1" x14ac:dyDescent="0.25">
      <c r="A1751" s="295" t="s">
        <v>282</v>
      </c>
      <c r="B1751" s="295" t="s">
        <v>387</v>
      </c>
      <c r="C1751" s="293">
        <v>0</v>
      </c>
      <c r="D1751" s="293">
        <v>48568.697627000001</v>
      </c>
      <c r="E1751" s="293">
        <v>48568.697627000001</v>
      </c>
      <c r="F1751" s="294" t="s">
        <v>298</v>
      </c>
    </row>
    <row r="1752" spans="1:6" hidden="1" outlineLevel="1" collapsed="1" x14ac:dyDescent="0.25">
      <c r="A1752" s="295" t="s">
        <v>282</v>
      </c>
      <c r="B1752" s="295" t="s">
        <v>388</v>
      </c>
      <c r="C1752" s="293">
        <v>10694.749744000001</v>
      </c>
      <c r="D1752" s="293">
        <v>11358.808257000001</v>
      </c>
      <c r="E1752" s="293">
        <v>664.05851299999995</v>
      </c>
      <c r="F1752" s="294" t="s">
        <v>812</v>
      </c>
    </row>
    <row r="1753" spans="1:6" hidden="1" outlineLevel="1" collapsed="1" x14ac:dyDescent="0.25">
      <c r="A1753" s="295" t="s">
        <v>282</v>
      </c>
      <c r="B1753" s="295" t="s">
        <v>444</v>
      </c>
      <c r="C1753" s="293">
        <v>27000</v>
      </c>
      <c r="D1753" s="293">
        <v>216</v>
      </c>
      <c r="E1753" s="293">
        <v>-26784</v>
      </c>
      <c r="F1753" s="294" t="s">
        <v>960</v>
      </c>
    </row>
    <row r="1754" spans="1:6" hidden="1" outlineLevel="1" collapsed="1" x14ac:dyDescent="0.25">
      <c r="A1754" s="295" t="s">
        <v>282</v>
      </c>
      <c r="B1754" s="295" t="s">
        <v>389</v>
      </c>
      <c r="C1754" s="293">
        <v>5965.7471999999998</v>
      </c>
      <c r="D1754" s="293">
        <v>5908.56</v>
      </c>
      <c r="E1754" s="293">
        <v>-57.187199999999997</v>
      </c>
      <c r="F1754" s="294" t="s">
        <v>364</v>
      </c>
    </row>
    <row r="1755" spans="1:6" hidden="1" outlineLevel="1" collapsed="1" x14ac:dyDescent="0.25">
      <c r="A1755" s="295" t="s">
        <v>282</v>
      </c>
      <c r="B1755" s="295" t="s">
        <v>390</v>
      </c>
      <c r="C1755" s="293">
        <v>201308.51</v>
      </c>
      <c r="D1755" s="293">
        <v>207470.64</v>
      </c>
      <c r="E1755" s="293">
        <v>6162.13</v>
      </c>
      <c r="F1755" s="294" t="s">
        <v>391</v>
      </c>
    </row>
    <row r="1756" spans="1:6" hidden="1" outlineLevel="1" collapsed="1" x14ac:dyDescent="0.25">
      <c r="A1756" s="295" t="s">
        <v>282</v>
      </c>
      <c r="B1756" s="295" t="s">
        <v>392</v>
      </c>
      <c r="C1756" s="293">
        <v>3269.5488</v>
      </c>
      <c r="D1756" s="293">
        <v>2560.3200000000002</v>
      </c>
      <c r="E1756" s="293">
        <v>-709.22879999999998</v>
      </c>
      <c r="F1756" s="294" t="s">
        <v>368</v>
      </c>
    </row>
    <row r="1757" spans="1:6" hidden="1" outlineLevel="1" collapsed="1" x14ac:dyDescent="0.25">
      <c r="A1757" s="295" t="s">
        <v>282</v>
      </c>
      <c r="B1757" s="295" t="s">
        <v>393</v>
      </c>
      <c r="C1757" s="293">
        <v>368.78439700000001</v>
      </c>
      <c r="D1757" s="293">
        <v>391.68291900000003</v>
      </c>
      <c r="E1757" s="293">
        <v>22.898522</v>
      </c>
      <c r="F1757" s="294" t="s">
        <v>812</v>
      </c>
    </row>
    <row r="1758" spans="1:6" hidden="1" outlineLevel="1" collapsed="1" x14ac:dyDescent="0.25">
      <c r="A1758" s="295" t="s">
        <v>282</v>
      </c>
      <c r="B1758" s="295" t="s">
        <v>394</v>
      </c>
      <c r="C1758" s="293">
        <v>21000</v>
      </c>
      <c r="D1758" s="293">
        <v>0</v>
      </c>
      <c r="E1758" s="293">
        <v>-21000</v>
      </c>
      <c r="F1758" s="294" t="s">
        <v>286</v>
      </c>
    </row>
    <row r="1759" spans="1:6" hidden="1" outlineLevel="1" collapsed="1" x14ac:dyDescent="0.25">
      <c r="A1759" s="295" t="s">
        <v>282</v>
      </c>
      <c r="B1759" s="295" t="s">
        <v>395</v>
      </c>
      <c r="C1759" s="293">
        <v>0</v>
      </c>
      <c r="D1759" s="293">
        <v>21000</v>
      </c>
      <c r="E1759" s="293">
        <v>21000</v>
      </c>
      <c r="F1759" s="294" t="s">
        <v>298</v>
      </c>
    </row>
    <row r="1760" spans="1:6" hidden="1" outlineLevel="1" collapsed="1" x14ac:dyDescent="0.25">
      <c r="A1760" s="295" t="s">
        <v>282</v>
      </c>
      <c r="B1760" s="295" t="s">
        <v>396</v>
      </c>
      <c r="C1760" s="293">
        <v>695.52</v>
      </c>
      <c r="D1760" s="293">
        <v>0</v>
      </c>
      <c r="E1760" s="293">
        <v>-695.52</v>
      </c>
      <c r="F1760" s="294" t="s">
        <v>286</v>
      </c>
    </row>
    <row r="1761" spans="1:6" hidden="1" outlineLevel="1" collapsed="1" x14ac:dyDescent="0.25">
      <c r="A1761" s="295" t="s">
        <v>282</v>
      </c>
      <c r="B1761" s="295" t="s">
        <v>397</v>
      </c>
      <c r="C1761" s="293">
        <v>0</v>
      </c>
      <c r="D1761" s="293">
        <v>678.72</v>
      </c>
      <c r="E1761" s="293">
        <v>678.72</v>
      </c>
      <c r="F1761" s="294" t="s">
        <v>298</v>
      </c>
    </row>
    <row r="1762" spans="1:6" hidden="1" outlineLevel="1" collapsed="1" x14ac:dyDescent="0.25">
      <c r="A1762" s="295" t="s">
        <v>282</v>
      </c>
      <c r="B1762" s="295" t="s">
        <v>398</v>
      </c>
      <c r="C1762" s="293">
        <v>336</v>
      </c>
      <c r="D1762" s="293">
        <v>154.56</v>
      </c>
      <c r="E1762" s="293">
        <v>-181.44</v>
      </c>
      <c r="F1762" s="294" t="s">
        <v>374</v>
      </c>
    </row>
    <row r="1763" spans="1:6" hidden="1" outlineLevel="1" collapsed="1" x14ac:dyDescent="0.25">
      <c r="A1763" s="295" t="s">
        <v>282</v>
      </c>
      <c r="B1763" s="295" t="s">
        <v>522</v>
      </c>
      <c r="C1763" s="293">
        <v>3000</v>
      </c>
      <c r="D1763" s="293">
        <v>3000</v>
      </c>
      <c r="E1763" s="293">
        <v>0</v>
      </c>
      <c r="F1763" s="294" t="s">
        <v>316</v>
      </c>
    </row>
    <row r="1764" spans="1:6" hidden="1" outlineLevel="1" collapsed="1" x14ac:dyDescent="0.25">
      <c r="A1764" s="295" t="s">
        <v>282</v>
      </c>
      <c r="B1764" s="295" t="s">
        <v>376</v>
      </c>
      <c r="C1764" s="293">
        <v>17310</v>
      </c>
      <c r="D1764" s="293">
        <v>8550</v>
      </c>
      <c r="E1764" s="293">
        <v>-8760</v>
      </c>
      <c r="F1764" s="294" t="s">
        <v>961</v>
      </c>
    </row>
    <row r="1765" spans="1:6" hidden="1" outlineLevel="1" collapsed="1" x14ac:dyDescent="0.25">
      <c r="A1765" s="295" t="s">
        <v>282</v>
      </c>
      <c r="B1765" s="295" t="s">
        <v>828</v>
      </c>
      <c r="C1765" s="293">
        <v>2360</v>
      </c>
      <c r="D1765" s="293">
        <v>2700</v>
      </c>
      <c r="E1765" s="293">
        <v>340</v>
      </c>
      <c r="F1765" s="294" t="s">
        <v>962</v>
      </c>
    </row>
    <row r="1766" spans="1:6" hidden="1" outlineLevel="1" collapsed="1" x14ac:dyDescent="0.25">
      <c r="A1766" s="295" t="s">
        <v>282</v>
      </c>
      <c r="B1766" s="295" t="s">
        <v>506</v>
      </c>
      <c r="C1766" s="293">
        <v>0</v>
      </c>
      <c r="D1766" s="293">
        <v>2000</v>
      </c>
      <c r="E1766" s="293">
        <v>2000</v>
      </c>
      <c r="F1766" s="294" t="s">
        <v>298</v>
      </c>
    </row>
    <row r="1767" spans="1:6" hidden="1" outlineLevel="1" collapsed="1" x14ac:dyDescent="0.25">
      <c r="A1767" s="295" t="s">
        <v>282</v>
      </c>
      <c r="B1767" s="295" t="s">
        <v>567</v>
      </c>
      <c r="C1767" s="293">
        <v>1516</v>
      </c>
      <c r="D1767" s="293">
        <v>1500</v>
      </c>
      <c r="E1767" s="293">
        <v>-16</v>
      </c>
      <c r="F1767" s="294" t="s">
        <v>963</v>
      </c>
    </row>
    <row r="1768" spans="1:6" hidden="1" outlineLevel="1" collapsed="1" x14ac:dyDescent="0.25">
      <c r="A1768" s="295" t="s">
        <v>282</v>
      </c>
      <c r="B1768" s="295" t="s">
        <v>426</v>
      </c>
      <c r="C1768" s="293">
        <v>8283</v>
      </c>
      <c r="D1768" s="293">
        <v>7633</v>
      </c>
      <c r="E1768" s="293">
        <v>-650</v>
      </c>
      <c r="F1768" s="294" t="s">
        <v>964</v>
      </c>
    </row>
    <row r="1769" spans="1:6" hidden="1" outlineLevel="1" collapsed="1" x14ac:dyDescent="0.25">
      <c r="A1769" s="295" t="s">
        <v>282</v>
      </c>
      <c r="B1769" s="295" t="s">
        <v>482</v>
      </c>
      <c r="C1769" s="293">
        <v>225</v>
      </c>
      <c r="D1769" s="293">
        <v>400</v>
      </c>
      <c r="E1769" s="293">
        <v>175</v>
      </c>
      <c r="F1769" s="294" t="s">
        <v>965</v>
      </c>
    </row>
    <row r="1770" spans="1:6" hidden="1" outlineLevel="1" collapsed="1" x14ac:dyDescent="0.25">
      <c r="A1770" s="295" t="s">
        <v>282</v>
      </c>
      <c r="B1770" s="295" t="s">
        <v>597</v>
      </c>
      <c r="C1770" s="293">
        <v>200</v>
      </c>
      <c r="D1770" s="293">
        <v>400</v>
      </c>
      <c r="E1770" s="293">
        <v>200</v>
      </c>
      <c r="F1770" s="294" t="s">
        <v>298</v>
      </c>
    </row>
    <row r="1771" spans="1:6" hidden="1" outlineLevel="1" collapsed="1" x14ac:dyDescent="0.25">
      <c r="A1771" s="295" t="s">
        <v>282</v>
      </c>
      <c r="B1771" s="295" t="s">
        <v>448</v>
      </c>
      <c r="C1771" s="293">
        <v>7950</v>
      </c>
      <c r="D1771" s="293">
        <v>4700</v>
      </c>
      <c r="E1771" s="293">
        <v>-3250</v>
      </c>
      <c r="F1771" s="294" t="s">
        <v>966</v>
      </c>
    </row>
    <row r="1772" spans="1:6" hidden="1" outlineLevel="1" collapsed="1" x14ac:dyDescent="0.25">
      <c r="A1772" s="295" t="s">
        <v>282</v>
      </c>
      <c r="B1772" s="295" t="s">
        <v>405</v>
      </c>
      <c r="C1772" s="293">
        <v>60</v>
      </c>
      <c r="D1772" s="293">
        <v>0</v>
      </c>
      <c r="E1772" s="293">
        <v>-60</v>
      </c>
      <c r="F1772" s="294" t="s">
        <v>286</v>
      </c>
    </row>
    <row r="1773" spans="1:6" hidden="1" outlineLevel="1" collapsed="1" x14ac:dyDescent="0.25">
      <c r="A1773" s="295" t="s">
        <v>282</v>
      </c>
      <c r="B1773" s="295" t="s">
        <v>557</v>
      </c>
      <c r="C1773" s="293">
        <v>330</v>
      </c>
      <c r="D1773" s="293">
        <v>7155</v>
      </c>
      <c r="E1773" s="293">
        <v>6825</v>
      </c>
      <c r="F1773" s="294" t="s">
        <v>967</v>
      </c>
    </row>
    <row r="1774" spans="1:6" hidden="1" outlineLevel="1" collapsed="1" x14ac:dyDescent="0.25">
      <c r="A1774" s="295" t="s">
        <v>282</v>
      </c>
      <c r="B1774" s="295" t="s">
        <v>422</v>
      </c>
      <c r="C1774" s="293">
        <v>680</v>
      </c>
      <c r="D1774" s="293">
        <v>1000</v>
      </c>
      <c r="E1774" s="293">
        <v>320</v>
      </c>
      <c r="F1774" s="294" t="s">
        <v>968</v>
      </c>
    </row>
    <row r="1775" spans="1:6" hidden="1" outlineLevel="1" collapsed="1" x14ac:dyDescent="0.25">
      <c r="A1775" s="295" t="s">
        <v>282</v>
      </c>
      <c r="B1775" s="295" t="s">
        <v>770</v>
      </c>
      <c r="C1775" s="293">
        <v>0</v>
      </c>
      <c r="D1775" s="293">
        <v>0</v>
      </c>
      <c r="E1775" s="293">
        <v>0</v>
      </c>
      <c r="F1775" s="294" t="s">
        <v>316</v>
      </c>
    </row>
    <row r="1776" spans="1:6" collapsed="1" x14ac:dyDescent="0.25">
      <c r="A1776" s="560" t="s">
        <v>969</v>
      </c>
      <c r="B1776" s="561"/>
      <c r="C1776" s="292">
        <v>11536</v>
      </c>
      <c r="D1776" s="293">
        <v>12536</v>
      </c>
      <c r="E1776" s="293">
        <v>1000</v>
      </c>
      <c r="F1776" s="294" t="s">
        <v>970</v>
      </c>
    </row>
    <row r="1777" spans="1:6" hidden="1" outlineLevel="1" collapsed="1" x14ac:dyDescent="0.25">
      <c r="A1777" s="295" t="s">
        <v>282</v>
      </c>
      <c r="B1777" s="295" t="s">
        <v>441</v>
      </c>
      <c r="C1777" s="293">
        <v>0</v>
      </c>
      <c r="D1777" s="293">
        <v>2500</v>
      </c>
      <c r="E1777" s="293">
        <v>2500</v>
      </c>
      <c r="F1777" s="294" t="s">
        <v>298</v>
      </c>
    </row>
    <row r="1778" spans="1:6" hidden="1" outlineLevel="1" collapsed="1" x14ac:dyDescent="0.25">
      <c r="A1778" s="295" t="s">
        <v>282</v>
      </c>
      <c r="B1778" s="295" t="s">
        <v>444</v>
      </c>
      <c r="C1778" s="293">
        <v>0</v>
      </c>
      <c r="D1778" s="293">
        <v>306</v>
      </c>
      <c r="E1778" s="293">
        <v>306</v>
      </c>
      <c r="F1778" s="294" t="s">
        <v>298</v>
      </c>
    </row>
    <row r="1779" spans="1:6" hidden="1" outlineLevel="1" collapsed="1" x14ac:dyDescent="0.25">
      <c r="A1779" s="295" t="s">
        <v>282</v>
      </c>
      <c r="B1779" s="295" t="s">
        <v>505</v>
      </c>
      <c r="C1779" s="293">
        <v>0</v>
      </c>
      <c r="D1779" s="293">
        <v>1955</v>
      </c>
      <c r="E1779" s="293">
        <v>1955</v>
      </c>
      <c r="F1779" s="294" t="s">
        <v>298</v>
      </c>
    </row>
    <row r="1780" spans="1:6" hidden="1" outlineLevel="1" collapsed="1" x14ac:dyDescent="0.25">
      <c r="A1780" s="295" t="s">
        <v>282</v>
      </c>
      <c r="B1780" s="295" t="s">
        <v>376</v>
      </c>
      <c r="C1780" s="293">
        <v>1433.81</v>
      </c>
      <c r="D1780" s="293">
        <v>500</v>
      </c>
      <c r="E1780" s="293">
        <v>-933.81</v>
      </c>
      <c r="F1780" s="294" t="s">
        <v>971</v>
      </c>
    </row>
    <row r="1781" spans="1:6" hidden="1" outlineLevel="1" collapsed="1" x14ac:dyDescent="0.25">
      <c r="A1781" s="295" t="s">
        <v>282</v>
      </c>
      <c r="B1781" s="295" t="s">
        <v>662</v>
      </c>
      <c r="C1781" s="293">
        <v>0</v>
      </c>
      <c r="D1781" s="293">
        <v>150</v>
      </c>
      <c r="E1781" s="293">
        <v>150</v>
      </c>
      <c r="F1781" s="294" t="s">
        <v>298</v>
      </c>
    </row>
    <row r="1782" spans="1:6" hidden="1" outlineLevel="1" collapsed="1" x14ac:dyDescent="0.25">
      <c r="A1782" s="295" t="s">
        <v>282</v>
      </c>
      <c r="B1782" s="295" t="s">
        <v>506</v>
      </c>
      <c r="C1782" s="293">
        <v>1077.19</v>
      </c>
      <c r="D1782" s="293">
        <v>0</v>
      </c>
      <c r="E1782" s="293">
        <v>-1077.19</v>
      </c>
      <c r="F1782" s="294" t="s">
        <v>286</v>
      </c>
    </row>
    <row r="1783" spans="1:6" hidden="1" outlineLevel="1" collapsed="1" x14ac:dyDescent="0.25">
      <c r="A1783" s="295" t="s">
        <v>282</v>
      </c>
      <c r="B1783" s="295" t="s">
        <v>426</v>
      </c>
      <c r="C1783" s="293">
        <v>4100</v>
      </c>
      <c r="D1783" s="293">
        <v>3500</v>
      </c>
      <c r="E1783" s="293">
        <v>-600</v>
      </c>
      <c r="F1783" s="294" t="s">
        <v>972</v>
      </c>
    </row>
    <row r="1784" spans="1:6" hidden="1" outlineLevel="1" collapsed="1" x14ac:dyDescent="0.25">
      <c r="A1784" s="295" t="s">
        <v>282</v>
      </c>
      <c r="B1784" s="295" t="s">
        <v>597</v>
      </c>
      <c r="C1784" s="293">
        <v>2000</v>
      </c>
      <c r="D1784" s="293">
        <v>2000</v>
      </c>
      <c r="E1784" s="293">
        <v>0</v>
      </c>
      <c r="F1784" s="294" t="s">
        <v>316</v>
      </c>
    </row>
    <row r="1785" spans="1:6" hidden="1" outlineLevel="1" collapsed="1" x14ac:dyDescent="0.25">
      <c r="A1785" s="295" t="s">
        <v>282</v>
      </c>
      <c r="B1785" s="295" t="s">
        <v>401</v>
      </c>
      <c r="C1785" s="293">
        <v>1625</v>
      </c>
      <c r="D1785" s="293">
        <v>1625</v>
      </c>
      <c r="E1785" s="293">
        <v>0</v>
      </c>
      <c r="F1785" s="294" t="s">
        <v>316</v>
      </c>
    </row>
    <row r="1786" spans="1:6" hidden="1" outlineLevel="1" collapsed="1" x14ac:dyDescent="0.25">
      <c r="A1786" s="295" t="s">
        <v>282</v>
      </c>
      <c r="B1786" s="295" t="s">
        <v>405</v>
      </c>
      <c r="C1786" s="293">
        <v>1300</v>
      </c>
      <c r="D1786" s="293">
        <v>0</v>
      </c>
      <c r="E1786" s="293">
        <v>-1300</v>
      </c>
      <c r="F1786" s="294" t="s">
        <v>286</v>
      </c>
    </row>
    <row r="1787" spans="1:6" collapsed="1" x14ac:dyDescent="0.25">
      <c r="A1787" s="560" t="s">
        <v>973</v>
      </c>
      <c r="B1787" s="561"/>
      <c r="C1787" s="292">
        <v>1449903.5993270001</v>
      </c>
      <c r="D1787" s="293">
        <v>1515805.5162529999</v>
      </c>
      <c r="E1787" s="293">
        <v>65901.916926000005</v>
      </c>
      <c r="F1787" s="294" t="s">
        <v>974</v>
      </c>
    </row>
    <row r="1788" spans="1:6" hidden="1" outlineLevel="1" collapsed="1" x14ac:dyDescent="0.25">
      <c r="A1788" s="295" t="s">
        <v>282</v>
      </c>
      <c r="B1788" s="295" t="s">
        <v>750</v>
      </c>
      <c r="C1788" s="293">
        <v>896404.68792000005</v>
      </c>
      <c r="D1788" s="293">
        <v>924056.860644</v>
      </c>
      <c r="E1788" s="293">
        <v>27652.172724</v>
      </c>
      <c r="F1788" s="294" t="s">
        <v>582</v>
      </c>
    </row>
    <row r="1789" spans="1:6" hidden="1" outlineLevel="1" collapsed="1" x14ac:dyDescent="0.25">
      <c r="A1789" s="295" t="s">
        <v>282</v>
      </c>
      <c r="B1789" s="295" t="s">
        <v>412</v>
      </c>
      <c r="C1789" s="293">
        <v>9720</v>
      </c>
      <c r="D1789" s="293">
        <v>9720</v>
      </c>
      <c r="E1789" s="293">
        <v>0</v>
      </c>
      <c r="F1789" s="294" t="s">
        <v>316</v>
      </c>
    </row>
    <row r="1790" spans="1:6" hidden="1" outlineLevel="1" collapsed="1" x14ac:dyDescent="0.25">
      <c r="A1790" s="295" t="s">
        <v>282</v>
      </c>
      <c r="B1790" s="295" t="s">
        <v>441</v>
      </c>
      <c r="C1790" s="293">
        <v>88931</v>
      </c>
      <c r="D1790" s="293">
        <v>88931</v>
      </c>
      <c r="E1790" s="293">
        <v>0</v>
      </c>
      <c r="F1790" s="294" t="s">
        <v>316</v>
      </c>
    </row>
    <row r="1791" spans="1:6" hidden="1" outlineLevel="1" collapsed="1" x14ac:dyDescent="0.25">
      <c r="A1791" s="295" t="s">
        <v>282</v>
      </c>
      <c r="B1791" s="295" t="s">
        <v>464</v>
      </c>
      <c r="C1791" s="293">
        <v>68958.753557999997</v>
      </c>
      <c r="D1791" s="293">
        <v>71023.381943</v>
      </c>
      <c r="E1791" s="293">
        <v>2064.628385</v>
      </c>
      <c r="F1791" s="294" t="s">
        <v>975</v>
      </c>
    </row>
    <row r="1792" spans="1:6" hidden="1" outlineLevel="1" collapsed="1" x14ac:dyDescent="0.25">
      <c r="A1792" s="295" t="s">
        <v>282</v>
      </c>
      <c r="B1792" s="295" t="s">
        <v>424</v>
      </c>
      <c r="C1792" s="293">
        <v>5800</v>
      </c>
      <c r="D1792" s="293">
        <v>5800</v>
      </c>
      <c r="E1792" s="293">
        <v>0</v>
      </c>
      <c r="F1792" s="294" t="s">
        <v>316</v>
      </c>
    </row>
    <row r="1793" spans="1:6" hidden="1" outlineLevel="1" collapsed="1" x14ac:dyDescent="0.25">
      <c r="A1793" s="295" t="s">
        <v>282</v>
      </c>
      <c r="B1793" s="295" t="s">
        <v>976</v>
      </c>
      <c r="C1793" s="293">
        <v>0</v>
      </c>
      <c r="D1793" s="293">
        <v>10876</v>
      </c>
      <c r="E1793" s="293">
        <v>10876</v>
      </c>
      <c r="F1793" s="294" t="s">
        <v>298</v>
      </c>
    </row>
    <row r="1794" spans="1:6" hidden="1" outlineLevel="1" collapsed="1" x14ac:dyDescent="0.25">
      <c r="A1794" s="295" t="s">
        <v>282</v>
      </c>
      <c r="B1794" s="295" t="s">
        <v>360</v>
      </c>
      <c r="C1794" s="293">
        <v>10966.175988000001</v>
      </c>
      <c r="D1794" s="293">
        <v>12656.87622</v>
      </c>
      <c r="E1794" s="293">
        <v>1690.7002319999999</v>
      </c>
      <c r="F1794" s="294" t="s">
        <v>977</v>
      </c>
    </row>
    <row r="1795" spans="1:6" hidden="1" outlineLevel="1" collapsed="1" x14ac:dyDescent="0.25">
      <c r="A1795" s="295" t="s">
        <v>282</v>
      </c>
      <c r="B1795" s="295" t="s">
        <v>751</v>
      </c>
      <c r="C1795" s="293">
        <v>106014.635685</v>
      </c>
      <c r="D1795" s="293">
        <v>0</v>
      </c>
      <c r="E1795" s="293">
        <v>-106014.635685</v>
      </c>
      <c r="F1795" s="294" t="s">
        <v>286</v>
      </c>
    </row>
    <row r="1796" spans="1:6" hidden="1" outlineLevel="1" collapsed="1" x14ac:dyDescent="0.25">
      <c r="A1796" s="295" t="s">
        <v>282</v>
      </c>
      <c r="B1796" s="295" t="s">
        <v>752</v>
      </c>
      <c r="C1796" s="293">
        <v>0</v>
      </c>
      <c r="D1796" s="293">
        <v>120684.528674</v>
      </c>
      <c r="E1796" s="293">
        <v>120684.528674</v>
      </c>
      <c r="F1796" s="294" t="s">
        <v>298</v>
      </c>
    </row>
    <row r="1797" spans="1:6" hidden="1" outlineLevel="1" collapsed="1" x14ac:dyDescent="0.25">
      <c r="A1797" s="295" t="s">
        <v>282</v>
      </c>
      <c r="B1797" s="295" t="s">
        <v>384</v>
      </c>
      <c r="C1797" s="293">
        <v>8593.2411850000008</v>
      </c>
      <c r="D1797" s="293">
        <v>0</v>
      </c>
      <c r="E1797" s="293">
        <v>-8593.2411850000008</v>
      </c>
      <c r="F1797" s="294" t="s">
        <v>286</v>
      </c>
    </row>
    <row r="1798" spans="1:6" hidden="1" outlineLevel="1" collapsed="1" x14ac:dyDescent="0.25">
      <c r="A1798" s="295" t="s">
        <v>282</v>
      </c>
      <c r="B1798" s="295" t="s">
        <v>385</v>
      </c>
      <c r="C1798" s="293">
        <v>0</v>
      </c>
      <c r="D1798" s="293">
        <v>11118.994343</v>
      </c>
      <c r="E1798" s="293">
        <v>11118.994343</v>
      </c>
      <c r="F1798" s="294" t="s">
        <v>298</v>
      </c>
    </row>
    <row r="1799" spans="1:6" hidden="1" outlineLevel="1" collapsed="1" x14ac:dyDescent="0.25">
      <c r="A1799" s="295" t="s">
        <v>282</v>
      </c>
      <c r="B1799" s="295" t="s">
        <v>386</v>
      </c>
      <c r="C1799" s="293">
        <v>4275.4427100000003</v>
      </c>
      <c r="D1799" s="293">
        <v>0</v>
      </c>
      <c r="E1799" s="293">
        <v>-4275.4427100000003</v>
      </c>
      <c r="F1799" s="294" t="s">
        <v>286</v>
      </c>
    </row>
    <row r="1800" spans="1:6" hidden="1" outlineLevel="1" collapsed="1" x14ac:dyDescent="0.25">
      <c r="A1800" s="295" t="s">
        <v>282</v>
      </c>
      <c r="B1800" s="295" t="s">
        <v>387</v>
      </c>
      <c r="C1800" s="293">
        <v>0</v>
      </c>
      <c r="D1800" s="293">
        <v>4403.4496639999998</v>
      </c>
      <c r="E1800" s="293">
        <v>4403.4496639999998</v>
      </c>
      <c r="F1800" s="294" t="s">
        <v>298</v>
      </c>
    </row>
    <row r="1801" spans="1:6" hidden="1" outlineLevel="1" collapsed="1" x14ac:dyDescent="0.25">
      <c r="A1801" s="295" t="s">
        <v>282</v>
      </c>
      <c r="B1801" s="295" t="s">
        <v>753</v>
      </c>
      <c r="C1801" s="293">
        <v>50969.746587000001</v>
      </c>
      <c r="D1801" s="293">
        <v>52456.006418999998</v>
      </c>
      <c r="E1801" s="293">
        <v>1486.259832</v>
      </c>
      <c r="F1801" s="294" t="s">
        <v>871</v>
      </c>
    </row>
    <row r="1802" spans="1:6" hidden="1" outlineLevel="1" collapsed="1" x14ac:dyDescent="0.25">
      <c r="A1802" s="295" t="s">
        <v>282</v>
      </c>
      <c r="B1802" s="295" t="s">
        <v>362</v>
      </c>
      <c r="C1802" s="293">
        <v>1218.463992</v>
      </c>
      <c r="D1802" s="293">
        <v>1271.8274759999999</v>
      </c>
      <c r="E1802" s="293">
        <v>53.363484</v>
      </c>
      <c r="F1802" s="294" t="s">
        <v>978</v>
      </c>
    </row>
    <row r="1803" spans="1:6" hidden="1" outlineLevel="1" collapsed="1" x14ac:dyDescent="0.25">
      <c r="A1803" s="295" t="s">
        <v>282</v>
      </c>
      <c r="B1803" s="295" t="s">
        <v>388</v>
      </c>
      <c r="C1803" s="293">
        <v>12920.245826</v>
      </c>
      <c r="D1803" s="293">
        <v>13297.775955999999</v>
      </c>
      <c r="E1803" s="293">
        <v>377.53012999999999</v>
      </c>
      <c r="F1803" s="294" t="s">
        <v>871</v>
      </c>
    </row>
    <row r="1804" spans="1:6" hidden="1" outlineLevel="1" collapsed="1" x14ac:dyDescent="0.25">
      <c r="A1804" s="295" t="s">
        <v>282</v>
      </c>
      <c r="B1804" s="295" t="s">
        <v>363</v>
      </c>
      <c r="C1804" s="293">
        <v>426.12479999999999</v>
      </c>
      <c r="D1804" s="293">
        <v>422.04</v>
      </c>
      <c r="E1804" s="293">
        <v>-4.0848000000000004</v>
      </c>
      <c r="F1804" s="294" t="s">
        <v>364</v>
      </c>
    </row>
    <row r="1805" spans="1:6" hidden="1" outlineLevel="1" collapsed="1" x14ac:dyDescent="0.25">
      <c r="A1805" s="295" t="s">
        <v>282</v>
      </c>
      <c r="B1805" s="295" t="s">
        <v>365</v>
      </c>
      <c r="C1805" s="293">
        <v>15358.56</v>
      </c>
      <c r="D1805" s="293">
        <v>15959.28</v>
      </c>
      <c r="E1805" s="293">
        <v>600.72</v>
      </c>
      <c r="F1805" s="294" t="s">
        <v>366</v>
      </c>
    </row>
    <row r="1806" spans="1:6" hidden="1" outlineLevel="1" collapsed="1" x14ac:dyDescent="0.25">
      <c r="A1806" s="295" t="s">
        <v>282</v>
      </c>
      <c r="B1806" s="295" t="s">
        <v>367</v>
      </c>
      <c r="C1806" s="293">
        <v>233.53919999999999</v>
      </c>
      <c r="D1806" s="293">
        <v>182.88</v>
      </c>
      <c r="E1806" s="293">
        <v>-50.659199999999998</v>
      </c>
      <c r="F1806" s="294" t="s">
        <v>368</v>
      </c>
    </row>
    <row r="1807" spans="1:6" hidden="1" outlineLevel="1" collapsed="1" x14ac:dyDescent="0.25">
      <c r="A1807" s="295" t="s">
        <v>282</v>
      </c>
      <c r="B1807" s="295" t="s">
        <v>444</v>
      </c>
      <c r="C1807" s="293">
        <v>10876</v>
      </c>
      <c r="D1807" s="293">
        <v>10876</v>
      </c>
      <c r="E1807" s="293">
        <v>0</v>
      </c>
      <c r="F1807" s="294" t="s">
        <v>316</v>
      </c>
    </row>
    <row r="1808" spans="1:6" hidden="1" outlineLevel="1" collapsed="1" x14ac:dyDescent="0.25">
      <c r="A1808" s="295" t="s">
        <v>282</v>
      </c>
      <c r="B1808" s="295" t="s">
        <v>389</v>
      </c>
      <c r="C1808" s="293">
        <v>669.01593600000001</v>
      </c>
      <c r="D1808" s="293">
        <v>662.6028</v>
      </c>
      <c r="E1808" s="293">
        <v>-6.4131359999999997</v>
      </c>
      <c r="F1808" s="294" t="s">
        <v>364</v>
      </c>
    </row>
    <row r="1809" spans="1:6" hidden="1" outlineLevel="1" collapsed="1" x14ac:dyDescent="0.25">
      <c r="A1809" s="295" t="s">
        <v>282</v>
      </c>
      <c r="B1809" s="295" t="s">
        <v>390</v>
      </c>
      <c r="C1809" s="293">
        <v>24311.873899999999</v>
      </c>
      <c r="D1809" s="293">
        <v>25056.069599999999</v>
      </c>
      <c r="E1809" s="293">
        <v>744.19569999999999</v>
      </c>
      <c r="F1809" s="294" t="s">
        <v>391</v>
      </c>
    </row>
    <row r="1810" spans="1:6" hidden="1" outlineLevel="1" collapsed="1" x14ac:dyDescent="0.25">
      <c r="A1810" s="295" t="s">
        <v>282</v>
      </c>
      <c r="B1810" s="295" t="s">
        <v>392</v>
      </c>
      <c r="C1810" s="293">
        <v>366.656544</v>
      </c>
      <c r="D1810" s="293">
        <v>287.1216</v>
      </c>
      <c r="E1810" s="293">
        <v>-79.534943999999996</v>
      </c>
      <c r="F1810" s="294" t="s">
        <v>368</v>
      </c>
    </row>
    <row r="1811" spans="1:6" hidden="1" outlineLevel="1" collapsed="1" x14ac:dyDescent="0.25">
      <c r="A1811" s="295" t="s">
        <v>282</v>
      </c>
      <c r="B1811" s="295" t="s">
        <v>754</v>
      </c>
      <c r="C1811" s="293">
        <v>95898.848639999997</v>
      </c>
      <c r="D1811" s="293">
        <v>99649.744319999998</v>
      </c>
      <c r="E1811" s="293">
        <v>3750.8956800000001</v>
      </c>
      <c r="F1811" s="294" t="s">
        <v>366</v>
      </c>
    </row>
    <row r="1812" spans="1:6" hidden="1" outlineLevel="1" collapsed="1" x14ac:dyDescent="0.25">
      <c r="A1812" s="295" t="s">
        <v>282</v>
      </c>
      <c r="B1812" s="295" t="s">
        <v>755</v>
      </c>
      <c r="C1812" s="293">
        <v>3500.1891070000001</v>
      </c>
      <c r="D1812" s="293">
        <v>3466.6365599999999</v>
      </c>
      <c r="E1812" s="293">
        <v>-33.552546999999997</v>
      </c>
      <c r="F1812" s="294" t="s">
        <v>364</v>
      </c>
    </row>
    <row r="1813" spans="1:6" hidden="1" outlineLevel="1" collapsed="1" x14ac:dyDescent="0.25">
      <c r="A1813" s="295" t="s">
        <v>282</v>
      </c>
      <c r="B1813" s="295" t="s">
        <v>756</v>
      </c>
      <c r="C1813" s="293">
        <v>1918.2909890000001</v>
      </c>
      <c r="D1813" s="293">
        <v>1502.17632</v>
      </c>
      <c r="E1813" s="293">
        <v>-416.11466899999999</v>
      </c>
      <c r="F1813" s="294" t="s">
        <v>368</v>
      </c>
    </row>
    <row r="1814" spans="1:6" hidden="1" outlineLevel="1" collapsed="1" x14ac:dyDescent="0.25">
      <c r="A1814" s="295" t="s">
        <v>282</v>
      </c>
      <c r="B1814" s="295" t="s">
        <v>369</v>
      </c>
      <c r="C1814" s="293">
        <v>42.015996000000001</v>
      </c>
      <c r="D1814" s="293">
        <v>43.856112000000003</v>
      </c>
      <c r="E1814" s="293">
        <v>1.8401160000000001</v>
      </c>
      <c r="F1814" s="294" t="s">
        <v>978</v>
      </c>
    </row>
    <row r="1815" spans="1:6" hidden="1" outlineLevel="1" collapsed="1" x14ac:dyDescent="0.25">
      <c r="A1815" s="295" t="s">
        <v>282</v>
      </c>
      <c r="B1815" s="295" t="s">
        <v>393</v>
      </c>
      <c r="C1815" s="293">
        <v>34.479368999999998</v>
      </c>
      <c r="D1815" s="293">
        <v>35.511674999999997</v>
      </c>
      <c r="E1815" s="293">
        <v>1.0323059999999999</v>
      </c>
      <c r="F1815" s="294" t="s">
        <v>975</v>
      </c>
    </row>
    <row r="1816" spans="1:6" hidden="1" outlineLevel="1" collapsed="1" x14ac:dyDescent="0.25">
      <c r="A1816" s="295" t="s">
        <v>282</v>
      </c>
      <c r="B1816" s="295" t="s">
        <v>757</v>
      </c>
      <c r="C1816" s="293">
        <v>411.04627499999998</v>
      </c>
      <c r="D1816" s="293">
        <v>0</v>
      </c>
      <c r="E1816" s="293">
        <v>-411.04627499999998</v>
      </c>
      <c r="F1816" s="294" t="s">
        <v>286</v>
      </c>
    </row>
    <row r="1817" spans="1:6" hidden="1" outlineLevel="1" collapsed="1" x14ac:dyDescent="0.25">
      <c r="A1817" s="295" t="s">
        <v>282</v>
      </c>
      <c r="B1817" s="295" t="s">
        <v>758</v>
      </c>
      <c r="C1817" s="293">
        <v>0</v>
      </c>
      <c r="D1817" s="293">
        <v>423.03224699999998</v>
      </c>
      <c r="E1817" s="293">
        <v>423.03224699999998</v>
      </c>
      <c r="F1817" s="294" t="s">
        <v>298</v>
      </c>
    </row>
    <row r="1818" spans="1:6" hidden="1" outlineLevel="1" collapsed="1" x14ac:dyDescent="0.25">
      <c r="A1818" s="295" t="s">
        <v>282</v>
      </c>
      <c r="B1818" s="295" t="s">
        <v>370</v>
      </c>
      <c r="C1818" s="293">
        <v>1500</v>
      </c>
      <c r="D1818" s="293">
        <v>1500</v>
      </c>
      <c r="E1818" s="293">
        <v>0</v>
      </c>
      <c r="F1818" s="294" t="s">
        <v>316</v>
      </c>
    </row>
    <row r="1819" spans="1:6" hidden="1" outlineLevel="1" collapsed="1" x14ac:dyDescent="0.25">
      <c r="A1819" s="295" t="s">
        <v>282</v>
      </c>
      <c r="B1819" s="295" t="s">
        <v>394</v>
      </c>
      <c r="C1819" s="293">
        <v>2355</v>
      </c>
      <c r="D1819" s="293">
        <v>0</v>
      </c>
      <c r="E1819" s="293">
        <v>-2355</v>
      </c>
      <c r="F1819" s="294" t="s">
        <v>286</v>
      </c>
    </row>
    <row r="1820" spans="1:6" hidden="1" outlineLevel="1" collapsed="1" x14ac:dyDescent="0.25">
      <c r="A1820" s="295" t="s">
        <v>282</v>
      </c>
      <c r="B1820" s="295" t="s">
        <v>395</v>
      </c>
      <c r="C1820" s="293">
        <v>0</v>
      </c>
      <c r="D1820" s="293">
        <v>2355</v>
      </c>
      <c r="E1820" s="293">
        <v>2355</v>
      </c>
      <c r="F1820" s="294" t="s">
        <v>298</v>
      </c>
    </row>
    <row r="1821" spans="1:6" hidden="1" outlineLevel="1" collapsed="1" x14ac:dyDescent="0.25">
      <c r="A1821" s="295" t="s">
        <v>282</v>
      </c>
      <c r="B1821" s="295" t="s">
        <v>759</v>
      </c>
      <c r="C1821" s="293">
        <v>12321</v>
      </c>
      <c r="D1821" s="293">
        <v>0</v>
      </c>
      <c r="E1821" s="293">
        <v>-12321</v>
      </c>
      <c r="F1821" s="294" t="s">
        <v>286</v>
      </c>
    </row>
    <row r="1822" spans="1:6" hidden="1" outlineLevel="1" collapsed="1" x14ac:dyDescent="0.25">
      <c r="A1822" s="295" t="s">
        <v>282</v>
      </c>
      <c r="B1822" s="295" t="s">
        <v>760</v>
      </c>
      <c r="C1822" s="293">
        <v>0</v>
      </c>
      <c r="D1822" s="293">
        <v>12321</v>
      </c>
      <c r="E1822" s="293">
        <v>12321</v>
      </c>
      <c r="F1822" s="294" t="s">
        <v>298</v>
      </c>
    </row>
    <row r="1823" spans="1:6" hidden="1" outlineLevel="1" collapsed="1" x14ac:dyDescent="0.25">
      <c r="A1823" s="295" t="s">
        <v>282</v>
      </c>
      <c r="B1823" s="295" t="s">
        <v>371</v>
      </c>
      <c r="C1823" s="293">
        <v>49.68</v>
      </c>
      <c r="D1823" s="293">
        <v>48.48</v>
      </c>
      <c r="E1823" s="293">
        <v>-1.2</v>
      </c>
      <c r="F1823" s="294" t="s">
        <v>372</v>
      </c>
    </row>
    <row r="1824" spans="1:6" hidden="1" outlineLevel="1" collapsed="1" x14ac:dyDescent="0.25">
      <c r="A1824" s="295" t="s">
        <v>282</v>
      </c>
      <c r="B1824" s="295" t="s">
        <v>396</v>
      </c>
      <c r="C1824" s="293">
        <v>77.997600000000006</v>
      </c>
      <c r="D1824" s="293">
        <v>0</v>
      </c>
      <c r="E1824" s="293">
        <v>-77.997600000000006</v>
      </c>
      <c r="F1824" s="294" t="s">
        <v>286</v>
      </c>
    </row>
    <row r="1825" spans="1:6" hidden="1" outlineLevel="1" collapsed="1" x14ac:dyDescent="0.25">
      <c r="A1825" s="295" t="s">
        <v>282</v>
      </c>
      <c r="B1825" s="295" t="s">
        <v>397</v>
      </c>
      <c r="C1825" s="293">
        <v>0</v>
      </c>
      <c r="D1825" s="293">
        <v>76.113600000000005</v>
      </c>
      <c r="E1825" s="293">
        <v>76.113600000000005</v>
      </c>
      <c r="F1825" s="294" t="s">
        <v>298</v>
      </c>
    </row>
    <row r="1826" spans="1:6" hidden="1" outlineLevel="1" collapsed="1" x14ac:dyDescent="0.25">
      <c r="A1826" s="295" t="s">
        <v>282</v>
      </c>
      <c r="B1826" s="295" t="s">
        <v>761</v>
      </c>
      <c r="C1826" s="293">
        <v>408.07152000000002</v>
      </c>
      <c r="D1826" s="293">
        <v>0</v>
      </c>
      <c r="E1826" s="293">
        <v>-408.07152000000002</v>
      </c>
      <c r="F1826" s="294" t="s">
        <v>286</v>
      </c>
    </row>
    <row r="1827" spans="1:6" hidden="1" outlineLevel="1" collapsed="1" x14ac:dyDescent="0.25">
      <c r="A1827" s="295" t="s">
        <v>282</v>
      </c>
      <c r="B1827" s="295" t="s">
        <v>762</v>
      </c>
      <c r="C1827" s="293">
        <v>0</v>
      </c>
      <c r="D1827" s="293">
        <v>398.21472</v>
      </c>
      <c r="E1827" s="293">
        <v>398.21472</v>
      </c>
      <c r="F1827" s="294" t="s">
        <v>298</v>
      </c>
    </row>
    <row r="1828" spans="1:6" hidden="1" outlineLevel="1" collapsed="1" x14ac:dyDescent="0.25">
      <c r="A1828" s="295" t="s">
        <v>282</v>
      </c>
      <c r="B1828" s="295" t="s">
        <v>373</v>
      </c>
      <c r="C1828" s="293">
        <v>24</v>
      </c>
      <c r="D1828" s="293">
        <v>11.04</v>
      </c>
      <c r="E1828" s="293">
        <v>-12.96</v>
      </c>
      <c r="F1828" s="294" t="s">
        <v>374</v>
      </c>
    </row>
    <row r="1829" spans="1:6" hidden="1" outlineLevel="1" collapsed="1" x14ac:dyDescent="0.25">
      <c r="A1829" s="295" t="s">
        <v>282</v>
      </c>
      <c r="B1829" s="295" t="s">
        <v>398</v>
      </c>
      <c r="C1829" s="293">
        <v>37.68</v>
      </c>
      <c r="D1829" s="293">
        <v>17.332799999999999</v>
      </c>
      <c r="E1829" s="293">
        <v>-20.347200000000001</v>
      </c>
      <c r="F1829" s="294" t="s">
        <v>374</v>
      </c>
    </row>
    <row r="1830" spans="1:6" hidden="1" outlineLevel="1" collapsed="1" x14ac:dyDescent="0.25">
      <c r="A1830" s="295" t="s">
        <v>282</v>
      </c>
      <c r="B1830" s="295" t="s">
        <v>763</v>
      </c>
      <c r="C1830" s="293">
        <v>197.136</v>
      </c>
      <c r="D1830" s="293">
        <v>90.682559999999995</v>
      </c>
      <c r="E1830" s="293">
        <v>-106.45344</v>
      </c>
      <c r="F1830" s="294" t="s">
        <v>374</v>
      </c>
    </row>
    <row r="1831" spans="1:6" hidden="1" outlineLevel="1" collapsed="1" x14ac:dyDescent="0.25">
      <c r="A1831" s="295" t="s">
        <v>282</v>
      </c>
      <c r="B1831" s="295" t="s">
        <v>522</v>
      </c>
      <c r="C1831" s="293">
        <v>5910</v>
      </c>
      <c r="D1831" s="293">
        <v>5910</v>
      </c>
      <c r="E1831" s="293">
        <v>0</v>
      </c>
      <c r="F1831" s="294" t="s">
        <v>316</v>
      </c>
    </row>
    <row r="1832" spans="1:6" hidden="1" outlineLevel="1" collapsed="1" x14ac:dyDescent="0.25">
      <c r="A1832" s="295" t="s">
        <v>282</v>
      </c>
      <c r="B1832" s="295" t="s">
        <v>496</v>
      </c>
      <c r="C1832" s="293">
        <v>0</v>
      </c>
      <c r="D1832" s="293">
        <v>0</v>
      </c>
      <c r="E1832" s="293">
        <v>0</v>
      </c>
      <c r="F1832" s="294" t="s">
        <v>316</v>
      </c>
    </row>
    <row r="1833" spans="1:6" hidden="1" outlineLevel="1" collapsed="1" x14ac:dyDescent="0.25">
      <c r="A1833" s="295" t="s">
        <v>282</v>
      </c>
      <c r="B1833" s="295" t="s">
        <v>376</v>
      </c>
      <c r="C1833" s="293">
        <v>0</v>
      </c>
      <c r="D1833" s="293">
        <v>2992</v>
      </c>
      <c r="E1833" s="293">
        <v>2992</v>
      </c>
      <c r="F1833" s="294" t="s">
        <v>298</v>
      </c>
    </row>
    <row r="1834" spans="1:6" hidden="1" outlineLevel="1" collapsed="1" x14ac:dyDescent="0.25">
      <c r="A1834" s="295" t="s">
        <v>282</v>
      </c>
      <c r="B1834" s="295" t="s">
        <v>662</v>
      </c>
      <c r="C1834" s="293">
        <v>0</v>
      </c>
      <c r="D1834" s="293">
        <v>202</v>
      </c>
      <c r="E1834" s="293">
        <v>202</v>
      </c>
      <c r="F1834" s="294" t="s">
        <v>298</v>
      </c>
    </row>
    <row r="1835" spans="1:6" hidden="1" outlineLevel="1" collapsed="1" x14ac:dyDescent="0.25">
      <c r="A1835" s="295" t="s">
        <v>282</v>
      </c>
      <c r="B1835" s="295" t="s">
        <v>426</v>
      </c>
      <c r="C1835" s="293">
        <v>66</v>
      </c>
      <c r="D1835" s="293">
        <v>2477</v>
      </c>
      <c r="E1835" s="293">
        <v>2411</v>
      </c>
      <c r="F1835" s="294" t="s">
        <v>979</v>
      </c>
    </row>
    <row r="1836" spans="1:6" hidden="1" outlineLevel="1" collapsed="1" x14ac:dyDescent="0.25">
      <c r="A1836" s="295" t="s">
        <v>282</v>
      </c>
      <c r="B1836" s="295" t="s">
        <v>482</v>
      </c>
      <c r="C1836" s="293">
        <v>21</v>
      </c>
      <c r="D1836" s="293">
        <v>500</v>
      </c>
      <c r="E1836" s="293">
        <v>479</v>
      </c>
      <c r="F1836" s="294" t="s">
        <v>980</v>
      </c>
    </row>
    <row r="1837" spans="1:6" hidden="1" outlineLevel="1" collapsed="1" x14ac:dyDescent="0.25">
      <c r="A1837" s="295" t="s">
        <v>282</v>
      </c>
      <c r="B1837" s="295" t="s">
        <v>597</v>
      </c>
      <c r="C1837" s="293">
        <v>233</v>
      </c>
      <c r="D1837" s="293">
        <v>1233</v>
      </c>
      <c r="E1837" s="293">
        <v>1000</v>
      </c>
      <c r="F1837" s="294" t="s">
        <v>981</v>
      </c>
    </row>
    <row r="1838" spans="1:6" hidden="1" outlineLevel="1" collapsed="1" x14ac:dyDescent="0.25">
      <c r="A1838" s="295" t="s">
        <v>282</v>
      </c>
      <c r="B1838" s="295" t="s">
        <v>405</v>
      </c>
      <c r="C1838" s="293">
        <v>800</v>
      </c>
      <c r="D1838" s="293">
        <v>810</v>
      </c>
      <c r="E1838" s="293">
        <v>10</v>
      </c>
      <c r="F1838" s="294" t="s">
        <v>982</v>
      </c>
    </row>
    <row r="1839" spans="1:6" hidden="1" outlineLevel="1" collapsed="1" x14ac:dyDescent="0.25">
      <c r="A1839" s="295" t="s">
        <v>282</v>
      </c>
      <c r="B1839" s="295" t="s">
        <v>422</v>
      </c>
      <c r="C1839" s="293">
        <v>7084</v>
      </c>
      <c r="D1839" s="293">
        <v>0</v>
      </c>
      <c r="E1839" s="293">
        <v>-7084</v>
      </c>
      <c r="F1839" s="294" t="s">
        <v>286</v>
      </c>
    </row>
    <row r="1840" spans="1:6" collapsed="1" x14ac:dyDescent="0.25">
      <c r="A1840" s="560" t="s">
        <v>983</v>
      </c>
      <c r="B1840" s="561"/>
      <c r="C1840" s="292">
        <v>1290</v>
      </c>
      <c r="D1840" s="293">
        <v>1290</v>
      </c>
      <c r="E1840" s="293">
        <v>0</v>
      </c>
      <c r="F1840" s="294" t="s">
        <v>316</v>
      </c>
    </row>
    <row r="1841" spans="1:6" hidden="1" outlineLevel="1" collapsed="1" x14ac:dyDescent="0.25">
      <c r="A1841" s="295" t="s">
        <v>282</v>
      </c>
      <c r="B1841" s="295" t="s">
        <v>426</v>
      </c>
      <c r="C1841" s="293">
        <v>965</v>
      </c>
      <c r="D1841" s="293">
        <v>965</v>
      </c>
      <c r="E1841" s="293">
        <v>0</v>
      </c>
      <c r="F1841" s="294" t="s">
        <v>316</v>
      </c>
    </row>
    <row r="1842" spans="1:6" hidden="1" outlineLevel="1" collapsed="1" x14ac:dyDescent="0.25">
      <c r="A1842" s="295" t="s">
        <v>282</v>
      </c>
      <c r="B1842" s="295" t="s">
        <v>482</v>
      </c>
      <c r="C1842" s="293">
        <v>325</v>
      </c>
      <c r="D1842" s="293">
        <v>325</v>
      </c>
      <c r="E1842" s="293">
        <v>0</v>
      </c>
      <c r="F1842" s="294" t="s">
        <v>316</v>
      </c>
    </row>
    <row r="1843" spans="1:6" collapsed="1" x14ac:dyDescent="0.25">
      <c r="A1843" s="560" t="s">
        <v>984</v>
      </c>
      <c r="B1843" s="561"/>
      <c r="C1843" s="292">
        <v>283570.76386000001</v>
      </c>
      <c r="D1843" s="293">
        <v>294109.81783000001</v>
      </c>
      <c r="E1843" s="293">
        <v>10539.053970000001</v>
      </c>
      <c r="F1843" s="294" t="s">
        <v>985</v>
      </c>
    </row>
    <row r="1844" spans="1:6" hidden="1" outlineLevel="1" collapsed="1" x14ac:dyDescent="0.25">
      <c r="A1844" s="295" t="s">
        <v>282</v>
      </c>
      <c r="B1844" s="295" t="s">
        <v>750</v>
      </c>
      <c r="C1844" s="293">
        <v>135440.879984</v>
      </c>
      <c r="D1844" s="293">
        <v>139478.78279100001</v>
      </c>
      <c r="E1844" s="293">
        <v>4037.9028069999999</v>
      </c>
      <c r="F1844" s="294" t="s">
        <v>381</v>
      </c>
    </row>
    <row r="1845" spans="1:6" hidden="1" outlineLevel="1" collapsed="1" x14ac:dyDescent="0.25">
      <c r="A1845" s="295" t="s">
        <v>282</v>
      </c>
      <c r="B1845" s="295" t="s">
        <v>412</v>
      </c>
      <c r="C1845" s="293">
        <v>720</v>
      </c>
      <c r="D1845" s="293">
        <v>720</v>
      </c>
      <c r="E1845" s="293">
        <v>0</v>
      </c>
      <c r="F1845" s="294" t="s">
        <v>316</v>
      </c>
    </row>
    <row r="1846" spans="1:6" hidden="1" outlineLevel="1" collapsed="1" x14ac:dyDescent="0.25">
      <c r="A1846" s="295" t="s">
        <v>282</v>
      </c>
      <c r="B1846" s="295" t="s">
        <v>464</v>
      </c>
      <c r="C1846" s="293">
        <v>47925.057271999998</v>
      </c>
      <c r="D1846" s="293">
        <v>49331.274548000001</v>
      </c>
      <c r="E1846" s="293">
        <v>1406.2172760000001</v>
      </c>
      <c r="F1846" s="294" t="s">
        <v>805</v>
      </c>
    </row>
    <row r="1847" spans="1:6" hidden="1" outlineLevel="1" collapsed="1" x14ac:dyDescent="0.25">
      <c r="A1847" s="295" t="s">
        <v>282</v>
      </c>
      <c r="B1847" s="295" t="s">
        <v>424</v>
      </c>
      <c r="C1847" s="293">
        <v>3265</v>
      </c>
      <c r="D1847" s="293">
        <v>0</v>
      </c>
      <c r="E1847" s="293">
        <v>-3265</v>
      </c>
      <c r="F1847" s="294" t="s">
        <v>286</v>
      </c>
    </row>
    <row r="1848" spans="1:6" hidden="1" outlineLevel="1" collapsed="1" x14ac:dyDescent="0.25">
      <c r="A1848" s="295" t="s">
        <v>282</v>
      </c>
      <c r="B1848" s="295" t="s">
        <v>425</v>
      </c>
      <c r="C1848" s="293">
        <v>0</v>
      </c>
      <c r="D1848" s="293">
        <v>2600</v>
      </c>
      <c r="E1848" s="293">
        <v>2600</v>
      </c>
      <c r="F1848" s="294" t="s">
        <v>298</v>
      </c>
    </row>
    <row r="1849" spans="1:6" hidden="1" outlineLevel="1" collapsed="1" x14ac:dyDescent="0.25">
      <c r="A1849" s="295" t="s">
        <v>282</v>
      </c>
      <c r="B1849" s="295" t="s">
        <v>751</v>
      </c>
      <c r="C1849" s="293">
        <v>17675.034823999998</v>
      </c>
      <c r="D1849" s="293">
        <v>0</v>
      </c>
      <c r="E1849" s="293">
        <v>-17675.034823999998</v>
      </c>
      <c r="F1849" s="294" t="s">
        <v>286</v>
      </c>
    </row>
    <row r="1850" spans="1:6" hidden="1" outlineLevel="1" collapsed="1" x14ac:dyDescent="0.25">
      <c r="A1850" s="295" t="s">
        <v>282</v>
      </c>
      <c r="B1850" s="295" t="s">
        <v>752</v>
      </c>
      <c r="C1850" s="293">
        <v>0</v>
      </c>
      <c r="D1850" s="293">
        <v>20126.788345000001</v>
      </c>
      <c r="E1850" s="293">
        <v>20126.788345000001</v>
      </c>
      <c r="F1850" s="294" t="s">
        <v>298</v>
      </c>
    </row>
    <row r="1851" spans="1:6" hidden="1" outlineLevel="1" collapsed="1" x14ac:dyDescent="0.25">
      <c r="A1851" s="295" t="s">
        <v>282</v>
      </c>
      <c r="B1851" s="295" t="s">
        <v>384</v>
      </c>
      <c r="C1851" s="293">
        <v>5852.8521959999998</v>
      </c>
      <c r="D1851" s="293">
        <v>0</v>
      </c>
      <c r="E1851" s="293">
        <v>-5852.8521959999998</v>
      </c>
      <c r="F1851" s="294" t="s">
        <v>286</v>
      </c>
    </row>
    <row r="1852" spans="1:6" hidden="1" outlineLevel="1" collapsed="1" x14ac:dyDescent="0.25">
      <c r="A1852" s="295" t="s">
        <v>282</v>
      </c>
      <c r="B1852" s="295" t="s">
        <v>385</v>
      </c>
      <c r="C1852" s="293">
        <v>0</v>
      </c>
      <c r="D1852" s="293">
        <v>7573.14138</v>
      </c>
      <c r="E1852" s="293">
        <v>7573.14138</v>
      </c>
      <c r="F1852" s="294" t="s">
        <v>298</v>
      </c>
    </row>
    <row r="1853" spans="1:6" hidden="1" outlineLevel="1" collapsed="1" x14ac:dyDescent="0.25">
      <c r="A1853" s="295" t="s">
        <v>282</v>
      </c>
      <c r="B1853" s="295" t="s">
        <v>386</v>
      </c>
      <c r="C1853" s="293">
        <v>2934.1535399999998</v>
      </c>
      <c r="D1853" s="293">
        <v>0</v>
      </c>
      <c r="E1853" s="293">
        <v>-2934.1535399999998</v>
      </c>
      <c r="F1853" s="294" t="s">
        <v>286</v>
      </c>
    </row>
    <row r="1854" spans="1:6" hidden="1" outlineLevel="1" collapsed="1" x14ac:dyDescent="0.25">
      <c r="A1854" s="295" t="s">
        <v>282</v>
      </c>
      <c r="B1854" s="295" t="s">
        <v>387</v>
      </c>
      <c r="C1854" s="293">
        <v>0</v>
      </c>
      <c r="D1854" s="293">
        <v>3021.3390119999999</v>
      </c>
      <c r="E1854" s="293">
        <v>3021.3390119999999</v>
      </c>
      <c r="F1854" s="294" t="s">
        <v>298</v>
      </c>
    </row>
    <row r="1855" spans="1:6" hidden="1" outlineLevel="1" collapsed="1" x14ac:dyDescent="0.25">
      <c r="A1855" s="295" t="s">
        <v>282</v>
      </c>
      <c r="B1855" s="295" t="s">
        <v>753</v>
      </c>
      <c r="C1855" s="293">
        <v>8441.9745440000006</v>
      </c>
      <c r="D1855" s="293">
        <v>8692.3245239999997</v>
      </c>
      <c r="E1855" s="293">
        <v>250.34997999999999</v>
      </c>
      <c r="F1855" s="294" t="s">
        <v>553</v>
      </c>
    </row>
    <row r="1856" spans="1:6" hidden="1" outlineLevel="1" collapsed="1" x14ac:dyDescent="0.25">
      <c r="A1856" s="295" t="s">
        <v>282</v>
      </c>
      <c r="B1856" s="295" t="s">
        <v>388</v>
      </c>
      <c r="C1856" s="293">
        <v>2660.5460720000001</v>
      </c>
      <c r="D1856" s="293">
        <v>2739.4858180000001</v>
      </c>
      <c r="E1856" s="293">
        <v>78.939746</v>
      </c>
      <c r="F1856" s="294" t="s">
        <v>553</v>
      </c>
    </row>
    <row r="1857" spans="1:6" hidden="1" outlineLevel="1" collapsed="1" x14ac:dyDescent="0.25">
      <c r="A1857" s="295" t="s">
        <v>282</v>
      </c>
      <c r="B1857" s="295" t="s">
        <v>444</v>
      </c>
      <c r="C1857" s="293">
        <v>630</v>
      </c>
      <c r="D1857" s="293">
        <v>0</v>
      </c>
      <c r="E1857" s="293">
        <v>-630</v>
      </c>
      <c r="F1857" s="294" t="s">
        <v>286</v>
      </c>
    </row>
    <row r="1858" spans="1:6" hidden="1" outlineLevel="1" collapsed="1" x14ac:dyDescent="0.25">
      <c r="A1858" s="295" t="s">
        <v>282</v>
      </c>
      <c r="B1858" s="295" t="s">
        <v>389</v>
      </c>
      <c r="C1858" s="293">
        <v>426.12479999999999</v>
      </c>
      <c r="D1858" s="293">
        <v>422.04</v>
      </c>
      <c r="E1858" s="293">
        <v>-4.0848000000000004</v>
      </c>
      <c r="F1858" s="294" t="s">
        <v>364</v>
      </c>
    </row>
    <row r="1859" spans="1:6" hidden="1" outlineLevel="1" collapsed="1" x14ac:dyDescent="0.25">
      <c r="A1859" s="295" t="s">
        <v>282</v>
      </c>
      <c r="B1859" s="295" t="s">
        <v>390</v>
      </c>
      <c r="C1859" s="293">
        <v>15485.27</v>
      </c>
      <c r="D1859" s="293">
        <v>15959.28</v>
      </c>
      <c r="E1859" s="293">
        <v>474.01</v>
      </c>
      <c r="F1859" s="294" t="s">
        <v>391</v>
      </c>
    </row>
    <row r="1860" spans="1:6" hidden="1" outlineLevel="1" collapsed="1" x14ac:dyDescent="0.25">
      <c r="A1860" s="295" t="s">
        <v>282</v>
      </c>
      <c r="B1860" s="295" t="s">
        <v>392</v>
      </c>
      <c r="C1860" s="293">
        <v>233.53919999999999</v>
      </c>
      <c r="D1860" s="293">
        <v>182.88</v>
      </c>
      <c r="E1860" s="293">
        <v>-50.659199999999998</v>
      </c>
      <c r="F1860" s="294" t="s">
        <v>368</v>
      </c>
    </row>
    <row r="1861" spans="1:6" hidden="1" outlineLevel="1" collapsed="1" x14ac:dyDescent="0.25">
      <c r="A1861" s="295" t="s">
        <v>282</v>
      </c>
      <c r="B1861" s="295" t="s">
        <v>754</v>
      </c>
      <c r="C1861" s="293">
        <v>21041.227200000001</v>
      </c>
      <c r="D1861" s="293">
        <v>21864.213599999999</v>
      </c>
      <c r="E1861" s="293">
        <v>822.9864</v>
      </c>
      <c r="F1861" s="294" t="s">
        <v>366</v>
      </c>
    </row>
    <row r="1862" spans="1:6" hidden="1" outlineLevel="1" collapsed="1" x14ac:dyDescent="0.25">
      <c r="A1862" s="295" t="s">
        <v>282</v>
      </c>
      <c r="B1862" s="295" t="s">
        <v>755</v>
      </c>
      <c r="C1862" s="293">
        <v>583.790976</v>
      </c>
      <c r="D1862" s="293">
        <v>578.19479999999999</v>
      </c>
      <c r="E1862" s="293">
        <v>-5.5961759999999998</v>
      </c>
      <c r="F1862" s="294" t="s">
        <v>364</v>
      </c>
    </row>
    <row r="1863" spans="1:6" hidden="1" outlineLevel="1" collapsed="1" x14ac:dyDescent="0.25">
      <c r="A1863" s="295" t="s">
        <v>282</v>
      </c>
      <c r="B1863" s="295" t="s">
        <v>756</v>
      </c>
      <c r="C1863" s="293">
        <v>319.94870400000002</v>
      </c>
      <c r="D1863" s="293">
        <v>250.54560000000001</v>
      </c>
      <c r="E1863" s="293">
        <v>-69.403103999999999</v>
      </c>
      <c r="F1863" s="294" t="s">
        <v>368</v>
      </c>
    </row>
    <row r="1864" spans="1:6" hidden="1" outlineLevel="1" collapsed="1" x14ac:dyDescent="0.25">
      <c r="A1864" s="295" t="s">
        <v>282</v>
      </c>
      <c r="B1864" s="295" t="s">
        <v>393</v>
      </c>
      <c r="C1864" s="293">
        <v>23.662524000000001</v>
      </c>
      <c r="D1864" s="293">
        <v>24.365628000000001</v>
      </c>
      <c r="E1864" s="293">
        <v>0.70310399999999995</v>
      </c>
      <c r="F1864" s="294" t="s">
        <v>553</v>
      </c>
    </row>
    <row r="1865" spans="1:6" hidden="1" outlineLevel="1" collapsed="1" x14ac:dyDescent="0.25">
      <c r="A1865" s="295" t="s">
        <v>282</v>
      </c>
      <c r="B1865" s="295" t="s">
        <v>757</v>
      </c>
      <c r="C1865" s="293">
        <v>68.080423999999994</v>
      </c>
      <c r="D1865" s="293">
        <v>0</v>
      </c>
      <c r="E1865" s="293">
        <v>-68.080423999999994</v>
      </c>
      <c r="F1865" s="294" t="s">
        <v>286</v>
      </c>
    </row>
    <row r="1866" spans="1:6" hidden="1" outlineLevel="1" collapsed="1" x14ac:dyDescent="0.25">
      <c r="A1866" s="295" t="s">
        <v>282</v>
      </c>
      <c r="B1866" s="295" t="s">
        <v>758</v>
      </c>
      <c r="C1866" s="293">
        <v>0</v>
      </c>
      <c r="D1866" s="293">
        <v>70.099384000000001</v>
      </c>
      <c r="E1866" s="293">
        <v>70.099384000000001</v>
      </c>
      <c r="F1866" s="294" t="s">
        <v>298</v>
      </c>
    </row>
    <row r="1867" spans="1:6" hidden="1" outlineLevel="1" collapsed="1" x14ac:dyDescent="0.25">
      <c r="A1867" s="295" t="s">
        <v>282</v>
      </c>
      <c r="B1867" s="295" t="s">
        <v>394</v>
      </c>
      <c r="C1867" s="293">
        <v>1500</v>
      </c>
      <c r="D1867" s="293">
        <v>0</v>
      </c>
      <c r="E1867" s="293">
        <v>-1500</v>
      </c>
      <c r="F1867" s="294" t="s">
        <v>286</v>
      </c>
    </row>
    <row r="1868" spans="1:6" hidden="1" outlineLevel="1" collapsed="1" x14ac:dyDescent="0.25">
      <c r="A1868" s="295" t="s">
        <v>282</v>
      </c>
      <c r="B1868" s="295" t="s">
        <v>395</v>
      </c>
      <c r="C1868" s="293">
        <v>0</v>
      </c>
      <c r="D1868" s="293">
        <v>1500</v>
      </c>
      <c r="E1868" s="293">
        <v>1500</v>
      </c>
      <c r="F1868" s="294" t="s">
        <v>298</v>
      </c>
    </row>
    <row r="1869" spans="1:6" hidden="1" outlineLevel="1" collapsed="1" x14ac:dyDescent="0.25">
      <c r="A1869" s="295" t="s">
        <v>282</v>
      </c>
      <c r="B1869" s="295" t="s">
        <v>759</v>
      </c>
      <c r="C1869" s="293">
        <v>2055</v>
      </c>
      <c r="D1869" s="293">
        <v>0</v>
      </c>
      <c r="E1869" s="293">
        <v>-2055</v>
      </c>
      <c r="F1869" s="294" t="s">
        <v>286</v>
      </c>
    </row>
    <row r="1870" spans="1:6" hidden="1" outlineLevel="1" collapsed="1" x14ac:dyDescent="0.25">
      <c r="A1870" s="295" t="s">
        <v>282</v>
      </c>
      <c r="B1870" s="295" t="s">
        <v>760</v>
      </c>
      <c r="C1870" s="293">
        <v>0</v>
      </c>
      <c r="D1870" s="293">
        <v>2055</v>
      </c>
      <c r="E1870" s="293">
        <v>2055</v>
      </c>
      <c r="F1870" s="294" t="s">
        <v>298</v>
      </c>
    </row>
    <row r="1871" spans="1:6" hidden="1" outlineLevel="1" collapsed="1" x14ac:dyDescent="0.25">
      <c r="A1871" s="295" t="s">
        <v>282</v>
      </c>
      <c r="B1871" s="295" t="s">
        <v>396</v>
      </c>
      <c r="C1871" s="293">
        <v>49.68</v>
      </c>
      <c r="D1871" s="293">
        <v>0</v>
      </c>
      <c r="E1871" s="293">
        <v>-49.68</v>
      </c>
      <c r="F1871" s="294" t="s">
        <v>286</v>
      </c>
    </row>
    <row r="1872" spans="1:6" hidden="1" outlineLevel="1" collapsed="1" x14ac:dyDescent="0.25">
      <c r="A1872" s="295" t="s">
        <v>282</v>
      </c>
      <c r="B1872" s="295" t="s">
        <v>397</v>
      </c>
      <c r="C1872" s="293">
        <v>0</v>
      </c>
      <c r="D1872" s="293">
        <v>48.48</v>
      </c>
      <c r="E1872" s="293">
        <v>48.48</v>
      </c>
      <c r="F1872" s="294" t="s">
        <v>298</v>
      </c>
    </row>
    <row r="1873" spans="1:6" hidden="1" outlineLevel="1" collapsed="1" x14ac:dyDescent="0.25">
      <c r="A1873" s="295" t="s">
        <v>282</v>
      </c>
      <c r="B1873" s="295" t="s">
        <v>761</v>
      </c>
      <c r="C1873" s="293">
        <v>68.061599999999999</v>
      </c>
      <c r="D1873" s="293">
        <v>0</v>
      </c>
      <c r="E1873" s="293">
        <v>-68.061599999999999</v>
      </c>
      <c r="F1873" s="294" t="s">
        <v>286</v>
      </c>
    </row>
    <row r="1874" spans="1:6" hidden="1" outlineLevel="1" collapsed="1" x14ac:dyDescent="0.25">
      <c r="A1874" s="295" t="s">
        <v>282</v>
      </c>
      <c r="B1874" s="295" t="s">
        <v>762</v>
      </c>
      <c r="C1874" s="293">
        <v>0</v>
      </c>
      <c r="D1874" s="293">
        <v>66.417599999999993</v>
      </c>
      <c r="E1874" s="293">
        <v>66.417599999999993</v>
      </c>
      <c r="F1874" s="294" t="s">
        <v>298</v>
      </c>
    </row>
    <row r="1875" spans="1:6" hidden="1" outlineLevel="1" collapsed="1" x14ac:dyDescent="0.25">
      <c r="A1875" s="295" t="s">
        <v>282</v>
      </c>
      <c r="B1875" s="295" t="s">
        <v>398</v>
      </c>
      <c r="C1875" s="293">
        <v>24</v>
      </c>
      <c r="D1875" s="293">
        <v>11.04</v>
      </c>
      <c r="E1875" s="293">
        <v>-12.96</v>
      </c>
      <c r="F1875" s="294" t="s">
        <v>374</v>
      </c>
    </row>
    <row r="1876" spans="1:6" hidden="1" outlineLevel="1" collapsed="1" x14ac:dyDescent="0.25">
      <c r="A1876" s="295" t="s">
        <v>282</v>
      </c>
      <c r="B1876" s="295" t="s">
        <v>763</v>
      </c>
      <c r="C1876" s="293">
        <v>32.880000000000003</v>
      </c>
      <c r="D1876" s="293">
        <v>15.1248</v>
      </c>
      <c r="E1876" s="293">
        <v>-17.755199999999999</v>
      </c>
      <c r="F1876" s="294" t="s">
        <v>374</v>
      </c>
    </row>
    <row r="1877" spans="1:6" hidden="1" outlineLevel="1" collapsed="1" x14ac:dyDescent="0.25">
      <c r="A1877" s="295" t="s">
        <v>282</v>
      </c>
      <c r="B1877" s="295" t="s">
        <v>376</v>
      </c>
      <c r="C1877" s="293">
        <v>2300.48</v>
      </c>
      <c r="D1877" s="293">
        <v>1500</v>
      </c>
      <c r="E1877" s="293">
        <v>-800.48</v>
      </c>
      <c r="F1877" s="294" t="s">
        <v>986</v>
      </c>
    </row>
    <row r="1878" spans="1:6" hidden="1" outlineLevel="1" collapsed="1" x14ac:dyDescent="0.25">
      <c r="A1878" s="295" t="s">
        <v>282</v>
      </c>
      <c r="B1878" s="295" t="s">
        <v>662</v>
      </c>
      <c r="C1878" s="293">
        <v>10</v>
      </c>
      <c r="D1878" s="293">
        <v>0</v>
      </c>
      <c r="E1878" s="293">
        <v>-10</v>
      </c>
      <c r="F1878" s="294" t="s">
        <v>286</v>
      </c>
    </row>
    <row r="1879" spans="1:6" hidden="1" outlineLevel="1" collapsed="1" x14ac:dyDescent="0.25">
      <c r="A1879" s="295" t="s">
        <v>282</v>
      </c>
      <c r="B1879" s="295" t="s">
        <v>506</v>
      </c>
      <c r="C1879" s="293">
        <v>1051.72</v>
      </c>
      <c r="D1879" s="293">
        <v>3000</v>
      </c>
      <c r="E1879" s="293">
        <v>1948.28</v>
      </c>
      <c r="F1879" s="294" t="s">
        <v>987</v>
      </c>
    </row>
    <row r="1880" spans="1:6" hidden="1" outlineLevel="1" collapsed="1" x14ac:dyDescent="0.25">
      <c r="A1880" s="295" t="s">
        <v>282</v>
      </c>
      <c r="B1880" s="295" t="s">
        <v>426</v>
      </c>
      <c r="C1880" s="293">
        <v>1862</v>
      </c>
      <c r="D1880" s="293">
        <v>2000</v>
      </c>
      <c r="E1880" s="293">
        <v>138</v>
      </c>
      <c r="F1880" s="294" t="s">
        <v>988</v>
      </c>
    </row>
    <row r="1881" spans="1:6" hidden="1" outlineLevel="1" collapsed="1" x14ac:dyDescent="0.25">
      <c r="A1881" s="295" t="s">
        <v>282</v>
      </c>
      <c r="B1881" s="295" t="s">
        <v>482</v>
      </c>
      <c r="C1881" s="293">
        <v>1</v>
      </c>
      <c r="D1881" s="293">
        <v>0</v>
      </c>
      <c r="E1881" s="293">
        <v>-1</v>
      </c>
      <c r="F1881" s="294" t="s">
        <v>286</v>
      </c>
    </row>
    <row r="1882" spans="1:6" hidden="1" outlineLevel="1" collapsed="1" x14ac:dyDescent="0.25">
      <c r="A1882" s="295" t="s">
        <v>282</v>
      </c>
      <c r="B1882" s="295" t="s">
        <v>416</v>
      </c>
      <c r="C1882" s="293">
        <v>0</v>
      </c>
      <c r="D1882" s="293">
        <v>1500</v>
      </c>
      <c r="E1882" s="293">
        <v>1500</v>
      </c>
      <c r="F1882" s="294" t="s">
        <v>298</v>
      </c>
    </row>
    <row r="1883" spans="1:6" hidden="1" outlineLevel="1" collapsed="1" x14ac:dyDescent="0.25">
      <c r="A1883" s="295" t="s">
        <v>282</v>
      </c>
      <c r="B1883" s="295" t="s">
        <v>401</v>
      </c>
      <c r="C1883" s="293">
        <v>1426</v>
      </c>
      <c r="D1883" s="293">
        <v>2200</v>
      </c>
      <c r="E1883" s="293">
        <v>774</v>
      </c>
      <c r="F1883" s="294" t="s">
        <v>989</v>
      </c>
    </row>
    <row r="1884" spans="1:6" hidden="1" outlineLevel="1" collapsed="1" x14ac:dyDescent="0.25">
      <c r="A1884" s="295" t="s">
        <v>282</v>
      </c>
      <c r="B1884" s="295" t="s">
        <v>448</v>
      </c>
      <c r="C1884" s="293">
        <v>2805</v>
      </c>
      <c r="D1884" s="293">
        <v>2800</v>
      </c>
      <c r="E1884" s="293">
        <v>-5</v>
      </c>
      <c r="F1884" s="294" t="s">
        <v>990</v>
      </c>
    </row>
    <row r="1885" spans="1:6" hidden="1" outlineLevel="1" collapsed="1" x14ac:dyDescent="0.25">
      <c r="A1885" s="295" t="s">
        <v>282</v>
      </c>
      <c r="B1885" s="295" t="s">
        <v>403</v>
      </c>
      <c r="C1885" s="293">
        <v>0</v>
      </c>
      <c r="D1885" s="293">
        <v>200</v>
      </c>
      <c r="E1885" s="293">
        <v>200</v>
      </c>
      <c r="F1885" s="294" t="s">
        <v>298</v>
      </c>
    </row>
    <row r="1886" spans="1:6" hidden="1" outlineLevel="1" collapsed="1" x14ac:dyDescent="0.25">
      <c r="A1886" s="295" t="s">
        <v>282</v>
      </c>
      <c r="B1886" s="295" t="s">
        <v>626</v>
      </c>
      <c r="C1886" s="293">
        <v>0</v>
      </c>
      <c r="D1886" s="293">
        <v>0</v>
      </c>
      <c r="E1886" s="293">
        <v>0</v>
      </c>
      <c r="F1886" s="294" t="s">
        <v>316</v>
      </c>
    </row>
    <row r="1887" spans="1:6" hidden="1" outlineLevel="1" collapsed="1" x14ac:dyDescent="0.25">
      <c r="A1887" s="295" t="s">
        <v>282</v>
      </c>
      <c r="B1887" s="295" t="s">
        <v>405</v>
      </c>
      <c r="C1887" s="293">
        <v>4</v>
      </c>
      <c r="D1887" s="293">
        <v>2579</v>
      </c>
      <c r="E1887" s="293">
        <v>2575</v>
      </c>
      <c r="F1887" s="294" t="s">
        <v>991</v>
      </c>
    </row>
    <row r="1888" spans="1:6" hidden="1" outlineLevel="1" collapsed="1" x14ac:dyDescent="0.25">
      <c r="A1888" s="295" t="s">
        <v>282</v>
      </c>
      <c r="B1888" s="295" t="s">
        <v>557</v>
      </c>
      <c r="C1888" s="293">
        <v>5491.8</v>
      </c>
      <c r="D1888" s="293">
        <v>1000</v>
      </c>
      <c r="E1888" s="293">
        <v>-4491.8</v>
      </c>
      <c r="F1888" s="294" t="s">
        <v>992</v>
      </c>
    </row>
    <row r="1889" spans="1:6" hidden="1" outlineLevel="1" collapsed="1" x14ac:dyDescent="0.25">
      <c r="A1889" s="295" t="s">
        <v>282</v>
      </c>
      <c r="B1889" s="295" t="s">
        <v>422</v>
      </c>
      <c r="C1889" s="293">
        <v>1162</v>
      </c>
      <c r="D1889" s="293">
        <v>0</v>
      </c>
      <c r="E1889" s="293">
        <v>-1162</v>
      </c>
      <c r="F1889" s="294" t="s">
        <v>286</v>
      </c>
    </row>
    <row r="1890" spans="1:6" collapsed="1" x14ac:dyDescent="0.25">
      <c r="A1890" s="560" t="s">
        <v>993</v>
      </c>
      <c r="B1890" s="561"/>
      <c r="C1890" s="292">
        <v>230621.39275500001</v>
      </c>
      <c r="D1890" s="293">
        <v>246233.04133199999</v>
      </c>
      <c r="E1890" s="293">
        <v>15611.648577</v>
      </c>
      <c r="F1890" s="294" t="s">
        <v>994</v>
      </c>
    </row>
    <row r="1891" spans="1:6" hidden="1" outlineLevel="1" collapsed="1" x14ac:dyDescent="0.25">
      <c r="A1891" s="295" t="s">
        <v>282</v>
      </c>
      <c r="B1891" s="295" t="s">
        <v>464</v>
      </c>
      <c r="C1891" s="293">
        <v>102504.82606399999</v>
      </c>
      <c r="D1891" s="293">
        <v>108349.7987</v>
      </c>
      <c r="E1891" s="293">
        <v>5844.9726360000004</v>
      </c>
      <c r="F1891" s="294" t="s">
        <v>995</v>
      </c>
    </row>
    <row r="1892" spans="1:6" hidden="1" outlineLevel="1" collapsed="1" x14ac:dyDescent="0.25">
      <c r="A1892" s="295" t="s">
        <v>282</v>
      </c>
      <c r="B1892" s="295" t="s">
        <v>935</v>
      </c>
      <c r="C1892" s="293">
        <v>70000</v>
      </c>
      <c r="D1892" s="293">
        <v>70000</v>
      </c>
      <c r="E1892" s="293">
        <v>0</v>
      </c>
      <c r="F1892" s="294" t="s">
        <v>316</v>
      </c>
    </row>
    <row r="1893" spans="1:6" hidden="1" outlineLevel="1" collapsed="1" x14ac:dyDescent="0.25">
      <c r="A1893" s="295" t="s">
        <v>282</v>
      </c>
      <c r="B1893" s="295" t="s">
        <v>384</v>
      </c>
      <c r="C1893" s="293">
        <v>12794.467116</v>
      </c>
      <c r="D1893" s="293">
        <v>0</v>
      </c>
      <c r="E1893" s="293">
        <v>-12794.467116</v>
      </c>
      <c r="F1893" s="294" t="s">
        <v>286</v>
      </c>
    </row>
    <row r="1894" spans="1:6" hidden="1" outlineLevel="1" collapsed="1" x14ac:dyDescent="0.25">
      <c r="A1894" s="295" t="s">
        <v>282</v>
      </c>
      <c r="B1894" s="295" t="s">
        <v>385</v>
      </c>
      <c r="C1894" s="293">
        <v>0</v>
      </c>
      <c r="D1894" s="293">
        <v>16992.868176</v>
      </c>
      <c r="E1894" s="293">
        <v>16992.868176</v>
      </c>
      <c r="F1894" s="294" t="s">
        <v>298</v>
      </c>
    </row>
    <row r="1895" spans="1:6" hidden="1" outlineLevel="1" collapsed="1" x14ac:dyDescent="0.25">
      <c r="A1895" s="295" t="s">
        <v>282</v>
      </c>
      <c r="B1895" s="295" t="s">
        <v>386</v>
      </c>
      <c r="C1895" s="293">
        <v>6355.299215</v>
      </c>
      <c r="D1895" s="293">
        <v>0</v>
      </c>
      <c r="E1895" s="293">
        <v>-6355.299215</v>
      </c>
      <c r="F1895" s="294" t="s">
        <v>286</v>
      </c>
    </row>
    <row r="1896" spans="1:6" hidden="1" outlineLevel="1" collapsed="1" x14ac:dyDescent="0.25">
      <c r="A1896" s="295" t="s">
        <v>282</v>
      </c>
      <c r="B1896" s="295" t="s">
        <v>387</v>
      </c>
      <c r="C1896" s="293">
        <v>0</v>
      </c>
      <c r="D1896" s="293">
        <v>6717.6875040000004</v>
      </c>
      <c r="E1896" s="293">
        <v>6717.6875040000004</v>
      </c>
      <c r="F1896" s="294" t="s">
        <v>298</v>
      </c>
    </row>
    <row r="1897" spans="1:6" hidden="1" outlineLevel="1" collapsed="1" x14ac:dyDescent="0.25">
      <c r="A1897" s="295" t="s">
        <v>282</v>
      </c>
      <c r="B1897" s="295" t="s">
        <v>388</v>
      </c>
      <c r="C1897" s="293">
        <v>1486.319964</v>
      </c>
      <c r="D1897" s="293">
        <v>1571.072064</v>
      </c>
      <c r="E1897" s="293">
        <v>84.752099999999999</v>
      </c>
      <c r="F1897" s="294" t="s">
        <v>995</v>
      </c>
    </row>
    <row r="1898" spans="1:6" hidden="1" outlineLevel="1" collapsed="1" x14ac:dyDescent="0.25">
      <c r="A1898" s="295" t="s">
        <v>282</v>
      </c>
      <c r="B1898" s="295" t="s">
        <v>444</v>
      </c>
      <c r="C1898" s="293">
        <v>0</v>
      </c>
      <c r="D1898" s="293">
        <v>6300</v>
      </c>
      <c r="E1898" s="293">
        <v>6300</v>
      </c>
      <c r="F1898" s="294" t="s">
        <v>298</v>
      </c>
    </row>
    <row r="1899" spans="1:6" hidden="1" outlineLevel="1" collapsed="1" x14ac:dyDescent="0.25">
      <c r="A1899" s="295" t="s">
        <v>282</v>
      </c>
      <c r="B1899" s="295" t="s">
        <v>389</v>
      </c>
      <c r="C1899" s="293">
        <v>852.24959999999999</v>
      </c>
      <c r="D1899" s="293">
        <v>844.08</v>
      </c>
      <c r="E1899" s="293">
        <v>-8.1696000000000009</v>
      </c>
      <c r="F1899" s="294" t="s">
        <v>364</v>
      </c>
    </row>
    <row r="1900" spans="1:6" hidden="1" outlineLevel="1" collapsed="1" x14ac:dyDescent="0.25">
      <c r="A1900" s="295" t="s">
        <v>282</v>
      </c>
      <c r="B1900" s="295" t="s">
        <v>390</v>
      </c>
      <c r="C1900" s="293">
        <v>30970.54</v>
      </c>
      <c r="D1900" s="293">
        <v>31918.560000000001</v>
      </c>
      <c r="E1900" s="293">
        <v>948.02</v>
      </c>
      <c r="F1900" s="294" t="s">
        <v>391</v>
      </c>
    </row>
    <row r="1901" spans="1:6" hidden="1" outlineLevel="1" collapsed="1" x14ac:dyDescent="0.25">
      <c r="A1901" s="295" t="s">
        <v>282</v>
      </c>
      <c r="B1901" s="295" t="s">
        <v>392</v>
      </c>
      <c r="C1901" s="293">
        <v>467.07839999999999</v>
      </c>
      <c r="D1901" s="293">
        <v>365.76</v>
      </c>
      <c r="E1901" s="293">
        <v>-101.3184</v>
      </c>
      <c r="F1901" s="294" t="s">
        <v>368</v>
      </c>
    </row>
    <row r="1902" spans="1:6" hidden="1" outlineLevel="1" collapsed="1" x14ac:dyDescent="0.25">
      <c r="A1902" s="295" t="s">
        <v>282</v>
      </c>
      <c r="B1902" s="295" t="s">
        <v>393</v>
      </c>
      <c r="C1902" s="293">
        <v>51.252395999999997</v>
      </c>
      <c r="D1902" s="293">
        <v>54.174888000000003</v>
      </c>
      <c r="E1902" s="293">
        <v>2.9224920000000001</v>
      </c>
      <c r="F1902" s="294" t="s">
        <v>995</v>
      </c>
    </row>
    <row r="1903" spans="1:6" hidden="1" outlineLevel="1" collapsed="1" x14ac:dyDescent="0.25">
      <c r="A1903" s="295" t="s">
        <v>282</v>
      </c>
      <c r="B1903" s="295" t="s">
        <v>394</v>
      </c>
      <c r="C1903" s="293">
        <v>3000</v>
      </c>
      <c r="D1903" s="293">
        <v>0</v>
      </c>
      <c r="E1903" s="293">
        <v>-3000</v>
      </c>
      <c r="F1903" s="294" t="s">
        <v>286</v>
      </c>
    </row>
    <row r="1904" spans="1:6" hidden="1" outlineLevel="1" collapsed="1" x14ac:dyDescent="0.25">
      <c r="A1904" s="295" t="s">
        <v>282</v>
      </c>
      <c r="B1904" s="295" t="s">
        <v>395</v>
      </c>
      <c r="C1904" s="293">
        <v>0</v>
      </c>
      <c r="D1904" s="293">
        <v>3000</v>
      </c>
      <c r="E1904" s="293">
        <v>3000</v>
      </c>
      <c r="F1904" s="294" t="s">
        <v>298</v>
      </c>
    </row>
    <row r="1905" spans="1:6" hidden="1" outlineLevel="1" collapsed="1" x14ac:dyDescent="0.25">
      <c r="A1905" s="295" t="s">
        <v>282</v>
      </c>
      <c r="B1905" s="295" t="s">
        <v>396</v>
      </c>
      <c r="C1905" s="293">
        <v>99.36</v>
      </c>
      <c r="D1905" s="293">
        <v>0</v>
      </c>
      <c r="E1905" s="293">
        <v>-99.36</v>
      </c>
      <c r="F1905" s="294" t="s">
        <v>286</v>
      </c>
    </row>
    <row r="1906" spans="1:6" hidden="1" outlineLevel="1" collapsed="1" x14ac:dyDescent="0.25">
      <c r="A1906" s="295" t="s">
        <v>282</v>
      </c>
      <c r="B1906" s="295" t="s">
        <v>397</v>
      </c>
      <c r="C1906" s="293">
        <v>0</v>
      </c>
      <c r="D1906" s="293">
        <v>96.96</v>
      </c>
      <c r="E1906" s="293">
        <v>96.96</v>
      </c>
      <c r="F1906" s="294" t="s">
        <v>298</v>
      </c>
    </row>
    <row r="1907" spans="1:6" hidden="1" outlineLevel="1" collapsed="1" x14ac:dyDescent="0.25">
      <c r="A1907" s="295" t="s">
        <v>282</v>
      </c>
      <c r="B1907" s="295" t="s">
        <v>398</v>
      </c>
      <c r="C1907" s="293">
        <v>48</v>
      </c>
      <c r="D1907" s="293">
        <v>22.08</v>
      </c>
      <c r="E1907" s="293">
        <v>-25.92</v>
      </c>
      <c r="F1907" s="294" t="s">
        <v>374</v>
      </c>
    </row>
    <row r="1908" spans="1:6" hidden="1" outlineLevel="1" collapsed="1" x14ac:dyDescent="0.25">
      <c r="A1908" s="295" t="s">
        <v>282</v>
      </c>
      <c r="B1908" s="295" t="s">
        <v>448</v>
      </c>
      <c r="C1908" s="293">
        <v>1992</v>
      </c>
      <c r="D1908" s="293">
        <v>0</v>
      </c>
      <c r="E1908" s="293">
        <v>-1992</v>
      </c>
      <c r="F1908" s="294" t="s">
        <v>286</v>
      </c>
    </row>
    <row r="1909" spans="1:6" collapsed="1" x14ac:dyDescent="0.25">
      <c r="A1909" s="560" t="s">
        <v>996</v>
      </c>
      <c r="B1909" s="561"/>
      <c r="C1909" s="292">
        <v>223937.90738700001</v>
      </c>
      <c r="D1909" s="293">
        <v>238346.12226800001</v>
      </c>
      <c r="E1909" s="293">
        <v>14408.214881</v>
      </c>
      <c r="F1909" s="294" t="s">
        <v>997</v>
      </c>
    </row>
    <row r="1910" spans="1:6" hidden="1" outlineLevel="1" collapsed="1" x14ac:dyDescent="0.25">
      <c r="A1910" s="295" t="s">
        <v>282</v>
      </c>
      <c r="B1910" s="295" t="s">
        <v>780</v>
      </c>
      <c r="C1910" s="293">
        <v>110159.97823199999</v>
      </c>
      <c r="D1910" s="293">
        <v>117401.352636</v>
      </c>
      <c r="E1910" s="293">
        <v>7241.3744040000001</v>
      </c>
      <c r="F1910" s="294" t="s">
        <v>816</v>
      </c>
    </row>
    <row r="1911" spans="1:6" hidden="1" outlineLevel="1" collapsed="1" x14ac:dyDescent="0.25">
      <c r="A1911" s="295" t="s">
        <v>282</v>
      </c>
      <c r="B1911" s="295" t="s">
        <v>464</v>
      </c>
      <c r="C1911" s="293">
        <v>53307.469268000001</v>
      </c>
      <c r="D1911" s="293">
        <v>54899.039515999997</v>
      </c>
      <c r="E1911" s="293">
        <v>1591.570248</v>
      </c>
      <c r="F1911" s="294" t="s">
        <v>975</v>
      </c>
    </row>
    <row r="1912" spans="1:6" hidden="1" outlineLevel="1" collapsed="1" x14ac:dyDescent="0.25">
      <c r="A1912" s="295" t="s">
        <v>282</v>
      </c>
      <c r="B1912" s="295" t="s">
        <v>751</v>
      </c>
      <c r="C1912" s="293">
        <v>14375.877156</v>
      </c>
      <c r="D1912" s="293">
        <v>0</v>
      </c>
      <c r="E1912" s="293">
        <v>-14375.877156</v>
      </c>
      <c r="F1912" s="294" t="s">
        <v>286</v>
      </c>
    </row>
    <row r="1913" spans="1:6" hidden="1" outlineLevel="1" collapsed="1" x14ac:dyDescent="0.25">
      <c r="A1913" s="295" t="s">
        <v>282</v>
      </c>
      <c r="B1913" s="295" t="s">
        <v>752</v>
      </c>
      <c r="C1913" s="293">
        <v>0</v>
      </c>
      <c r="D1913" s="293">
        <v>16941.015179999999</v>
      </c>
      <c r="E1913" s="293">
        <v>16941.015179999999</v>
      </c>
      <c r="F1913" s="294" t="s">
        <v>298</v>
      </c>
    </row>
    <row r="1914" spans="1:6" hidden="1" outlineLevel="1" collapsed="1" x14ac:dyDescent="0.25">
      <c r="A1914" s="295" t="s">
        <v>282</v>
      </c>
      <c r="B1914" s="295" t="s">
        <v>384</v>
      </c>
      <c r="C1914" s="293">
        <v>6624.3096240000004</v>
      </c>
      <c r="D1914" s="293">
        <v>0</v>
      </c>
      <c r="E1914" s="293">
        <v>-6624.3096240000004</v>
      </c>
      <c r="F1914" s="294" t="s">
        <v>286</v>
      </c>
    </row>
    <row r="1915" spans="1:6" hidden="1" outlineLevel="1" collapsed="1" x14ac:dyDescent="0.25">
      <c r="A1915" s="295" t="s">
        <v>282</v>
      </c>
      <c r="B1915" s="295" t="s">
        <v>385</v>
      </c>
      <c r="C1915" s="293">
        <v>0</v>
      </c>
      <c r="D1915" s="293">
        <v>8571.3482399999994</v>
      </c>
      <c r="E1915" s="293">
        <v>8571.3482399999994</v>
      </c>
      <c r="F1915" s="294" t="s">
        <v>298</v>
      </c>
    </row>
    <row r="1916" spans="1:6" hidden="1" outlineLevel="1" collapsed="1" x14ac:dyDescent="0.25">
      <c r="A1916" s="295" t="s">
        <v>282</v>
      </c>
      <c r="B1916" s="295" t="s">
        <v>386</v>
      </c>
      <c r="C1916" s="293">
        <v>3305.0630879999999</v>
      </c>
      <c r="D1916" s="293">
        <v>0</v>
      </c>
      <c r="E1916" s="293">
        <v>-3305.0630879999999</v>
      </c>
      <c r="F1916" s="294" t="s">
        <v>286</v>
      </c>
    </row>
    <row r="1917" spans="1:6" hidden="1" outlineLevel="1" collapsed="1" x14ac:dyDescent="0.25">
      <c r="A1917" s="295" t="s">
        <v>282</v>
      </c>
      <c r="B1917" s="295" t="s">
        <v>387</v>
      </c>
      <c r="C1917" s="293">
        <v>0</v>
      </c>
      <c r="D1917" s="293">
        <v>3403.740444</v>
      </c>
      <c r="E1917" s="293">
        <v>3403.740444</v>
      </c>
      <c r="F1917" s="294" t="s">
        <v>298</v>
      </c>
    </row>
    <row r="1918" spans="1:6" hidden="1" outlineLevel="1" collapsed="1" x14ac:dyDescent="0.25">
      <c r="A1918" s="295" t="s">
        <v>282</v>
      </c>
      <c r="B1918" s="295" t="s">
        <v>388</v>
      </c>
      <c r="C1918" s="293">
        <v>772.958303</v>
      </c>
      <c r="D1918" s="293">
        <v>796.036068</v>
      </c>
      <c r="E1918" s="293">
        <v>23.077764999999999</v>
      </c>
      <c r="F1918" s="294" t="s">
        <v>975</v>
      </c>
    </row>
    <row r="1919" spans="1:6" hidden="1" outlineLevel="1" collapsed="1" x14ac:dyDescent="0.25">
      <c r="A1919" s="295" t="s">
        <v>282</v>
      </c>
      <c r="B1919" s="295" t="s">
        <v>389</v>
      </c>
      <c r="C1919" s="293">
        <v>426.12479999999999</v>
      </c>
      <c r="D1919" s="293">
        <v>422.04</v>
      </c>
      <c r="E1919" s="293">
        <v>-4.0848000000000004</v>
      </c>
      <c r="F1919" s="294" t="s">
        <v>364</v>
      </c>
    </row>
    <row r="1920" spans="1:6" hidden="1" outlineLevel="1" collapsed="1" x14ac:dyDescent="0.25">
      <c r="A1920" s="295" t="s">
        <v>282</v>
      </c>
      <c r="B1920" s="295" t="s">
        <v>390</v>
      </c>
      <c r="C1920" s="293">
        <v>15485.27</v>
      </c>
      <c r="D1920" s="293">
        <v>15959.28</v>
      </c>
      <c r="E1920" s="293">
        <v>474.01</v>
      </c>
      <c r="F1920" s="294" t="s">
        <v>391</v>
      </c>
    </row>
    <row r="1921" spans="1:6" hidden="1" outlineLevel="1" collapsed="1" x14ac:dyDescent="0.25">
      <c r="A1921" s="295" t="s">
        <v>282</v>
      </c>
      <c r="B1921" s="295" t="s">
        <v>392</v>
      </c>
      <c r="C1921" s="293">
        <v>233.53919999999999</v>
      </c>
      <c r="D1921" s="293">
        <v>182.88</v>
      </c>
      <c r="E1921" s="293">
        <v>-50.659199999999998</v>
      </c>
      <c r="F1921" s="294" t="s">
        <v>368</v>
      </c>
    </row>
    <row r="1922" spans="1:6" hidden="1" outlineLevel="1" collapsed="1" x14ac:dyDescent="0.25">
      <c r="A1922" s="295" t="s">
        <v>282</v>
      </c>
      <c r="B1922" s="295" t="s">
        <v>754</v>
      </c>
      <c r="C1922" s="293">
        <v>15358.56</v>
      </c>
      <c r="D1922" s="293">
        <v>15959.28</v>
      </c>
      <c r="E1922" s="293">
        <v>600.72</v>
      </c>
      <c r="F1922" s="294" t="s">
        <v>366</v>
      </c>
    </row>
    <row r="1923" spans="1:6" hidden="1" outlineLevel="1" collapsed="1" x14ac:dyDescent="0.25">
      <c r="A1923" s="295" t="s">
        <v>282</v>
      </c>
      <c r="B1923" s="295" t="s">
        <v>755</v>
      </c>
      <c r="C1923" s="293">
        <v>426.12479999999999</v>
      </c>
      <c r="D1923" s="293">
        <v>422.04</v>
      </c>
      <c r="E1923" s="293">
        <v>-4.0848000000000004</v>
      </c>
      <c r="F1923" s="294" t="s">
        <v>364</v>
      </c>
    </row>
    <row r="1924" spans="1:6" hidden="1" outlineLevel="1" collapsed="1" x14ac:dyDescent="0.25">
      <c r="A1924" s="295" t="s">
        <v>282</v>
      </c>
      <c r="B1924" s="295" t="s">
        <v>756</v>
      </c>
      <c r="C1924" s="293">
        <v>233.53919999999999</v>
      </c>
      <c r="D1924" s="293">
        <v>182.88</v>
      </c>
      <c r="E1924" s="293">
        <v>-50.659199999999998</v>
      </c>
      <c r="F1924" s="294" t="s">
        <v>368</v>
      </c>
    </row>
    <row r="1925" spans="1:6" hidden="1" outlineLevel="1" collapsed="1" x14ac:dyDescent="0.25">
      <c r="A1925" s="295" t="s">
        <v>282</v>
      </c>
      <c r="B1925" s="295" t="s">
        <v>393</v>
      </c>
      <c r="C1925" s="293">
        <v>26.653728000000001</v>
      </c>
      <c r="D1925" s="293">
        <v>27.449508000000002</v>
      </c>
      <c r="E1925" s="293">
        <v>0.79578000000000004</v>
      </c>
      <c r="F1925" s="294" t="s">
        <v>975</v>
      </c>
    </row>
    <row r="1926" spans="1:6" hidden="1" outlineLevel="1" collapsed="1" x14ac:dyDescent="0.25">
      <c r="A1926" s="295" t="s">
        <v>282</v>
      </c>
      <c r="B1926" s="295" t="s">
        <v>757</v>
      </c>
      <c r="C1926" s="293">
        <v>55.079988</v>
      </c>
      <c r="D1926" s="293">
        <v>0</v>
      </c>
      <c r="E1926" s="293">
        <v>-55.079988</v>
      </c>
      <c r="F1926" s="294" t="s">
        <v>286</v>
      </c>
    </row>
    <row r="1927" spans="1:6" hidden="1" outlineLevel="1" collapsed="1" x14ac:dyDescent="0.25">
      <c r="A1927" s="295" t="s">
        <v>282</v>
      </c>
      <c r="B1927" s="295" t="s">
        <v>758</v>
      </c>
      <c r="C1927" s="293">
        <v>0</v>
      </c>
      <c r="D1927" s="293">
        <v>58.700676000000001</v>
      </c>
      <c r="E1927" s="293">
        <v>58.700676000000001</v>
      </c>
      <c r="F1927" s="294" t="s">
        <v>298</v>
      </c>
    </row>
    <row r="1928" spans="1:6" hidden="1" outlineLevel="1" collapsed="1" x14ac:dyDescent="0.25">
      <c r="A1928" s="295" t="s">
        <v>282</v>
      </c>
      <c r="B1928" s="295" t="s">
        <v>394</v>
      </c>
      <c r="C1928" s="293">
        <v>1500</v>
      </c>
      <c r="D1928" s="293">
        <v>0</v>
      </c>
      <c r="E1928" s="293">
        <v>-1500</v>
      </c>
      <c r="F1928" s="294" t="s">
        <v>286</v>
      </c>
    </row>
    <row r="1929" spans="1:6" hidden="1" outlineLevel="1" collapsed="1" x14ac:dyDescent="0.25">
      <c r="A1929" s="295" t="s">
        <v>282</v>
      </c>
      <c r="B1929" s="295" t="s">
        <v>395</v>
      </c>
      <c r="C1929" s="293">
        <v>0</v>
      </c>
      <c r="D1929" s="293">
        <v>1500</v>
      </c>
      <c r="E1929" s="293">
        <v>1500</v>
      </c>
      <c r="F1929" s="294" t="s">
        <v>298</v>
      </c>
    </row>
    <row r="1930" spans="1:6" hidden="1" outlineLevel="1" collapsed="1" x14ac:dyDescent="0.25">
      <c r="A1930" s="295" t="s">
        <v>282</v>
      </c>
      <c r="B1930" s="295" t="s">
        <v>759</v>
      </c>
      <c r="C1930" s="293">
        <v>1500</v>
      </c>
      <c r="D1930" s="293">
        <v>0</v>
      </c>
      <c r="E1930" s="293">
        <v>-1500</v>
      </c>
      <c r="F1930" s="294" t="s">
        <v>286</v>
      </c>
    </row>
    <row r="1931" spans="1:6" hidden="1" outlineLevel="1" collapsed="1" x14ac:dyDescent="0.25">
      <c r="A1931" s="295" t="s">
        <v>282</v>
      </c>
      <c r="B1931" s="295" t="s">
        <v>760</v>
      </c>
      <c r="C1931" s="293">
        <v>0</v>
      </c>
      <c r="D1931" s="293">
        <v>1500</v>
      </c>
      <c r="E1931" s="293">
        <v>1500</v>
      </c>
      <c r="F1931" s="294" t="s">
        <v>298</v>
      </c>
    </row>
    <row r="1932" spans="1:6" hidden="1" outlineLevel="1" collapsed="1" x14ac:dyDescent="0.25">
      <c r="A1932" s="295" t="s">
        <v>282</v>
      </c>
      <c r="B1932" s="295" t="s">
        <v>396</v>
      </c>
      <c r="C1932" s="293">
        <v>49.68</v>
      </c>
      <c r="D1932" s="293">
        <v>0</v>
      </c>
      <c r="E1932" s="293">
        <v>-49.68</v>
      </c>
      <c r="F1932" s="294" t="s">
        <v>286</v>
      </c>
    </row>
    <row r="1933" spans="1:6" hidden="1" outlineLevel="1" collapsed="1" x14ac:dyDescent="0.25">
      <c r="A1933" s="295" t="s">
        <v>282</v>
      </c>
      <c r="B1933" s="295" t="s">
        <v>397</v>
      </c>
      <c r="C1933" s="293">
        <v>0</v>
      </c>
      <c r="D1933" s="293">
        <v>48.48</v>
      </c>
      <c r="E1933" s="293">
        <v>48.48</v>
      </c>
      <c r="F1933" s="294" t="s">
        <v>298</v>
      </c>
    </row>
    <row r="1934" spans="1:6" hidden="1" outlineLevel="1" collapsed="1" x14ac:dyDescent="0.25">
      <c r="A1934" s="295" t="s">
        <v>282</v>
      </c>
      <c r="B1934" s="295" t="s">
        <v>761</v>
      </c>
      <c r="C1934" s="293">
        <v>49.68</v>
      </c>
      <c r="D1934" s="293">
        <v>0</v>
      </c>
      <c r="E1934" s="293">
        <v>-49.68</v>
      </c>
      <c r="F1934" s="294" t="s">
        <v>286</v>
      </c>
    </row>
    <row r="1935" spans="1:6" hidden="1" outlineLevel="1" collapsed="1" x14ac:dyDescent="0.25">
      <c r="A1935" s="295" t="s">
        <v>282</v>
      </c>
      <c r="B1935" s="295" t="s">
        <v>762</v>
      </c>
      <c r="C1935" s="293">
        <v>0</v>
      </c>
      <c r="D1935" s="293">
        <v>48.48</v>
      </c>
      <c r="E1935" s="293">
        <v>48.48</v>
      </c>
      <c r="F1935" s="294" t="s">
        <v>298</v>
      </c>
    </row>
    <row r="1936" spans="1:6" hidden="1" outlineLevel="1" collapsed="1" x14ac:dyDescent="0.25">
      <c r="A1936" s="295" t="s">
        <v>282</v>
      </c>
      <c r="B1936" s="295" t="s">
        <v>398</v>
      </c>
      <c r="C1936" s="293">
        <v>24</v>
      </c>
      <c r="D1936" s="293">
        <v>11.04</v>
      </c>
      <c r="E1936" s="293">
        <v>-12.96</v>
      </c>
      <c r="F1936" s="294" t="s">
        <v>374</v>
      </c>
    </row>
    <row r="1937" spans="1:6" hidden="1" outlineLevel="1" collapsed="1" x14ac:dyDescent="0.25">
      <c r="A1937" s="295" t="s">
        <v>282</v>
      </c>
      <c r="B1937" s="295" t="s">
        <v>763</v>
      </c>
      <c r="C1937" s="293">
        <v>24</v>
      </c>
      <c r="D1937" s="293">
        <v>11.04</v>
      </c>
      <c r="E1937" s="293">
        <v>-12.96</v>
      </c>
      <c r="F1937" s="294" t="s">
        <v>374</v>
      </c>
    </row>
    <row r="1938" spans="1:6" collapsed="1" x14ac:dyDescent="0.25">
      <c r="A1938" s="560" t="s">
        <v>312</v>
      </c>
      <c r="B1938" s="561"/>
      <c r="C1938" s="292">
        <v>8500</v>
      </c>
      <c r="D1938" s="293">
        <v>8500</v>
      </c>
      <c r="E1938" s="293">
        <v>0</v>
      </c>
      <c r="F1938" s="294" t="s">
        <v>316</v>
      </c>
    </row>
    <row r="1939" spans="1:6" hidden="1" outlineLevel="1" collapsed="1" x14ac:dyDescent="0.25">
      <c r="A1939" s="295" t="s">
        <v>282</v>
      </c>
      <c r="B1939" s="295" t="s">
        <v>567</v>
      </c>
      <c r="C1939" s="293">
        <v>5057</v>
      </c>
      <c r="D1939" s="293">
        <v>5055</v>
      </c>
      <c r="E1939" s="293">
        <v>-2</v>
      </c>
      <c r="F1939" s="294" t="s">
        <v>998</v>
      </c>
    </row>
    <row r="1940" spans="1:6" hidden="1" outlineLevel="1" collapsed="1" x14ac:dyDescent="0.25">
      <c r="A1940" s="295" t="s">
        <v>282</v>
      </c>
      <c r="B1940" s="295" t="s">
        <v>448</v>
      </c>
      <c r="C1940" s="293">
        <v>3443</v>
      </c>
      <c r="D1940" s="293">
        <v>3445</v>
      </c>
      <c r="E1940" s="293">
        <v>2</v>
      </c>
      <c r="F1940" s="294" t="s">
        <v>848</v>
      </c>
    </row>
    <row r="1941" spans="1:6" collapsed="1" x14ac:dyDescent="0.25">
      <c r="A1941" s="560" t="s">
        <v>999</v>
      </c>
      <c r="B1941" s="561"/>
      <c r="C1941" s="292">
        <v>396777.81694400002</v>
      </c>
      <c r="D1941" s="293">
        <v>460273.52913600003</v>
      </c>
      <c r="E1941" s="293">
        <v>63495.712191999999</v>
      </c>
      <c r="F1941" s="294" t="s">
        <v>632</v>
      </c>
    </row>
    <row r="1942" spans="1:6" hidden="1" outlineLevel="1" collapsed="1" x14ac:dyDescent="0.25">
      <c r="A1942" s="295" t="s">
        <v>282</v>
      </c>
      <c r="B1942" s="295" t="s">
        <v>780</v>
      </c>
      <c r="C1942" s="293">
        <v>133899.819036</v>
      </c>
      <c r="D1942" s="293">
        <v>135908.31487199999</v>
      </c>
      <c r="E1942" s="293">
        <v>2008.4958360000001</v>
      </c>
      <c r="F1942" s="294" t="s">
        <v>510</v>
      </c>
    </row>
    <row r="1943" spans="1:6" hidden="1" outlineLevel="1" collapsed="1" x14ac:dyDescent="0.25">
      <c r="A1943" s="295" t="s">
        <v>282</v>
      </c>
      <c r="B1943" s="295" t="s">
        <v>750</v>
      </c>
      <c r="C1943" s="293">
        <v>72735.999995999999</v>
      </c>
      <c r="D1943" s="293">
        <v>76246.799987999999</v>
      </c>
      <c r="E1943" s="293">
        <v>3510.7999920000002</v>
      </c>
      <c r="F1943" s="294" t="s">
        <v>774</v>
      </c>
    </row>
    <row r="1944" spans="1:6" hidden="1" outlineLevel="1" collapsed="1" x14ac:dyDescent="0.25">
      <c r="A1944" s="295" t="s">
        <v>282</v>
      </c>
      <c r="B1944" s="295" t="s">
        <v>464</v>
      </c>
      <c r="C1944" s="293">
        <v>70366.742335999996</v>
      </c>
      <c r="D1944" s="293">
        <v>110983.882704</v>
      </c>
      <c r="E1944" s="293">
        <v>40617.140368</v>
      </c>
      <c r="F1944" s="294" t="s">
        <v>1000</v>
      </c>
    </row>
    <row r="1945" spans="1:6" hidden="1" outlineLevel="1" collapsed="1" x14ac:dyDescent="0.25">
      <c r="A1945" s="295" t="s">
        <v>282</v>
      </c>
      <c r="B1945" s="295" t="s">
        <v>360</v>
      </c>
      <c r="C1945" s="293">
        <v>9492.0479880000003</v>
      </c>
      <c r="D1945" s="293">
        <v>11002.413227999999</v>
      </c>
      <c r="E1945" s="293">
        <v>1510.3652400000001</v>
      </c>
      <c r="F1945" s="294" t="s">
        <v>1001</v>
      </c>
    </row>
    <row r="1946" spans="1:6" hidden="1" outlineLevel="1" collapsed="1" x14ac:dyDescent="0.25">
      <c r="A1946" s="295" t="s">
        <v>282</v>
      </c>
      <c r="B1946" s="295" t="s">
        <v>751</v>
      </c>
      <c r="C1946" s="293">
        <v>17473.926383999999</v>
      </c>
      <c r="D1946" s="293">
        <v>0</v>
      </c>
      <c r="E1946" s="293">
        <v>-17473.926383999999</v>
      </c>
      <c r="F1946" s="294" t="s">
        <v>286</v>
      </c>
    </row>
    <row r="1947" spans="1:6" hidden="1" outlineLevel="1" collapsed="1" x14ac:dyDescent="0.25">
      <c r="A1947" s="295" t="s">
        <v>282</v>
      </c>
      <c r="B1947" s="295" t="s">
        <v>752</v>
      </c>
      <c r="C1947" s="293">
        <v>0</v>
      </c>
      <c r="D1947" s="293">
        <v>19611.569832000001</v>
      </c>
      <c r="E1947" s="293">
        <v>19611.569832000001</v>
      </c>
      <c r="F1947" s="294" t="s">
        <v>298</v>
      </c>
    </row>
    <row r="1948" spans="1:6" hidden="1" outlineLevel="1" collapsed="1" x14ac:dyDescent="0.25">
      <c r="A1948" s="295" t="s">
        <v>282</v>
      </c>
      <c r="B1948" s="295" t="s">
        <v>384</v>
      </c>
      <c r="C1948" s="293">
        <v>8676.0161800000005</v>
      </c>
      <c r="D1948" s="293">
        <v>0</v>
      </c>
      <c r="E1948" s="293">
        <v>-8676.0161800000005</v>
      </c>
      <c r="F1948" s="294" t="s">
        <v>286</v>
      </c>
    </row>
    <row r="1949" spans="1:6" hidden="1" outlineLevel="1" collapsed="1" x14ac:dyDescent="0.25">
      <c r="A1949" s="295" t="s">
        <v>282</v>
      </c>
      <c r="B1949" s="295" t="s">
        <v>385</v>
      </c>
      <c r="C1949" s="293">
        <v>0</v>
      </c>
      <c r="D1949" s="293">
        <v>17314.253452000001</v>
      </c>
      <c r="E1949" s="293">
        <v>17314.253452000001</v>
      </c>
      <c r="F1949" s="294" t="s">
        <v>298</v>
      </c>
    </row>
    <row r="1950" spans="1:6" hidden="1" outlineLevel="1" collapsed="1" x14ac:dyDescent="0.25">
      <c r="A1950" s="295" t="s">
        <v>282</v>
      </c>
      <c r="B1950" s="295" t="s">
        <v>386</v>
      </c>
      <c r="C1950" s="293">
        <v>4362.7380119999998</v>
      </c>
      <c r="D1950" s="293">
        <v>0</v>
      </c>
      <c r="E1950" s="293">
        <v>-4362.7380119999998</v>
      </c>
      <c r="F1950" s="294" t="s">
        <v>286</v>
      </c>
    </row>
    <row r="1951" spans="1:6" hidden="1" outlineLevel="1" collapsed="1" x14ac:dyDescent="0.25">
      <c r="A1951" s="295" t="s">
        <v>282</v>
      </c>
      <c r="B1951" s="295" t="s">
        <v>387</v>
      </c>
      <c r="C1951" s="293">
        <v>0</v>
      </c>
      <c r="D1951" s="293">
        <v>6881.0007219999998</v>
      </c>
      <c r="E1951" s="293">
        <v>6881.0007219999998</v>
      </c>
      <c r="F1951" s="294" t="s">
        <v>298</v>
      </c>
    </row>
    <row r="1952" spans="1:6" hidden="1" outlineLevel="1" collapsed="1" x14ac:dyDescent="0.25">
      <c r="A1952" s="295" t="s">
        <v>282</v>
      </c>
      <c r="B1952" s="295" t="s">
        <v>362</v>
      </c>
      <c r="C1952" s="293">
        <v>1054.671996</v>
      </c>
      <c r="D1952" s="293">
        <v>1105.5785880000001</v>
      </c>
      <c r="E1952" s="293">
        <v>50.906592000000003</v>
      </c>
      <c r="F1952" s="294" t="s">
        <v>774</v>
      </c>
    </row>
    <row r="1953" spans="1:6" hidden="1" outlineLevel="1" collapsed="1" x14ac:dyDescent="0.25">
      <c r="A1953" s="295" t="s">
        <v>282</v>
      </c>
      <c r="B1953" s="295" t="s">
        <v>388</v>
      </c>
      <c r="C1953" s="293">
        <v>1020.317752</v>
      </c>
      <c r="D1953" s="293">
        <v>1609.2662800000001</v>
      </c>
      <c r="E1953" s="293">
        <v>588.94852800000001</v>
      </c>
      <c r="F1953" s="294" t="s">
        <v>1000</v>
      </c>
    </row>
    <row r="1954" spans="1:6" hidden="1" outlineLevel="1" collapsed="1" x14ac:dyDescent="0.25">
      <c r="A1954" s="295" t="s">
        <v>282</v>
      </c>
      <c r="B1954" s="295" t="s">
        <v>363</v>
      </c>
      <c r="C1954" s="293">
        <v>426.12479999999999</v>
      </c>
      <c r="D1954" s="293">
        <v>422.04</v>
      </c>
      <c r="E1954" s="293">
        <v>-4.0848000000000004</v>
      </c>
      <c r="F1954" s="294" t="s">
        <v>364</v>
      </c>
    </row>
    <row r="1955" spans="1:6" hidden="1" outlineLevel="1" collapsed="1" x14ac:dyDescent="0.25">
      <c r="A1955" s="295" t="s">
        <v>282</v>
      </c>
      <c r="B1955" s="295" t="s">
        <v>365</v>
      </c>
      <c r="C1955" s="293">
        <v>15358.56</v>
      </c>
      <c r="D1955" s="293">
        <v>15959.28</v>
      </c>
      <c r="E1955" s="293">
        <v>600.72</v>
      </c>
      <c r="F1955" s="294" t="s">
        <v>366</v>
      </c>
    </row>
    <row r="1956" spans="1:6" hidden="1" outlineLevel="1" collapsed="1" x14ac:dyDescent="0.25">
      <c r="A1956" s="295" t="s">
        <v>282</v>
      </c>
      <c r="B1956" s="295" t="s">
        <v>367</v>
      </c>
      <c r="C1956" s="293">
        <v>233.53919999999999</v>
      </c>
      <c r="D1956" s="293">
        <v>182.88</v>
      </c>
      <c r="E1956" s="293">
        <v>-50.659199999999998</v>
      </c>
      <c r="F1956" s="294" t="s">
        <v>368</v>
      </c>
    </row>
    <row r="1957" spans="1:6" hidden="1" outlineLevel="1" collapsed="1" x14ac:dyDescent="0.25">
      <c r="A1957" s="295" t="s">
        <v>282</v>
      </c>
      <c r="B1957" s="295" t="s">
        <v>389</v>
      </c>
      <c r="C1957" s="293">
        <v>852.24959999999999</v>
      </c>
      <c r="D1957" s="293">
        <v>844.08</v>
      </c>
      <c r="E1957" s="293">
        <v>-8.1696000000000009</v>
      </c>
      <c r="F1957" s="294" t="s">
        <v>364</v>
      </c>
    </row>
    <row r="1958" spans="1:6" hidden="1" outlineLevel="1" collapsed="1" x14ac:dyDescent="0.25">
      <c r="A1958" s="295" t="s">
        <v>282</v>
      </c>
      <c r="B1958" s="295" t="s">
        <v>390</v>
      </c>
      <c r="C1958" s="293">
        <v>30970.54</v>
      </c>
      <c r="D1958" s="293">
        <v>31918.560000000001</v>
      </c>
      <c r="E1958" s="293">
        <v>948.02</v>
      </c>
      <c r="F1958" s="294" t="s">
        <v>391</v>
      </c>
    </row>
    <row r="1959" spans="1:6" hidden="1" outlineLevel="1" collapsed="1" x14ac:dyDescent="0.25">
      <c r="A1959" s="295" t="s">
        <v>282</v>
      </c>
      <c r="B1959" s="295" t="s">
        <v>392</v>
      </c>
      <c r="C1959" s="293">
        <v>467.07839999999999</v>
      </c>
      <c r="D1959" s="293">
        <v>365.76</v>
      </c>
      <c r="E1959" s="293">
        <v>-101.3184</v>
      </c>
      <c r="F1959" s="294" t="s">
        <v>368</v>
      </c>
    </row>
    <row r="1960" spans="1:6" hidden="1" outlineLevel="1" collapsed="1" x14ac:dyDescent="0.25">
      <c r="A1960" s="295" t="s">
        <v>282</v>
      </c>
      <c r="B1960" s="295" t="s">
        <v>754</v>
      </c>
      <c r="C1960" s="293">
        <v>15358.56</v>
      </c>
      <c r="D1960" s="293">
        <v>15959.28</v>
      </c>
      <c r="E1960" s="293">
        <v>600.72</v>
      </c>
      <c r="F1960" s="294" t="s">
        <v>366</v>
      </c>
    </row>
    <row r="1961" spans="1:6" hidden="1" outlineLevel="1" collapsed="1" x14ac:dyDescent="0.25">
      <c r="A1961" s="295" t="s">
        <v>282</v>
      </c>
      <c r="B1961" s="295" t="s">
        <v>755</v>
      </c>
      <c r="C1961" s="293">
        <v>426.12479999999999</v>
      </c>
      <c r="D1961" s="293">
        <v>422.04</v>
      </c>
      <c r="E1961" s="293">
        <v>-4.0848000000000004</v>
      </c>
      <c r="F1961" s="294" t="s">
        <v>364</v>
      </c>
    </row>
    <row r="1962" spans="1:6" hidden="1" outlineLevel="1" collapsed="1" x14ac:dyDescent="0.25">
      <c r="A1962" s="295" t="s">
        <v>282</v>
      </c>
      <c r="B1962" s="295" t="s">
        <v>756</v>
      </c>
      <c r="C1962" s="293">
        <v>233.53919999999999</v>
      </c>
      <c r="D1962" s="293">
        <v>182.88</v>
      </c>
      <c r="E1962" s="293">
        <v>-50.659199999999998</v>
      </c>
      <c r="F1962" s="294" t="s">
        <v>368</v>
      </c>
    </row>
    <row r="1963" spans="1:6" hidden="1" outlineLevel="1" collapsed="1" x14ac:dyDescent="0.25">
      <c r="A1963" s="295" t="s">
        <v>282</v>
      </c>
      <c r="B1963" s="295" t="s">
        <v>369</v>
      </c>
      <c r="C1963" s="293">
        <v>36.367992000000001</v>
      </c>
      <c r="D1963" s="293">
        <v>38.123387999999998</v>
      </c>
      <c r="E1963" s="293">
        <v>1.755396</v>
      </c>
      <c r="F1963" s="294" t="s">
        <v>774</v>
      </c>
    </row>
    <row r="1964" spans="1:6" hidden="1" outlineLevel="1" collapsed="1" x14ac:dyDescent="0.25">
      <c r="A1964" s="295" t="s">
        <v>282</v>
      </c>
      <c r="B1964" s="295" t="s">
        <v>393</v>
      </c>
      <c r="C1964" s="293">
        <v>35.183363999999997</v>
      </c>
      <c r="D1964" s="293">
        <v>55.491930000000004</v>
      </c>
      <c r="E1964" s="293">
        <v>20.308565999999999</v>
      </c>
      <c r="F1964" s="294" t="s">
        <v>1000</v>
      </c>
    </row>
    <row r="1965" spans="1:6" hidden="1" outlineLevel="1" collapsed="1" x14ac:dyDescent="0.25">
      <c r="A1965" s="295" t="s">
        <v>282</v>
      </c>
      <c r="B1965" s="295" t="s">
        <v>757</v>
      </c>
      <c r="C1965" s="293">
        <v>66.949907999999994</v>
      </c>
      <c r="D1965" s="293">
        <v>0</v>
      </c>
      <c r="E1965" s="293">
        <v>-66.949907999999994</v>
      </c>
      <c r="F1965" s="294" t="s">
        <v>286</v>
      </c>
    </row>
    <row r="1966" spans="1:6" hidden="1" outlineLevel="1" collapsed="1" x14ac:dyDescent="0.25">
      <c r="A1966" s="295" t="s">
        <v>282</v>
      </c>
      <c r="B1966" s="295" t="s">
        <v>758</v>
      </c>
      <c r="C1966" s="293">
        <v>0</v>
      </c>
      <c r="D1966" s="293">
        <v>67.954151999999993</v>
      </c>
      <c r="E1966" s="293">
        <v>67.954151999999993</v>
      </c>
      <c r="F1966" s="294" t="s">
        <v>298</v>
      </c>
    </row>
    <row r="1967" spans="1:6" hidden="1" outlineLevel="1" collapsed="1" x14ac:dyDescent="0.25">
      <c r="A1967" s="295" t="s">
        <v>282</v>
      </c>
      <c r="B1967" s="295" t="s">
        <v>370</v>
      </c>
      <c r="C1967" s="293">
        <v>1500</v>
      </c>
      <c r="D1967" s="293">
        <v>1500</v>
      </c>
      <c r="E1967" s="293">
        <v>0</v>
      </c>
      <c r="F1967" s="294" t="s">
        <v>316</v>
      </c>
    </row>
    <row r="1968" spans="1:6" hidden="1" outlineLevel="1" collapsed="1" x14ac:dyDescent="0.25">
      <c r="A1968" s="295" t="s">
        <v>282</v>
      </c>
      <c r="B1968" s="295" t="s">
        <v>394</v>
      </c>
      <c r="C1968" s="293">
        <v>3000</v>
      </c>
      <c r="D1968" s="293">
        <v>0</v>
      </c>
      <c r="E1968" s="293">
        <v>-3000</v>
      </c>
      <c r="F1968" s="294" t="s">
        <v>286</v>
      </c>
    </row>
    <row r="1969" spans="1:6" hidden="1" outlineLevel="1" collapsed="1" x14ac:dyDescent="0.25">
      <c r="A1969" s="295" t="s">
        <v>282</v>
      </c>
      <c r="B1969" s="295" t="s">
        <v>395</v>
      </c>
      <c r="C1969" s="293">
        <v>0</v>
      </c>
      <c r="D1969" s="293">
        <v>3000</v>
      </c>
      <c r="E1969" s="293">
        <v>3000</v>
      </c>
      <c r="F1969" s="294" t="s">
        <v>298</v>
      </c>
    </row>
    <row r="1970" spans="1:6" hidden="1" outlineLevel="1" collapsed="1" x14ac:dyDescent="0.25">
      <c r="A1970" s="295" t="s">
        <v>282</v>
      </c>
      <c r="B1970" s="295" t="s">
        <v>759</v>
      </c>
      <c r="C1970" s="293">
        <v>1500</v>
      </c>
      <c r="D1970" s="293">
        <v>0</v>
      </c>
      <c r="E1970" s="293">
        <v>-1500</v>
      </c>
      <c r="F1970" s="294" t="s">
        <v>286</v>
      </c>
    </row>
    <row r="1971" spans="1:6" hidden="1" outlineLevel="1" collapsed="1" x14ac:dyDescent="0.25">
      <c r="A1971" s="295" t="s">
        <v>282</v>
      </c>
      <c r="B1971" s="295" t="s">
        <v>760</v>
      </c>
      <c r="C1971" s="293">
        <v>0</v>
      </c>
      <c r="D1971" s="293">
        <v>1500</v>
      </c>
      <c r="E1971" s="293">
        <v>1500</v>
      </c>
      <c r="F1971" s="294" t="s">
        <v>298</v>
      </c>
    </row>
    <row r="1972" spans="1:6" hidden="1" outlineLevel="1" collapsed="1" x14ac:dyDescent="0.25">
      <c r="A1972" s="295" t="s">
        <v>282</v>
      </c>
      <c r="B1972" s="295" t="s">
        <v>371</v>
      </c>
      <c r="C1972" s="293">
        <v>49.68</v>
      </c>
      <c r="D1972" s="293">
        <v>48.48</v>
      </c>
      <c r="E1972" s="293">
        <v>-1.2</v>
      </c>
      <c r="F1972" s="294" t="s">
        <v>372</v>
      </c>
    </row>
    <row r="1973" spans="1:6" hidden="1" outlineLevel="1" collapsed="1" x14ac:dyDescent="0.25">
      <c r="A1973" s="295" t="s">
        <v>282</v>
      </c>
      <c r="B1973" s="295" t="s">
        <v>396</v>
      </c>
      <c r="C1973" s="293">
        <v>99.36</v>
      </c>
      <c r="D1973" s="293">
        <v>0</v>
      </c>
      <c r="E1973" s="293">
        <v>-99.36</v>
      </c>
      <c r="F1973" s="294" t="s">
        <v>286</v>
      </c>
    </row>
    <row r="1974" spans="1:6" hidden="1" outlineLevel="1" collapsed="1" x14ac:dyDescent="0.25">
      <c r="A1974" s="295" t="s">
        <v>282</v>
      </c>
      <c r="B1974" s="295" t="s">
        <v>397</v>
      </c>
      <c r="C1974" s="293">
        <v>0</v>
      </c>
      <c r="D1974" s="293">
        <v>96.96</v>
      </c>
      <c r="E1974" s="293">
        <v>96.96</v>
      </c>
      <c r="F1974" s="294" t="s">
        <v>298</v>
      </c>
    </row>
    <row r="1975" spans="1:6" hidden="1" outlineLevel="1" collapsed="1" x14ac:dyDescent="0.25">
      <c r="A1975" s="295" t="s">
        <v>282</v>
      </c>
      <c r="B1975" s="295" t="s">
        <v>761</v>
      </c>
      <c r="C1975" s="293">
        <v>49.68</v>
      </c>
      <c r="D1975" s="293">
        <v>0</v>
      </c>
      <c r="E1975" s="293">
        <v>-49.68</v>
      </c>
      <c r="F1975" s="294" t="s">
        <v>286</v>
      </c>
    </row>
    <row r="1976" spans="1:6" hidden="1" outlineLevel="1" collapsed="1" x14ac:dyDescent="0.25">
      <c r="A1976" s="295" t="s">
        <v>282</v>
      </c>
      <c r="B1976" s="295" t="s">
        <v>762</v>
      </c>
      <c r="C1976" s="293">
        <v>0</v>
      </c>
      <c r="D1976" s="293">
        <v>48.48</v>
      </c>
      <c r="E1976" s="293">
        <v>48.48</v>
      </c>
      <c r="F1976" s="294" t="s">
        <v>298</v>
      </c>
    </row>
    <row r="1977" spans="1:6" hidden="1" outlineLevel="1" collapsed="1" x14ac:dyDescent="0.25">
      <c r="A1977" s="295" t="s">
        <v>282</v>
      </c>
      <c r="B1977" s="295" t="s">
        <v>373</v>
      </c>
      <c r="C1977" s="293">
        <v>24</v>
      </c>
      <c r="D1977" s="293">
        <v>11.04</v>
      </c>
      <c r="E1977" s="293">
        <v>-12.96</v>
      </c>
      <c r="F1977" s="294" t="s">
        <v>374</v>
      </c>
    </row>
    <row r="1978" spans="1:6" hidden="1" outlineLevel="1" collapsed="1" x14ac:dyDescent="0.25">
      <c r="A1978" s="295" t="s">
        <v>282</v>
      </c>
      <c r="B1978" s="295" t="s">
        <v>398</v>
      </c>
      <c r="C1978" s="293">
        <v>48</v>
      </c>
      <c r="D1978" s="293">
        <v>22.08</v>
      </c>
      <c r="E1978" s="293">
        <v>-25.92</v>
      </c>
      <c r="F1978" s="294" t="s">
        <v>374</v>
      </c>
    </row>
    <row r="1979" spans="1:6" hidden="1" outlineLevel="1" collapsed="1" x14ac:dyDescent="0.25">
      <c r="A1979" s="295" t="s">
        <v>282</v>
      </c>
      <c r="B1979" s="295" t="s">
        <v>763</v>
      </c>
      <c r="C1979" s="293">
        <v>24</v>
      </c>
      <c r="D1979" s="293">
        <v>11.04</v>
      </c>
      <c r="E1979" s="293">
        <v>-12.96</v>
      </c>
      <c r="F1979" s="294" t="s">
        <v>374</v>
      </c>
    </row>
    <row r="1980" spans="1:6" hidden="1" outlineLevel="1" collapsed="1" x14ac:dyDescent="0.25">
      <c r="A1980" s="295" t="s">
        <v>282</v>
      </c>
      <c r="B1980" s="295" t="s">
        <v>376</v>
      </c>
      <c r="C1980" s="293">
        <v>984</v>
      </c>
      <c r="D1980" s="293">
        <v>1000</v>
      </c>
      <c r="E1980" s="293">
        <v>16</v>
      </c>
      <c r="F1980" s="294" t="s">
        <v>1002</v>
      </c>
    </row>
    <row r="1981" spans="1:6" hidden="1" outlineLevel="1" collapsed="1" x14ac:dyDescent="0.25">
      <c r="A1981" s="295" t="s">
        <v>282</v>
      </c>
      <c r="B1981" s="295" t="s">
        <v>506</v>
      </c>
      <c r="C1981" s="293">
        <v>0</v>
      </c>
      <c r="D1981" s="293">
        <v>289</v>
      </c>
      <c r="E1981" s="293">
        <v>289</v>
      </c>
      <c r="F1981" s="294" t="s">
        <v>298</v>
      </c>
    </row>
    <row r="1982" spans="1:6" hidden="1" outlineLevel="1" collapsed="1" x14ac:dyDescent="0.25">
      <c r="A1982" s="295" t="s">
        <v>282</v>
      </c>
      <c r="B1982" s="295" t="s">
        <v>426</v>
      </c>
      <c r="C1982" s="293">
        <v>2787</v>
      </c>
      <c r="D1982" s="293">
        <v>2500</v>
      </c>
      <c r="E1982" s="293">
        <v>-287</v>
      </c>
      <c r="F1982" s="294" t="s">
        <v>1003</v>
      </c>
    </row>
    <row r="1983" spans="1:6" hidden="1" outlineLevel="1" collapsed="1" x14ac:dyDescent="0.25">
      <c r="A1983" s="295" t="s">
        <v>282</v>
      </c>
      <c r="B1983" s="295" t="s">
        <v>597</v>
      </c>
      <c r="C1983" s="293">
        <v>1065</v>
      </c>
      <c r="D1983" s="293">
        <v>1065</v>
      </c>
      <c r="E1983" s="293">
        <v>0</v>
      </c>
      <c r="F1983" s="294" t="s">
        <v>316</v>
      </c>
    </row>
    <row r="1984" spans="1:6" hidden="1" outlineLevel="1" collapsed="1" x14ac:dyDescent="0.25">
      <c r="A1984" s="295" t="s">
        <v>282</v>
      </c>
      <c r="B1984" s="295" t="s">
        <v>405</v>
      </c>
      <c r="C1984" s="293">
        <v>900</v>
      </c>
      <c r="D1984" s="293">
        <v>900</v>
      </c>
      <c r="E1984" s="293">
        <v>0</v>
      </c>
      <c r="F1984" s="294" t="s">
        <v>316</v>
      </c>
    </row>
    <row r="1985" spans="1:6" hidden="1" outlineLevel="1" collapsed="1" x14ac:dyDescent="0.25">
      <c r="A1985" s="295" t="s">
        <v>282</v>
      </c>
      <c r="B1985" s="295" t="s">
        <v>557</v>
      </c>
      <c r="C1985" s="293">
        <v>1200</v>
      </c>
      <c r="D1985" s="293">
        <v>1200</v>
      </c>
      <c r="E1985" s="293">
        <v>0</v>
      </c>
      <c r="F1985" s="294" t="s">
        <v>316</v>
      </c>
    </row>
    <row r="1986" spans="1:6" collapsed="1" x14ac:dyDescent="0.25">
      <c r="A1986" s="560" t="s">
        <v>1004</v>
      </c>
      <c r="B1986" s="561"/>
      <c r="C1986" s="292">
        <v>341976.46204399999</v>
      </c>
      <c r="D1986" s="293">
        <v>327010.97090800002</v>
      </c>
      <c r="E1986" s="293">
        <v>-14965.491136000001</v>
      </c>
      <c r="F1986" s="294" t="s">
        <v>1005</v>
      </c>
    </row>
    <row r="1987" spans="1:6" hidden="1" outlineLevel="1" collapsed="1" x14ac:dyDescent="0.25">
      <c r="A1987" s="295" t="s">
        <v>282</v>
      </c>
      <c r="B1987" s="295" t="s">
        <v>780</v>
      </c>
      <c r="C1987" s="293">
        <v>165030.17823600001</v>
      </c>
      <c r="D1987" s="293">
        <v>167471.43055200001</v>
      </c>
      <c r="E1987" s="293">
        <v>2441.2523160000001</v>
      </c>
      <c r="F1987" s="294" t="s">
        <v>512</v>
      </c>
    </row>
    <row r="1988" spans="1:6" hidden="1" outlineLevel="1" collapsed="1" x14ac:dyDescent="0.25">
      <c r="A1988" s="295" t="s">
        <v>282</v>
      </c>
      <c r="B1988" s="295" t="s">
        <v>464</v>
      </c>
      <c r="C1988" s="293">
        <v>56697.929592</v>
      </c>
      <c r="D1988" s="293">
        <v>58411.622867999999</v>
      </c>
      <c r="E1988" s="293">
        <v>1713.693276</v>
      </c>
      <c r="F1988" s="294" t="s">
        <v>520</v>
      </c>
    </row>
    <row r="1989" spans="1:6" hidden="1" outlineLevel="1" collapsed="1" x14ac:dyDescent="0.25">
      <c r="A1989" s="295" t="s">
        <v>282</v>
      </c>
      <c r="B1989" s="295" t="s">
        <v>384</v>
      </c>
      <c r="C1989" s="293">
        <v>27606.571956</v>
      </c>
      <c r="D1989" s="293">
        <v>0</v>
      </c>
      <c r="E1989" s="293">
        <v>-27606.571956</v>
      </c>
      <c r="F1989" s="294" t="s">
        <v>286</v>
      </c>
    </row>
    <row r="1990" spans="1:6" hidden="1" outlineLevel="1" collapsed="1" x14ac:dyDescent="0.25">
      <c r="A1990" s="295" t="s">
        <v>282</v>
      </c>
      <c r="B1990" s="295" t="s">
        <v>385</v>
      </c>
      <c r="C1990" s="293">
        <v>0</v>
      </c>
      <c r="D1990" s="293">
        <v>35329.282427999999</v>
      </c>
      <c r="E1990" s="293">
        <v>35329.282427999999</v>
      </c>
      <c r="F1990" s="294" t="s">
        <v>298</v>
      </c>
    </row>
    <row r="1991" spans="1:6" hidden="1" outlineLevel="1" collapsed="1" x14ac:dyDescent="0.25">
      <c r="A1991" s="295" t="s">
        <v>282</v>
      </c>
      <c r="B1991" s="295" t="s">
        <v>386</v>
      </c>
      <c r="C1991" s="293">
        <v>3515.271624</v>
      </c>
      <c r="D1991" s="293">
        <v>0</v>
      </c>
      <c r="E1991" s="293">
        <v>-3515.271624</v>
      </c>
      <c r="F1991" s="294" t="s">
        <v>286</v>
      </c>
    </row>
    <row r="1992" spans="1:6" hidden="1" outlineLevel="1" collapsed="1" x14ac:dyDescent="0.25">
      <c r="A1992" s="295" t="s">
        <v>282</v>
      </c>
      <c r="B1992" s="295" t="s">
        <v>387</v>
      </c>
      <c r="C1992" s="293">
        <v>0</v>
      </c>
      <c r="D1992" s="293">
        <v>3621.5206079999998</v>
      </c>
      <c r="E1992" s="293">
        <v>3621.5206079999998</v>
      </c>
      <c r="F1992" s="294" t="s">
        <v>298</v>
      </c>
    </row>
    <row r="1993" spans="1:6" hidden="1" outlineLevel="1" collapsed="1" x14ac:dyDescent="0.25">
      <c r="A1993" s="295" t="s">
        <v>282</v>
      </c>
      <c r="B1993" s="295" t="s">
        <v>753</v>
      </c>
      <c r="C1993" s="293">
        <v>10269.071040000001</v>
      </c>
      <c r="D1993" s="293">
        <v>10420.428684</v>
      </c>
      <c r="E1993" s="293">
        <v>151.35764399999999</v>
      </c>
      <c r="F1993" s="294" t="s">
        <v>875</v>
      </c>
    </row>
    <row r="1994" spans="1:6" hidden="1" outlineLevel="1" collapsed="1" x14ac:dyDescent="0.25">
      <c r="A1994" s="295" t="s">
        <v>282</v>
      </c>
      <c r="B1994" s="295" t="s">
        <v>388</v>
      </c>
      <c r="C1994" s="293">
        <v>3223.757556</v>
      </c>
      <c r="D1994" s="293">
        <v>3284.0042520000002</v>
      </c>
      <c r="E1994" s="293">
        <v>60.246696</v>
      </c>
      <c r="F1994" s="294" t="s">
        <v>1006</v>
      </c>
    </row>
    <row r="1995" spans="1:6" hidden="1" outlineLevel="1" collapsed="1" x14ac:dyDescent="0.25">
      <c r="A1995" s="295" t="s">
        <v>282</v>
      </c>
      <c r="B1995" s="295" t="s">
        <v>389</v>
      </c>
      <c r="C1995" s="293">
        <v>426.12479999999999</v>
      </c>
      <c r="D1995" s="293">
        <v>422.04</v>
      </c>
      <c r="E1995" s="293">
        <v>-4.0848000000000004</v>
      </c>
      <c r="F1995" s="294" t="s">
        <v>364</v>
      </c>
    </row>
    <row r="1996" spans="1:6" hidden="1" outlineLevel="1" collapsed="1" x14ac:dyDescent="0.25">
      <c r="A1996" s="295" t="s">
        <v>282</v>
      </c>
      <c r="B1996" s="295" t="s">
        <v>390</v>
      </c>
      <c r="C1996" s="293">
        <v>15485.27</v>
      </c>
      <c r="D1996" s="293">
        <v>15959.28</v>
      </c>
      <c r="E1996" s="293">
        <v>474.01</v>
      </c>
      <c r="F1996" s="294" t="s">
        <v>391</v>
      </c>
    </row>
    <row r="1997" spans="1:6" hidden="1" outlineLevel="1" collapsed="1" x14ac:dyDescent="0.25">
      <c r="A1997" s="295" t="s">
        <v>282</v>
      </c>
      <c r="B1997" s="295" t="s">
        <v>392</v>
      </c>
      <c r="C1997" s="293">
        <v>233.53919999999999</v>
      </c>
      <c r="D1997" s="293">
        <v>182.88</v>
      </c>
      <c r="E1997" s="293">
        <v>-50.659199999999998</v>
      </c>
      <c r="F1997" s="294" t="s">
        <v>368</v>
      </c>
    </row>
    <row r="1998" spans="1:6" hidden="1" outlineLevel="1" collapsed="1" x14ac:dyDescent="0.25">
      <c r="A1998" s="295" t="s">
        <v>282</v>
      </c>
      <c r="B1998" s="295" t="s">
        <v>754</v>
      </c>
      <c r="C1998" s="293">
        <v>15358.56</v>
      </c>
      <c r="D1998" s="293">
        <v>15959.28</v>
      </c>
      <c r="E1998" s="293">
        <v>600.72</v>
      </c>
      <c r="F1998" s="294" t="s">
        <v>366</v>
      </c>
    </row>
    <row r="1999" spans="1:6" hidden="1" outlineLevel="1" collapsed="1" x14ac:dyDescent="0.25">
      <c r="A1999" s="295" t="s">
        <v>282</v>
      </c>
      <c r="B1999" s="295" t="s">
        <v>755</v>
      </c>
      <c r="C1999" s="293">
        <v>426.12479999999999</v>
      </c>
      <c r="D1999" s="293">
        <v>422.04</v>
      </c>
      <c r="E1999" s="293">
        <v>-4.0848000000000004</v>
      </c>
      <c r="F1999" s="294" t="s">
        <v>364</v>
      </c>
    </row>
    <row r="2000" spans="1:6" hidden="1" outlineLevel="1" collapsed="1" x14ac:dyDescent="0.25">
      <c r="A2000" s="295" t="s">
        <v>282</v>
      </c>
      <c r="B2000" s="295" t="s">
        <v>756</v>
      </c>
      <c r="C2000" s="293">
        <v>233.53919999999999</v>
      </c>
      <c r="D2000" s="293">
        <v>182.88</v>
      </c>
      <c r="E2000" s="293">
        <v>-50.659199999999998</v>
      </c>
      <c r="F2000" s="294" t="s">
        <v>368</v>
      </c>
    </row>
    <row r="2001" spans="1:6" hidden="1" outlineLevel="1" collapsed="1" x14ac:dyDescent="0.25">
      <c r="A2001" s="295" t="s">
        <v>282</v>
      </c>
      <c r="B2001" s="295" t="s">
        <v>393</v>
      </c>
      <c r="C2001" s="293">
        <v>28.348956000000001</v>
      </c>
      <c r="D2001" s="293">
        <v>29.205804000000001</v>
      </c>
      <c r="E2001" s="293">
        <v>0.85684800000000005</v>
      </c>
      <c r="F2001" s="294" t="s">
        <v>520</v>
      </c>
    </row>
    <row r="2002" spans="1:6" hidden="1" outlineLevel="1" collapsed="1" x14ac:dyDescent="0.25">
      <c r="A2002" s="295" t="s">
        <v>282</v>
      </c>
      <c r="B2002" s="295" t="s">
        <v>757</v>
      </c>
      <c r="C2002" s="293">
        <v>82.815083999999999</v>
      </c>
      <c r="D2002" s="293">
        <v>0</v>
      </c>
      <c r="E2002" s="293">
        <v>-82.815083999999999</v>
      </c>
      <c r="F2002" s="294" t="s">
        <v>286</v>
      </c>
    </row>
    <row r="2003" spans="1:6" hidden="1" outlineLevel="1" collapsed="1" x14ac:dyDescent="0.25">
      <c r="A2003" s="295" t="s">
        <v>282</v>
      </c>
      <c r="B2003" s="295" t="s">
        <v>758</v>
      </c>
      <c r="C2003" s="293">
        <v>0</v>
      </c>
      <c r="D2003" s="293">
        <v>84.035712000000004</v>
      </c>
      <c r="E2003" s="293">
        <v>84.035712000000004</v>
      </c>
      <c r="F2003" s="294" t="s">
        <v>298</v>
      </c>
    </row>
    <row r="2004" spans="1:6" hidden="1" outlineLevel="1" collapsed="1" x14ac:dyDescent="0.25">
      <c r="A2004" s="295" t="s">
        <v>282</v>
      </c>
      <c r="B2004" s="295" t="s">
        <v>394</v>
      </c>
      <c r="C2004" s="293">
        <v>1500</v>
      </c>
      <c r="D2004" s="293">
        <v>0</v>
      </c>
      <c r="E2004" s="293">
        <v>-1500</v>
      </c>
      <c r="F2004" s="294" t="s">
        <v>286</v>
      </c>
    </row>
    <row r="2005" spans="1:6" hidden="1" outlineLevel="1" collapsed="1" x14ac:dyDescent="0.25">
      <c r="A2005" s="295" t="s">
        <v>282</v>
      </c>
      <c r="B2005" s="295" t="s">
        <v>395</v>
      </c>
      <c r="C2005" s="293">
        <v>0</v>
      </c>
      <c r="D2005" s="293">
        <v>1500</v>
      </c>
      <c r="E2005" s="293">
        <v>1500</v>
      </c>
      <c r="F2005" s="294" t="s">
        <v>298</v>
      </c>
    </row>
    <row r="2006" spans="1:6" hidden="1" outlineLevel="1" collapsed="1" x14ac:dyDescent="0.25">
      <c r="A2006" s="295" t="s">
        <v>282</v>
      </c>
      <c r="B2006" s="295" t="s">
        <v>759</v>
      </c>
      <c r="C2006" s="293">
        <v>1500</v>
      </c>
      <c r="D2006" s="293">
        <v>0</v>
      </c>
      <c r="E2006" s="293">
        <v>-1500</v>
      </c>
      <c r="F2006" s="294" t="s">
        <v>286</v>
      </c>
    </row>
    <row r="2007" spans="1:6" hidden="1" outlineLevel="1" collapsed="1" x14ac:dyDescent="0.25">
      <c r="A2007" s="295" t="s">
        <v>282</v>
      </c>
      <c r="B2007" s="295" t="s">
        <v>760</v>
      </c>
      <c r="C2007" s="293">
        <v>0</v>
      </c>
      <c r="D2007" s="293">
        <v>1500</v>
      </c>
      <c r="E2007" s="293">
        <v>1500</v>
      </c>
      <c r="F2007" s="294" t="s">
        <v>298</v>
      </c>
    </row>
    <row r="2008" spans="1:6" hidden="1" outlineLevel="1" collapsed="1" x14ac:dyDescent="0.25">
      <c r="A2008" s="295" t="s">
        <v>282</v>
      </c>
      <c r="B2008" s="295" t="s">
        <v>396</v>
      </c>
      <c r="C2008" s="293">
        <v>49.68</v>
      </c>
      <c r="D2008" s="293">
        <v>0</v>
      </c>
      <c r="E2008" s="293">
        <v>-49.68</v>
      </c>
      <c r="F2008" s="294" t="s">
        <v>286</v>
      </c>
    </row>
    <row r="2009" spans="1:6" hidden="1" outlineLevel="1" collapsed="1" x14ac:dyDescent="0.25">
      <c r="A2009" s="295" t="s">
        <v>282</v>
      </c>
      <c r="B2009" s="295" t="s">
        <v>397</v>
      </c>
      <c r="C2009" s="293">
        <v>0</v>
      </c>
      <c r="D2009" s="293">
        <v>48.48</v>
      </c>
      <c r="E2009" s="293">
        <v>48.48</v>
      </c>
      <c r="F2009" s="294" t="s">
        <v>298</v>
      </c>
    </row>
    <row r="2010" spans="1:6" hidden="1" outlineLevel="1" collapsed="1" x14ac:dyDescent="0.25">
      <c r="A2010" s="295" t="s">
        <v>282</v>
      </c>
      <c r="B2010" s="295" t="s">
        <v>761</v>
      </c>
      <c r="C2010" s="293">
        <v>49.68</v>
      </c>
      <c r="D2010" s="293">
        <v>0</v>
      </c>
      <c r="E2010" s="293">
        <v>-49.68</v>
      </c>
      <c r="F2010" s="294" t="s">
        <v>286</v>
      </c>
    </row>
    <row r="2011" spans="1:6" hidden="1" outlineLevel="1" collapsed="1" x14ac:dyDescent="0.25">
      <c r="A2011" s="295" t="s">
        <v>282</v>
      </c>
      <c r="B2011" s="295" t="s">
        <v>762</v>
      </c>
      <c r="C2011" s="293">
        <v>0</v>
      </c>
      <c r="D2011" s="293">
        <v>48.48</v>
      </c>
      <c r="E2011" s="293">
        <v>48.48</v>
      </c>
      <c r="F2011" s="294" t="s">
        <v>298</v>
      </c>
    </row>
    <row r="2012" spans="1:6" hidden="1" outlineLevel="1" collapsed="1" x14ac:dyDescent="0.25">
      <c r="A2012" s="295" t="s">
        <v>282</v>
      </c>
      <c r="B2012" s="295" t="s">
        <v>398</v>
      </c>
      <c r="C2012" s="293">
        <v>24</v>
      </c>
      <c r="D2012" s="293">
        <v>11.04</v>
      </c>
      <c r="E2012" s="293">
        <v>-12.96</v>
      </c>
      <c r="F2012" s="294" t="s">
        <v>374</v>
      </c>
    </row>
    <row r="2013" spans="1:6" hidden="1" outlineLevel="1" collapsed="1" x14ac:dyDescent="0.25">
      <c r="A2013" s="295" t="s">
        <v>282</v>
      </c>
      <c r="B2013" s="295" t="s">
        <v>763</v>
      </c>
      <c r="C2013" s="293">
        <v>24</v>
      </c>
      <c r="D2013" s="293">
        <v>11.04</v>
      </c>
      <c r="E2013" s="293">
        <v>-12.96</v>
      </c>
      <c r="F2013" s="294" t="s">
        <v>374</v>
      </c>
    </row>
    <row r="2014" spans="1:6" hidden="1" outlineLevel="1" collapsed="1" x14ac:dyDescent="0.25">
      <c r="A2014" s="295" t="s">
        <v>282</v>
      </c>
      <c r="B2014" s="295" t="s">
        <v>399</v>
      </c>
      <c r="C2014" s="293">
        <v>0</v>
      </c>
      <c r="D2014" s="293">
        <v>57</v>
      </c>
      <c r="E2014" s="293">
        <v>57</v>
      </c>
      <c r="F2014" s="294" t="s">
        <v>298</v>
      </c>
    </row>
    <row r="2015" spans="1:6" hidden="1" outlineLevel="1" collapsed="1" x14ac:dyDescent="0.25">
      <c r="A2015" s="295" t="s">
        <v>282</v>
      </c>
      <c r="B2015" s="295" t="s">
        <v>376</v>
      </c>
      <c r="C2015" s="293">
        <v>1656</v>
      </c>
      <c r="D2015" s="293">
        <v>1783</v>
      </c>
      <c r="E2015" s="293">
        <v>127</v>
      </c>
      <c r="F2015" s="294" t="s">
        <v>1007</v>
      </c>
    </row>
    <row r="2016" spans="1:6" hidden="1" outlineLevel="1" collapsed="1" x14ac:dyDescent="0.25">
      <c r="A2016" s="295" t="s">
        <v>282</v>
      </c>
      <c r="B2016" s="295" t="s">
        <v>662</v>
      </c>
      <c r="C2016" s="293">
        <v>100</v>
      </c>
      <c r="D2016" s="293">
        <v>420</v>
      </c>
      <c r="E2016" s="293">
        <v>320</v>
      </c>
      <c r="F2016" s="294" t="s">
        <v>1008</v>
      </c>
    </row>
    <row r="2017" spans="1:6" hidden="1" outlineLevel="1" collapsed="1" x14ac:dyDescent="0.25">
      <c r="A2017" s="295" t="s">
        <v>282</v>
      </c>
      <c r="B2017" s="295" t="s">
        <v>426</v>
      </c>
      <c r="C2017" s="293">
        <v>9156</v>
      </c>
      <c r="D2017" s="293">
        <v>8118</v>
      </c>
      <c r="E2017" s="293">
        <v>-1038</v>
      </c>
      <c r="F2017" s="294" t="s">
        <v>1009</v>
      </c>
    </row>
    <row r="2018" spans="1:6" hidden="1" outlineLevel="1" collapsed="1" x14ac:dyDescent="0.25">
      <c r="A2018" s="295" t="s">
        <v>282</v>
      </c>
      <c r="B2018" s="295" t="s">
        <v>707</v>
      </c>
      <c r="C2018" s="293">
        <v>600</v>
      </c>
      <c r="D2018" s="293">
        <v>600</v>
      </c>
      <c r="E2018" s="293">
        <v>0</v>
      </c>
      <c r="F2018" s="294" t="s">
        <v>316</v>
      </c>
    </row>
    <row r="2019" spans="1:6" hidden="1" outlineLevel="1" collapsed="1" x14ac:dyDescent="0.25">
      <c r="A2019" s="295" t="s">
        <v>282</v>
      </c>
      <c r="B2019" s="295" t="s">
        <v>482</v>
      </c>
      <c r="C2019" s="293">
        <v>158</v>
      </c>
      <c r="D2019" s="293">
        <v>158</v>
      </c>
      <c r="E2019" s="293">
        <v>0</v>
      </c>
      <c r="F2019" s="294" t="s">
        <v>316</v>
      </c>
    </row>
    <row r="2020" spans="1:6" hidden="1" outlineLevel="1" collapsed="1" x14ac:dyDescent="0.25">
      <c r="A2020" s="295" t="s">
        <v>282</v>
      </c>
      <c r="B2020" s="295" t="s">
        <v>597</v>
      </c>
      <c r="C2020" s="293">
        <v>300</v>
      </c>
      <c r="D2020" s="293">
        <v>315</v>
      </c>
      <c r="E2020" s="293">
        <v>15</v>
      </c>
      <c r="F2020" s="294" t="s">
        <v>732</v>
      </c>
    </row>
    <row r="2021" spans="1:6" hidden="1" outlineLevel="1" collapsed="1" x14ac:dyDescent="0.25">
      <c r="A2021" s="295" t="s">
        <v>282</v>
      </c>
      <c r="B2021" s="295" t="s">
        <v>543</v>
      </c>
      <c r="C2021" s="293">
        <v>28100</v>
      </c>
      <c r="D2021" s="293">
        <v>0</v>
      </c>
      <c r="E2021" s="293">
        <v>-28100</v>
      </c>
      <c r="F2021" s="294" t="s">
        <v>286</v>
      </c>
    </row>
    <row r="2022" spans="1:6" hidden="1" outlineLevel="1" collapsed="1" x14ac:dyDescent="0.25">
      <c r="A2022" s="295" t="s">
        <v>282</v>
      </c>
      <c r="B2022" s="295" t="s">
        <v>405</v>
      </c>
      <c r="C2022" s="293">
        <v>0</v>
      </c>
      <c r="D2022" s="293">
        <v>300</v>
      </c>
      <c r="E2022" s="293">
        <v>300</v>
      </c>
      <c r="F2022" s="294" t="s">
        <v>298</v>
      </c>
    </row>
    <row r="2023" spans="1:6" hidden="1" outlineLevel="1" collapsed="1" x14ac:dyDescent="0.25">
      <c r="A2023" s="295" t="s">
        <v>282</v>
      </c>
      <c r="B2023" s="295" t="s">
        <v>557</v>
      </c>
      <c r="C2023" s="293">
        <v>0</v>
      </c>
      <c r="D2023" s="293">
        <v>361</v>
      </c>
      <c r="E2023" s="293">
        <v>361</v>
      </c>
      <c r="F2023" s="294" t="s">
        <v>298</v>
      </c>
    </row>
    <row r="2024" spans="1:6" hidden="1" outlineLevel="1" collapsed="1" x14ac:dyDescent="0.25">
      <c r="A2024" s="295" t="s">
        <v>282</v>
      </c>
      <c r="B2024" s="295" t="s">
        <v>770</v>
      </c>
      <c r="C2024" s="293">
        <v>142</v>
      </c>
      <c r="D2024" s="293">
        <v>0</v>
      </c>
      <c r="E2024" s="293">
        <v>-142</v>
      </c>
      <c r="F2024" s="294" t="s">
        <v>286</v>
      </c>
    </row>
    <row r="2025" spans="1:6" collapsed="1" x14ac:dyDescent="0.25">
      <c r="A2025" s="560" t="s">
        <v>313</v>
      </c>
      <c r="B2025" s="561"/>
      <c r="C2025" s="292">
        <v>916176.86409399996</v>
      </c>
      <c r="D2025" s="293">
        <v>881937.64208300004</v>
      </c>
      <c r="E2025" s="293">
        <v>-34239.222010999998</v>
      </c>
      <c r="F2025" s="294" t="s">
        <v>1010</v>
      </c>
    </row>
    <row r="2026" spans="1:6" hidden="1" outlineLevel="1" collapsed="1" x14ac:dyDescent="0.25">
      <c r="A2026" s="295" t="s">
        <v>282</v>
      </c>
      <c r="B2026" s="295" t="s">
        <v>942</v>
      </c>
      <c r="C2026" s="293">
        <v>95168.428151999993</v>
      </c>
      <c r="D2026" s="293">
        <v>101422.563828</v>
      </c>
      <c r="E2026" s="293">
        <v>6254.1356759999999</v>
      </c>
      <c r="F2026" s="294" t="s">
        <v>816</v>
      </c>
    </row>
    <row r="2027" spans="1:6" hidden="1" outlineLevel="1" collapsed="1" x14ac:dyDescent="0.25">
      <c r="A2027" s="295" t="s">
        <v>282</v>
      </c>
      <c r="B2027" s="295" t="s">
        <v>464</v>
      </c>
      <c r="C2027" s="293">
        <v>500354.38086799998</v>
      </c>
      <c r="D2027" s="293">
        <v>438761.86719100003</v>
      </c>
      <c r="E2027" s="293">
        <v>-61592.513677000003</v>
      </c>
      <c r="F2027" s="294" t="s">
        <v>1011</v>
      </c>
    </row>
    <row r="2028" spans="1:6" hidden="1" outlineLevel="1" collapsed="1" x14ac:dyDescent="0.25">
      <c r="A2028" s="295" t="s">
        <v>282</v>
      </c>
      <c r="B2028" s="295" t="s">
        <v>475</v>
      </c>
      <c r="C2028" s="293">
        <v>7958.33</v>
      </c>
      <c r="D2028" s="293">
        <v>10000</v>
      </c>
      <c r="E2028" s="293">
        <v>2041.67</v>
      </c>
      <c r="F2028" s="294" t="s">
        <v>1012</v>
      </c>
    </row>
    <row r="2029" spans="1:6" hidden="1" outlineLevel="1" collapsed="1" x14ac:dyDescent="0.25">
      <c r="A2029" s="295" t="s">
        <v>282</v>
      </c>
      <c r="B2029" s="295" t="s">
        <v>476</v>
      </c>
      <c r="C2029" s="293">
        <v>7509.67</v>
      </c>
      <c r="D2029" s="293">
        <v>20000</v>
      </c>
      <c r="E2029" s="293">
        <v>12490.33</v>
      </c>
      <c r="F2029" s="294" t="s">
        <v>1013</v>
      </c>
    </row>
    <row r="2030" spans="1:6" hidden="1" outlineLevel="1" collapsed="1" x14ac:dyDescent="0.25">
      <c r="A2030" s="295" t="s">
        <v>282</v>
      </c>
      <c r="B2030" s="295" t="s">
        <v>384</v>
      </c>
      <c r="C2030" s="293">
        <v>65910.351336000007</v>
      </c>
      <c r="D2030" s="293">
        <v>0</v>
      </c>
      <c r="E2030" s="293">
        <v>-65910.351336000007</v>
      </c>
      <c r="F2030" s="294" t="s">
        <v>286</v>
      </c>
    </row>
    <row r="2031" spans="1:6" hidden="1" outlineLevel="1" collapsed="1" x14ac:dyDescent="0.25">
      <c r="A2031" s="295" t="s">
        <v>282</v>
      </c>
      <c r="B2031" s="295" t="s">
        <v>385</v>
      </c>
      <c r="C2031" s="293">
        <v>0</v>
      </c>
      <c r="D2031" s="293">
        <v>84677.640056000004</v>
      </c>
      <c r="E2031" s="293">
        <v>84677.640056000004</v>
      </c>
      <c r="F2031" s="294" t="s">
        <v>298</v>
      </c>
    </row>
    <row r="2032" spans="1:6" hidden="1" outlineLevel="1" collapsed="1" x14ac:dyDescent="0.25">
      <c r="A2032" s="295" t="s">
        <v>282</v>
      </c>
      <c r="B2032" s="295" t="s">
        <v>386</v>
      </c>
      <c r="C2032" s="293">
        <v>32747.138953999998</v>
      </c>
      <c r="D2032" s="293">
        <v>0</v>
      </c>
      <c r="E2032" s="293">
        <v>-32747.138953999998</v>
      </c>
      <c r="F2032" s="294" t="s">
        <v>286</v>
      </c>
    </row>
    <row r="2033" spans="1:6" hidden="1" outlineLevel="1" collapsed="1" x14ac:dyDescent="0.25">
      <c r="A2033" s="295" t="s">
        <v>282</v>
      </c>
      <c r="B2033" s="295" t="s">
        <v>387</v>
      </c>
      <c r="C2033" s="293">
        <v>0</v>
      </c>
      <c r="D2033" s="293">
        <v>33491.434653999997</v>
      </c>
      <c r="E2033" s="293">
        <v>33491.434653999997</v>
      </c>
      <c r="F2033" s="294" t="s">
        <v>298</v>
      </c>
    </row>
    <row r="2034" spans="1:6" hidden="1" outlineLevel="1" collapsed="1" x14ac:dyDescent="0.25">
      <c r="A2034" s="295" t="s">
        <v>282</v>
      </c>
      <c r="B2034" s="295" t="s">
        <v>388</v>
      </c>
      <c r="C2034" s="293">
        <v>7658.6050240000004</v>
      </c>
      <c r="D2034" s="293">
        <v>7832.6741789999996</v>
      </c>
      <c r="E2034" s="293">
        <v>174.06915499999999</v>
      </c>
      <c r="F2034" s="294" t="s">
        <v>1014</v>
      </c>
    </row>
    <row r="2035" spans="1:6" hidden="1" outlineLevel="1" collapsed="1" x14ac:dyDescent="0.25">
      <c r="A2035" s="295" t="s">
        <v>282</v>
      </c>
      <c r="B2035" s="295" t="s">
        <v>444</v>
      </c>
      <c r="C2035" s="293">
        <v>2700</v>
      </c>
      <c r="D2035" s="293">
        <v>1800</v>
      </c>
      <c r="E2035" s="293">
        <v>-900</v>
      </c>
      <c r="F2035" s="294" t="s">
        <v>858</v>
      </c>
    </row>
    <row r="2036" spans="1:6" hidden="1" outlineLevel="1" collapsed="1" x14ac:dyDescent="0.25">
      <c r="A2036" s="295" t="s">
        <v>282</v>
      </c>
      <c r="B2036" s="295" t="s">
        <v>389</v>
      </c>
      <c r="C2036" s="293">
        <v>4261.2479999999996</v>
      </c>
      <c r="D2036" s="293">
        <v>4044.55</v>
      </c>
      <c r="E2036" s="293">
        <v>-216.69800000000001</v>
      </c>
      <c r="F2036" s="294" t="s">
        <v>1015</v>
      </c>
    </row>
    <row r="2037" spans="1:6" hidden="1" outlineLevel="1" collapsed="1" x14ac:dyDescent="0.25">
      <c r="A2037" s="295" t="s">
        <v>282</v>
      </c>
      <c r="B2037" s="295" t="s">
        <v>390</v>
      </c>
      <c r="C2037" s="293">
        <v>139367.43</v>
      </c>
      <c r="D2037" s="293">
        <v>136983.82</v>
      </c>
      <c r="E2037" s="293">
        <v>-2383.61</v>
      </c>
      <c r="F2037" s="294" t="s">
        <v>1016</v>
      </c>
    </row>
    <row r="2038" spans="1:6" hidden="1" outlineLevel="1" collapsed="1" x14ac:dyDescent="0.25">
      <c r="A2038" s="295" t="s">
        <v>282</v>
      </c>
      <c r="B2038" s="295" t="s">
        <v>392</v>
      </c>
      <c r="C2038" s="293">
        <v>2335.3919999999998</v>
      </c>
      <c r="D2038" s="293">
        <v>1752.6</v>
      </c>
      <c r="E2038" s="293">
        <v>-582.79200000000003</v>
      </c>
      <c r="F2038" s="294" t="s">
        <v>1017</v>
      </c>
    </row>
    <row r="2039" spans="1:6" hidden="1" outlineLevel="1" collapsed="1" x14ac:dyDescent="0.25">
      <c r="A2039" s="295" t="s">
        <v>282</v>
      </c>
      <c r="B2039" s="295" t="s">
        <v>393</v>
      </c>
      <c r="C2039" s="293">
        <v>264.08976000000001</v>
      </c>
      <c r="D2039" s="293">
        <v>270.092175</v>
      </c>
      <c r="E2039" s="293">
        <v>6.0024150000000001</v>
      </c>
      <c r="F2039" s="294" t="s">
        <v>1014</v>
      </c>
    </row>
    <row r="2040" spans="1:6" hidden="1" outlineLevel="1" collapsed="1" x14ac:dyDescent="0.25">
      <c r="A2040" s="295" t="s">
        <v>282</v>
      </c>
      <c r="B2040" s="295" t="s">
        <v>394</v>
      </c>
      <c r="C2040" s="293">
        <v>15000</v>
      </c>
      <c r="D2040" s="293">
        <v>0</v>
      </c>
      <c r="E2040" s="293">
        <v>-15000</v>
      </c>
      <c r="F2040" s="294" t="s">
        <v>286</v>
      </c>
    </row>
    <row r="2041" spans="1:6" hidden="1" outlineLevel="1" collapsed="1" x14ac:dyDescent="0.25">
      <c r="A2041" s="295" t="s">
        <v>282</v>
      </c>
      <c r="B2041" s="295" t="s">
        <v>395</v>
      </c>
      <c r="C2041" s="293">
        <v>0</v>
      </c>
      <c r="D2041" s="293">
        <v>14375</v>
      </c>
      <c r="E2041" s="293">
        <v>14375</v>
      </c>
      <c r="F2041" s="294" t="s">
        <v>298</v>
      </c>
    </row>
    <row r="2042" spans="1:6" hidden="1" outlineLevel="1" collapsed="1" x14ac:dyDescent="0.25">
      <c r="A2042" s="295" t="s">
        <v>282</v>
      </c>
      <c r="B2042" s="295" t="s">
        <v>396</v>
      </c>
      <c r="C2042" s="293">
        <v>496.8</v>
      </c>
      <c r="D2042" s="293">
        <v>0</v>
      </c>
      <c r="E2042" s="293">
        <v>-496.8</v>
      </c>
      <c r="F2042" s="294" t="s">
        <v>286</v>
      </c>
    </row>
    <row r="2043" spans="1:6" hidden="1" outlineLevel="1" collapsed="1" x14ac:dyDescent="0.25">
      <c r="A2043" s="295" t="s">
        <v>282</v>
      </c>
      <c r="B2043" s="295" t="s">
        <v>397</v>
      </c>
      <c r="C2043" s="293">
        <v>0</v>
      </c>
      <c r="D2043" s="293">
        <v>464.6</v>
      </c>
      <c r="E2043" s="293">
        <v>464.6</v>
      </c>
      <c r="F2043" s="294" t="s">
        <v>298</v>
      </c>
    </row>
    <row r="2044" spans="1:6" hidden="1" outlineLevel="1" collapsed="1" x14ac:dyDescent="0.25">
      <c r="A2044" s="295" t="s">
        <v>282</v>
      </c>
      <c r="B2044" s="295" t="s">
        <v>398</v>
      </c>
      <c r="C2044" s="293">
        <v>240</v>
      </c>
      <c r="D2044" s="293">
        <v>105.8</v>
      </c>
      <c r="E2044" s="293">
        <v>-134.19999999999999</v>
      </c>
      <c r="F2044" s="294" t="s">
        <v>1018</v>
      </c>
    </row>
    <row r="2045" spans="1:6" hidden="1" outlineLevel="1" collapsed="1" x14ac:dyDescent="0.25">
      <c r="A2045" s="295" t="s">
        <v>282</v>
      </c>
      <c r="B2045" s="295" t="s">
        <v>522</v>
      </c>
      <c r="C2045" s="293">
        <v>3000</v>
      </c>
      <c r="D2045" s="293">
        <v>3000</v>
      </c>
      <c r="E2045" s="293">
        <v>0</v>
      </c>
      <c r="F2045" s="294" t="s">
        <v>316</v>
      </c>
    </row>
    <row r="2046" spans="1:6" hidden="1" outlineLevel="1" collapsed="1" x14ac:dyDescent="0.25">
      <c r="A2046" s="295" t="s">
        <v>282</v>
      </c>
      <c r="B2046" s="295" t="s">
        <v>376</v>
      </c>
      <c r="C2046" s="293">
        <v>9504</v>
      </c>
      <c r="D2046" s="293">
        <v>3696</v>
      </c>
      <c r="E2046" s="293">
        <v>-5808</v>
      </c>
      <c r="F2046" s="294" t="s">
        <v>1019</v>
      </c>
    </row>
    <row r="2047" spans="1:6" hidden="1" outlineLevel="1" collapsed="1" x14ac:dyDescent="0.25">
      <c r="A2047" s="295" t="s">
        <v>282</v>
      </c>
      <c r="B2047" s="295" t="s">
        <v>506</v>
      </c>
      <c r="C2047" s="293">
        <v>0</v>
      </c>
      <c r="D2047" s="293">
        <v>600</v>
      </c>
      <c r="E2047" s="293">
        <v>600</v>
      </c>
      <c r="F2047" s="294" t="s">
        <v>298</v>
      </c>
    </row>
    <row r="2048" spans="1:6" hidden="1" outlineLevel="1" collapsed="1" x14ac:dyDescent="0.25">
      <c r="A2048" s="295" t="s">
        <v>282</v>
      </c>
      <c r="B2048" s="295" t="s">
        <v>567</v>
      </c>
      <c r="C2048" s="293">
        <v>3662</v>
      </c>
      <c r="D2048" s="293">
        <v>2395</v>
      </c>
      <c r="E2048" s="293">
        <v>-1267</v>
      </c>
      <c r="F2048" s="294" t="s">
        <v>1020</v>
      </c>
    </row>
    <row r="2049" spans="1:6" hidden="1" outlineLevel="1" collapsed="1" x14ac:dyDescent="0.25">
      <c r="A2049" s="295" t="s">
        <v>282</v>
      </c>
      <c r="B2049" s="295" t="s">
        <v>952</v>
      </c>
      <c r="C2049" s="293">
        <v>600</v>
      </c>
      <c r="D2049" s="293">
        <v>600</v>
      </c>
      <c r="E2049" s="293">
        <v>0</v>
      </c>
      <c r="F2049" s="294" t="s">
        <v>316</v>
      </c>
    </row>
    <row r="2050" spans="1:6" hidden="1" outlineLevel="1" collapsed="1" x14ac:dyDescent="0.25">
      <c r="A2050" s="295" t="s">
        <v>282</v>
      </c>
      <c r="B2050" s="295" t="s">
        <v>597</v>
      </c>
      <c r="C2050" s="293">
        <v>2064</v>
      </c>
      <c r="D2050" s="293">
        <v>2064</v>
      </c>
      <c r="E2050" s="293">
        <v>0</v>
      </c>
      <c r="F2050" s="294" t="s">
        <v>316</v>
      </c>
    </row>
    <row r="2051" spans="1:6" hidden="1" outlineLevel="1" collapsed="1" x14ac:dyDescent="0.25">
      <c r="A2051" s="295" t="s">
        <v>282</v>
      </c>
      <c r="B2051" s="295" t="s">
        <v>842</v>
      </c>
      <c r="C2051" s="293">
        <v>0</v>
      </c>
      <c r="D2051" s="293">
        <v>1600</v>
      </c>
      <c r="E2051" s="293">
        <v>1600</v>
      </c>
      <c r="F2051" s="294" t="s">
        <v>298</v>
      </c>
    </row>
    <row r="2052" spans="1:6" hidden="1" outlineLevel="1" collapsed="1" x14ac:dyDescent="0.25">
      <c r="A2052" s="295" t="s">
        <v>282</v>
      </c>
      <c r="B2052" s="295" t="s">
        <v>843</v>
      </c>
      <c r="C2052" s="293">
        <v>500</v>
      </c>
      <c r="D2052" s="293">
        <v>500</v>
      </c>
      <c r="E2052" s="293">
        <v>0</v>
      </c>
      <c r="F2052" s="294" t="s">
        <v>316</v>
      </c>
    </row>
    <row r="2053" spans="1:6" hidden="1" outlineLevel="1" collapsed="1" x14ac:dyDescent="0.25">
      <c r="A2053" s="295" t="s">
        <v>282</v>
      </c>
      <c r="B2053" s="295" t="s">
        <v>543</v>
      </c>
      <c r="C2053" s="293">
        <v>0</v>
      </c>
      <c r="D2053" s="293">
        <v>0</v>
      </c>
      <c r="E2053" s="293">
        <v>0</v>
      </c>
      <c r="F2053" s="294" t="s">
        <v>316</v>
      </c>
    </row>
    <row r="2054" spans="1:6" hidden="1" outlineLevel="1" collapsed="1" x14ac:dyDescent="0.25">
      <c r="A2054" s="295" t="s">
        <v>282</v>
      </c>
      <c r="B2054" s="295" t="s">
        <v>448</v>
      </c>
      <c r="C2054" s="293">
        <v>11500</v>
      </c>
      <c r="D2054" s="293">
        <v>11500</v>
      </c>
      <c r="E2054" s="293">
        <v>0</v>
      </c>
      <c r="F2054" s="294" t="s">
        <v>316</v>
      </c>
    </row>
    <row r="2055" spans="1:6" hidden="1" outlineLevel="1" collapsed="1" x14ac:dyDescent="0.25">
      <c r="A2055" s="295" t="s">
        <v>282</v>
      </c>
      <c r="B2055" s="295" t="s">
        <v>557</v>
      </c>
      <c r="C2055" s="293">
        <v>3100</v>
      </c>
      <c r="D2055" s="293">
        <v>0</v>
      </c>
      <c r="E2055" s="293">
        <v>-3100</v>
      </c>
      <c r="F2055" s="294" t="s">
        <v>286</v>
      </c>
    </row>
    <row r="2056" spans="1:6" hidden="1" outlineLevel="1" collapsed="1" x14ac:dyDescent="0.25">
      <c r="A2056" s="295" t="s">
        <v>282</v>
      </c>
      <c r="B2056" s="295" t="s">
        <v>770</v>
      </c>
      <c r="C2056" s="293">
        <v>275</v>
      </c>
      <c r="D2056" s="293">
        <v>0</v>
      </c>
      <c r="E2056" s="293">
        <v>-275</v>
      </c>
      <c r="F2056" s="294" t="s">
        <v>286</v>
      </c>
    </row>
    <row r="2057" spans="1:6" collapsed="1" x14ac:dyDescent="0.25">
      <c r="A2057" s="560" t="s">
        <v>1021</v>
      </c>
      <c r="B2057" s="561"/>
      <c r="C2057" s="292">
        <v>100000</v>
      </c>
      <c r="D2057" s="293">
        <v>100000</v>
      </c>
      <c r="E2057" s="293">
        <v>0</v>
      </c>
      <c r="F2057" s="294" t="s">
        <v>316</v>
      </c>
    </row>
    <row r="2058" spans="1:6" hidden="1" outlineLevel="1" collapsed="1" x14ac:dyDescent="0.25">
      <c r="A2058" s="295" t="s">
        <v>282</v>
      </c>
      <c r="B2058" s="295" t="s">
        <v>405</v>
      </c>
      <c r="C2058" s="293">
        <v>100000</v>
      </c>
      <c r="D2058" s="293">
        <v>100000</v>
      </c>
      <c r="E2058" s="293">
        <v>0</v>
      </c>
      <c r="F2058" s="294" t="s">
        <v>316</v>
      </c>
    </row>
    <row r="2059" spans="1:6" collapsed="1" x14ac:dyDescent="0.25">
      <c r="A2059" s="560" t="s">
        <v>1022</v>
      </c>
      <c r="B2059" s="561"/>
      <c r="C2059" s="292">
        <v>26810.919957999999</v>
      </c>
      <c r="D2059" s="293">
        <v>29182.646772</v>
      </c>
      <c r="E2059" s="293">
        <v>2371.7268140000001</v>
      </c>
      <c r="F2059" s="294" t="s">
        <v>1023</v>
      </c>
    </row>
    <row r="2060" spans="1:6" hidden="1" outlineLevel="1" collapsed="1" x14ac:dyDescent="0.25">
      <c r="A2060" s="295" t="s">
        <v>282</v>
      </c>
      <c r="B2060" s="295" t="s">
        <v>942</v>
      </c>
      <c r="C2060" s="293">
        <v>13595.315758000001</v>
      </c>
      <c r="D2060" s="293">
        <v>14489.392943000001</v>
      </c>
      <c r="E2060" s="293">
        <v>894.07718499999999</v>
      </c>
      <c r="F2060" s="294" t="s">
        <v>790</v>
      </c>
    </row>
    <row r="2061" spans="1:6" hidden="1" outlineLevel="1" collapsed="1" x14ac:dyDescent="0.25">
      <c r="A2061" s="295" t="s">
        <v>282</v>
      </c>
      <c r="B2061" s="295" t="s">
        <v>464</v>
      </c>
      <c r="C2061" s="293">
        <v>5012.3218070000003</v>
      </c>
      <c r="D2061" s="293">
        <v>5163.819023</v>
      </c>
      <c r="E2061" s="293">
        <v>151.49721600000001</v>
      </c>
      <c r="F2061" s="294" t="s">
        <v>520</v>
      </c>
    </row>
    <row r="2062" spans="1:6" hidden="1" outlineLevel="1" collapsed="1" x14ac:dyDescent="0.25">
      <c r="A2062" s="295" t="s">
        <v>282</v>
      </c>
      <c r="B2062" s="295" t="s">
        <v>384</v>
      </c>
      <c r="C2062" s="293">
        <v>2340.8408039999999</v>
      </c>
      <c r="D2062" s="293">
        <v>0</v>
      </c>
      <c r="E2062" s="293">
        <v>-2340.8408039999999</v>
      </c>
      <c r="F2062" s="294" t="s">
        <v>286</v>
      </c>
    </row>
    <row r="2063" spans="1:6" hidden="1" outlineLevel="1" collapsed="1" x14ac:dyDescent="0.25">
      <c r="A2063" s="295" t="s">
        <v>282</v>
      </c>
      <c r="B2063" s="295" t="s">
        <v>385</v>
      </c>
      <c r="C2063" s="293">
        <v>0</v>
      </c>
      <c r="D2063" s="293">
        <v>3105.2074889999999</v>
      </c>
      <c r="E2063" s="293">
        <v>3105.2074889999999</v>
      </c>
      <c r="F2063" s="294" t="s">
        <v>298</v>
      </c>
    </row>
    <row r="2064" spans="1:6" hidden="1" outlineLevel="1" collapsed="1" x14ac:dyDescent="0.25">
      <c r="A2064" s="295" t="s">
        <v>282</v>
      </c>
      <c r="B2064" s="295" t="s">
        <v>386</v>
      </c>
      <c r="C2064" s="293">
        <v>1153.673528</v>
      </c>
      <c r="D2064" s="293">
        <v>0</v>
      </c>
      <c r="E2064" s="293">
        <v>-1153.673528</v>
      </c>
      <c r="F2064" s="294" t="s">
        <v>286</v>
      </c>
    </row>
    <row r="2065" spans="1:6" hidden="1" outlineLevel="1" collapsed="1" x14ac:dyDescent="0.25">
      <c r="A2065" s="295" t="s">
        <v>282</v>
      </c>
      <c r="B2065" s="295" t="s">
        <v>387</v>
      </c>
      <c r="C2065" s="293">
        <v>0</v>
      </c>
      <c r="D2065" s="293">
        <v>1218.499141</v>
      </c>
      <c r="E2065" s="293">
        <v>1218.499141</v>
      </c>
      <c r="F2065" s="294" t="s">
        <v>298</v>
      </c>
    </row>
    <row r="2066" spans="1:6" hidden="1" outlineLevel="1" collapsed="1" x14ac:dyDescent="0.25">
      <c r="A2066" s="295" t="s">
        <v>282</v>
      </c>
      <c r="B2066" s="295" t="s">
        <v>388</v>
      </c>
      <c r="C2066" s="293">
        <v>269.810744</v>
      </c>
      <c r="D2066" s="293">
        <v>284.97157099999998</v>
      </c>
      <c r="E2066" s="293">
        <v>15.160826999999999</v>
      </c>
      <c r="F2066" s="294" t="s">
        <v>1024</v>
      </c>
    </row>
    <row r="2067" spans="1:6" hidden="1" outlineLevel="1" collapsed="1" x14ac:dyDescent="0.25">
      <c r="A2067" s="295" t="s">
        <v>282</v>
      </c>
      <c r="B2067" s="295" t="s">
        <v>389</v>
      </c>
      <c r="C2067" s="293">
        <v>106.5312</v>
      </c>
      <c r="D2067" s="293">
        <v>105.51</v>
      </c>
      <c r="E2067" s="293">
        <v>-1.0212000000000001</v>
      </c>
      <c r="F2067" s="294" t="s">
        <v>364</v>
      </c>
    </row>
    <row r="2068" spans="1:6" hidden="1" outlineLevel="1" collapsed="1" x14ac:dyDescent="0.25">
      <c r="A2068" s="295" t="s">
        <v>282</v>
      </c>
      <c r="B2068" s="295" t="s">
        <v>390</v>
      </c>
      <c r="C2068" s="293">
        <v>3871.3175000000001</v>
      </c>
      <c r="D2068" s="293">
        <v>3989.82</v>
      </c>
      <c r="E2068" s="293">
        <v>118.5025</v>
      </c>
      <c r="F2068" s="294" t="s">
        <v>391</v>
      </c>
    </row>
    <row r="2069" spans="1:6" hidden="1" outlineLevel="1" collapsed="1" x14ac:dyDescent="0.25">
      <c r="A2069" s="295" t="s">
        <v>282</v>
      </c>
      <c r="B2069" s="295" t="s">
        <v>392</v>
      </c>
      <c r="C2069" s="293">
        <v>58.384799999999998</v>
      </c>
      <c r="D2069" s="293">
        <v>45.72</v>
      </c>
      <c r="E2069" s="293">
        <v>-12.6648</v>
      </c>
      <c r="F2069" s="294" t="s">
        <v>368</v>
      </c>
    </row>
    <row r="2070" spans="1:6" hidden="1" outlineLevel="1" collapsed="1" x14ac:dyDescent="0.25">
      <c r="A2070" s="295" t="s">
        <v>282</v>
      </c>
      <c r="B2070" s="295" t="s">
        <v>393</v>
      </c>
      <c r="C2070" s="293">
        <v>9.3038170000000004</v>
      </c>
      <c r="D2070" s="293">
        <v>9.8266050000000007</v>
      </c>
      <c r="E2070" s="293">
        <v>0.52278800000000003</v>
      </c>
      <c r="F2070" s="294" t="s">
        <v>1024</v>
      </c>
    </row>
    <row r="2071" spans="1:6" hidden="1" outlineLevel="1" collapsed="1" x14ac:dyDescent="0.25">
      <c r="A2071" s="295" t="s">
        <v>282</v>
      </c>
      <c r="B2071" s="295" t="s">
        <v>394</v>
      </c>
      <c r="C2071" s="293">
        <v>375</v>
      </c>
      <c r="D2071" s="293">
        <v>0</v>
      </c>
      <c r="E2071" s="293">
        <v>-375</v>
      </c>
      <c r="F2071" s="294" t="s">
        <v>286</v>
      </c>
    </row>
    <row r="2072" spans="1:6" hidden="1" outlineLevel="1" collapsed="1" x14ac:dyDescent="0.25">
      <c r="A2072" s="295" t="s">
        <v>282</v>
      </c>
      <c r="B2072" s="295" t="s">
        <v>395</v>
      </c>
      <c r="C2072" s="293">
        <v>0</v>
      </c>
      <c r="D2072" s="293">
        <v>375</v>
      </c>
      <c r="E2072" s="293">
        <v>375</v>
      </c>
      <c r="F2072" s="294" t="s">
        <v>298</v>
      </c>
    </row>
    <row r="2073" spans="1:6" hidden="1" outlineLevel="1" collapsed="1" x14ac:dyDescent="0.25">
      <c r="A2073" s="295" t="s">
        <v>282</v>
      </c>
      <c r="B2073" s="295" t="s">
        <v>396</v>
      </c>
      <c r="C2073" s="293">
        <v>12.42</v>
      </c>
      <c r="D2073" s="293">
        <v>0</v>
      </c>
      <c r="E2073" s="293">
        <v>-12.42</v>
      </c>
      <c r="F2073" s="294" t="s">
        <v>286</v>
      </c>
    </row>
    <row r="2074" spans="1:6" hidden="1" outlineLevel="1" collapsed="1" x14ac:dyDescent="0.25">
      <c r="A2074" s="295" t="s">
        <v>282</v>
      </c>
      <c r="B2074" s="295" t="s">
        <v>397</v>
      </c>
      <c r="C2074" s="293">
        <v>0</v>
      </c>
      <c r="D2074" s="293">
        <v>12.12</v>
      </c>
      <c r="E2074" s="293">
        <v>12.12</v>
      </c>
      <c r="F2074" s="294" t="s">
        <v>298</v>
      </c>
    </row>
    <row r="2075" spans="1:6" hidden="1" outlineLevel="1" collapsed="1" x14ac:dyDescent="0.25">
      <c r="A2075" s="295" t="s">
        <v>282</v>
      </c>
      <c r="B2075" s="295" t="s">
        <v>398</v>
      </c>
      <c r="C2075" s="293">
        <v>6</v>
      </c>
      <c r="D2075" s="293">
        <v>2.76</v>
      </c>
      <c r="E2075" s="293">
        <v>-3.24</v>
      </c>
      <c r="F2075" s="294" t="s">
        <v>374</v>
      </c>
    </row>
    <row r="2076" spans="1:6" hidden="1" outlineLevel="1" collapsed="1" x14ac:dyDescent="0.25">
      <c r="A2076" s="295" t="s">
        <v>282</v>
      </c>
      <c r="B2076" s="295" t="s">
        <v>843</v>
      </c>
      <c r="C2076" s="293">
        <v>0</v>
      </c>
      <c r="D2076" s="293">
        <v>380</v>
      </c>
      <c r="E2076" s="293">
        <v>380</v>
      </c>
      <c r="F2076" s="294" t="s">
        <v>298</v>
      </c>
    </row>
    <row r="2077" spans="1:6" collapsed="1" x14ac:dyDescent="0.25">
      <c r="A2077" s="560" t="s">
        <v>1025</v>
      </c>
      <c r="B2077" s="561"/>
      <c r="C2077" s="292">
        <v>0</v>
      </c>
      <c r="D2077" s="293">
        <v>5716</v>
      </c>
      <c r="E2077" s="293">
        <v>5716</v>
      </c>
      <c r="F2077" s="294" t="s">
        <v>298</v>
      </c>
    </row>
    <row r="2078" spans="1:6" hidden="1" outlineLevel="1" collapsed="1" x14ac:dyDescent="0.25">
      <c r="A2078" s="295" t="s">
        <v>282</v>
      </c>
      <c r="B2078" s="295" t="s">
        <v>1026</v>
      </c>
      <c r="C2078" s="293">
        <v>0</v>
      </c>
      <c r="D2078" s="293">
        <v>5716</v>
      </c>
      <c r="E2078" s="293">
        <v>5716</v>
      </c>
      <c r="F2078" s="294" t="s">
        <v>298</v>
      </c>
    </row>
    <row r="2079" spans="1:6" collapsed="1" x14ac:dyDescent="0.25">
      <c r="A2079" s="560" t="s">
        <v>1027</v>
      </c>
      <c r="B2079" s="561"/>
      <c r="C2079" s="292">
        <v>51841.994313000003</v>
      </c>
      <c r="D2079" s="293">
        <v>54358.678656999997</v>
      </c>
      <c r="E2079" s="293">
        <v>2516.6843439999998</v>
      </c>
      <c r="F2079" s="294" t="s">
        <v>418</v>
      </c>
    </row>
    <row r="2080" spans="1:6" hidden="1" outlineLevel="1" collapsed="1" x14ac:dyDescent="0.25">
      <c r="A2080" s="295" t="s">
        <v>282</v>
      </c>
      <c r="B2080" s="295" t="s">
        <v>750</v>
      </c>
      <c r="C2080" s="293">
        <v>21535.999997999999</v>
      </c>
      <c r="D2080" s="293">
        <v>22415.259999000002</v>
      </c>
      <c r="E2080" s="293">
        <v>879.26000099999999</v>
      </c>
      <c r="F2080" s="294" t="s">
        <v>1028</v>
      </c>
    </row>
    <row r="2081" spans="1:6" hidden="1" outlineLevel="1" collapsed="1" x14ac:dyDescent="0.25">
      <c r="A2081" s="295" t="s">
        <v>282</v>
      </c>
      <c r="B2081" s="295" t="s">
        <v>464</v>
      </c>
      <c r="C2081" s="293">
        <v>14476.815869</v>
      </c>
      <c r="D2081" s="293">
        <v>14866.764077</v>
      </c>
      <c r="E2081" s="293">
        <v>389.94820800000002</v>
      </c>
      <c r="F2081" s="294" t="s">
        <v>429</v>
      </c>
    </row>
    <row r="2082" spans="1:6" hidden="1" outlineLevel="1" collapsed="1" x14ac:dyDescent="0.25">
      <c r="A2082" s="295" t="s">
        <v>282</v>
      </c>
      <c r="B2082" s="295" t="s">
        <v>751</v>
      </c>
      <c r="C2082" s="293">
        <v>2810.4479970000002</v>
      </c>
      <c r="D2082" s="293">
        <v>0</v>
      </c>
      <c r="E2082" s="293">
        <v>-2810.4479970000002</v>
      </c>
      <c r="F2082" s="294" t="s">
        <v>286</v>
      </c>
    </row>
    <row r="2083" spans="1:6" hidden="1" outlineLevel="1" collapsed="1" x14ac:dyDescent="0.25">
      <c r="A2083" s="295" t="s">
        <v>282</v>
      </c>
      <c r="B2083" s="295" t="s">
        <v>752</v>
      </c>
      <c r="C2083" s="293">
        <v>0</v>
      </c>
      <c r="D2083" s="293">
        <v>3234.522015</v>
      </c>
      <c r="E2083" s="293">
        <v>3234.522015</v>
      </c>
      <c r="F2083" s="294" t="s">
        <v>298</v>
      </c>
    </row>
    <row r="2084" spans="1:6" hidden="1" outlineLevel="1" collapsed="1" x14ac:dyDescent="0.25">
      <c r="A2084" s="295" t="s">
        <v>282</v>
      </c>
      <c r="B2084" s="295" t="s">
        <v>384</v>
      </c>
      <c r="C2084" s="293">
        <v>1785.330436</v>
      </c>
      <c r="D2084" s="293">
        <v>0</v>
      </c>
      <c r="E2084" s="293">
        <v>-1785.330436</v>
      </c>
      <c r="F2084" s="294" t="s">
        <v>286</v>
      </c>
    </row>
    <row r="2085" spans="1:6" hidden="1" outlineLevel="1" collapsed="1" x14ac:dyDescent="0.25">
      <c r="A2085" s="295" t="s">
        <v>282</v>
      </c>
      <c r="B2085" s="295" t="s">
        <v>385</v>
      </c>
      <c r="C2085" s="293">
        <v>0</v>
      </c>
      <c r="D2085" s="293">
        <v>2303.9187219999999</v>
      </c>
      <c r="E2085" s="293">
        <v>2303.9187219999999</v>
      </c>
      <c r="F2085" s="294" t="s">
        <v>298</v>
      </c>
    </row>
    <row r="2086" spans="1:6" hidden="1" outlineLevel="1" collapsed="1" x14ac:dyDescent="0.25">
      <c r="A2086" s="295" t="s">
        <v>282</v>
      </c>
      <c r="B2086" s="295" t="s">
        <v>386</v>
      </c>
      <c r="C2086" s="293">
        <v>893.84258199999999</v>
      </c>
      <c r="D2086" s="293">
        <v>0</v>
      </c>
      <c r="E2086" s="293">
        <v>-893.84258199999999</v>
      </c>
      <c r="F2086" s="294" t="s">
        <v>286</v>
      </c>
    </row>
    <row r="2087" spans="1:6" hidden="1" outlineLevel="1" collapsed="1" x14ac:dyDescent="0.25">
      <c r="A2087" s="295" t="s">
        <v>282</v>
      </c>
      <c r="B2087" s="295" t="s">
        <v>387</v>
      </c>
      <c r="C2087" s="293">
        <v>0</v>
      </c>
      <c r="D2087" s="293">
        <v>918.01937099999998</v>
      </c>
      <c r="E2087" s="293">
        <v>918.01937099999998</v>
      </c>
      <c r="F2087" s="294" t="s">
        <v>298</v>
      </c>
    </row>
    <row r="2088" spans="1:6" hidden="1" outlineLevel="1" collapsed="1" x14ac:dyDescent="0.25">
      <c r="A2088" s="295" t="s">
        <v>282</v>
      </c>
      <c r="B2088" s="295" t="s">
        <v>753</v>
      </c>
      <c r="C2088" s="293">
        <v>1335.2319990000001</v>
      </c>
      <c r="D2088" s="293">
        <v>1389.746118</v>
      </c>
      <c r="E2088" s="293">
        <v>54.514119000000001</v>
      </c>
      <c r="F2088" s="294" t="s">
        <v>1028</v>
      </c>
    </row>
    <row r="2089" spans="1:6" hidden="1" outlineLevel="1" collapsed="1" x14ac:dyDescent="0.25">
      <c r="A2089" s="295" t="s">
        <v>282</v>
      </c>
      <c r="B2089" s="295" t="s">
        <v>388</v>
      </c>
      <c r="C2089" s="293">
        <v>521.31582700000001</v>
      </c>
      <c r="D2089" s="293">
        <v>539.71934699999997</v>
      </c>
      <c r="E2089" s="293">
        <v>18.40352</v>
      </c>
      <c r="F2089" s="294" t="s">
        <v>1029</v>
      </c>
    </row>
    <row r="2090" spans="1:6" hidden="1" outlineLevel="1" collapsed="1" x14ac:dyDescent="0.25">
      <c r="A2090" s="295" t="s">
        <v>282</v>
      </c>
      <c r="B2090" s="295" t="s">
        <v>389</v>
      </c>
      <c r="C2090" s="293">
        <v>127.83744</v>
      </c>
      <c r="D2090" s="293">
        <v>126.61199999999999</v>
      </c>
      <c r="E2090" s="293">
        <v>-1.2254400000000001</v>
      </c>
      <c r="F2090" s="294" t="s">
        <v>364</v>
      </c>
    </row>
    <row r="2091" spans="1:6" hidden="1" outlineLevel="1" collapsed="1" x14ac:dyDescent="0.25">
      <c r="A2091" s="295" t="s">
        <v>282</v>
      </c>
      <c r="B2091" s="295" t="s">
        <v>390</v>
      </c>
      <c r="C2091" s="293">
        <v>3097.0540000000001</v>
      </c>
      <c r="D2091" s="293">
        <v>3191.8560000000002</v>
      </c>
      <c r="E2091" s="293">
        <v>94.802000000000007</v>
      </c>
      <c r="F2091" s="294" t="s">
        <v>391</v>
      </c>
    </row>
    <row r="2092" spans="1:6" hidden="1" outlineLevel="1" collapsed="1" x14ac:dyDescent="0.25">
      <c r="A2092" s="295" t="s">
        <v>282</v>
      </c>
      <c r="B2092" s="295" t="s">
        <v>392</v>
      </c>
      <c r="C2092" s="293">
        <v>70.061760000000007</v>
      </c>
      <c r="D2092" s="293">
        <v>54.863999999999997</v>
      </c>
      <c r="E2092" s="293">
        <v>-15.197760000000001</v>
      </c>
      <c r="F2092" s="294" t="s">
        <v>368</v>
      </c>
    </row>
    <row r="2093" spans="1:6" hidden="1" outlineLevel="1" collapsed="1" x14ac:dyDescent="0.25">
      <c r="A2093" s="295" t="s">
        <v>282</v>
      </c>
      <c r="B2093" s="295" t="s">
        <v>754</v>
      </c>
      <c r="C2093" s="293">
        <v>3839.64</v>
      </c>
      <c r="D2093" s="293">
        <v>3989.82</v>
      </c>
      <c r="E2093" s="293">
        <v>150.18</v>
      </c>
      <c r="F2093" s="294" t="s">
        <v>366</v>
      </c>
    </row>
    <row r="2094" spans="1:6" hidden="1" outlineLevel="1" collapsed="1" x14ac:dyDescent="0.25">
      <c r="A2094" s="295" t="s">
        <v>282</v>
      </c>
      <c r="B2094" s="295" t="s">
        <v>755</v>
      </c>
      <c r="C2094" s="293">
        <v>106.5312</v>
      </c>
      <c r="D2094" s="293">
        <v>105.51</v>
      </c>
      <c r="E2094" s="293">
        <v>-1.0212000000000001</v>
      </c>
      <c r="F2094" s="294" t="s">
        <v>364</v>
      </c>
    </row>
    <row r="2095" spans="1:6" hidden="1" outlineLevel="1" collapsed="1" x14ac:dyDescent="0.25">
      <c r="A2095" s="295" t="s">
        <v>282</v>
      </c>
      <c r="B2095" s="295" t="s">
        <v>756</v>
      </c>
      <c r="C2095" s="293">
        <v>58.384799999999998</v>
      </c>
      <c r="D2095" s="293">
        <v>45.72</v>
      </c>
      <c r="E2095" s="293">
        <v>-12.6648</v>
      </c>
      <c r="F2095" s="294" t="s">
        <v>368</v>
      </c>
    </row>
    <row r="2096" spans="1:6" hidden="1" outlineLevel="1" collapsed="1" x14ac:dyDescent="0.25">
      <c r="A2096" s="295" t="s">
        <v>282</v>
      </c>
      <c r="B2096" s="295" t="s">
        <v>393</v>
      </c>
      <c r="C2096" s="293">
        <v>7.2084060000000001</v>
      </c>
      <c r="D2096" s="293">
        <v>7.4033800000000003</v>
      </c>
      <c r="E2096" s="293">
        <v>0.19497400000000001</v>
      </c>
      <c r="F2096" s="294" t="s">
        <v>1030</v>
      </c>
    </row>
    <row r="2097" spans="1:6" hidden="1" outlineLevel="1" collapsed="1" x14ac:dyDescent="0.25">
      <c r="A2097" s="295" t="s">
        <v>282</v>
      </c>
      <c r="B2097" s="295" t="s">
        <v>757</v>
      </c>
      <c r="C2097" s="293">
        <v>10.767999</v>
      </c>
      <c r="D2097" s="293">
        <v>0</v>
      </c>
      <c r="E2097" s="293">
        <v>-10.767999</v>
      </c>
      <c r="F2097" s="294" t="s">
        <v>286</v>
      </c>
    </row>
    <row r="2098" spans="1:6" hidden="1" outlineLevel="1" collapsed="1" x14ac:dyDescent="0.25">
      <c r="A2098" s="295" t="s">
        <v>282</v>
      </c>
      <c r="B2098" s="295" t="s">
        <v>758</v>
      </c>
      <c r="C2098" s="293">
        <v>0</v>
      </c>
      <c r="D2098" s="293">
        <v>11.207628</v>
      </c>
      <c r="E2098" s="293">
        <v>11.207628</v>
      </c>
      <c r="F2098" s="294" t="s">
        <v>298</v>
      </c>
    </row>
    <row r="2099" spans="1:6" hidden="1" outlineLevel="1" collapsed="1" x14ac:dyDescent="0.25">
      <c r="A2099" s="295" t="s">
        <v>282</v>
      </c>
      <c r="B2099" s="295" t="s">
        <v>394</v>
      </c>
      <c r="C2099" s="293">
        <v>450</v>
      </c>
      <c r="D2099" s="293">
        <v>0</v>
      </c>
      <c r="E2099" s="293">
        <v>-450</v>
      </c>
      <c r="F2099" s="294" t="s">
        <v>286</v>
      </c>
    </row>
    <row r="2100" spans="1:6" hidden="1" outlineLevel="1" collapsed="1" x14ac:dyDescent="0.25">
      <c r="A2100" s="295" t="s">
        <v>282</v>
      </c>
      <c r="B2100" s="295" t="s">
        <v>395</v>
      </c>
      <c r="C2100" s="293">
        <v>0</v>
      </c>
      <c r="D2100" s="293">
        <v>450</v>
      </c>
      <c r="E2100" s="293">
        <v>450</v>
      </c>
      <c r="F2100" s="294" t="s">
        <v>298</v>
      </c>
    </row>
    <row r="2101" spans="1:6" hidden="1" outlineLevel="1" collapsed="1" x14ac:dyDescent="0.25">
      <c r="A2101" s="295" t="s">
        <v>282</v>
      </c>
      <c r="B2101" s="295" t="s">
        <v>759</v>
      </c>
      <c r="C2101" s="293">
        <v>375</v>
      </c>
      <c r="D2101" s="293">
        <v>0</v>
      </c>
      <c r="E2101" s="293">
        <v>-375</v>
      </c>
      <c r="F2101" s="294" t="s">
        <v>286</v>
      </c>
    </row>
    <row r="2102" spans="1:6" hidden="1" outlineLevel="1" collapsed="1" x14ac:dyDescent="0.25">
      <c r="A2102" s="295" t="s">
        <v>282</v>
      </c>
      <c r="B2102" s="295" t="s">
        <v>760</v>
      </c>
      <c r="C2102" s="293">
        <v>0</v>
      </c>
      <c r="D2102" s="293">
        <v>375</v>
      </c>
      <c r="E2102" s="293">
        <v>375</v>
      </c>
      <c r="F2102" s="294" t="s">
        <v>298</v>
      </c>
    </row>
    <row r="2103" spans="1:6" hidden="1" outlineLevel="1" collapsed="1" x14ac:dyDescent="0.25">
      <c r="A2103" s="295" t="s">
        <v>282</v>
      </c>
      <c r="B2103" s="295" t="s">
        <v>396</v>
      </c>
      <c r="C2103" s="293">
        <v>14.904</v>
      </c>
      <c r="D2103" s="293">
        <v>0</v>
      </c>
      <c r="E2103" s="293">
        <v>-14.904</v>
      </c>
      <c r="F2103" s="294" t="s">
        <v>286</v>
      </c>
    </row>
    <row r="2104" spans="1:6" hidden="1" outlineLevel="1" collapsed="1" x14ac:dyDescent="0.25">
      <c r="A2104" s="295" t="s">
        <v>282</v>
      </c>
      <c r="B2104" s="295" t="s">
        <v>397</v>
      </c>
      <c r="C2104" s="293">
        <v>0</v>
      </c>
      <c r="D2104" s="293">
        <v>14.544</v>
      </c>
      <c r="E2104" s="293">
        <v>14.544</v>
      </c>
      <c r="F2104" s="294" t="s">
        <v>298</v>
      </c>
    </row>
    <row r="2105" spans="1:6" hidden="1" outlineLevel="1" collapsed="1" x14ac:dyDescent="0.25">
      <c r="A2105" s="295" t="s">
        <v>282</v>
      </c>
      <c r="B2105" s="295" t="s">
        <v>761</v>
      </c>
      <c r="C2105" s="293">
        <v>12.42</v>
      </c>
      <c r="D2105" s="293">
        <v>0</v>
      </c>
      <c r="E2105" s="293">
        <v>-12.42</v>
      </c>
      <c r="F2105" s="294" t="s">
        <v>286</v>
      </c>
    </row>
    <row r="2106" spans="1:6" hidden="1" outlineLevel="1" collapsed="1" x14ac:dyDescent="0.25">
      <c r="A2106" s="295" t="s">
        <v>282</v>
      </c>
      <c r="B2106" s="295" t="s">
        <v>762</v>
      </c>
      <c r="C2106" s="293">
        <v>0</v>
      </c>
      <c r="D2106" s="293">
        <v>12.12</v>
      </c>
      <c r="E2106" s="293">
        <v>12.12</v>
      </c>
      <c r="F2106" s="294" t="s">
        <v>298</v>
      </c>
    </row>
    <row r="2107" spans="1:6" hidden="1" outlineLevel="1" collapsed="1" x14ac:dyDescent="0.25">
      <c r="A2107" s="295" t="s">
        <v>282</v>
      </c>
      <c r="B2107" s="295" t="s">
        <v>398</v>
      </c>
      <c r="C2107" s="293">
        <v>7.2</v>
      </c>
      <c r="D2107" s="293">
        <v>3.3119999999999998</v>
      </c>
      <c r="E2107" s="293">
        <v>-3.8879999999999999</v>
      </c>
      <c r="F2107" s="294" t="s">
        <v>374</v>
      </c>
    </row>
    <row r="2108" spans="1:6" hidden="1" outlineLevel="1" collapsed="1" x14ac:dyDescent="0.25">
      <c r="A2108" s="295" t="s">
        <v>282</v>
      </c>
      <c r="B2108" s="295" t="s">
        <v>763</v>
      </c>
      <c r="C2108" s="293">
        <v>6</v>
      </c>
      <c r="D2108" s="293">
        <v>2.76</v>
      </c>
      <c r="E2108" s="293">
        <v>-3.24</v>
      </c>
      <c r="F2108" s="294" t="s">
        <v>374</v>
      </c>
    </row>
    <row r="2109" spans="1:6" hidden="1" outlineLevel="1" collapsed="1" x14ac:dyDescent="0.25">
      <c r="A2109" s="295" t="s">
        <v>282</v>
      </c>
      <c r="B2109" s="295" t="s">
        <v>522</v>
      </c>
      <c r="C2109" s="293">
        <v>300</v>
      </c>
      <c r="D2109" s="293">
        <v>300</v>
      </c>
      <c r="E2109" s="293">
        <v>0</v>
      </c>
      <c r="F2109" s="294" t="s">
        <v>316</v>
      </c>
    </row>
    <row r="2110" spans="1:6" collapsed="1" x14ac:dyDescent="0.25">
      <c r="A2110" s="560" t="s">
        <v>1031</v>
      </c>
      <c r="B2110" s="561"/>
      <c r="C2110" s="292">
        <v>8201</v>
      </c>
      <c r="D2110" s="293">
        <v>55888</v>
      </c>
      <c r="E2110" s="293">
        <v>47687</v>
      </c>
      <c r="F2110" s="294" t="s">
        <v>1032</v>
      </c>
    </row>
    <row r="2111" spans="1:6" hidden="1" outlineLevel="1" collapsed="1" x14ac:dyDescent="0.25">
      <c r="A2111" s="295" t="s">
        <v>282</v>
      </c>
      <c r="B2111" s="295" t="s">
        <v>424</v>
      </c>
      <c r="C2111" s="293">
        <v>0</v>
      </c>
      <c r="D2111" s="293">
        <v>10000</v>
      </c>
      <c r="E2111" s="293">
        <v>10000</v>
      </c>
      <c r="F2111" s="294" t="s">
        <v>298</v>
      </c>
    </row>
    <row r="2112" spans="1:6" hidden="1" outlineLevel="1" collapsed="1" x14ac:dyDescent="0.25">
      <c r="A2112" s="295" t="s">
        <v>282</v>
      </c>
      <c r="B2112" s="295" t="s">
        <v>376</v>
      </c>
      <c r="C2112" s="293">
        <v>0</v>
      </c>
      <c r="D2112" s="293">
        <v>5087</v>
      </c>
      <c r="E2112" s="293">
        <v>5087</v>
      </c>
      <c r="F2112" s="294" t="s">
        <v>298</v>
      </c>
    </row>
    <row r="2113" spans="1:6" hidden="1" outlineLevel="1" collapsed="1" x14ac:dyDescent="0.25">
      <c r="A2113" s="295" t="s">
        <v>282</v>
      </c>
      <c r="B2113" s="295" t="s">
        <v>952</v>
      </c>
      <c r="C2113" s="293">
        <v>0</v>
      </c>
      <c r="D2113" s="293">
        <v>600</v>
      </c>
      <c r="E2113" s="293">
        <v>600</v>
      </c>
      <c r="F2113" s="294" t="s">
        <v>298</v>
      </c>
    </row>
    <row r="2114" spans="1:6" hidden="1" outlineLevel="1" collapsed="1" x14ac:dyDescent="0.25">
      <c r="A2114" s="295" t="s">
        <v>282</v>
      </c>
      <c r="B2114" s="295" t="s">
        <v>482</v>
      </c>
      <c r="C2114" s="293">
        <v>0</v>
      </c>
      <c r="D2114" s="293">
        <v>20000</v>
      </c>
      <c r="E2114" s="293">
        <v>20000</v>
      </c>
      <c r="F2114" s="294" t="s">
        <v>298</v>
      </c>
    </row>
    <row r="2115" spans="1:6" hidden="1" outlineLevel="1" collapsed="1" x14ac:dyDescent="0.25">
      <c r="A2115" s="295" t="s">
        <v>282</v>
      </c>
      <c r="B2115" s="295" t="s">
        <v>401</v>
      </c>
      <c r="C2115" s="293">
        <v>0</v>
      </c>
      <c r="D2115" s="293">
        <v>0</v>
      </c>
      <c r="E2115" s="293">
        <v>0</v>
      </c>
      <c r="F2115" s="294" t="s">
        <v>316</v>
      </c>
    </row>
    <row r="2116" spans="1:6" hidden="1" outlineLevel="1" collapsed="1" x14ac:dyDescent="0.25">
      <c r="A2116" s="295" t="s">
        <v>282</v>
      </c>
      <c r="B2116" s="295" t="s">
        <v>405</v>
      </c>
      <c r="C2116" s="293">
        <v>0</v>
      </c>
      <c r="D2116" s="293">
        <v>0</v>
      </c>
      <c r="E2116" s="293">
        <v>0</v>
      </c>
      <c r="F2116" s="294" t="s">
        <v>316</v>
      </c>
    </row>
    <row r="2117" spans="1:6" hidden="1" outlineLevel="1" collapsed="1" x14ac:dyDescent="0.25">
      <c r="A2117" s="295" t="s">
        <v>282</v>
      </c>
      <c r="B2117" s="295" t="s">
        <v>557</v>
      </c>
      <c r="C2117" s="293">
        <v>8201</v>
      </c>
      <c r="D2117" s="293">
        <v>20201</v>
      </c>
      <c r="E2117" s="293">
        <v>12000</v>
      </c>
      <c r="F2117" s="294" t="s">
        <v>1033</v>
      </c>
    </row>
    <row r="2118" spans="1:6" collapsed="1" x14ac:dyDescent="0.25">
      <c r="A2118" s="560" t="s">
        <v>1034</v>
      </c>
      <c r="B2118" s="561"/>
      <c r="C2118" s="292">
        <v>56655</v>
      </c>
      <c r="D2118" s="293">
        <v>56870</v>
      </c>
      <c r="E2118" s="293">
        <v>215</v>
      </c>
      <c r="F2118" s="294" t="s">
        <v>1035</v>
      </c>
    </row>
    <row r="2119" spans="1:6" hidden="1" outlineLevel="1" collapsed="1" x14ac:dyDescent="0.25">
      <c r="A2119" s="295" t="s">
        <v>282</v>
      </c>
      <c r="B2119" s="295" t="s">
        <v>376</v>
      </c>
      <c r="C2119" s="293">
        <v>1700</v>
      </c>
      <c r="D2119" s="293">
        <v>2300</v>
      </c>
      <c r="E2119" s="293">
        <v>600</v>
      </c>
      <c r="F2119" s="294" t="s">
        <v>1036</v>
      </c>
    </row>
    <row r="2120" spans="1:6" hidden="1" outlineLevel="1" collapsed="1" x14ac:dyDescent="0.25">
      <c r="A2120" s="295" t="s">
        <v>282</v>
      </c>
      <c r="B2120" s="295" t="s">
        <v>567</v>
      </c>
      <c r="C2120" s="293">
        <v>500</v>
      </c>
      <c r="D2120" s="293">
        <v>500</v>
      </c>
      <c r="E2120" s="293">
        <v>0</v>
      </c>
      <c r="F2120" s="294" t="s">
        <v>316</v>
      </c>
    </row>
    <row r="2121" spans="1:6" hidden="1" outlineLevel="1" collapsed="1" x14ac:dyDescent="0.25">
      <c r="A2121" s="295" t="s">
        <v>282</v>
      </c>
      <c r="B2121" s="295" t="s">
        <v>426</v>
      </c>
      <c r="C2121" s="293">
        <v>0</v>
      </c>
      <c r="D2121" s="293">
        <v>200</v>
      </c>
      <c r="E2121" s="293">
        <v>200</v>
      </c>
      <c r="F2121" s="294" t="s">
        <v>298</v>
      </c>
    </row>
    <row r="2122" spans="1:6" hidden="1" outlineLevel="1" collapsed="1" x14ac:dyDescent="0.25">
      <c r="A2122" s="295" t="s">
        <v>282</v>
      </c>
      <c r="B2122" s="295" t="s">
        <v>416</v>
      </c>
      <c r="C2122" s="293">
        <v>39015.660000000003</v>
      </c>
      <c r="D2122" s="293">
        <v>37200</v>
      </c>
      <c r="E2122" s="293">
        <v>-1815.66</v>
      </c>
      <c r="F2122" s="294" t="s">
        <v>865</v>
      </c>
    </row>
    <row r="2123" spans="1:6" hidden="1" outlineLevel="1" collapsed="1" x14ac:dyDescent="0.25">
      <c r="A2123" s="295" t="s">
        <v>282</v>
      </c>
      <c r="B2123" s="295" t="s">
        <v>405</v>
      </c>
      <c r="C2123" s="293">
        <v>5109.34</v>
      </c>
      <c r="D2123" s="293">
        <v>12370</v>
      </c>
      <c r="E2123" s="293">
        <v>7260.66</v>
      </c>
      <c r="F2123" s="294" t="s">
        <v>1037</v>
      </c>
    </row>
    <row r="2124" spans="1:6" hidden="1" outlineLevel="1" collapsed="1" x14ac:dyDescent="0.25">
      <c r="A2124" s="295" t="s">
        <v>282</v>
      </c>
      <c r="B2124" s="295" t="s">
        <v>557</v>
      </c>
      <c r="C2124" s="293">
        <v>10330</v>
      </c>
      <c r="D2124" s="293">
        <v>4300</v>
      </c>
      <c r="E2124" s="293">
        <v>-6030</v>
      </c>
      <c r="F2124" s="294" t="s">
        <v>1038</v>
      </c>
    </row>
    <row r="2125" spans="1:6" collapsed="1" x14ac:dyDescent="0.25">
      <c r="A2125" s="560" t="s">
        <v>1039</v>
      </c>
      <c r="B2125" s="561"/>
      <c r="C2125" s="292">
        <v>4938</v>
      </c>
      <c r="D2125" s="293">
        <v>4938</v>
      </c>
      <c r="E2125" s="293">
        <v>0</v>
      </c>
      <c r="F2125" s="294" t="s">
        <v>316</v>
      </c>
    </row>
    <row r="2126" spans="1:6" hidden="1" outlineLevel="1" collapsed="1" x14ac:dyDescent="0.25">
      <c r="A2126" s="295" t="s">
        <v>282</v>
      </c>
      <c r="B2126" s="295" t="s">
        <v>505</v>
      </c>
      <c r="C2126" s="293">
        <v>0</v>
      </c>
      <c r="D2126" s="293">
        <v>998</v>
      </c>
      <c r="E2126" s="293">
        <v>998</v>
      </c>
      <c r="F2126" s="294" t="s">
        <v>298</v>
      </c>
    </row>
    <row r="2127" spans="1:6" hidden="1" outlineLevel="1" collapsed="1" x14ac:dyDescent="0.25">
      <c r="A2127" s="295" t="s">
        <v>282</v>
      </c>
      <c r="B2127" s="295" t="s">
        <v>506</v>
      </c>
      <c r="C2127" s="293">
        <v>1917</v>
      </c>
      <c r="D2127" s="293">
        <v>0</v>
      </c>
      <c r="E2127" s="293">
        <v>-1917</v>
      </c>
      <c r="F2127" s="294" t="s">
        <v>286</v>
      </c>
    </row>
    <row r="2128" spans="1:6" hidden="1" outlineLevel="1" collapsed="1" x14ac:dyDescent="0.25">
      <c r="A2128" s="295" t="s">
        <v>282</v>
      </c>
      <c r="B2128" s="295" t="s">
        <v>401</v>
      </c>
      <c r="C2128" s="293">
        <v>1535</v>
      </c>
      <c r="D2128" s="293">
        <v>2490</v>
      </c>
      <c r="E2128" s="293">
        <v>955</v>
      </c>
      <c r="F2128" s="294" t="s">
        <v>1040</v>
      </c>
    </row>
    <row r="2129" spans="1:6" hidden="1" outlineLevel="1" collapsed="1" x14ac:dyDescent="0.25">
      <c r="A2129" s="295" t="s">
        <v>282</v>
      </c>
      <c r="B2129" s="295" t="s">
        <v>626</v>
      </c>
      <c r="C2129" s="293">
        <v>0</v>
      </c>
      <c r="D2129" s="293">
        <v>0</v>
      </c>
      <c r="E2129" s="293">
        <v>0</v>
      </c>
      <c r="F2129" s="294" t="s">
        <v>316</v>
      </c>
    </row>
    <row r="2130" spans="1:6" hidden="1" outlineLevel="1" collapsed="1" x14ac:dyDescent="0.25">
      <c r="A2130" s="295" t="s">
        <v>282</v>
      </c>
      <c r="B2130" s="295" t="s">
        <v>405</v>
      </c>
      <c r="C2130" s="293">
        <v>0</v>
      </c>
      <c r="D2130" s="293">
        <v>0</v>
      </c>
      <c r="E2130" s="293">
        <v>0</v>
      </c>
      <c r="F2130" s="294" t="s">
        <v>316</v>
      </c>
    </row>
    <row r="2131" spans="1:6" hidden="1" outlineLevel="1" collapsed="1" x14ac:dyDescent="0.25">
      <c r="A2131" s="295" t="s">
        <v>282</v>
      </c>
      <c r="B2131" s="295" t="s">
        <v>557</v>
      </c>
      <c r="C2131" s="293">
        <v>1486</v>
      </c>
      <c r="D2131" s="293">
        <v>1450</v>
      </c>
      <c r="E2131" s="293">
        <v>-36</v>
      </c>
      <c r="F2131" s="294" t="s">
        <v>372</v>
      </c>
    </row>
    <row r="2132" spans="1:6" collapsed="1" x14ac:dyDescent="0.25">
      <c r="A2132" s="560" t="s">
        <v>1041</v>
      </c>
      <c r="B2132" s="561"/>
      <c r="C2132" s="292">
        <v>24637</v>
      </c>
      <c r="D2132" s="293">
        <v>25813</v>
      </c>
      <c r="E2132" s="293">
        <v>1176</v>
      </c>
      <c r="F2132" s="294" t="s">
        <v>1042</v>
      </c>
    </row>
    <row r="2133" spans="1:6" hidden="1" outlineLevel="1" collapsed="1" x14ac:dyDescent="0.25">
      <c r="A2133" s="295" t="s">
        <v>282</v>
      </c>
      <c r="B2133" s="295" t="s">
        <v>441</v>
      </c>
      <c r="C2133" s="293">
        <v>21824</v>
      </c>
      <c r="D2133" s="293">
        <v>23000</v>
      </c>
      <c r="E2133" s="293">
        <v>1176</v>
      </c>
      <c r="F2133" s="294" t="s">
        <v>1043</v>
      </c>
    </row>
    <row r="2134" spans="1:6" hidden="1" outlineLevel="1" collapsed="1" x14ac:dyDescent="0.25">
      <c r="A2134" s="295" t="s">
        <v>282</v>
      </c>
      <c r="B2134" s="295" t="s">
        <v>444</v>
      </c>
      <c r="C2134" s="293">
        <v>2813</v>
      </c>
      <c r="D2134" s="293">
        <v>2813</v>
      </c>
      <c r="E2134" s="293">
        <v>0</v>
      </c>
      <c r="F2134" s="294" t="s">
        <v>316</v>
      </c>
    </row>
    <row r="2135" spans="1:6" collapsed="1" x14ac:dyDescent="0.25">
      <c r="A2135" s="560" t="s">
        <v>1044</v>
      </c>
      <c r="B2135" s="561"/>
      <c r="C2135" s="292">
        <v>868710.60745000001</v>
      </c>
      <c r="D2135" s="293">
        <v>853130.79023200006</v>
      </c>
      <c r="E2135" s="293">
        <v>-15579.817218</v>
      </c>
      <c r="F2135" s="294" t="s">
        <v>1045</v>
      </c>
    </row>
    <row r="2136" spans="1:6" hidden="1" outlineLevel="1" collapsed="1" x14ac:dyDescent="0.25">
      <c r="A2136" s="295" t="s">
        <v>282</v>
      </c>
      <c r="B2136" s="295" t="s">
        <v>874</v>
      </c>
      <c r="C2136" s="293">
        <v>39146.519357999998</v>
      </c>
      <c r="D2136" s="293">
        <v>41718.960396000002</v>
      </c>
      <c r="E2136" s="293">
        <v>2572.4410379999999</v>
      </c>
      <c r="F2136" s="294" t="s">
        <v>816</v>
      </c>
    </row>
    <row r="2137" spans="1:6" hidden="1" outlineLevel="1" collapsed="1" x14ac:dyDescent="0.25">
      <c r="A2137" s="295" t="s">
        <v>282</v>
      </c>
      <c r="B2137" s="295" t="s">
        <v>464</v>
      </c>
      <c r="C2137" s="293">
        <v>360804.592748</v>
      </c>
      <c r="D2137" s="293">
        <v>374137.82537600002</v>
      </c>
      <c r="E2137" s="293">
        <v>13333.232628</v>
      </c>
      <c r="F2137" s="294" t="s">
        <v>833</v>
      </c>
    </row>
    <row r="2138" spans="1:6" hidden="1" outlineLevel="1" collapsed="1" x14ac:dyDescent="0.25">
      <c r="A2138" s="295" t="s">
        <v>282</v>
      </c>
      <c r="B2138" s="295" t="s">
        <v>475</v>
      </c>
      <c r="C2138" s="293">
        <v>2000</v>
      </c>
      <c r="D2138" s="293">
        <v>2000</v>
      </c>
      <c r="E2138" s="293">
        <v>0</v>
      </c>
      <c r="F2138" s="294" t="s">
        <v>316</v>
      </c>
    </row>
    <row r="2139" spans="1:6" hidden="1" outlineLevel="1" collapsed="1" x14ac:dyDescent="0.25">
      <c r="A2139" s="295" t="s">
        <v>282</v>
      </c>
      <c r="B2139" s="295" t="s">
        <v>384</v>
      </c>
      <c r="C2139" s="293">
        <v>49911.289872000001</v>
      </c>
      <c r="D2139" s="293">
        <v>0</v>
      </c>
      <c r="E2139" s="293">
        <v>-49911.289872000001</v>
      </c>
      <c r="F2139" s="294" t="s">
        <v>286</v>
      </c>
    </row>
    <row r="2140" spans="1:6" hidden="1" outlineLevel="1" collapsed="1" x14ac:dyDescent="0.25">
      <c r="A2140" s="295" t="s">
        <v>282</v>
      </c>
      <c r="B2140" s="295" t="s">
        <v>385</v>
      </c>
      <c r="C2140" s="293">
        <v>0</v>
      </c>
      <c r="D2140" s="293">
        <v>65199.772104000003</v>
      </c>
      <c r="E2140" s="293">
        <v>65199.772104000003</v>
      </c>
      <c r="F2140" s="294" t="s">
        <v>298</v>
      </c>
    </row>
    <row r="2141" spans="1:6" hidden="1" outlineLevel="1" collapsed="1" x14ac:dyDescent="0.25">
      <c r="A2141" s="295" t="s">
        <v>282</v>
      </c>
      <c r="B2141" s="295" t="s">
        <v>386</v>
      </c>
      <c r="C2141" s="293">
        <v>24796.968882000001</v>
      </c>
      <c r="D2141" s="293">
        <v>0</v>
      </c>
      <c r="E2141" s="293">
        <v>-24796.968882000001</v>
      </c>
      <c r="F2141" s="294" t="s">
        <v>286</v>
      </c>
    </row>
    <row r="2142" spans="1:6" hidden="1" outlineLevel="1" collapsed="1" x14ac:dyDescent="0.25">
      <c r="A2142" s="295" t="s">
        <v>282</v>
      </c>
      <c r="B2142" s="295" t="s">
        <v>387</v>
      </c>
      <c r="C2142" s="293">
        <v>0</v>
      </c>
      <c r="D2142" s="293">
        <v>25783.120668</v>
      </c>
      <c r="E2142" s="293">
        <v>25783.120668</v>
      </c>
      <c r="F2142" s="294" t="s">
        <v>298</v>
      </c>
    </row>
    <row r="2143" spans="1:6" hidden="1" outlineLevel="1" collapsed="1" x14ac:dyDescent="0.25">
      <c r="A2143" s="295" t="s">
        <v>282</v>
      </c>
      <c r="B2143" s="295" t="s">
        <v>388</v>
      </c>
      <c r="C2143" s="293">
        <v>5799.2910840000004</v>
      </c>
      <c r="D2143" s="293">
        <v>6029.9233320000003</v>
      </c>
      <c r="E2143" s="293">
        <v>230.632248</v>
      </c>
      <c r="F2143" s="294" t="s">
        <v>893</v>
      </c>
    </row>
    <row r="2144" spans="1:6" hidden="1" outlineLevel="1" collapsed="1" x14ac:dyDescent="0.25">
      <c r="A2144" s="295" t="s">
        <v>282</v>
      </c>
      <c r="B2144" s="295" t="s">
        <v>444</v>
      </c>
      <c r="C2144" s="293">
        <v>180</v>
      </c>
      <c r="D2144" s="293">
        <v>180</v>
      </c>
      <c r="E2144" s="293">
        <v>0</v>
      </c>
      <c r="F2144" s="294" t="s">
        <v>316</v>
      </c>
    </row>
    <row r="2145" spans="1:6" hidden="1" outlineLevel="1" collapsed="1" x14ac:dyDescent="0.25">
      <c r="A2145" s="295" t="s">
        <v>282</v>
      </c>
      <c r="B2145" s="295" t="s">
        <v>389</v>
      </c>
      <c r="C2145" s="293">
        <v>3195.9360000000001</v>
      </c>
      <c r="D2145" s="293">
        <v>3165.3</v>
      </c>
      <c r="E2145" s="293">
        <v>-30.635999999999999</v>
      </c>
      <c r="F2145" s="294" t="s">
        <v>364</v>
      </c>
    </row>
    <row r="2146" spans="1:6" hidden="1" outlineLevel="1" collapsed="1" x14ac:dyDescent="0.25">
      <c r="A2146" s="295" t="s">
        <v>282</v>
      </c>
      <c r="B2146" s="295" t="s">
        <v>390</v>
      </c>
      <c r="C2146" s="293">
        <v>108396.89</v>
      </c>
      <c r="D2146" s="293">
        <v>111714.96</v>
      </c>
      <c r="E2146" s="293">
        <v>3318.07</v>
      </c>
      <c r="F2146" s="294" t="s">
        <v>391</v>
      </c>
    </row>
    <row r="2147" spans="1:6" hidden="1" outlineLevel="1" collapsed="1" x14ac:dyDescent="0.25">
      <c r="A2147" s="295" t="s">
        <v>282</v>
      </c>
      <c r="B2147" s="295" t="s">
        <v>392</v>
      </c>
      <c r="C2147" s="293">
        <v>1751.5440000000001</v>
      </c>
      <c r="D2147" s="293">
        <v>1371.6</v>
      </c>
      <c r="E2147" s="293">
        <v>-379.94400000000002</v>
      </c>
      <c r="F2147" s="294" t="s">
        <v>368</v>
      </c>
    </row>
    <row r="2148" spans="1:6" hidden="1" outlineLevel="1" collapsed="1" x14ac:dyDescent="0.25">
      <c r="A2148" s="295" t="s">
        <v>282</v>
      </c>
      <c r="B2148" s="295" t="s">
        <v>393</v>
      </c>
      <c r="C2148" s="293">
        <v>199.975506</v>
      </c>
      <c r="D2148" s="293">
        <v>207.92835600000001</v>
      </c>
      <c r="E2148" s="293">
        <v>7.9528499999999998</v>
      </c>
      <c r="F2148" s="294" t="s">
        <v>893</v>
      </c>
    </row>
    <row r="2149" spans="1:6" hidden="1" outlineLevel="1" collapsed="1" x14ac:dyDescent="0.25">
      <c r="A2149" s="295" t="s">
        <v>282</v>
      </c>
      <c r="B2149" s="295" t="s">
        <v>394</v>
      </c>
      <c r="C2149" s="293">
        <v>11250</v>
      </c>
      <c r="D2149" s="293">
        <v>0</v>
      </c>
      <c r="E2149" s="293">
        <v>-11250</v>
      </c>
      <c r="F2149" s="294" t="s">
        <v>286</v>
      </c>
    </row>
    <row r="2150" spans="1:6" hidden="1" outlineLevel="1" collapsed="1" x14ac:dyDescent="0.25">
      <c r="A2150" s="295" t="s">
        <v>282</v>
      </c>
      <c r="B2150" s="295" t="s">
        <v>395</v>
      </c>
      <c r="C2150" s="293">
        <v>0</v>
      </c>
      <c r="D2150" s="293">
        <v>11250</v>
      </c>
      <c r="E2150" s="293">
        <v>11250</v>
      </c>
      <c r="F2150" s="294" t="s">
        <v>298</v>
      </c>
    </row>
    <row r="2151" spans="1:6" hidden="1" outlineLevel="1" collapsed="1" x14ac:dyDescent="0.25">
      <c r="A2151" s="295" t="s">
        <v>282</v>
      </c>
      <c r="B2151" s="295" t="s">
        <v>396</v>
      </c>
      <c r="C2151" s="293">
        <v>372.6</v>
      </c>
      <c r="D2151" s="293">
        <v>0</v>
      </c>
      <c r="E2151" s="293">
        <v>-372.6</v>
      </c>
      <c r="F2151" s="294" t="s">
        <v>286</v>
      </c>
    </row>
    <row r="2152" spans="1:6" hidden="1" outlineLevel="1" collapsed="1" x14ac:dyDescent="0.25">
      <c r="A2152" s="295" t="s">
        <v>282</v>
      </c>
      <c r="B2152" s="295" t="s">
        <v>397</v>
      </c>
      <c r="C2152" s="293">
        <v>0</v>
      </c>
      <c r="D2152" s="293">
        <v>363.6</v>
      </c>
      <c r="E2152" s="293">
        <v>363.6</v>
      </c>
      <c r="F2152" s="294" t="s">
        <v>298</v>
      </c>
    </row>
    <row r="2153" spans="1:6" hidden="1" outlineLevel="1" collapsed="1" x14ac:dyDescent="0.25">
      <c r="A2153" s="295" t="s">
        <v>282</v>
      </c>
      <c r="B2153" s="295" t="s">
        <v>398</v>
      </c>
      <c r="C2153" s="293">
        <v>180</v>
      </c>
      <c r="D2153" s="293">
        <v>82.8</v>
      </c>
      <c r="E2153" s="293">
        <v>-97.2</v>
      </c>
      <c r="F2153" s="294" t="s">
        <v>374</v>
      </c>
    </row>
    <row r="2154" spans="1:6" hidden="1" outlineLevel="1" collapsed="1" x14ac:dyDescent="0.25">
      <c r="A2154" s="295" t="s">
        <v>282</v>
      </c>
      <c r="B2154" s="295" t="s">
        <v>522</v>
      </c>
      <c r="C2154" s="293">
        <v>1500</v>
      </c>
      <c r="D2154" s="293">
        <v>1500</v>
      </c>
      <c r="E2154" s="293">
        <v>0</v>
      </c>
      <c r="F2154" s="294" t="s">
        <v>316</v>
      </c>
    </row>
    <row r="2155" spans="1:6" hidden="1" outlineLevel="1" collapsed="1" x14ac:dyDescent="0.25">
      <c r="A2155" s="295" t="s">
        <v>282</v>
      </c>
      <c r="B2155" s="295" t="s">
        <v>1046</v>
      </c>
      <c r="C2155" s="293">
        <v>94000</v>
      </c>
      <c r="D2155" s="293">
        <v>69000</v>
      </c>
      <c r="E2155" s="293">
        <v>-25000</v>
      </c>
      <c r="F2155" s="294" t="s">
        <v>1047</v>
      </c>
    </row>
    <row r="2156" spans="1:6" hidden="1" outlineLevel="1" collapsed="1" x14ac:dyDescent="0.25">
      <c r="A2156" s="295" t="s">
        <v>282</v>
      </c>
      <c r="B2156" s="295" t="s">
        <v>1048</v>
      </c>
      <c r="C2156" s="293">
        <v>42000</v>
      </c>
      <c r="D2156" s="293">
        <v>35500</v>
      </c>
      <c r="E2156" s="293">
        <v>-6500</v>
      </c>
      <c r="F2156" s="294" t="s">
        <v>1049</v>
      </c>
    </row>
    <row r="2157" spans="1:6" hidden="1" outlineLevel="1" collapsed="1" x14ac:dyDescent="0.25">
      <c r="A2157" s="295" t="s">
        <v>282</v>
      </c>
      <c r="B2157" s="295" t="s">
        <v>1050</v>
      </c>
      <c r="C2157" s="293">
        <v>16000</v>
      </c>
      <c r="D2157" s="293">
        <v>11500</v>
      </c>
      <c r="E2157" s="293">
        <v>-4500</v>
      </c>
      <c r="F2157" s="294" t="s">
        <v>1051</v>
      </c>
    </row>
    <row r="2158" spans="1:6" hidden="1" outlineLevel="1" collapsed="1" x14ac:dyDescent="0.25">
      <c r="A2158" s="295" t="s">
        <v>282</v>
      </c>
      <c r="B2158" s="295" t="s">
        <v>426</v>
      </c>
      <c r="C2158" s="293">
        <v>2000</v>
      </c>
      <c r="D2158" s="293">
        <v>2000</v>
      </c>
      <c r="E2158" s="293">
        <v>0</v>
      </c>
      <c r="F2158" s="294" t="s">
        <v>316</v>
      </c>
    </row>
    <row r="2159" spans="1:6" hidden="1" outlineLevel="1" collapsed="1" x14ac:dyDescent="0.25">
      <c r="A2159" s="295" t="s">
        <v>282</v>
      </c>
      <c r="B2159" s="295" t="s">
        <v>597</v>
      </c>
      <c r="C2159" s="293">
        <v>250</v>
      </c>
      <c r="D2159" s="293">
        <v>250</v>
      </c>
      <c r="E2159" s="293">
        <v>0</v>
      </c>
      <c r="F2159" s="294" t="s">
        <v>316</v>
      </c>
    </row>
    <row r="2160" spans="1:6" hidden="1" outlineLevel="1" collapsed="1" x14ac:dyDescent="0.25">
      <c r="A2160" s="295" t="s">
        <v>282</v>
      </c>
      <c r="B2160" s="295" t="s">
        <v>483</v>
      </c>
      <c r="C2160" s="293">
        <v>3000</v>
      </c>
      <c r="D2160" s="293">
        <v>3000</v>
      </c>
      <c r="E2160" s="293">
        <v>0</v>
      </c>
      <c r="F2160" s="294" t="s">
        <v>316</v>
      </c>
    </row>
    <row r="2161" spans="1:6" hidden="1" outlineLevel="1" collapsed="1" x14ac:dyDescent="0.25">
      <c r="A2161" s="295" t="s">
        <v>282</v>
      </c>
      <c r="B2161" s="295" t="s">
        <v>416</v>
      </c>
      <c r="C2161" s="293">
        <v>2000</v>
      </c>
      <c r="D2161" s="293">
        <v>2000</v>
      </c>
      <c r="E2161" s="293">
        <v>0</v>
      </c>
      <c r="F2161" s="294" t="s">
        <v>316</v>
      </c>
    </row>
    <row r="2162" spans="1:6" hidden="1" outlineLevel="1" collapsed="1" x14ac:dyDescent="0.25">
      <c r="A2162" s="295" t="s">
        <v>282</v>
      </c>
      <c r="B2162" s="295" t="s">
        <v>403</v>
      </c>
      <c r="C2162" s="293">
        <v>45175</v>
      </c>
      <c r="D2162" s="293">
        <v>45175</v>
      </c>
      <c r="E2162" s="293">
        <v>0</v>
      </c>
      <c r="F2162" s="294" t="s">
        <v>316</v>
      </c>
    </row>
    <row r="2163" spans="1:6" hidden="1" outlineLevel="1" collapsed="1" x14ac:dyDescent="0.25">
      <c r="A2163" s="295" t="s">
        <v>282</v>
      </c>
      <c r="B2163" s="295" t="s">
        <v>1052</v>
      </c>
      <c r="C2163" s="293">
        <v>13000</v>
      </c>
      <c r="D2163" s="293">
        <v>15000</v>
      </c>
      <c r="E2163" s="293">
        <v>2000</v>
      </c>
      <c r="F2163" s="294" t="s">
        <v>1053</v>
      </c>
    </row>
    <row r="2164" spans="1:6" hidden="1" outlineLevel="1" collapsed="1" x14ac:dyDescent="0.25">
      <c r="A2164" s="295" t="s">
        <v>282</v>
      </c>
      <c r="B2164" s="295" t="s">
        <v>1054</v>
      </c>
      <c r="C2164" s="293">
        <v>12000</v>
      </c>
      <c r="D2164" s="293">
        <v>20000</v>
      </c>
      <c r="E2164" s="293">
        <v>8000</v>
      </c>
      <c r="F2164" s="294" t="s">
        <v>829</v>
      </c>
    </row>
    <row r="2165" spans="1:6" hidden="1" outlineLevel="1" collapsed="1" x14ac:dyDescent="0.25">
      <c r="A2165" s="295" t="s">
        <v>282</v>
      </c>
      <c r="B2165" s="295" t="s">
        <v>422</v>
      </c>
      <c r="C2165" s="293">
        <v>29800</v>
      </c>
      <c r="D2165" s="293">
        <v>5000</v>
      </c>
      <c r="E2165" s="293">
        <v>-24800</v>
      </c>
      <c r="F2165" s="294" t="s">
        <v>1055</v>
      </c>
    </row>
    <row r="2166" spans="1:6" collapsed="1" x14ac:dyDescent="0.25">
      <c r="A2166" s="560" t="s">
        <v>1056</v>
      </c>
      <c r="B2166" s="561"/>
      <c r="C2166" s="292">
        <v>1712184.3581739999</v>
      </c>
      <c r="D2166" s="293">
        <v>1939007.403473</v>
      </c>
      <c r="E2166" s="293">
        <v>226823.04529899999</v>
      </c>
      <c r="F2166" s="294" t="s">
        <v>1057</v>
      </c>
    </row>
    <row r="2167" spans="1:6" hidden="1" outlineLevel="1" collapsed="1" x14ac:dyDescent="0.25">
      <c r="A2167" s="295" t="s">
        <v>282</v>
      </c>
      <c r="B2167" s="295" t="s">
        <v>874</v>
      </c>
      <c r="C2167" s="293">
        <v>38412.238552000003</v>
      </c>
      <c r="D2167" s="293">
        <v>49407.018259999997</v>
      </c>
      <c r="E2167" s="293">
        <v>10994.779708</v>
      </c>
      <c r="F2167" s="294" t="s">
        <v>1058</v>
      </c>
    </row>
    <row r="2168" spans="1:6" hidden="1" outlineLevel="1" collapsed="1" x14ac:dyDescent="0.25">
      <c r="A2168" s="295" t="s">
        <v>282</v>
      </c>
      <c r="B2168" s="295" t="s">
        <v>464</v>
      </c>
      <c r="C2168" s="293">
        <v>775362.47421799996</v>
      </c>
      <c r="D2168" s="293">
        <v>920738.62763899995</v>
      </c>
      <c r="E2168" s="293">
        <v>145376.153421</v>
      </c>
      <c r="F2168" s="294" t="s">
        <v>1059</v>
      </c>
    </row>
    <row r="2169" spans="1:6" hidden="1" outlineLevel="1" collapsed="1" x14ac:dyDescent="0.25">
      <c r="A2169" s="295" t="s">
        <v>282</v>
      </c>
      <c r="B2169" s="295" t="s">
        <v>475</v>
      </c>
      <c r="C2169" s="293">
        <v>10250</v>
      </c>
      <c r="D2169" s="293">
        <v>5250</v>
      </c>
      <c r="E2169" s="293">
        <v>-5000</v>
      </c>
      <c r="F2169" s="294" t="s">
        <v>1060</v>
      </c>
    </row>
    <row r="2170" spans="1:6" hidden="1" outlineLevel="1" collapsed="1" x14ac:dyDescent="0.25">
      <c r="A2170" s="295" t="s">
        <v>282</v>
      </c>
      <c r="B2170" s="295" t="s">
        <v>476</v>
      </c>
      <c r="C2170" s="293">
        <v>138000</v>
      </c>
      <c r="D2170" s="293">
        <v>142000</v>
      </c>
      <c r="E2170" s="293">
        <v>4000</v>
      </c>
      <c r="F2170" s="294" t="s">
        <v>1061</v>
      </c>
    </row>
    <row r="2171" spans="1:6" hidden="1" outlineLevel="1" collapsed="1" x14ac:dyDescent="0.25">
      <c r="A2171" s="295" t="s">
        <v>282</v>
      </c>
      <c r="B2171" s="295" t="s">
        <v>384</v>
      </c>
      <c r="C2171" s="293">
        <v>109342.076879</v>
      </c>
      <c r="D2171" s="293">
        <v>0</v>
      </c>
      <c r="E2171" s="293">
        <v>-109342.076879</v>
      </c>
      <c r="F2171" s="294" t="s">
        <v>286</v>
      </c>
    </row>
    <row r="2172" spans="1:6" hidden="1" outlineLevel="1" collapsed="1" x14ac:dyDescent="0.25">
      <c r="A2172" s="295" t="s">
        <v>282</v>
      </c>
      <c r="B2172" s="295" t="s">
        <v>385</v>
      </c>
      <c r="C2172" s="293">
        <v>0</v>
      </c>
      <c r="D2172" s="293">
        <v>149508.88324900001</v>
      </c>
      <c r="E2172" s="293">
        <v>149508.88324900001</v>
      </c>
      <c r="F2172" s="294" t="s">
        <v>298</v>
      </c>
    </row>
    <row r="2173" spans="1:6" hidden="1" outlineLevel="1" collapsed="1" x14ac:dyDescent="0.25">
      <c r="A2173" s="295" t="s">
        <v>282</v>
      </c>
      <c r="B2173" s="295" t="s">
        <v>386</v>
      </c>
      <c r="C2173" s="293">
        <v>55414.032095000002</v>
      </c>
      <c r="D2173" s="293">
        <v>0</v>
      </c>
      <c r="E2173" s="293">
        <v>-55414.032095000002</v>
      </c>
      <c r="F2173" s="294" t="s">
        <v>286</v>
      </c>
    </row>
    <row r="2174" spans="1:6" hidden="1" outlineLevel="1" collapsed="1" x14ac:dyDescent="0.25">
      <c r="A2174" s="295" t="s">
        <v>282</v>
      </c>
      <c r="B2174" s="295" t="s">
        <v>387</v>
      </c>
      <c r="C2174" s="293">
        <v>0</v>
      </c>
      <c r="D2174" s="293">
        <v>60149.029905000003</v>
      </c>
      <c r="E2174" s="293">
        <v>60149.029905000003</v>
      </c>
      <c r="F2174" s="294" t="s">
        <v>298</v>
      </c>
    </row>
    <row r="2175" spans="1:6" hidden="1" outlineLevel="1" collapsed="1" x14ac:dyDescent="0.25">
      <c r="A2175" s="295" t="s">
        <v>282</v>
      </c>
      <c r="B2175" s="295" t="s">
        <v>388</v>
      </c>
      <c r="C2175" s="293">
        <v>12959.733197</v>
      </c>
      <c r="D2175" s="293">
        <v>14067.111757000001</v>
      </c>
      <c r="E2175" s="293">
        <v>1107.3785600000001</v>
      </c>
      <c r="F2175" s="294" t="s">
        <v>1062</v>
      </c>
    </row>
    <row r="2176" spans="1:6" hidden="1" outlineLevel="1" collapsed="1" x14ac:dyDescent="0.25">
      <c r="A2176" s="295" t="s">
        <v>282</v>
      </c>
      <c r="B2176" s="295" t="s">
        <v>444</v>
      </c>
      <c r="C2176" s="293">
        <v>12893</v>
      </c>
      <c r="D2176" s="293">
        <v>13253</v>
      </c>
      <c r="E2176" s="293">
        <v>360</v>
      </c>
      <c r="F2176" s="294" t="s">
        <v>1063</v>
      </c>
    </row>
    <row r="2177" spans="1:6" hidden="1" outlineLevel="1" collapsed="1" x14ac:dyDescent="0.25">
      <c r="A2177" s="295" t="s">
        <v>282</v>
      </c>
      <c r="B2177" s="295" t="s">
        <v>389</v>
      </c>
      <c r="C2177" s="293">
        <v>9516.7872000000007</v>
      </c>
      <c r="D2177" s="293">
        <v>9636.58</v>
      </c>
      <c r="E2177" s="293">
        <v>119.7928</v>
      </c>
      <c r="F2177" s="294" t="s">
        <v>1064</v>
      </c>
    </row>
    <row r="2178" spans="1:6" hidden="1" outlineLevel="1" collapsed="1" x14ac:dyDescent="0.25">
      <c r="A2178" s="295" t="s">
        <v>282</v>
      </c>
      <c r="B2178" s="295" t="s">
        <v>390</v>
      </c>
      <c r="C2178" s="293">
        <v>330436.90000000002</v>
      </c>
      <c r="D2178" s="293">
        <v>348444.28</v>
      </c>
      <c r="E2178" s="293">
        <v>18007.38</v>
      </c>
      <c r="F2178" s="294" t="s">
        <v>809</v>
      </c>
    </row>
    <row r="2179" spans="1:6" hidden="1" outlineLevel="1" collapsed="1" x14ac:dyDescent="0.25">
      <c r="A2179" s="295" t="s">
        <v>282</v>
      </c>
      <c r="B2179" s="295" t="s">
        <v>392</v>
      </c>
      <c r="C2179" s="293">
        <v>5215.7088000000003</v>
      </c>
      <c r="D2179" s="293">
        <v>4175.76</v>
      </c>
      <c r="E2179" s="293">
        <v>-1039.9487999999999</v>
      </c>
      <c r="F2179" s="294" t="s">
        <v>1065</v>
      </c>
    </row>
    <row r="2180" spans="1:6" hidden="1" outlineLevel="1" collapsed="1" x14ac:dyDescent="0.25">
      <c r="A2180" s="295" t="s">
        <v>282</v>
      </c>
      <c r="B2180" s="295" t="s">
        <v>393</v>
      </c>
      <c r="C2180" s="293">
        <v>446.88723299999998</v>
      </c>
      <c r="D2180" s="293">
        <v>485.07266299999998</v>
      </c>
      <c r="E2180" s="293">
        <v>38.185429999999997</v>
      </c>
      <c r="F2180" s="294" t="s">
        <v>1062</v>
      </c>
    </row>
    <row r="2181" spans="1:6" hidden="1" outlineLevel="1" collapsed="1" x14ac:dyDescent="0.25">
      <c r="A2181" s="295" t="s">
        <v>282</v>
      </c>
      <c r="B2181" s="295" t="s">
        <v>394</v>
      </c>
      <c r="C2181" s="293">
        <v>33500</v>
      </c>
      <c r="D2181" s="293">
        <v>0</v>
      </c>
      <c r="E2181" s="293">
        <v>-33500</v>
      </c>
      <c r="F2181" s="294" t="s">
        <v>286</v>
      </c>
    </row>
    <row r="2182" spans="1:6" hidden="1" outlineLevel="1" collapsed="1" x14ac:dyDescent="0.25">
      <c r="A2182" s="295" t="s">
        <v>282</v>
      </c>
      <c r="B2182" s="295" t="s">
        <v>395</v>
      </c>
      <c r="C2182" s="293">
        <v>0</v>
      </c>
      <c r="D2182" s="293">
        <v>34250</v>
      </c>
      <c r="E2182" s="293">
        <v>34250</v>
      </c>
      <c r="F2182" s="294" t="s">
        <v>298</v>
      </c>
    </row>
    <row r="2183" spans="1:6" hidden="1" outlineLevel="1" collapsed="1" x14ac:dyDescent="0.25">
      <c r="A2183" s="295" t="s">
        <v>282</v>
      </c>
      <c r="B2183" s="295" t="s">
        <v>396</v>
      </c>
      <c r="C2183" s="293">
        <v>1109.52</v>
      </c>
      <c r="D2183" s="293">
        <v>0</v>
      </c>
      <c r="E2183" s="293">
        <v>-1109.52</v>
      </c>
      <c r="F2183" s="294" t="s">
        <v>286</v>
      </c>
    </row>
    <row r="2184" spans="1:6" hidden="1" outlineLevel="1" collapsed="1" x14ac:dyDescent="0.25">
      <c r="A2184" s="295" t="s">
        <v>282</v>
      </c>
      <c r="B2184" s="295" t="s">
        <v>397</v>
      </c>
      <c r="C2184" s="293">
        <v>0</v>
      </c>
      <c r="D2184" s="293">
        <v>1106.96</v>
      </c>
      <c r="E2184" s="293">
        <v>1106.96</v>
      </c>
      <c r="F2184" s="294" t="s">
        <v>298</v>
      </c>
    </row>
    <row r="2185" spans="1:6" hidden="1" outlineLevel="1" collapsed="1" x14ac:dyDescent="0.25">
      <c r="A2185" s="295" t="s">
        <v>282</v>
      </c>
      <c r="B2185" s="295" t="s">
        <v>398</v>
      </c>
      <c r="C2185" s="293">
        <v>536</v>
      </c>
      <c r="D2185" s="293">
        <v>252.08</v>
      </c>
      <c r="E2185" s="293">
        <v>-283.92</v>
      </c>
      <c r="F2185" s="294" t="s">
        <v>1066</v>
      </c>
    </row>
    <row r="2186" spans="1:6" hidden="1" outlineLevel="1" collapsed="1" x14ac:dyDescent="0.25">
      <c r="A2186" s="295" t="s">
        <v>282</v>
      </c>
      <c r="B2186" s="295" t="s">
        <v>522</v>
      </c>
      <c r="C2186" s="293">
        <v>3000</v>
      </c>
      <c r="D2186" s="293">
        <v>3000</v>
      </c>
      <c r="E2186" s="293">
        <v>0</v>
      </c>
      <c r="F2186" s="294" t="s">
        <v>316</v>
      </c>
    </row>
    <row r="2187" spans="1:6" hidden="1" outlineLevel="1" collapsed="1" x14ac:dyDescent="0.25">
      <c r="A2187" s="295" t="s">
        <v>282</v>
      </c>
      <c r="B2187" s="295" t="s">
        <v>376</v>
      </c>
      <c r="C2187" s="293">
        <v>150</v>
      </c>
      <c r="D2187" s="293">
        <v>150</v>
      </c>
      <c r="E2187" s="293">
        <v>0</v>
      </c>
      <c r="F2187" s="294" t="s">
        <v>316</v>
      </c>
    </row>
    <row r="2188" spans="1:6" hidden="1" outlineLevel="1" collapsed="1" x14ac:dyDescent="0.25">
      <c r="A2188" s="295" t="s">
        <v>282</v>
      </c>
      <c r="B2188" s="295" t="s">
        <v>1067</v>
      </c>
      <c r="C2188" s="293">
        <v>148782</v>
      </c>
      <c r="D2188" s="293">
        <v>166793</v>
      </c>
      <c r="E2188" s="293">
        <v>18011</v>
      </c>
      <c r="F2188" s="294" t="s">
        <v>1068</v>
      </c>
    </row>
    <row r="2189" spans="1:6" hidden="1" outlineLevel="1" collapsed="1" x14ac:dyDescent="0.25">
      <c r="A2189" s="295" t="s">
        <v>282</v>
      </c>
      <c r="B2189" s="295" t="s">
        <v>483</v>
      </c>
      <c r="C2189" s="293">
        <v>11000</v>
      </c>
      <c r="D2189" s="293">
        <v>11000</v>
      </c>
      <c r="E2189" s="293">
        <v>0</v>
      </c>
      <c r="F2189" s="294" t="s">
        <v>316</v>
      </c>
    </row>
    <row r="2190" spans="1:6" hidden="1" outlineLevel="1" collapsed="1" x14ac:dyDescent="0.25">
      <c r="A2190" s="295" t="s">
        <v>282</v>
      </c>
      <c r="B2190" s="295" t="s">
        <v>403</v>
      </c>
      <c r="C2190" s="293">
        <v>3857</v>
      </c>
      <c r="D2190" s="293">
        <v>5340</v>
      </c>
      <c r="E2190" s="293">
        <v>1483</v>
      </c>
      <c r="F2190" s="294" t="s">
        <v>1069</v>
      </c>
    </row>
    <row r="2191" spans="1:6" hidden="1" outlineLevel="1" collapsed="1" x14ac:dyDescent="0.25">
      <c r="A2191" s="295" t="s">
        <v>282</v>
      </c>
      <c r="B2191" s="295" t="s">
        <v>422</v>
      </c>
      <c r="C2191" s="293">
        <v>12000</v>
      </c>
      <c r="D2191" s="293">
        <v>0</v>
      </c>
      <c r="E2191" s="293">
        <v>-12000</v>
      </c>
      <c r="F2191" s="294" t="s">
        <v>286</v>
      </c>
    </row>
    <row r="2192" spans="1:6" collapsed="1" x14ac:dyDescent="0.25">
      <c r="A2192" s="560" t="s">
        <v>1070</v>
      </c>
      <c r="B2192" s="561"/>
      <c r="C2192" s="292">
        <v>63830.178207999998</v>
      </c>
      <c r="D2192" s="293">
        <v>69264.765650000001</v>
      </c>
      <c r="E2192" s="293">
        <v>5434.587442</v>
      </c>
      <c r="F2192" s="294" t="s">
        <v>1071</v>
      </c>
    </row>
    <row r="2193" spans="1:6" hidden="1" outlineLevel="1" collapsed="1" x14ac:dyDescent="0.25">
      <c r="A2193" s="295" t="s">
        <v>282</v>
      </c>
      <c r="B2193" s="295" t="s">
        <v>464</v>
      </c>
      <c r="C2193" s="293">
        <v>38402.512030999998</v>
      </c>
      <c r="D2193" s="293">
        <v>41490.071315000001</v>
      </c>
      <c r="E2193" s="293">
        <v>3087.5592839999999</v>
      </c>
      <c r="F2193" s="294" t="s">
        <v>795</v>
      </c>
    </row>
    <row r="2194" spans="1:6" hidden="1" outlineLevel="1" collapsed="1" x14ac:dyDescent="0.25">
      <c r="A2194" s="295" t="s">
        <v>282</v>
      </c>
      <c r="B2194" s="295" t="s">
        <v>384</v>
      </c>
      <c r="C2194" s="293">
        <v>4752.0587640000003</v>
      </c>
      <c r="D2194" s="293">
        <v>0</v>
      </c>
      <c r="E2194" s="293">
        <v>-4752.0587640000003</v>
      </c>
      <c r="F2194" s="294" t="s">
        <v>286</v>
      </c>
    </row>
    <row r="2195" spans="1:6" hidden="1" outlineLevel="1" collapsed="1" x14ac:dyDescent="0.25">
      <c r="A2195" s="295" t="s">
        <v>282</v>
      </c>
      <c r="B2195" s="295" t="s">
        <v>385</v>
      </c>
      <c r="C2195" s="293">
        <v>0</v>
      </c>
      <c r="D2195" s="293">
        <v>6456.2388570000003</v>
      </c>
      <c r="E2195" s="293">
        <v>6456.2388570000003</v>
      </c>
      <c r="F2195" s="294" t="s">
        <v>298</v>
      </c>
    </row>
    <row r="2196" spans="1:6" hidden="1" outlineLevel="1" collapsed="1" x14ac:dyDescent="0.25">
      <c r="A2196" s="295" t="s">
        <v>282</v>
      </c>
      <c r="B2196" s="295" t="s">
        <v>386</v>
      </c>
      <c r="C2196" s="293">
        <v>2380.9557420000001</v>
      </c>
      <c r="D2196" s="293">
        <v>0</v>
      </c>
      <c r="E2196" s="293">
        <v>-2380.9557420000001</v>
      </c>
      <c r="F2196" s="294" t="s">
        <v>286</v>
      </c>
    </row>
    <row r="2197" spans="1:6" hidden="1" outlineLevel="1" collapsed="1" x14ac:dyDescent="0.25">
      <c r="A2197" s="295" t="s">
        <v>282</v>
      </c>
      <c r="B2197" s="295" t="s">
        <v>387</v>
      </c>
      <c r="C2197" s="293">
        <v>0</v>
      </c>
      <c r="D2197" s="293">
        <v>2572.3844159999999</v>
      </c>
      <c r="E2197" s="293">
        <v>2572.3844159999999</v>
      </c>
      <c r="F2197" s="294" t="s">
        <v>298</v>
      </c>
    </row>
    <row r="2198" spans="1:6" hidden="1" outlineLevel="1" collapsed="1" x14ac:dyDescent="0.25">
      <c r="A2198" s="295" t="s">
        <v>282</v>
      </c>
      <c r="B2198" s="295" t="s">
        <v>388</v>
      </c>
      <c r="C2198" s="293">
        <v>556.83642299999997</v>
      </c>
      <c r="D2198" s="293">
        <v>601.60603200000003</v>
      </c>
      <c r="E2198" s="293">
        <v>44.769609000000003</v>
      </c>
      <c r="F2198" s="294" t="s">
        <v>795</v>
      </c>
    </row>
    <row r="2199" spans="1:6" hidden="1" outlineLevel="1" collapsed="1" x14ac:dyDescent="0.25">
      <c r="A2199" s="295" t="s">
        <v>282</v>
      </c>
      <c r="B2199" s="295" t="s">
        <v>389</v>
      </c>
      <c r="C2199" s="293">
        <v>426.12479999999999</v>
      </c>
      <c r="D2199" s="293">
        <v>422.04</v>
      </c>
      <c r="E2199" s="293">
        <v>-4.0848000000000004</v>
      </c>
      <c r="F2199" s="294" t="s">
        <v>364</v>
      </c>
    </row>
    <row r="2200" spans="1:6" hidden="1" outlineLevel="1" collapsed="1" x14ac:dyDescent="0.25">
      <c r="A2200" s="295" t="s">
        <v>282</v>
      </c>
      <c r="B2200" s="295" t="s">
        <v>390</v>
      </c>
      <c r="C2200" s="293">
        <v>15485.27</v>
      </c>
      <c r="D2200" s="293">
        <v>15959.28</v>
      </c>
      <c r="E2200" s="293">
        <v>474.01</v>
      </c>
      <c r="F2200" s="294" t="s">
        <v>391</v>
      </c>
    </row>
    <row r="2201" spans="1:6" hidden="1" outlineLevel="1" collapsed="1" x14ac:dyDescent="0.25">
      <c r="A2201" s="295" t="s">
        <v>282</v>
      </c>
      <c r="B2201" s="295" t="s">
        <v>392</v>
      </c>
      <c r="C2201" s="293">
        <v>233.53919999999999</v>
      </c>
      <c r="D2201" s="293">
        <v>182.88</v>
      </c>
      <c r="E2201" s="293">
        <v>-50.659199999999998</v>
      </c>
      <c r="F2201" s="294" t="s">
        <v>368</v>
      </c>
    </row>
    <row r="2202" spans="1:6" hidden="1" outlineLevel="1" collapsed="1" x14ac:dyDescent="0.25">
      <c r="A2202" s="295" t="s">
        <v>282</v>
      </c>
      <c r="B2202" s="295" t="s">
        <v>393</v>
      </c>
      <c r="C2202" s="293">
        <v>19.201248</v>
      </c>
      <c r="D2202" s="293">
        <v>20.74503</v>
      </c>
      <c r="E2202" s="293">
        <v>1.543782</v>
      </c>
      <c r="F2202" s="294" t="s">
        <v>795</v>
      </c>
    </row>
    <row r="2203" spans="1:6" hidden="1" outlineLevel="1" collapsed="1" x14ac:dyDescent="0.25">
      <c r="A2203" s="295" t="s">
        <v>282</v>
      </c>
      <c r="B2203" s="295" t="s">
        <v>394</v>
      </c>
      <c r="C2203" s="293">
        <v>1500</v>
      </c>
      <c r="D2203" s="293">
        <v>0</v>
      </c>
      <c r="E2203" s="293">
        <v>-1500</v>
      </c>
      <c r="F2203" s="294" t="s">
        <v>286</v>
      </c>
    </row>
    <row r="2204" spans="1:6" hidden="1" outlineLevel="1" collapsed="1" x14ac:dyDescent="0.25">
      <c r="A2204" s="295" t="s">
        <v>282</v>
      </c>
      <c r="B2204" s="295" t="s">
        <v>395</v>
      </c>
      <c r="C2204" s="293">
        <v>0</v>
      </c>
      <c r="D2204" s="293">
        <v>1500</v>
      </c>
      <c r="E2204" s="293">
        <v>1500</v>
      </c>
      <c r="F2204" s="294" t="s">
        <v>298</v>
      </c>
    </row>
    <row r="2205" spans="1:6" hidden="1" outlineLevel="1" collapsed="1" x14ac:dyDescent="0.25">
      <c r="A2205" s="295" t="s">
        <v>282</v>
      </c>
      <c r="B2205" s="295" t="s">
        <v>396</v>
      </c>
      <c r="C2205" s="293">
        <v>49.68</v>
      </c>
      <c r="D2205" s="293">
        <v>0</v>
      </c>
      <c r="E2205" s="293">
        <v>-49.68</v>
      </c>
      <c r="F2205" s="294" t="s">
        <v>286</v>
      </c>
    </row>
    <row r="2206" spans="1:6" hidden="1" outlineLevel="1" collapsed="1" x14ac:dyDescent="0.25">
      <c r="A2206" s="295" t="s">
        <v>282</v>
      </c>
      <c r="B2206" s="295" t="s">
        <v>397</v>
      </c>
      <c r="C2206" s="293">
        <v>0</v>
      </c>
      <c r="D2206" s="293">
        <v>48.48</v>
      </c>
      <c r="E2206" s="293">
        <v>48.48</v>
      </c>
      <c r="F2206" s="294" t="s">
        <v>298</v>
      </c>
    </row>
    <row r="2207" spans="1:6" hidden="1" outlineLevel="1" collapsed="1" x14ac:dyDescent="0.25">
      <c r="A2207" s="295" t="s">
        <v>282</v>
      </c>
      <c r="B2207" s="295" t="s">
        <v>398</v>
      </c>
      <c r="C2207" s="293">
        <v>24</v>
      </c>
      <c r="D2207" s="293">
        <v>11.04</v>
      </c>
      <c r="E2207" s="293">
        <v>-12.96</v>
      </c>
      <c r="F2207" s="294" t="s">
        <v>374</v>
      </c>
    </row>
    <row r="2208" spans="1:6" collapsed="1" x14ac:dyDescent="0.25">
      <c r="A2208" s="560" t="s">
        <v>1072</v>
      </c>
      <c r="B2208" s="561"/>
      <c r="C2208" s="292">
        <v>320859.224307</v>
      </c>
      <c r="D2208" s="293">
        <v>328450.93791600002</v>
      </c>
      <c r="E2208" s="293">
        <v>7591.7136090000004</v>
      </c>
      <c r="F2208" s="294" t="s">
        <v>1073</v>
      </c>
    </row>
    <row r="2209" spans="1:6" hidden="1" outlineLevel="1" collapsed="1" x14ac:dyDescent="0.25">
      <c r="A2209" s="295" t="s">
        <v>282</v>
      </c>
      <c r="B2209" s="295" t="s">
        <v>874</v>
      </c>
      <c r="C2209" s="293">
        <v>39146.519357999998</v>
      </c>
      <c r="D2209" s="293">
        <v>41718.960396000002</v>
      </c>
      <c r="E2209" s="293">
        <v>2572.4410379999999</v>
      </c>
      <c r="F2209" s="294" t="s">
        <v>816</v>
      </c>
    </row>
    <row r="2210" spans="1:6" hidden="1" outlineLevel="1" collapsed="1" x14ac:dyDescent="0.25">
      <c r="A2210" s="295" t="s">
        <v>282</v>
      </c>
      <c r="B2210" s="295" t="s">
        <v>464</v>
      </c>
      <c r="C2210" s="293">
        <v>145402.627962</v>
      </c>
      <c r="D2210" s="293">
        <v>149737.11085999999</v>
      </c>
      <c r="E2210" s="293">
        <v>4334.4828980000002</v>
      </c>
      <c r="F2210" s="294" t="s">
        <v>381</v>
      </c>
    </row>
    <row r="2211" spans="1:6" hidden="1" outlineLevel="1" collapsed="1" x14ac:dyDescent="0.25">
      <c r="A2211" s="295" t="s">
        <v>282</v>
      </c>
      <c r="B2211" s="295" t="s">
        <v>935</v>
      </c>
      <c r="C2211" s="293">
        <v>0</v>
      </c>
      <c r="D2211" s="293">
        <v>0</v>
      </c>
      <c r="E2211" s="293">
        <v>0</v>
      </c>
      <c r="F2211" s="294" t="s">
        <v>316</v>
      </c>
    </row>
    <row r="2212" spans="1:6" hidden="1" outlineLevel="1" collapsed="1" x14ac:dyDescent="0.25">
      <c r="A2212" s="295" t="s">
        <v>282</v>
      </c>
      <c r="B2212" s="295" t="s">
        <v>475</v>
      </c>
      <c r="C2212" s="293">
        <v>1000</v>
      </c>
      <c r="D2212" s="293">
        <v>1000</v>
      </c>
      <c r="E2212" s="293">
        <v>0</v>
      </c>
      <c r="F2212" s="294" t="s">
        <v>316</v>
      </c>
    </row>
    <row r="2213" spans="1:6" hidden="1" outlineLevel="1" collapsed="1" x14ac:dyDescent="0.25">
      <c r="A2213" s="295" t="s">
        <v>282</v>
      </c>
      <c r="B2213" s="295" t="s">
        <v>384</v>
      </c>
      <c r="C2213" s="293">
        <v>22965.311720999998</v>
      </c>
      <c r="D2213" s="293">
        <v>0</v>
      </c>
      <c r="E2213" s="293">
        <v>-22965.311720999998</v>
      </c>
      <c r="F2213" s="294" t="s">
        <v>286</v>
      </c>
    </row>
    <row r="2214" spans="1:6" hidden="1" outlineLevel="1" collapsed="1" x14ac:dyDescent="0.25">
      <c r="A2214" s="295" t="s">
        <v>282</v>
      </c>
      <c r="B2214" s="295" t="s">
        <v>385</v>
      </c>
      <c r="C2214" s="293">
        <v>0</v>
      </c>
      <c r="D2214" s="293">
        <v>29934.849222000001</v>
      </c>
      <c r="E2214" s="293">
        <v>29934.849222000001</v>
      </c>
      <c r="F2214" s="294" t="s">
        <v>298</v>
      </c>
    </row>
    <row r="2215" spans="1:6" hidden="1" outlineLevel="1" collapsed="1" x14ac:dyDescent="0.25">
      <c r="A2215" s="295" t="s">
        <v>282</v>
      </c>
      <c r="B2215" s="295" t="s">
        <v>386</v>
      </c>
      <c r="C2215" s="293">
        <v>11416.007113</v>
      </c>
      <c r="D2215" s="293">
        <v>0</v>
      </c>
      <c r="E2215" s="293">
        <v>-11416.007113</v>
      </c>
      <c r="F2215" s="294" t="s">
        <v>286</v>
      </c>
    </row>
    <row r="2216" spans="1:6" hidden="1" outlineLevel="1" collapsed="1" x14ac:dyDescent="0.25">
      <c r="A2216" s="295" t="s">
        <v>282</v>
      </c>
      <c r="B2216" s="295" t="s">
        <v>387</v>
      </c>
      <c r="C2216" s="293">
        <v>0</v>
      </c>
      <c r="D2216" s="293">
        <v>11844.2364</v>
      </c>
      <c r="E2216" s="293">
        <v>11844.2364</v>
      </c>
      <c r="F2216" s="294" t="s">
        <v>298</v>
      </c>
    </row>
    <row r="2217" spans="1:6" hidden="1" outlineLevel="1" collapsed="1" x14ac:dyDescent="0.25">
      <c r="A2217" s="295" t="s">
        <v>282</v>
      </c>
      <c r="B2217" s="295" t="s">
        <v>388</v>
      </c>
      <c r="C2217" s="293">
        <v>2669.872605</v>
      </c>
      <c r="D2217" s="293">
        <v>2770.0230219999999</v>
      </c>
      <c r="E2217" s="293">
        <v>100.150417</v>
      </c>
      <c r="F2217" s="294" t="s">
        <v>1074</v>
      </c>
    </row>
    <row r="2218" spans="1:6" hidden="1" outlineLevel="1" collapsed="1" x14ac:dyDescent="0.25">
      <c r="A2218" s="295" t="s">
        <v>282</v>
      </c>
      <c r="B2218" s="295" t="s">
        <v>444</v>
      </c>
      <c r="C2218" s="293">
        <v>90</v>
      </c>
      <c r="D2218" s="293">
        <v>90</v>
      </c>
      <c r="E2218" s="293">
        <v>0</v>
      </c>
      <c r="F2218" s="294" t="s">
        <v>316</v>
      </c>
    </row>
    <row r="2219" spans="1:6" hidden="1" outlineLevel="1" collapsed="1" x14ac:dyDescent="0.25">
      <c r="A2219" s="295" t="s">
        <v>282</v>
      </c>
      <c r="B2219" s="295" t="s">
        <v>389</v>
      </c>
      <c r="C2219" s="293">
        <v>1704.4992</v>
      </c>
      <c r="D2219" s="293">
        <v>1688.16</v>
      </c>
      <c r="E2219" s="293">
        <v>-16.339200000000002</v>
      </c>
      <c r="F2219" s="294" t="s">
        <v>364</v>
      </c>
    </row>
    <row r="2220" spans="1:6" hidden="1" outlineLevel="1" collapsed="1" x14ac:dyDescent="0.25">
      <c r="A2220" s="295" t="s">
        <v>282</v>
      </c>
      <c r="B2220" s="295" t="s">
        <v>390</v>
      </c>
      <c r="C2220" s="293">
        <v>54198.445</v>
      </c>
      <c r="D2220" s="293">
        <v>55857.48</v>
      </c>
      <c r="E2220" s="293">
        <v>1659.0350000000001</v>
      </c>
      <c r="F2220" s="294" t="s">
        <v>391</v>
      </c>
    </row>
    <row r="2221" spans="1:6" hidden="1" outlineLevel="1" collapsed="1" x14ac:dyDescent="0.25">
      <c r="A2221" s="295" t="s">
        <v>282</v>
      </c>
      <c r="B2221" s="295" t="s">
        <v>392</v>
      </c>
      <c r="C2221" s="293">
        <v>934.15679999999998</v>
      </c>
      <c r="D2221" s="293">
        <v>731.52</v>
      </c>
      <c r="E2221" s="293">
        <v>-202.63679999999999</v>
      </c>
      <c r="F2221" s="294" t="s">
        <v>368</v>
      </c>
    </row>
    <row r="2222" spans="1:6" hidden="1" outlineLevel="1" collapsed="1" x14ac:dyDescent="0.25">
      <c r="A2222" s="295" t="s">
        <v>282</v>
      </c>
      <c r="B2222" s="295" t="s">
        <v>393</v>
      </c>
      <c r="C2222" s="293">
        <v>92.064548000000002</v>
      </c>
      <c r="D2222" s="293">
        <v>95.518016000000003</v>
      </c>
      <c r="E2222" s="293">
        <v>3.453468</v>
      </c>
      <c r="F2222" s="294" t="s">
        <v>1074</v>
      </c>
    </row>
    <row r="2223" spans="1:6" hidden="1" outlineLevel="1" collapsed="1" x14ac:dyDescent="0.25">
      <c r="A2223" s="295" t="s">
        <v>282</v>
      </c>
      <c r="B2223" s="295" t="s">
        <v>394</v>
      </c>
      <c r="C2223" s="293">
        <v>6000</v>
      </c>
      <c r="D2223" s="293">
        <v>0</v>
      </c>
      <c r="E2223" s="293">
        <v>-6000</v>
      </c>
      <c r="F2223" s="294" t="s">
        <v>286</v>
      </c>
    </row>
    <row r="2224" spans="1:6" hidden="1" outlineLevel="1" collapsed="1" x14ac:dyDescent="0.25">
      <c r="A2224" s="295" t="s">
        <v>282</v>
      </c>
      <c r="B2224" s="295" t="s">
        <v>395</v>
      </c>
      <c r="C2224" s="293">
        <v>0</v>
      </c>
      <c r="D2224" s="293">
        <v>6000</v>
      </c>
      <c r="E2224" s="293">
        <v>6000</v>
      </c>
      <c r="F2224" s="294" t="s">
        <v>298</v>
      </c>
    </row>
    <row r="2225" spans="1:6" hidden="1" outlineLevel="1" collapsed="1" x14ac:dyDescent="0.25">
      <c r="A2225" s="295" t="s">
        <v>282</v>
      </c>
      <c r="B2225" s="295" t="s">
        <v>396</v>
      </c>
      <c r="C2225" s="293">
        <v>198.72</v>
      </c>
      <c r="D2225" s="293">
        <v>0</v>
      </c>
      <c r="E2225" s="293">
        <v>-198.72</v>
      </c>
      <c r="F2225" s="294" t="s">
        <v>286</v>
      </c>
    </row>
    <row r="2226" spans="1:6" hidden="1" outlineLevel="1" collapsed="1" x14ac:dyDescent="0.25">
      <c r="A2226" s="295" t="s">
        <v>282</v>
      </c>
      <c r="B2226" s="295" t="s">
        <v>397</v>
      </c>
      <c r="C2226" s="293">
        <v>0</v>
      </c>
      <c r="D2226" s="293">
        <v>193.92</v>
      </c>
      <c r="E2226" s="293">
        <v>193.92</v>
      </c>
      <c r="F2226" s="294" t="s">
        <v>298</v>
      </c>
    </row>
    <row r="2227" spans="1:6" hidden="1" outlineLevel="1" collapsed="1" x14ac:dyDescent="0.25">
      <c r="A2227" s="295" t="s">
        <v>282</v>
      </c>
      <c r="B2227" s="295" t="s">
        <v>398</v>
      </c>
      <c r="C2227" s="293">
        <v>96</v>
      </c>
      <c r="D2227" s="293">
        <v>44.16</v>
      </c>
      <c r="E2227" s="293">
        <v>-51.84</v>
      </c>
      <c r="F2227" s="294" t="s">
        <v>374</v>
      </c>
    </row>
    <row r="2228" spans="1:6" hidden="1" outlineLevel="1" collapsed="1" x14ac:dyDescent="0.25">
      <c r="A2228" s="295" t="s">
        <v>282</v>
      </c>
      <c r="B2228" s="295" t="s">
        <v>522</v>
      </c>
      <c r="C2228" s="293">
        <v>1500</v>
      </c>
      <c r="D2228" s="293">
        <v>1500</v>
      </c>
      <c r="E2228" s="293">
        <v>0</v>
      </c>
      <c r="F2228" s="294" t="s">
        <v>316</v>
      </c>
    </row>
    <row r="2229" spans="1:6" hidden="1" outlineLevel="1" collapsed="1" x14ac:dyDescent="0.25">
      <c r="A2229" s="295" t="s">
        <v>282</v>
      </c>
      <c r="B2229" s="295" t="s">
        <v>1075</v>
      </c>
      <c r="C2229" s="293">
        <v>10595</v>
      </c>
      <c r="D2229" s="293">
        <v>10000</v>
      </c>
      <c r="E2229" s="293">
        <v>-595</v>
      </c>
      <c r="F2229" s="294" t="s">
        <v>1076</v>
      </c>
    </row>
    <row r="2230" spans="1:6" hidden="1" outlineLevel="1" collapsed="1" x14ac:dyDescent="0.25">
      <c r="A2230" s="295" t="s">
        <v>282</v>
      </c>
      <c r="B2230" s="295" t="s">
        <v>426</v>
      </c>
      <c r="C2230" s="293">
        <v>1400</v>
      </c>
      <c r="D2230" s="293">
        <v>1400</v>
      </c>
      <c r="E2230" s="293">
        <v>0</v>
      </c>
      <c r="F2230" s="294" t="s">
        <v>316</v>
      </c>
    </row>
    <row r="2231" spans="1:6" hidden="1" outlineLevel="1" collapsed="1" x14ac:dyDescent="0.25">
      <c r="A2231" s="295" t="s">
        <v>282</v>
      </c>
      <c r="B2231" s="295" t="s">
        <v>597</v>
      </c>
      <c r="C2231" s="293">
        <v>750</v>
      </c>
      <c r="D2231" s="293">
        <v>750</v>
      </c>
      <c r="E2231" s="293">
        <v>0</v>
      </c>
      <c r="F2231" s="294" t="s">
        <v>316</v>
      </c>
    </row>
    <row r="2232" spans="1:6" hidden="1" outlineLevel="1" collapsed="1" x14ac:dyDescent="0.25">
      <c r="A2232" s="295" t="s">
        <v>282</v>
      </c>
      <c r="B2232" s="295" t="s">
        <v>483</v>
      </c>
      <c r="C2232" s="293">
        <v>2500</v>
      </c>
      <c r="D2232" s="293">
        <v>2500</v>
      </c>
      <c r="E2232" s="293">
        <v>0</v>
      </c>
      <c r="F2232" s="294" t="s">
        <v>316</v>
      </c>
    </row>
    <row r="2233" spans="1:6" hidden="1" outlineLevel="1" collapsed="1" x14ac:dyDescent="0.25">
      <c r="A2233" s="295" t="s">
        <v>282</v>
      </c>
      <c r="B2233" s="295" t="s">
        <v>403</v>
      </c>
      <c r="C2233" s="293">
        <v>10000</v>
      </c>
      <c r="D2233" s="293">
        <v>10595</v>
      </c>
      <c r="E2233" s="293">
        <v>595</v>
      </c>
      <c r="F2233" s="294" t="s">
        <v>1077</v>
      </c>
    </row>
    <row r="2234" spans="1:6" hidden="1" outlineLevel="1" collapsed="1" x14ac:dyDescent="0.25">
      <c r="A2234" s="295" t="s">
        <v>282</v>
      </c>
      <c r="B2234" s="295" t="s">
        <v>422</v>
      </c>
      <c r="C2234" s="293">
        <v>8200</v>
      </c>
      <c r="D2234" s="293">
        <v>0</v>
      </c>
      <c r="E2234" s="293">
        <v>-8200</v>
      </c>
      <c r="F2234" s="294" t="s">
        <v>286</v>
      </c>
    </row>
    <row r="2235" spans="1:6" collapsed="1" x14ac:dyDescent="0.25">
      <c r="A2235" s="560" t="s">
        <v>1078</v>
      </c>
      <c r="B2235" s="561"/>
      <c r="C2235" s="292">
        <v>504</v>
      </c>
      <c r="D2235" s="293">
        <v>504</v>
      </c>
      <c r="E2235" s="293">
        <v>0</v>
      </c>
      <c r="F2235" s="294" t="s">
        <v>316</v>
      </c>
    </row>
    <row r="2236" spans="1:6" hidden="1" outlineLevel="1" collapsed="1" x14ac:dyDescent="0.25">
      <c r="A2236" s="295" t="s">
        <v>282</v>
      </c>
      <c r="B2236" s="295" t="s">
        <v>843</v>
      </c>
      <c r="C2236" s="293">
        <v>504</v>
      </c>
      <c r="D2236" s="293">
        <v>504</v>
      </c>
      <c r="E2236" s="293">
        <v>0</v>
      </c>
      <c r="F2236" s="294" t="s">
        <v>316</v>
      </c>
    </row>
    <row r="2237" spans="1:6" collapsed="1" x14ac:dyDescent="0.25">
      <c r="A2237" s="560" t="s">
        <v>1079</v>
      </c>
      <c r="B2237" s="561"/>
      <c r="C2237" s="292">
        <v>474</v>
      </c>
      <c r="D2237" s="293">
        <v>456</v>
      </c>
      <c r="E2237" s="293">
        <v>-18</v>
      </c>
      <c r="F2237" s="294" t="s">
        <v>1080</v>
      </c>
    </row>
    <row r="2238" spans="1:6" hidden="1" outlineLevel="1" collapsed="1" x14ac:dyDescent="0.25">
      <c r="A2238" s="295" t="s">
        <v>282</v>
      </c>
      <c r="B2238" s="295" t="s">
        <v>843</v>
      </c>
      <c r="C2238" s="293">
        <v>474</v>
      </c>
      <c r="D2238" s="293">
        <v>456</v>
      </c>
      <c r="E2238" s="293">
        <v>-18</v>
      </c>
      <c r="F2238" s="294" t="s">
        <v>1080</v>
      </c>
    </row>
    <row r="2239" spans="1:6" collapsed="1" x14ac:dyDescent="0.25">
      <c r="A2239" s="560" t="s">
        <v>1081</v>
      </c>
      <c r="B2239" s="561"/>
      <c r="C2239" s="292">
        <v>37656</v>
      </c>
      <c r="D2239" s="293">
        <v>200000</v>
      </c>
      <c r="E2239" s="293">
        <v>162344</v>
      </c>
      <c r="F2239" s="294" t="s">
        <v>1082</v>
      </c>
    </row>
    <row r="2240" spans="1:6" hidden="1" outlineLevel="1" collapsed="1" x14ac:dyDescent="0.25">
      <c r="A2240" s="295" t="s">
        <v>282</v>
      </c>
      <c r="B2240" s="295" t="s">
        <v>1083</v>
      </c>
      <c r="C2240" s="293">
        <v>37656</v>
      </c>
      <c r="D2240" s="293">
        <v>200000</v>
      </c>
      <c r="E2240" s="293">
        <v>162344</v>
      </c>
      <c r="F2240" s="294" t="s">
        <v>1082</v>
      </c>
    </row>
    <row r="2241" spans="1:6" collapsed="1" x14ac:dyDescent="0.25">
      <c r="A2241" s="560" t="s">
        <v>1084</v>
      </c>
      <c r="B2241" s="561"/>
      <c r="C2241" s="292">
        <v>89175</v>
      </c>
      <c r="D2241" s="293">
        <v>98000</v>
      </c>
      <c r="E2241" s="293">
        <v>8825</v>
      </c>
      <c r="F2241" s="294" t="s">
        <v>1085</v>
      </c>
    </row>
    <row r="2242" spans="1:6" hidden="1" outlineLevel="1" collapsed="1" x14ac:dyDescent="0.25">
      <c r="A2242" s="295" t="s">
        <v>282</v>
      </c>
      <c r="B2242" s="295" t="s">
        <v>843</v>
      </c>
      <c r="C2242" s="293">
        <v>89175</v>
      </c>
      <c r="D2242" s="293">
        <v>98000</v>
      </c>
      <c r="E2242" s="293">
        <v>8825</v>
      </c>
      <c r="F2242" s="294" t="s">
        <v>1085</v>
      </c>
    </row>
    <row r="2243" spans="1:6" collapsed="1" x14ac:dyDescent="0.25">
      <c r="A2243" s="560" t="s">
        <v>1086</v>
      </c>
      <c r="B2243" s="561"/>
      <c r="C2243" s="292">
        <v>30000</v>
      </c>
      <c r="D2243" s="293">
        <v>30663</v>
      </c>
      <c r="E2243" s="293">
        <v>663</v>
      </c>
      <c r="F2243" s="294" t="s">
        <v>878</v>
      </c>
    </row>
    <row r="2244" spans="1:6" hidden="1" outlineLevel="1" collapsed="1" x14ac:dyDescent="0.25">
      <c r="A2244" s="295" t="s">
        <v>282</v>
      </c>
      <c r="B2244" s="295" t="s">
        <v>1087</v>
      </c>
      <c r="C2244" s="293">
        <v>30000</v>
      </c>
      <c r="D2244" s="293">
        <v>30663</v>
      </c>
      <c r="E2244" s="293">
        <v>663</v>
      </c>
      <c r="F2244" s="294" t="s">
        <v>878</v>
      </c>
    </row>
    <row r="2245" spans="1:6" collapsed="1" x14ac:dyDescent="0.25">
      <c r="A2245" s="560" t="s">
        <v>1088</v>
      </c>
      <c r="B2245" s="561"/>
      <c r="C2245" s="292">
        <v>1260499</v>
      </c>
      <c r="D2245" s="293">
        <v>1440000</v>
      </c>
      <c r="E2245" s="293">
        <v>179501</v>
      </c>
      <c r="F2245" s="294" t="s">
        <v>1089</v>
      </c>
    </row>
    <row r="2246" spans="1:6" hidden="1" outlineLevel="1" collapsed="1" x14ac:dyDescent="0.25">
      <c r="A2246" s="295" t="s">
        <v>282</v>
      </c>
      <c r="B2246" s="295" t="s">
        <v>1090</v>
      </c>
      <c r="C2246" s="293">
        <v>1260499</v>
      </c>
      <c r="D2246" s="293">
        <v>1440000</v>
      </c>
      <c r="E2246" s="293">
        <v>179501</v>
      </c>
      <c r="F2246" s="294" t="s">
        <v>1089</v>
      </c>
    </row>
    <row r="2247" spans="1:6" collapsed="1" x14ac:dyDescent="0.25">
      <c r="A2247" s="560" t="s">
        <v>315</v>
      </c>
      <c r="B2247" s="561"/>
      <c r="C2247" s="292">
        <v>0</v>
      </c>
      <c r="D2247" s="293">
        <v>79337</v>
      </c>
      <c r="E2247" s="293">
        <v>79337</v>
      </c>
      <c r="F2247" s="294" t="s">
        <v>298</v>
      </c>
    </row>
    <row r="2248" spans="1:6" hidden="1" outlineLevel="1" collapsed="1" x14ac:dyDescent="0.25">
      <c r="A2248" s="295" t="s">
        <v>282</v>
      </c>
      <c r="B2248" s="295" t="s">
        <v>1087</v>
      </c>
      <c r="C2248" s="293">
        <v>0</v>
      </c>
      <c r="D2248" s="293">
        <v>79337</v>
      </c>
      <c r="E2248" s="293">
        <v>79337</v>
      </c>
      <c r="F2248" s="294" t="s">
        <v>298</v>
      </c>
    </row>
    <row r="2249" spans="1:6" collapsed="1" x14ac:dyDescent="0.25">
      <c r="A2249" s="560" t="s">
        <v>1091</v>
      </c>
      <c r="B2249" s="561"/>
      <c r="C2249" s="292">
        <v>444</v>
      </c>
      <c r="D2249" s="293">
        <v>444</v>
      </c>
      <c r="E2249" s="293">
        <v>0</v>
      </c>
      <c r="F2249" s="294" t="s">
        <v>316</v>
      </c>
    </row>
    <row r="2250" spans="1:6" hidden="1" outlineLevel="1" collapsed="1" x14ac:dyDescent="0.25">
      <c r="A2250" s="295" t="s">
        <v>282</v>
      </c>
      <c r="B2250" s="295" t="s">
        <v>843</v>
      </c>
      <c r="C2250" s="293">
        <v>444</v>
      </c>
      <c r="D2250" s="293">
        <v>444</v>
      </c>
      <c r="E2250" s="293">
        <v>0</v>
      </c>
      <c r="F2250" s="294" t="s">
        <v>316</v>
      </c>
    </row>
    <row r="2251" spans="1:6" collapsed="1" x14ac:dyDescent="0.25">
      <c r="A2251" s="560" t="s">
        <v>1092</v>
      </c>
      <c r="B2251" s="561"/>
      <c r="C2251" s="292">
        <v>138553.05186800001</v>
      </c>
      <c r="D2251" s="293">
        <v>144026.78630400001</v>
      </c>
      <c r="E2251" s="293">
        <v>5473.7344359999997</v>
      </c>
      <c r="F2251" s="294" t="s">
        <v>1093</v>
      </c>
    </row>
    <row r="2252" spans="1:6" hidden="1" outlineLevel="1" collapsed="1" x14ac:dyDescent="0.25">
      <c r="A2252" s="295" t="s">
        <v>282</v>
      </c>
      <c r="B2252" s="295" t="s">
        <v>942</v>
      </c>
      <c r="C2252" s="293">
        <v>99923.709587999998</v>
      </c>
      <c r="D2252" s="293">
        <v>101422.563828</v>
      </c>
      <c r="E2252" s="293">
        <v>1498.8542399999999</v>
      </c>
      <c r="F2252" s="294" t="s">
        <v>510</v>
      </c>
    </row>
    <row r="2253" spans="1:6" hidden="1" outlineLevel="1" collapsed="1" x14ac:dyDescent="0.25">
      <c r="A2253" s="295" t="s">
        <v>282</v>
      </c>
      <c r="B2253" s="295" t="s">
        <v>384</v>
      </c>
      <c r="C2253" s="293">
        <v>12570.40266</v>
      </c>
      <c r="D2253" s="293">
        <v>0</v>
      </c>
      <c r="E2253" s="293">
        <v>-12570.40266</v>
      </c>
      <c r="F2253" s="294" t="s">
        <v>286</v>
      </c>
    </row>
    <row r="2254" spans="1:6" hidden="1" outlineLevel="1" collapsed="1" x14ac:dyDescent="0.25">
      <c r="A2254" s="295" t="s">
        <v>282</v>
      </c>
      <c r="B2254" s="295" t="s">
        <v>385</v>
      </c>
      <c r="C2254" s="293">
        <v>0</v>
      </c>
      <c r="D2254" s="293">
        <v>16024.765079999999</v>
      </c>
      <c r="E2254" s="293">
        <v>16024.765079999999</v>
      </c>
      <c r="F2254" s="294" t="s">
        <v>298</v>
      </c>
    </row>
    <row r="2255" spans="1:6" hidden="1" outlineLevel="1" collapsed="1" x14ac:dyDescent="0.25">
      <c r="A2255" s="295" t="s">
        <v>282</v>
      </c>
      <c r="B2255" s="295" t="s">
        <v>386</v>
      </c>
      <c r="C2255" s="293">
        <v>6232.4699879999998</v>
      </c>
      <c r="D2255" s="293">
        <v>0</v>
      </c>
      <c r="E2255" s="293">
        <v>-6232.4699879999998</v>
      </c>
      <c r="F2255" s="294" t="s">
        <v>286</v>
      </c>
    </row>
    <row r="2256" spans="1:6" hidden="1" outlineLevel="1" collapsed="1" x14ac:dyDescent="0.25">
      <c r="A2256" s="295" t="s">
        <v>282</v>
      </c>
      <c r="B2256" s="295" t="s">
        <v>387</v>
      </c>
      <c r="C2256" s="293">
        <v>0</v>
      </c>
      <c r="D2256" s="293">
        <v>6325.398948</v>
      </c>
      <c r="E2256" s="293">
        <v>6325.398948</v>
      </c>
      <c r="F2256" s="294" t="s">
        <v>298</v>
      </c>
    </row>
    <row r="2257" spans="1:6" hidden="1" outlineLevel="1" collapsed="1" x14ac:dyDescent="0.25">
      <c r="A2257" s="295" t="s">
        <v>282</v>
      </c>
      <c r="B2257" s="295" t="s">
        <v>388</v>
      </c>
      <c r="C2257" s="293">
        <v>1457.5937879999999</v>
      </c>
      <c r="D2257" s="293">
        <v>1479.327168</v>
      </c>
      <c r="E2257" s="293">
        <v>21.73338</v>
      </c>
      <c r="F2257" s="294" t="s">
        <v>781</v>
      </c>
    </row>
    <row r="2258" spans="1:6" hidden="1" outlineLevel="1" collapsed="1" x14ac:dyDescent="0.25">
      <c r="A2258" s="295" t="s">
        <v>282</v>
      </c>
      <c r="B2258" s="295" t="s">
        <v>389</v>
      </c>
      <c r="C2258" s="293">
        <v>426.12479999999999</v>
      </c>
      <c r="D2258" s="293">
        <v>422.04</v>
      </c>
      <c r="E2258" s="293">
        <v>-4.0848000000000004</v>
      </c>
      <c r="F2258" s="294" t="s">
        <v>364</v>
      </c>
    </row>
    <row r="2259" spans="1:6" hidden="1" outlineLevel="1" collapsed="1" x14ac:dyDescent="0.25">
      <c r="A2259" s="295" t="s">
        <v>282</v>
      </c>
      <c r="B2259" s="295" t="s">
        <v>390</v>
      </c>
      <c r="C2259" s="293">
        <v>15485.27</v>
      </c>
      <c r="D2259" s="293">
        <v>15959.28</v>
      </c>
      <c r="E2259" s="293">
        <v>474.01</v>
      </c>
      <c r="F2259" s="294" t="s">
        <v>391</v>
      </c>
    </row>
    <row r="2260" spans="1:6" hidden="1" outlineLevel="1" collapsed="1" x14ac:dyDescent="0.25">
      <c r="A2260" s="295" t="s">
        <v>282</v>
      </c>
      <c r="B2260" s="295" t="s">
        <v>392</v>
      </c>
      <c r="C2260" s="293">
        <v>233.53919999999999</v>
      </c>
      <c r="D2260" s="293">
        <v>182.88</v>
      </c>
      <c r="E2260" s="293">
        <v>-50.659199999999998</v>
      </c>
      <c r="F2260" s="294" t="s">
        <v>368</v>
      </c>
    </row>
    <row r="2261" spans="1:6" hidden="1" outlineLevel="1" collapsed="1" x14ac:dyDescent="0.25">
      <c r="A2261" s="295" t="s">
        <v>282</v>
      </c>
      <c r="B2261" s="295" t="s">
        <v>393</v>
      </c>
      <c r="C2261" s="293">
        <v>50.261844000000004</v>
      </c>
      <c r="D2261" s="293">
        <v>51.011279999999999</v>
      </c>
      <c r="E2261" s="293">
        <v>0.74943599999999999</v>
      </c>
      <c r="F2261" s="294" t="s">
        <v>781</v>
      </c>
    </row>
    <row r="2262" spans="1:6" hidden="1" outlineLevel="1" collapsed="1" x14ac:dyDescent="0.25">
      <c r="A2262" s="295" t="s">
        <v>282</v>
      </c>
      <c r="B2262" s="295" t="s">
        <v>394</v>
      </c>
      <c r="C2262" s="293">
        <v>1500</v>
      </c>
      <c r="D2262" s="293">
        <v>0</v>
      </c>
      <c r="E2262" s="293">
        <v>-1500</v>
      </c>
      <c r="F2262" s="294" t="s">
        <v>286</v>
      </c>
    </row>
    <row r="2263" spans="1:6" hidden="1" outlineLevel="1" collapsed="1" x14ac:dyDescent="0.25">
      <c r="A2263" s="295" t="s">
        <v>282</v>
      </c>
      <c r="B2263" s="295" t="s">
        <v>395</v>
      </c>
      <c r="C2263" s="293">
        <v>0</v>
      </c>
      <c r="D2263" s="293">
        <v>1500</v>
      </c>
      <c r="E2263" s="293">
        <v>1500</v>
      </c>
      <c r="F2263" s="294" t="s">
        <v>298</v>
      </c>
    </row>
    <row r="2264" spans="1:6" hidden="1" outlineLevel="1" collapsed="1" x14ac:dyDescent="0.25">
      <c r="A2264" s="295" t="s">
        <v>282</v>
      </c>
      <c r="B2264" s="295" t="s">
        <v>396</v>
      </c>
      <c r="C2264" s="293">
        <v>49.68</v>
      </c>
      <c r="D2264" s="293">
        <v>0</v>
      </c>
      <c r="E2264" s="293">
        <v>-49.68</v>
      </c>
      <c r="F2264" s="294" t="s">
        <v>286</v>
      </c>
    </row>
    <row r="2265" spans="1:6" hidden="1" outlineLevel="1" collapsed="1" x14ac:dyDescent="0.25">
      <c r="A2265" s="295" t="s">
        <v>282</v>
      </c>
      <c r="B2265" s="295" t="s">
        <v>397</v>
      </c>
      <c r="C2265" s="293">
        <v>0</v>
      </c>
      <c r="D2265" s="293">
        <v>48.48</v>
      </c>
      <c r="E2265" s="293">
        <v>48.48</v>
      </c>
      <c r="F2265" s="294" t="s">
        <v>298</v>
      </c>
    </row>
    <row r="2266" spans="1:6" hidden="1" outlineLevel="1" collapsed="1" x14ac:dyDescent="0.25">
      <c r="A2266" s="295" t="s">
        <v>282</v>
      </c>
      <c r="B2266" s="295" t="s">
        <v>398</v>
      </c>
      <c r="C2266" s="293">
        <v>24</v>
      </c>
      <c r="D2266" s="293">
        <v>11.04</v>
      </c>
      <c r="E2266" s="293">
        <v>-12.96</v>
      </c>
      <c r="F2266" s="294" t="s">
        <v>374</v>
      </c>
    </row>
    <row r="2267" spans="1:6" hidden="1" outlineLevel="1" collapsed="1" x14ac:dyDescent="0.25">
      <c r="A2267" s="295" t="s">
        <v>282</v>
      </c>
      <c r="B2267" s="295" t="s">
        <v>952</v>
      </c>
      <c r="C2267" s="293">
        <v>600</v>
      </c>
      <c r="D2267" s="293">
        <v>600</v>
      </c>
      <c r="E2267" s="293">
        <v>0</v>
      </c>
      <c r="F2267" s="294" t="s">
        <v>316</v>
      </c>
    </row>
    <row r="2268" spans="1:6" collapsed="1" x14ac:dyDescent="0.25">
      <c r="A2268" s="560" t="s">
        <v>1094</v>
      </c>
      <c r="B2268" s="561"/>
      <c r="C2268" s="292">
        <v>649448.33173700003</v>
      </c>
      <c r="D2268" s="293">
        <v>680521.29884399998</v>
      </c>
      <c r="E2268" s="293">
        <v>31072.967107</v>
      </c>
      <c r="F2268" s="294" t="s">
        <v>1095</v>
      </c>
    </row>
    <row r="2269" spans="1:6" hidden="1" outlineLevel="1" collapsed="1" x14ac:dyDescent="0.25">
      <c r="A2269" s="295" t="s">
        <v>282</v>
      </c>
      <c r="B2269" s="295" t="s">
        <v>1096</v>
      </c>
      <c r="C2269" s="293">
        <v>188413.438716</v>
      </c>
      <c r="D2269" s="293">
        <v>191239.63870800001</v>
      </c>
      <c r="E2269" s="293">
        <v>2826.1999919999998</v>
      </c>
      <c r="F2269" s="294" t="s">
        <v>510</v>
      </c>
    </row>
    <row r="2270" spans="1:6" hidden="1" outlineLevel="1" collapsed="1" x14ac:dyDescent="0.25">
      <c r="A2270" s="295" t="s">
        <v>282</v>
      </c>
      <c r="B2270" s="295" t="s">
        <v>1097</v>
      </c>
      <c r="C2270" s="293">
        <v>78310.132635999995</v>
      </c>
      <c r="D2270" s="293">
        <v>79469.782552000004</v>
      </c>
      <c r="E2270" s="293">
        <v>1159.6499160000001</v>
      </c>
      <c r="F2270" s="294" t="s">
        <v>512</v>
      </c>
    </row>
    <row r="2271" spans="1:6" hidden="1" outlineLevel="1" collapsed="1" x14ac:dyDescent="0.25">
      <c r="A2271" s="295" t="s">
        <v>282</v>
      </c>
      <c r="B2271" s="295" t="s">
        <v>464</v>
      </c>
      <c r="C2271" s="293">
        <v>60366.896467999999</v>
      </c>
      <c r="D2271" s="293">
        <v>62167.302872</v>
      </c>
      <c r="E2271" s="293">
        <v>1800.4064040000001</v>
      </c>
      <c r="F2271" s="294" t="s">
        <v>381</v>
      </c>
    </row>
    <row r="2272" spans="1:6" hidden="1" outlineLevel="1" collapsed="1" x14ac:dyDescent="0.25">
      <c r="A2272" s="295" t="s">
        <v>282</v>
      </c>
      <c r="B2272" s="295" t="s">
        <v>475</v>
      </c>
      <c r="C2272" s="293">
        <v>1000</v>
      </c>
      <c r="D2272" s="293">
        <v>1000</v>
      </c>
      <c r="E2272" s="293">
        <v>0</v>
      </c>
      <c r="F2272" s="294" t="s">
        <v>316</v>
      </c>
    </row>
    <row r="2273" spans="1:6" hidden="1" outlineLevel="1" collapsed="1" x14ac:dyDescent="0.25">
      <c r="A2273" s="295" t="s">
        <v>282</v>
      </c>
      <c r="B2273" s="295" t="s">
        <v>476</v>
      </c>
      <c r="C2273" s="293">
        <v>2853</v>
      </c>
      <c r="D2273" s="293">
        <v>1500</v>
      </c>
      <c r="E2273" s="293">
        <v>-1353</v>
      </c>
      <c r="F2273" s="294" t="s">
        <v>1098</v>
      </c>
    </row>
    <row r="2274" spans="1:6" hidden="1" outlineLevel="1" collapsed="1" x14ac:dyDescent="0.25">
      <c r="A2274" s="295" t="s">
        <v>282</v>
      </c>
      <c r="B2274" s="295" t="s">
        <v>751</v>
      </c>
      <c r="C2274" s="293">
        <v>24587.953752000001</v>
      </c>
      <c r="D2274" s="293">
        <v>0</v>
      </c>
      <c r="E2274" s="293">
        <v>-24587.953752000001</v>
      </c>
      <c r="F2274" s="294" t="s">
        <v>286</v>
      </c>
    </row>
    <row r="2275" spans="1:6" hidden="1" outlineLevel="1" collapsed="1" x14ac:dyDescent="0.25">
      <c r="A2275" s="295" t="s">
        <v>282</v>
      </c>
      <c r="B2275" s="295" t="s">
        <v>752</v>
      </c>
      <c r="C2275" s="293">
        <v>0</v>
      </c>
      <c r="D2275" s="293">
        <v>27595.879860000001</v>
      </c>
      <c r="E2275" s="293">
        <v>27595.879860000001</v>
      </c>
      <c r="F2275" s="294" t="s">
        <v>298</v>
      </c>
    </row>
    <row r="2276" spans="1:6" hidden="1" outlineLevel="1" collapsed="1" x14ac:dyDescent="0.25">
      <c r="A2276" s="295" t="s">
        <v>282</v>
      </c>
      <c r="B2276" s="295" t="s">
        <v>384</v>
      </c>
      <c r="C2276" s="293">
        <v>17219.130251999999</v>
      </c>
      <c r="D2276" s="293">
        <v>0</v>
      </c>
      <c r="E2276" s="293">
        <v>-17219.130251999999</v>
      </c>
      <c r="F2276" s="294" t="s">
        <v>286</v>
      </c>
    </row>
    <row r="2277" spans="1:6" hidden="1" outlineLevel="1" collapsed="1" x14ac:dyDescent="0.25">
      <c r="A2277" s="295" t="s">
        <v>282</v>
      </c>
      <c r="B2277" s="295" t="s">
        <v>385</v>
      </c>
      <c r="C2277" s="293">
        <v>0</v>
      </c>
      <c r="D2277" s="293">
        <v>22094.259492000001</v>
      </c>
      <c r="E2277" s="293">
        <v>22094.259492000001</v>
      </c>
      <c r="F2277" s="294" t="s">
        <v>298</v>
      </c>
    </row>
    <row r="2278" spans="1:6" hidden="1" outlineLevel="1" collapsed="1" x14ac:dyDescent="0.25">
      <c r="A2278" s="295" t="s">
        <v>282</v>
      </c>
      <c r="B2278" s="295" t="s">
        <v>386</v>
      </c>
      <c r="C2278" s="293">
        <v>8597.9757850000005</v>
      </c>
      <c r="D2278" s="293">
        <v>0</v>
      </c>
      <c r="E2278" s="293">
        <v>-8597.9757850000005</v>
      </c>
      <c r="F2278" s="294" t="s">
        <v>286</v>
      </c>
    </row>
    <row r="2279" spans="1:6" hidden="1" outlineLevel="1" collapsed="1" x14ac:dyDescent="0.25">
      <c r="A2279" s="295" t="s">
        <v>282</v>
      </c>
      <c r="B2279" s="295" t="s">
        <v>387</v>
      </c>
      <c r="C2279" s="293">
        <v>0</v>
      </c>
      <c r="D2279" s="293">
        <v>8781.4992839999995</v>
      </c>
      <c r="E2279" s="293">
        <v>8781.4992839999995</v>
      </c>
      <c r="F2279" s="294" t="s">
        <v>298</v>
      </c>
    </row>
    <row r="2280" spans="1:6" hidden="1" outlineLevel="1" collapsed="1" x14ac:dyDescent="0.25">
      <c r="A2280" s="295" t="s">
        <v>282</v>
      </c>
      <c r="B2280" s="295" t="s">
        <v>388</v>
      </c>
      <c r="C2280" s="293">
        <v>2010.816912</v>
      </c>
      <c r="D2280" s="293">
        <v>2053.7377320000001</v>
      </c>
      <c r="E2280" s="293">
        <v>42.920819999999999</v>
      </c>
      <c r="F2280" s="294" t="s">
        <v>1099</v>
      </c>
    </row>
    <row r="2281" spans="1:6" hidden="1" outlineLevel="1" collapsed="1" x14ac:dyDescent="0.25">
      <c r="A2281" s="295" t="s">
        <v>282</v>
      </c>
      <c r="B2281" s="295" t="s">
        <v>444</v>
      </c>
      <c r="C2281" s="293">
        <v>0</v>
      </c>
      <c r="D2281" s="293">
        <v>225</v>
      </c>
      <c r="E2281" s="293">
        <v>225</v>
      </c>
      <c r="F2281" s="294" t="s">
        <v>298</v>
      </c>
    </row>
    <row r="2282" spans="1:6" hidden="1" outlineLevel="1" collapsed="1" x14ac:dyDescent="0.25">
      <c r="A2282" s="295" t="s">
        <v>282</v>
      </c>
      <c r="B2282" s="295" t="s">
        <v>389</v>
      </c>
      <c r="C2282" s="293">
        <v>852.24959999999999</v>
      </c>
      <c r="D2282" s="293">
        <v>844.08</v>
      </c>
      <c r="E2282" s="293">
        <v>-8.1696000000000009</v>
      </c>
      <c r="F2282" s="294" t="s">
        <v>364</v>
      </c>
    </row>
    <row r="2283" spans="1:6" hidden="1" outlineLevel="1" collapsed="1" x14ac:dyDescent="0.25">
      <c r="A2283" s="295" t="s">
        <v>282</v>
      </c>
      <c r="B2283" s="295" t="s">
        <v>390</v>
      </c>
      <c r="C2283" s="293">
        <v>30970.54</v>
      </c>
      <c r="D2283" s="293">
        <v>31918.560000000001</v>
      </c>
      <c r="E2283" s="293">
        <v>948.02</v>
      </c>
      <c r="F2283" s="294" t="s">
        <v>391</v>
      </c>
    </row>
    <row r="2284" spans="1:6" hidden="1" outlineLevel="1" collapsed="1" x14ac:dyDescent="0.25">
      <c r="A2284" s="295" t="s">
        <v>282</v>
      </c>
      <c r="B2284" s="295" t="s">
        <v>392</v>
      </c>
      <c r="C2284" s="293">
        <v>467.07839999999999</v>
      </c>
      <c r="D2284" s="293">
        <v>365.76</v>
      </c>
      <c r="E2284" s="293">
        <v>-101.3184</v>
      </c>
      <c r="F2284" s="294" t="s">
        <v>368</v>
      </c>
    </row>
    <row r="2285" spans="1:6" hidden="1" outlineLevel="1" collapsed="1" x14ac:dyDescent="0.25">
      <c r="A2285" s="295" t="s">
        <v>282</v>
      </c>
      <c r="B2285" s="295" t="s">
        <v>754</v>
      </c>
      <c r="C2285" s="293">
        <v>15358.56</v>
      </c>
      <c r="D2285" s="293">
        <v>15959.28</v>
      </c>
      <c r="E2285" s="293">
        <v>600.72</v>
      </c>
      <c r="F2285" s="294" t="s">
        <v>366</v>
      </c>
    </row>
    <row r="2286" spans="1:6" hidden="1" outlineLevel="1" collapsed="1" x14ac:dyDescent="0.25">
      <c r="A2286" s="295" t="s">
        <v>282</v>
      </c>
      <c r="B2286" s="295" t="s">
        <v>755</v>
      </c>
      <c r="C2286" s="293">
        <v>426.12479999999999</v>
      </c>
      <c r="D2286" s="293">
        <v>422.04</v>
      </c>
      <c r="E2286" s="293">
        <v>-4.0848000000000004</v>
      </c>
      <c r="F2286" s="294" t="s">
        <v>364</v>
      </c>
    </row>
    <row r="2287" spans="1:6" hidden="1" outlineLevel="1" collapsed="1" x14ac:dyDescent="0.25">
      <c r="A2287" s="295" t="s">
        <v>282</v>
      </c>
      <c r="B2287" s="295" t="s">
        <v>756</v>
      </c>
      <c r="C2287" s="293">
        <v>233.53919999999999</v>
      </c>
      <c r="D2287" s="293">
        <v>182.88</v>
      </c>
      <c r="E2287" s="293">
        <v>-50.659199999999998</v>
      </c>
      <c r="F2287" s="294" t="s">
        <v>368</v>
      </c>
    </row>
    <row r="2288" spans="1:6" hidden="1" outlineLevel="1" collapsed="1" x14ac:dyDescent="0.25">
      <c r="A2288" s="295" t="s">
        <v>282</v>
      </c>
      <c r="B2288" s="295" t="s">
        <v>393</v>
      </c>
      <c r="C2288" s="293">
        <v>69.338508000000004</v>
      </c>
      <c r="D2288" s="293">
        <v>70.818528000000001</v>
      </c>
      <c r="E2288" s="293">
        <v>1.4800199999999999</v>
      </c>
      <c r="F2288" s="294" t="s">
        <v>1099</v>
      </c>
    </row>
    <row r="2289" spans="1:6" hidden="1" outlineLevel="1" collapsed="1" x14ac:dyDescent="0.25">
      <c r="A2289" s="295" t="s">
        <v>282</v>
      </c>
      <c r="B2289" s="295" t="s">
        <v>757</v>
      </c>
      <c r="C2289" s="293">
        <v>100.806708</v>
      </c>
      <c r="D2289" s="293">
        <v>0</v>
      </c>
      <c r="E2289" s="293">
        <v>-100.806708</v>
      </c>
      <c r="F2289" s="294" t="s">
        <v>286</v>
      </c>
    </row>
    <row r="2290" spans="1:6" hidden="1" outlineLevel="1" collapsed="1" x14ac:dyDescent="0.25">
      <c r="A2290" s="295" t="s">
        <v>282</v>
      </c>
      <c r="B2290" s="295" t="s">
        <v>758</v>
      </c>
      <c r="C2290" s="293">
        <v>0</v>
      </c>
      <c r="D2290" s="293">
        <v>102.21981599999999</v>
      </c>
      <c r="E2290" s="293">
        <v>102.21981599999999</v>
      </c>
      <c r="F2290" s="294" t="s">
        <v>298</v>
      </c>
    </row>
    <row r="2291" spans="1:6" hidden="1" outlineLevel="1" collapsed="1" x14ac:dyDescent="0.25">
      <c r="A2291" s="295" t="s">
        <v>282</v>
      </c>
      <c r="B2291" s="295" t="s">
        <v>394</v>
      </c>
      <c r="C2291" s="293">
        <v>3000</v>
      </c>
      <c r="D2291" s="293">
        <v>0</v>
      </c>
      <c r="E2291" s="293">
        <v>-3000</v>
      </c>
      <c r="F2291" s="294" t="s">
        <v>286</v>
      </c>
    </row>
    <row r="2292" spans="1:6" hidden="1" outlineLevel="1" collapsed="1" x14ac:dyDescent="0.25">
      <c r="A2292" s="295" t="s">
        <v>282</v>
      </c>
      <c r="B2292" s="295" t="s">
        <v>395</v>
      </c>
      <c r="C2292" s="293">
        <v>0</v>
      </c>
      <c r="D2292" s="293">
        <v>3000</v>
      </c>
      <c r="E2292" s="293">
        <v>3000</v>
      </c>
      <c r="F2292" s="294" t="s">
        <v>298</v>
      </c>
    </row>
    <row r="2293" spans="1:6" hidden="1" outlineLevel="1" collapsed="1" x14ac:dyDescent="0.25">
      <c r="A2293" s="295" t="s">
        <v>282</v>
      </c>
      <c r="B2293" s="295" t="s">
        <v>759</v>
      </c>
      <c r="C2293" s="293">
        <v>1500</v>
      </c>
      <c r="D2293" s="293">
        <v>0</v>
      </c>
      <c r="E2293" s="293">
        <v>-1500</v>
      </c>
      <c r="F2293" s="294" t="s">
        <v>286</v>
      </c>
    </row>
    <row r="2294" spans="1:6" hidden="1" outlineLevel="1" collapsed="1" x14ac:dyDescent="0.25">
      <c r="A2294" s="295" t="s">
        <v>282</v>
      </c>
      <c r="B2294" s="295" t="s">
        <v>760</v>
      </c>
      <c r="C2294" s="293">
        <v>0</v>
      </c>
      <c r="D2294" s="293">
        <v>1500</v>
      </c>
      <c r="E2294" s="293">
        <v>1500</v>
      </c>
      <c r="F2294" s="294" t="s">
        <v>298</v>
      </c>
    </row>
    <row r="2295" spans="1:6" hidden="1" outlineLevel="1" collapsed="1" x14ac:dyDescent="0.25">
      <c r="A2295" s="295" t="s">
        <v>282</v>
      </c>
      <c r="B2295" s="295" t="s">
        <v>396</v>
      </c>
      <c r="C2295" s="293">
        <v>99.36</v>
      </c>
      <c r="D2295" s="293">
        <v>0</v>
      </c>
      <c r="E2295" s="293">
        <v>-99.36</v>
      </c>
      <c r="F2295" s="294" t="s">
        <v>286</v>
      </c>
    </row>
    <row r="2296" spans="1:6" hidden="1" outlineLevel="1" collapsed="1" x14ac:dyDescent="0.25">
      <c r="A2296" s="295" t="s">
        <v>282</v>
      </c>
      <c r="B2296" s="295" t="s">
        <v>397</v>
      </c>
      <c r="C2296" s="293">
        <v>0</v>
      </c>
      <c r="D2296" s="293">
        <v>96.96</v>
      </c>
      <c r="E2296" s="293">
        <v>96.96</v>
      </c>
      <c r="F2296" s="294" t="s">
        <v>298</v>
      </c>
    </row>
    <row r="2297" spans="1:6" hidden="1" outlineLevel="1" collapsed="1" x14ac:dyDescent="0.25">
      <c r="A2297" s="295" t="s">
        <v>282</v>
      </c>
      <c r="B2297" s="295" t="s">
        <v>761</v>
      </c>
      <c r="C2297" s="293">
        <v>49.68</v>
      </c>
      <c r="D2297" s="293">
        <v>0</v>
      </c>
      <c r="E2297" s="293">
        <v>-49.68</v>
      </c>
      <c r="F2297" s="294" t="s">
        <v>286</v>
      </c>
    </row>
    <row r="2298" spans="1:6" hidden="1" outlineLevel="1" collapsed="1" x14ac:dyDescent="0.25">
      <c r="A2298" s="295" t="s">
        <v>282</v>
      </c>
      <c r="B2298" s="295" t="s">
        <v>762</v>
      </c>
      <c r="C2298" s="293">
        <v>0</v>
      </c>
      <c r="D2298" s="293">
        <v>48.48</v>
      </c>
      <c r="E2298" s="293">
        <v>48.48</v>
      </c>
      <c r="F2298" s="294" t="s">
        <v>298</v>
      </c>
    </row>
    <row r="2299" spans="1:6" hidden="1" outlineLevel="1" collapsed="1" x14ac:dyDescent="0.25">
      <c r="A2299" s="295" t="s">
        <v>282</v>
      </c>
      <c r="B2299" s="295" t="s">
        <v>398</v>
      </c>
      <c r="C2299" s="293">
        <v>48</v>
      </c>
      <c r="D2299" s="293">
        <v>22.08</v>
      </c>
      <c r="E2299" s="293">
        <v>-25.92</v>
      </c>
      <c r="F2299" s="294" t="s">
        <v>374</v>
      </c>
    </row>
    <row r="2300" spans="1:6" hidden="1" outlineLevel="1" collapsed="1" x14ac:dyDescent="0.25">
      <c r="A2300" s="295" t="s">
        <v>282</v>
      </c>
      <c r="B2300" s="295" t="s">
        <v>763</v>
      </c>
      <c r="C2300" s="293">
        <v>24</v>
      </c>
      <c r="D2300" s="293">
        <v>11.04</v>
      </c>
      <c r="E2300" s="293">
        <v>-12.96</v>
      </c>
      <c r="F2300" s="294" t="s">
        <v>374</v>
      </c>
    </row>
    <row r="2301" spans="1:6" hidden="1" outlineLevel="1" collapsed="1" x14ac:dyDescent="0.25">
      <c r="A2301" s="295" t="s">
        <v>282</v>
      </c>
      <c r="B2301" s="295" t="s">
        <v>523</v>
      </c>
      <c r="C2301" s="293">
        <v>200</v>
      </c>
      <c r="D2301" s="293">
        <v>200</v>
      </c>
      <c r="E2301" s="293">
        <v>0</v>
      </c>
      <c r="F2301" s="294" t="s">
        <v>316</v>
      </c>
    </row>
    <row r="2302" spans="1:6" hidden="1" outlineLevel="1" collapsed="1" x14ac:dyDescent="0.25">
      <c r="A2302" s="295" t="s">
        <v>282</v>
      </c>
      <c r="B2302" s="295" t="s">
        <v>399</v>
      </c>
      <c r="C2302" s="293">
        <v>1000</v>
      </c>
      <c r="D2302" s="293">
        <v>500</v>
      </c>
      <c r="E2302" s="293">
        <v>-500</v>
      </c>
      <c r="F2302" s="294" t="s">
        <v>722</v>
      </c>
    </row>
    <row r="2303" spans="1:6" hidden="1" outlineLevel="1" collapsed="1" x14ac:dyDescent="0.25">
      <c r="A2303" s="295" t="s">
        <v>282</v>
      </c>
      <c r="B2303" s="295" t="s">
        <v>496</v>
      </c>
      <c r="C2303" s="293">
        <v>200</v>
      </c>
      <c r="D2303" s="293">
        <v>200</v>
      </c>
      <c r="E2303" s="293">
        <v>0</v>
      </c>
      <c r="F2303" s="294" t="s">
        <v>316</v>
      </c>
    </row>
    <row r="2304" spans="1:6" hidden="1" outlineLevel="1" collapsed="1" x14ac:dyDescent="0.25">
      <c r="A2304" s="295" t="s">
        <v>282</v>
      </c>
      <c r="B2304" s="295" t="s">
        <v>376</v>
      </c>
      <c r="C2304" s="293">
        <v>7500</v>
      </c>
      <c r="D2304" s="293">
        <v>7000</v>
      </c>
      <c r="E2304" s="293">
        <v>-500</v>
      </c>
      <c r="F2304" s="294" t="s">
        <v>1100</v>
      </c>
    </row>
    <row r="2305" spans="1:6" hidden="1" outlineLevel="1" collapsed="1" x14ac:dyDescent="0.25">
      <c r="A2305" s="295" t="s">
        <v>282</v>
      </c>
      <c r="B2305" s="295" t="s">
        <v>662</v>
      </c>
      <c r="C2305" s="293">
        <v>200</v>
      </c>
      <c r="D2305" s="293">
        <v>200</v>
      </c>
      <c r="E2305" s="293">
        <v>0</v>
      </c>
      <c r="F2305" s="294" t="s">
        <v>316</v>
      </c>
    </row>
    <row r="2306" spans="1:6" hidden="1" outlineLevel="1" collapsed="1" x14ac:dyDescent="0.25">
      <c r="A2306" s="295" t="s">
        <v>282</v>
      </c>
      <c r="B2306" s="295" t="s">
        <v>506</v>
      </c>
      <c r="C2306" s="293">
        <v>25000</v>
      </c>
      <c r="D2306" s="293">
        <v>25000</v>
      </c>
      <c r="E2306" s="293">
        <v>0</v>
      </c>
      <c r="F2306" s="294" t="s">
        <v>316</v>
      </c>
    </row>
    <row r="2307" spans="1:6" hidden="1" outlineLevel="1" collapsed="1" x14ac:dyDescent="0.25">
      <c r="A2307" s="295" t="s">
        <v>282</v>
      </c>
      <c r="B2307" s="295" t="s">
        <v>567</v>
      </c>
      <c r="C2307" s="293">
        <v>8355</v>
      </c>
      <c r="D2307" s="293">
        <v>10000</v>
      </c>
      <c r="E2307" s="293">
        <v>1645</v>
      </c>
      <c r="F2307" s="294" t="s">
        <v>1101</v>
      </c>
    </row>
    <row r="2308" spans="1:6" hidden="1" outlineLevel="1" collapsed="1" x14ac:dyDescent="0.25">
      <c r="A2308" s="295" t="s">
        <v>282</v>
      </c>
      <c r="B2308" s="295" t="s">
        <v>426</v>
      </c>
      <c r="C2308" s="293">
        <v>48000</v>
      </c>
      <c r="D2308" s="293">
        <v>42000</v>
      </c>
      <c r="E2308" s="293">
        <v>-6000</v>
      </c>
      <c r="F2308" s="294" t="s">
        <v>1102</v>
      </c>
    </row>
    <row r="2309" spans="1:6" hidden="1" outlineLevel="1" collapsed="1" x14ac:dyDescent="0.25">
      <c r="A2309" s="295" t="s">
        <v>282</v>
      </c>
      <c r="B2309" s="295" t="s">
        <v>1103</v>
      </c>
      <c r="C2309" s="293">
        <v>12000</v>
      </c>
      <c r="D2309" s="293">
        <v>12000</v>
      </c>
      <c r="E2309" s="293">
        <v>0</v>
      </c>
      <c r="F2309" s="294" t="s">
        <v>316</v>
      </c>
    </row>
    <row r="2310" spans="1:6" hidden="1" outlineLevel="1" collapsed="1" x14ac:dyDescent="0.25">
      <c r="A2310" s="295" t="s">
        <v>282</v>
      </c>
      <c r="B2310" s="295" t="s">
        <v>707</v>
      </c>
      <c r="C2310" s="293">
        <v>1200</v>
      </c>
      <c r="D2310" s="293">
        <v>1200</v>
      </c>
      <c r="E2310" s="293">
        <v>0</v>
      </c>
      <c r="F2310" s="294" t="s">
        <v>316</v>
      </c>
    </row>
    <row r="2311" spans="1:6" hidden="1" outlineLevel="1" collapsed="1" x14ac:dyDescent="0.25">
      <c r="A2311" s="295" t="s">
        <v>282</v>
      </c>
      <c r="B2311" s="295" t="s">
        <v>482</v>
      </c>
      <c r="C2311" s="293">
        <v>1100</v>
      </c>
      <c r="D2311" s="293">
        <v>1600</v>
      </c>
      <c r="E2311" s="293">
        <v>500</v>
      </c>
      <c r="F2311" s="294" t="s">
        <v>1104</v>
      </c>
    </row>
    <row r="2312" spans="1:6" hidden="1" outlineLevel="1" collapsed="1" x14ac:dyDescent="0.25">
      <c r="A2312" s="295" t="s">
        <v>282</v>
      </c>
      <c r="B2312" s="295" t="s">
        <v>597</v>
      </c>
      <c r="C2312" s="293">
        <v>68550</v>
      </c>
      <c r="D2312" s="293">
        <v>60000</v>
      </c>
      <c r="E2312" s="293">
        <v>-8550</v>
      </c>
      <c r="F2312" s="294" t="s">
        <v>1105</v>
      </c>
    </row>
    <row r="2313" spans="1:6" hidden="1" outlineLevel="1" collapsed="1" x14ac:dyDescent="0.25">
      <c r="A2313" s="295" t="s">
        <v>282</v>
      </c>
      <c r="B2313" s="295" t="s">
        <v>842</v>
      </c>
      <c r="C2313" s="293">
        <v>0</v>
      </c>
      <c r="D2313" s="293">
        <v>1000</v>
      </c>
      <c r="E2313" s="293">
        <v>1000</v>
      </c>
      <c r="F2313" s="294" t="s">
        <v>298</v>
      </c>
    </row>
    <row r="2314" spans="1:6" hidden="1" outlineLevel="1" collapsed="1" x14ac:dyDescent="0.25">
      <c r="A2314" s="295" t="s">
        <v>282</v>
      </c>
      <c r="B2314" s="295" t="s">
        <v>416</v>
      </c>
      <c r="C2314" s="293">
        <v>1145</v>
      </c>
      <c r="D2314" s="293">
        <v>550</v>
      </c>
      <c r="E2314" s="293">
        <v>-595</v>
      </c>
      <c r="F2314" s="294" t="s">
        <v>1106</v>
      </c>
    </row>
    <row r="2315" spans="1:6" hidden="1" outlineLevel="1" collapsed="1" x14ac:dyDescent="0.25">
      <c r="A2315" s="295" t="s">
        <v>282</v>
      </c>
      <c r="B2315" s="295" t="s">
        <v>401</v>
      </c>
      <c r="C2315" s="293">
        <v>500</v>
      </c>
      <c r="D2315" s="293">
        <v>500</v>
      </c>
      <c r="E2315" s="293">
        <v>0</v>
      </c>
      <c r="F2315" s="294" t="s">
        <v>316</v>
      </c>
    </row>
    <row r="2316" spans="1:6" hidden="1" outlineLevel="1" collapsed="1" x14ac:dyDescent="0.25">
      <c r="A2316" s="295" t="s">
        <v>282</v>
      </c>
      <c r="B2316" s="295" t="s">
        <v>543</v>
      </c>
      <c r="C2316" s="293">
        <v>2500</v>
      </c>
      <c r="D2316" s="293">
        <v>1500</v>
      </c>
      <c r="E2316" s="293">
        <v>-1000</v>
      </c>
      <c r="F2316" s="294" t="s">
        <v>1107</v>
      </c>
    </row>
    <row r="2317" spans="1:6" hidden="1" outlineLevel="1" collapsed="1" x14ac:dyDescent="0.25">
      <c r="A2317" s="295" t="s">
        <v>282</v>
      </c>
      <c r="B2317" s="295" t="s">
        <v>448</v>
      </c>
      <c r="C2317" s="293">
        <v>1500</v>
      </c>
      <c r="D2317" s="293">
        <v>2500</v>
      </c>
      <c r="E2317" s="293">
        <v>1000</v>
      </c>
      <c r="F2317" s="294" t="s">
        <v>829</v>
      </c>
    </row>
    <row r="2318" spans="1:6" hidden="1" outlineLevel="1" collapsed="1" x14ac:dyDescent="0.25">
      <c r="A2318" s="295" t="s">
        <v>282</v>
      </c>
      <c r="B2318" s="295" t="s">
        <v>901</v>
      </c>
      <c r="C2318" s="293">
        <v>200</v>
      </c>
      <c r="D2318" s="293">
        <v>200</v>
      </c>
      <c r="E2318" s="293">
        <v>0</v>
      </c>
      <c r="F2318" s="294" t="s">
        <v>316</v>
      </c>
    </row>
    <row r="2319" spans="1:6" hidden="1" outlineLevel="1" collapsed="1" x14ac:dyDescent="0.25">
      <c r="A2319" s="295" t="s">
        <v>282</v>
      </c>
      <c r="B2319" s="295" t="s">
        <v>403</v>
      </c>
      <c r="C2319" s="293">
        <v>5000</v>
      </c>
      <c r="D2319" s="293">
        <v>5000</v>
      </c>
      <c r="E2319" s="293">
        <v>0</v>
      </c>
      <c r="F2319" s="294" t="s">
        <v>316</v>
      </c>
    </row>
    <row r="2320" spans="1:6" hidden="1" outlineLevel="1" collapsed="1" x14ac:dyDescent="0.25">
      <c r="A2320" s="295" t="s">
        <v>282</v>
      </c>
      <c r="B2320" s="295" t="s">
        <v>626</v>
      </c>
      <c r="C2320" s="293">
        <v>3500</v>
      </c>
      <c r="D2320" s="293">
        <v>1000</v>
      </c>
      <c r="E2320" s="293">
        <v>-2500</v>
      </c>
      <c r="F2320" s="294" t="s">
        <v>1108</v>
      </c>
    </row>
    <row r="2321" spans="1:6" hidden="1" outlineLevel="1" collapsed="1" x14ac:dyDescent="0.25">
      <c r="A2321" s="295" t="s">
        <v>282</v>
      </c>
      <c r="B2321" s="295" t="s">
        <v>1109</v>
      </c>
      <c r="C2321" s="293">
        <v>0</v>
      </c>
      <c r="D2321" s="293">
        <v>4200</v>
      </c>
      <c r="E2321" s="293">
        <v>4200</v>
      </c>
      <c r="F2321" s="294" t="s">
        <v>298</v>
      </c>
    </row>
    <row r="2322" spans="1:6" hidden="1" outlineLevel="1" collapsed="1" x14ac:dyDescent="0.25">
      <c r="A2322" s="295" t="s">
        <v>282</v>
      </c>
      <c r="B2322" s="295" t="s">
        <v>405</v>
      </c>
      <c r="C2322" s="293">
        <v>9500</v>
      </c>
      <c r="D2322" s="293">
        <v>17500</v>
      </c>
      <c r="E2322" s="293">
        <v>8000</v>
      </c>
      <c r="F2322" s="294" t="s">
        <v>1110</v>
      </c>
    </row>
    <row r="2323" spans="1:6" hidden="1" outlineLevel="1" collapsed="1" x14ac:dyDescent="0.25">
      <c r="A2323" s="295" t="s">
        <v>282</v>
      </c>
      <c r="B2323" s="295" t="s">
        <v>557</v>
      </c>
      <c r="C2323" s="293">
        <v>739.71</v>
      </c>
      <c r="D2323" s="293">
        <v>5000</v>
      </c>
      <c r="E2323" s="293">
        <v>4260.29</v>
      </c>
      <c r="F2323" s="294" t="s">
        <v>1111</v>
      </c>
    </row>
    <row r="2324" spans="1:6" hidden="1" outlineLevel="1" collapsed="1" x14ac:dyDescent="0.25">
      <c r="A2324" s="295" t="s">
        <v>282</v>
      </c>
      <c r="B2324" s="295" t="s">
        <v>422</v>
      </c>
      <c r="C2324" s="293">
        <v>14000</v>
      </c>
      <c r="D2324" s="293">
        <v>30000</v>
      </c>
      <c r="E2324" s="293">
        <v>16000</v>
      </c>
      <c r="F2324" s="294" t="s">
        <v>1112</v>
      </c>
    </row>
    <row r="2325" spans="1:6" hidden="1" outlineLevel="1" collapsed="1" x14ac:dyDescent="0.25">
      <c r="A2325" s="295" t="s">
        <v>282</v>
      </c>
      <c r="B2325" s="295" t="s">
        <v>770</v>
      </c>
      <c r="C2325" s="293">
        <v>1000</v>
      </c>
      <c r="D2325" s="293">
        <v>1000</v>
      </c>
      <c r="E2325" s="293">
        <v>0</v>
      </c>
      <c r="F2325" s="294" t="s">
        <v>316</v>
      </c>
    </row>
    <row r="2326" spans="1:6" collapsed="1" x14ac:dyDescent="0.25">
      <c r="A2326" s="560" t="s">
        <v>1113</v>
      </c>
      <c r="B2326" s="561"/>
      <c r="C2326" s="292">
        <v>274330.67408800003</v>
      </c>
      <c r="D2326" s="293">
        <v>218510.37974</v>
      </c>
      <c r="E2326" s="293">
        <v>-55820.294348000003</v>
      </c>
      <c r="F2326" s="294" t="s">
        <v>1114</v>
      </c>
    </row>
    <row r="2327" spans="1:6" hidden="1" outlineLevel="1" collapsed="1" x14ac:dyDescent="0.25">
      <c r="A2327" s="295" t="s">
        <v>282</v>
      </c>
      <c r="B2327" s="295" t="s">
        <v>942</v>
      </c>
      <c r="C2327" s="293">
        <v>104917.50879599999</v>
      </c>
      <c r="D2327" s="293">
        <v>62119.907542000001</v>
      </c>
      <c r="E2327" s="293">
        <v>-42797.601254000001</v>
      </c>
      <c r="F2327" s="294" t="s">
        <v>1115</v>
      </c>
    </row>
    <row r="2328" spans="1:6" hidden="1" outlineLevel="1" collapsed="1" x14ac:dyDescent="0.25">
      <c r="A2328" s="295" t="s">
        <v>282</v>
      </c>
      <c r="B2328" s="295" t="s">
        <v>464</v>
      </c>
      <c r="C2328" s="293">
        <v>40618.574454000001</v>
      </c>
      <c r="D2328" s="293">
        <v>41830.552181999999</v>
      </c>
      <c r="E2328" s="293">
        <v>1211.9777280000001</v>
      </c>
      <c r="F2328" s="294" t="s">
        <v>381</v>
      </c>
    </row>
    <row r="2329" spans="1:6" hidden="1" outlineLevel="1" collapsed="1" x14ac:dyDescent="0.25">
      <c r="A2329" s="295" t="s">
        <v>282</v>
      </c>
      <c r="B2329" s="295" t="s">
        <v>945</v>
      </c>
      <c r="C2329" s="293">
        <v>34578</v>
      </c>
      <c r="D2329" s="293">
        <v>34578</v>
      </c>
      <c r="E2329" s="293">
        <v>0</v>
      </c>
      <c r="F2329" s="294" t="s">
        <v>316</v>
      </c>
    </row>
    <row r="2330" spans="1:6" hidden="1" outlineLevel="1" collapsed="1" x14ac:dyDescent="0.25">
      <c r="A2330" s="295" t="s">
        <v>282</v>
      </c>
      <c r="B2330" s="295" t="s">
        <v>384</v>
      </c>
      <c r="C2330" s="293">
        <v>18243.023262999999</v>
      </c>
      <c r="D2330" s="293">
        <v>0</v>
      </c>
      <c r="E2330" s="293">
        <v>-18243.023262999999</v>
      </c>
      <c r="F2330" s="294" t="s">
        <v>286</v>
      </c>
    </row>
    <row r="2331" spans="1:6" hidden="1" outlineLevel="1" collapsed="1" x14ac:dyDescent="0.25">
      <c r="A2331" s="295" t="s">
        <v>282</v>
      </c>
      <c r="B2331" s="295" t="s">
        <v>385</v>
      </c>
      <c r="C2331" s="293">
        <v>0</v>
      </c>
      <c r="D2331" s="293">
        <v>16342.012637</v>
      </c>
      <c r="E2331" s="293">
        <v>16342.012637</v>
      </c>
      <c r="F2331" s="294" t="s">
        <v>298</v>
      </c>
    </row>
    <row r="2332" spans="1:6" hidden="1" outlineLevel="1" collapsed="1" x14ac:dyDescent="0.25">
      <c r="A2332" s="295" t="s">
        <v>282</v>
      </c>
      <c r="B2332" s="295" t="s">
        <v>386</v>
      </c>
      <c r="C2332" s="293">
        <v>9023.237153</v>
      </c>
      <c r="D2332" s="293">
        <v>0</v>
      </c>
      <c r="E2332" s="293">
        <v>-9023.237153</v>
      </c>
      <c r="F2332" s="294" t="s">
        <v>286</v>
      </c>
    </row>
    <row r="2333" spans="1:6" hidden="1" outlineLevel="1" collapsed="1" x14ac:dyDescent="0.25">
      <c r="A2333" s="295" t="s">
        <v>282</v>
      </c>
      <c r="B2333" s="295" t="s">
        <v>387</v>
      </c>
      <c r="C2333" s="293">
        <v>0</v>
      </c>
      <c r="D2333" s="293">
        <v>6444.9284950000001</v>
      </c>
      <c r="E2333" s="293">
        <v>6444.9284950000001</v>
      </c>
      <c r="F2333" s="294" t="s">
        <v>298</v>
      </c>
    </row>
    <row r="2334" spans="1:6" hidden="1" outlineLevel="1" collapsed="1" x14ac:dyDescent="0.25">
      <c r="A2334" s="295" t="s">
        <v>282</v>
      </c>
      <c r="B2334" s="295" t="s">
        <v>388</v>
      </c>
      <c r="C2334" s="293">
        <v>2110.2731979999999</v>
      </c>
      <c r="D2334" s="293">
        <v>1507.2816620000001</v>
      </c>
      <c r="E2334" s="293">
        <v>-602.991536</v>
      </c>
      <c r="F2334" s="294" t="s">
        <v>706</v>
      </c>
    </row>
    <row r="2335" spans="1:6" hidden="1" outlineLevel="1" collapsed="1" x14ac:dyDescent="0.25">
      <c r="A2335" s="295" t="s">
        <v>282</v>
      </c>
      <c r="B2335" s="295" t="s">
        <v>444</v>
      </c>
      <c r="C2335" s="293">
        <v>3112</v>
      </c>
      <c r="D2335" s="293">
        <v>3112</v>
      </c>
      <c r="E2335" s="293">
        <v>0</v>
      </c>
      <c r="F2335" s="294" t="s">
        <v>316</v>
      </c>
    </row>
    <row r="2336" spans="1:6" hidden="1" outlineLevel="1" collapsed="1" x14ac:dyDescent="0.25">
      <c r="A2336" s="295" t="s">
        <v>282</v>
      </c>
      <c r="B2336" s="295" t="s">
        <v>389</v>
      </c>
      <c r="C2336" s="293">
        <v>767.02463999999998</v>
      </c>
      <c r="D2336" s="293">
        <v>583.822</v>
      </c>
      <c r="E2336" s="293">
        <v>-183.20264</v>
      </c>
      <c r="F2336" s="294" t="s">
        <v>1116</v>
      </c>
    </row>
    <row r="2337" spans="1:6" hidden="1" outlineLevel="1" collapsed="1" x14ac:dyDescent="0.25">
      <c r="A2337" s="295" t="s">
        <v>282</v>
      </c>
      <c r="B2337" s="295" t="s">
        <v>390</v>
      </c>
      <c r="C2337" s="293">
        <v>15485.27</v>
      </c>
      <c r="D2337" s="293">
        <v>9309.58</v>
      </c>
      <c r="E2337" s="293">
        <v>-6175.69</v>
      </c>
      <c r="F2337" s="294" t="s">
        <v>745</v>
      </c>
    </row>
    <row r="2338" spans="1:6" hidden="1" outlineLevel="1" collapsed="1" x14ac:dyDescent="0.25">
      <c r="A2338" s="295" t="s">
        <v>282</v>
      </c>
      <c r="B2338" s="295" t="s">
        <v>392</v>
      </c>
      <c r="C2338" s="293">
        <v>420.37056000000001</v>
      </c>
      <c r="D2338" s="293">
        <v>252.98400000000001</v>
      </c>
      <c r="E2338" s="293">
        <v>-167.38656</v>
      </c>
      <c r="F2338" s="294" t="s">
        <v>1117</v>
      </c>
    </row>
    <row r="2339" spans="1:6" hidden="1" outlineLevel="1" collapsed="1" x14ac:dyDescent="0.25">
      <c r="A2339" s="295" t="s">
        <v>282</v>
      </c>
      <c r="B2339" s="295" t="s">
        <v>393</v>
      </c>
      <c r="C2339" s="293">
        <v>72.768023999999997</v>
      </c>
      <c r="D2339" s="293">
        <v>51.975222000000002</v>
      </c>
      <c r="E2339" s="293">
        <v>-20.792801999999998</v>
      </c>
      <c r="F2339" s="294" t="s">
        <v>706</v>
      </c>
    </row>
    <row r="2340" spans="1:6" hidden="1" outlineLevel="1" collapsed="1" x14ac:dyDescent="0.25">
      <c r="A2340" s="295" t="s">
        <v>282</v>
      </c>
      <c r="B2340" s="295" t="s">
        <v>394</v>
      </c>
      <c r="C2340" s="293">
        <v>2700</v>
      </c>
      <c r="D2340" s="293">
        <v>0</v>
      </c>
      <c r="E2340" s="293">
        <v>-2700</v>
      </c>
      <c r="F2340" s="294" t="s">
        <v>286</v>
      </c>
    </row>
    <row r="2341" spans="1:6" hidden="1" outlineLevel="1" collapsed="1" x14ac:dyDescent="0.25">
      <c r="A2341" s="295" t="s">
        <v>282</v>
      </c>
      <c r="B2341" s="295" t="s">
        <v>395</v>
      </c>
      <c r="C2341" s="293">
        <v>0</v>
      </c>
      <c r="D2341" s="293">
        <v>2075</v>
      </c>
      <c r="E2341" s="293">
        <v>2075</v>
      </c>
      <c r="F2341" s="294" t="s">
        <v>298</v>
      </c>
    </row>
    <row r="2342" spans="1:6" hidden="1" outlineLevel="1" collapsed="1" x14ac:dyDescent="0.25">
      <c r="A2342" s="295" t="s">
        <v>282</v>
      </c>
      <c r="B2342" s="295" t="s">
        <v>396</v>
      </c>
      <c r="C2342" s="293">
        <v>89.424000000000007</v>
      </c>
      <c r="D2342" s="293">
        <v>0</v>
      </c>
      <c r="E2342" s="293">
        <v>-89.424000000000007</v>
      </c>
      <c r="F2342" s="294" t="s">
        <v>286</v>
      </c>
    </row>
    <row r="2343" spans="1:6" hidden="1" outlineLevel="1" collapsed="1" x14ac:dyDescent="0.25">
      <c r="A2343" s="295" t="s">
        <v>282</v>
      </c>
      <c r="B2343" s="295" t="s">
        <v>397</v>
      </c>
      <c r="C2343" s="293">
        <v>0</v>
      </c>
      <c r="D2343" s="293">
        <v>67.063999999999993</v>
      </c>
      <c r="E2343" s="293">
        <v>67.063999999999993</v>
      </c>
      <c r="F2343" s="294" t="s">
        <v>298</v>
      </c>
    </row>
    <row r="2344" spans="1:6" hidden="1" outlineLevel="1" collapsed="1" x14ac:dyDescent="0.25">
      <c r="A2344" s="295" t="s">
        <v>282</v>
      </c>
      <c r="B2344" s="295" t="s">
        <v>398</v>
      </c>
      <c r="C2344" s="293">
        <v>43.2</v>
      </c>
      <c r="D2344" s="293">
        <v>15.272</v>
      </c>
      <c r="E2344" s="293">
        <v>-27.928000000000001</v>
      </c>
      <c r="F2344" s="294" t="s">
        <v>1118</v>
      </c>
    </row>
    <row r="2345" spans="1:6" hidden="1" outlineLevel="1" collapsed="1" x14ac:dyDescent="0.25">
      <c r="A2345" s="295" t="s">
        <v>282</v>
      </c>
      <c r="B2345" s="295" t="s">
        <v>522</v>
      </c>
      <c r="C2345" s="293">
        <v>2400</v>
      </c>
      <c r="D2345" s="293">
        <v>2400</v>
      </c>
      <c r="E2345" s="293">
        <v>0</v>
      </c>
      <c r="F2345" s="294" t="s">
        <v>316</v>
      </c>
    </row>
    <row r="2346" spans="1:6" hidden="1" outlineLevel="1" collapsed="1" x14ac:dyDescent="0.25">
      <c r="A2346" s="295" t="s">
        <v>282</v>
      </c>
      <c r="B2346" s="295" t="s">
        <v>523</v>
      </c>
      <c r="C2346" s="293">
        <v>100</v>
      </c>
      <c r="D2346" s="293">
        <v>100</v>
      </c>
      <c r="E2346" s="293">
        <v>0</v>
      </c>
      <c r="F2346" s="294" t="s">
        <v>316</v>
      </c>
    </row>
    <row r="2347" spans="1:6" hidden="1" outlineLevel="1" collapsed="1" x14ac:dyDescent="0.25">
      <c r="A2347" s="295" t="s">
        <v>282</v>
      </c>
      <c r="B2347" s="295" t="s">
        <v>431</v>
      </c>
      <c r="C2347" s="293">
        <v>98</v>
      </c>
      <c r="D2347" s="293">
        <v>0</v>
      </c>
      <c r="E2347" s="293">
        <v>-98</v>
      </c>
      <c r="F2347" s="294" t="s">
        <v>286</v>
      </c>
    </row>
    <row r="2348" spans="1:6" hidden="1" outlineLevel="1" collapsed="1" x14ac:dyDescent="0.25">
      <c r="A2348" s="295" t="s">
        <v>282</v>
      </c>
      <c r="B2348" s="295" t="s">
        <v>376</v>
      </c>
      <c r="C2348" s="293">
        <v>879</v>
      </c>
      <c r="D2348" s="293">
        <v>399</v>
      </c>
      <c r="E2348" s="293">
        <v>-480</v>
      </c>
      <c r="F2348" s="294" t="s">
        <v>1119</v>
      </c>
    </row>
    <row r="2349" spans="1:6" hidden="1" outlineLevel="1" collapsed="1" x14ac:dyDescent="0.25">
      <c r="A2349" s="295" t="s">
        <v>282</v>
      </c>
      <c r="B2349" s="295" t="s">
        <v>567</v>
      </c>
      <c r="C2349" s="293">
        <v>20000</v>
      </c>
      <c r="D2349" s="293">
        <v>0</v>
      </c>
      <c r="E2349" s="293">
        <v>-20000</v>
      </c>
      <c r="F2349" s="294" t="s">
        <v>286</v>
      </c>
    </row>
    <row r="2350" spans="1:6" hidden="1" outlineLevel="1" collapsed="1" x14ac:dyDescent="0.25">
      <c r="A2350" s="295" t="s">
        <v>282</v>
      </c>
      <c r="B2350" s="295" t="s">
        <v>426</v>
      </c>
      <c r="C2350" s="293">
        <v>3883</v>
      </c>
      <c r="D2350" s="293">
        <v>3883</v>
      </c>
      <c r="E2350" s="293">
        <v>0</v>
      </c>
      <c r="F2350" s="294" t="s">
        <v>316</v>
      </c>
    </row>
    <row r="2351" spans="1:6" hidden="1" outlineLevel="1" collapsed="1" x14ac:dyDescent="0.25">
      <c r="A2351" s="295" t="s">
        <v>282</v>
      </c>
      <c r="B2351" s="295" t="s">
        <v>482</v>
      </c>
      <c r="C2351" s="293">
        <v>6</v>
      </c>
      <c r="D2351" s="293">
        <v>486</v>
      </c>
      <c r="E2351" s="293">
        <v>480</v>
      </c>
      <c r="F2351" s="294" t="s">
        <v>1120</v>
      </c>
    </row>
    <row r="2352" spans="1:6" hidden="1" outlineLevel="1" collapsed="1" x14ac:dyDescent="0.25">
      <c r="A2352" s="295" t="s">
        <v>282</v>
      </c>
      <c r="B2352" s="295" t="s">
        <v>597</v>
      </c>
      <c r="C2352" s="293">
        <v>952</v>
      </c>
      <c r="D2352" s="293">
        <v>952</v>
      </c>
      <c r="E2352" s="293">
        <v>0</v>
      </c>
      <c r="F2352" s="294" t="s">
        <v>316</v>
      </c>
    </row>
    <row r="2353" spans="1:6" hidden="1" outlineLevel="1" collapsed="1" x14ac:dyDescent="0.25">
      <c r="A2353" s="295" t="s">
        <v>282</v>
      </c>
      <c r="B2353" s="295" t="s">
        <v>448</v>
      </c>
      <c r="C2353" s="293">
        <v>900</v>
      </c>
      <c r="D2353" s="293">
        <v>0</v>
      </c>
      <c r="E2353" s="293">
        <v>-900</v>
      </c>
      <c r="F2353" s="294" t="s">
        <v>286</v>
      </c>
    </row>
    <row r="2354" spans="1:6" hidden="1" outlineLevel="1" collapsed="1" x14ac:dyDescent="0.25">
      <c r="A2354" s="295" t="s">
        <v>282</v>
      </c>
      <c r="B2354" s="295" t="s">
        <v>405</v>
      </c>
      <c r="C2354" s="293">
        <v>12932</v>
      </c>
      <c r="D2354" s="293">
        <v>32000</v>
      </c>
      <c r="E2354" s="293">
        <v>19068</v>
      </c>
      <c r="F2354" s="294" t="s">
        <v>1121</v>
      </c>
    </row>
    <row r="2355" spans="1:6" hidden="1" outlineLevel="1" collapsed="1" x14ac:dyDescent="0.25">
      <c r="A2355" s="295" t="s">
        <v>282</v>
      </c>
      <c r="B2355" s="295" t="s">
        <v>770</v>
      </c>
      <c r="C2355" s="293">
        <v>0</v>
      </c>
      <c r="D2355" s="293">
        <v>0</v>
      </c>
      <c r="E2355" s="293">
        <v>0</v>
      </c>
      <c r="F2355" s="294" t="s">
        <v>316</v>
      </c>
    </row>
    <row r="2356" spans="1:6" collapsed="1" x14ac:dyDescent="0.25">
      <c r="A2356" s="560" t="s">
        <v>1122</v>
      </c>
      <c r="B2356" s="561"/>
      <c r="C2356" s="292">
        <v>529539.40927199996</v>
      </c>
      <c r="D2356" s="293">
        <v>322263.921868</v>
      </c>
      <c r="E2356" s="293">
        <v>-207275.48740400001</v>
      </c>
      <c r="F2356" s="294" t="s">
        <v>1123</v>
      </c>
    </row>
    <row r="2357" spans="1:6" hidden="1" outlineLevel="1" collapsed="1" x14ac:dyDescent="0.25">
      <c r="A2357" s="295" t="s">
        <v>282</v>
      </c>
      <c r="B2357" s="295" t="s">
        <v>441</v>
      </c>
      <c r="C2357" s="293">
        <v>0</v>
      </c>
      <c r="D2357" s="293">
        <v>0</v>
      </c>
      <c r="E2357" s="293">
        <v>0</v>
      </c>
      <c r="F2357" s="294" t="s">
        <v>316</v>
      </c>
    </row>
    <row r="2358" spans="1:6" hidden="1" outlineLevel="1" collapsed="1" x14ac:dyDescent="0.25">
      <c r="A2358" s="295" t="s">
        <v>282</v>
      </c>
      <c r="B2358" s="295" t="s">
        <v>942</v>
      </c>
      <c r="C2358" s="293">
        <v>90635.438387999995</v>
      </c>
      <c r="D2358" s="293">
        <v>96595.952952000007</v>
      </c>
      <c r="E2358" s="293">
        <v>5960.5145640000001</v>
      </c>
      <c r="F2358" s="294" t="s">
        <v>790</v>
      </c>
    </row>
    <row r="2359" spans="1:6" hidden="1" outlineLevel="1" collapsed="1" x14ac:dyDescent="0.25">
      <c r="A2359" s="295" t="s">
        <v>282</v>
      </c>
      <c r="B2359" s="295" t="s">
        <v>935</v>
      </c>
      <c r="C2359" s="293">
        <v>129753.34</v>
      </c>
      <c r="D2359" s="293">
        <v>70000</v>
      </c>
      <c r="E2359" s="293">
        <v>-59753.34</v>
      </c>
      <c r="F2359" s="294" t="s">
        <v>1124</v>
      </c>
    </row>
    <row r="2360" spans="1:6" hidden="1" outlineLevel="1" collapsed="1" x14ac:dyDescent="0.25">
      <c r="A2360" s="295" t="s">
        <v>282</v>
      </c>
      <c r="B2360" s="295" t="s">
        <v>384</v>
      </c>
      <c r="C2360" s="293">
        <v>11401.938144</v>
      </c>
      <c r="D2360" s="293">
        <v>0</v>
      </c>
      <c r="E2360" s="293">
        <v>-11401.938144</v>
      </c>
      <c r="F2360" s="294" t="s">
        <v>286</v>
      </c>
    </row>
    <row r="2361" spans="1:6" hidden="1" outlineLevel="1" collapsed="1" x14ac:dyDescent="0.25">
      <c r="A2361" s="295" t="s">
        <v>282</v>
      </c>
      <c r="B2361" s="295" t="s">
        <v>385</v>
      </c>
      <c r="C2361" s="293">
        <v>0</v>
      </c>
      <c r="D2361" s="293">
        <v>15262.160556000001</v>
      </c>
      <c r="E2361" s="293">
        <v>15262.160556000001</v>
      </c>
      <c r="F2361" s="294" t="s">
        <v>298</v>
      </c>
    </row>
    <row r="2362" spans="1:6" hidden="1" outlineLevel="1" collapsed="1" x14ac:dyDescent="0.25">
      <c r="A2362" s="295" t="s">
        <v>282</v>
      </c>
      <c r="B2362" s="295" t="s">
        <v>386</v>
      </c>
      <c r="C2362" s="293">
        <v>5656.5971760000002</v>
      </c>
      <c r="D2362" s="293">
        <v>0</v>
      </c>
      <c r="E2362" s="293">
        <v>-5656.5971760000002</v>
      </c>
      <c r="F2362" s="294" t="s">
        <v>286</v>
      </c>
    </row>
    <row r="2363" spans="1:6" hidden="1" outlineLevel="1" collapsed="1" x14ac:dyDescent="0.25">
      <c r="A2363" s="295" t="s">
        <v>282</v>
      </c>
      <c r="B2363" s="295" t="s">
        <v>387</v>
      </c>
      <c r="C2363" s="293">
        <v>0</v>
      </c>
      <c r="D2363" s="293">
        <v>6026.1490800000001</v>
      </c>
      <c r="E2363" s="293">
        <v>6026.1490800000001</v>
      </c>
      <c r="F2363" s="294" t="s">
        <v>298</v>
      </c>
    </row>
    <row r="2364" spans="1:6" hidden="1" outlineLevel="1" collapsed="1" x14ac:dyDescent="0.25">
      <c r="A2364" s="295" t="s">
        <v>282</v>
      </c>
      <c r="B2364" s="295" t="s">
        <v>388</v>
      </c>
      <c r="C2364" s="293">
        <v>1322.9138519999999</v>
      </c>
      <c r="D2364" s="293">
        <v>1409.341308</v>
      </c>
      <c r="E2364" s="293">
        <v>86.427456000000006</v>
      </c>
      <c r="F2364" s="294" t="s">
        <v>644</v>
      </c>
    </row>
    <row r="2365" spans="1:6" hidden="1" outlineLevel="1" collapsed="1" x14ac:dyDescent="0.25">
      <c r="A2365" s="295" t="s">
        <v>282</v>
      </c>
      <c r="B2365" s="295" t="s">
        <v>444</v>
      </c>
      <c r="C2365" s="293">
        <v>0</v>
      </c>
      <c r="D2365" s="293">
        <v>6300</v>
      </c>
      <c r="E2365" s="293">
        <v>6300</v>
      </c>
      <c r="F2365" s="294" t="s">
        <v>298</v>
      </c>
    </row>
    <row r="2366" spans="1:6" hidden="1" outlineLevel="1" collapsed="1" x14ac:dyDescent="0.25">
      <c r="A2366" s="295" t="s">
        <v>282</v>
      </c>
      <c r="B2366" s="295" t="s">
        <v>389</v>
      </c>
      <c r="C2366" s="293">
        <v>426.12479999999999</v>
      </c>
      <c r="D2366" s="293">
        <v>422.04</v>
      </c>
      <c r="E2366" s="293">
        <v>-4.0848000000000004</v>
      </c>
      <c r="F2366" s="294" t="s">
        <v>364</v>
      </c>
    </row>
    <row r="2367" spans="1:6" hidden="1" outlineLevel="1" collapsed="1" x14ac:dyDescent="0.25">
      <c r="A2367" s="295" t="s">
        <v>282</v>
      </c>
      <c r="B2367" s="295" t="s">
        <v>390</v>
      </c>
      <c r="C2367" s="293">
        <v>15485.27</v>
      </c>
      <c r="D2367" s="293">
        <v>15959.28</v>
      </c>
      <c r="E2367" s="293">
        <v>474.01</v>
      </c>
      <c r="F2367" s="294" t="s">
        <v>391</v>
      </c>
    </row>
    <row r="2368" spans="1:6" hidden="1" outlineLevel="1" collapsed="1" x14ac:dyDescent="0.25">
      <c r="A2368" s="295" t="s">
        <v>282</v>
      </c>
      <c r="B2368" s="295" t="s">
        <v>392</v>
      </c>
      <c r="C2368" s="293">
        <v>233.53919999999999</v>
      </c>
      <c r="D2368" s="293">
        <v>182.88</v>
      </c>
      <c r="E2368" s="293">
        <v>-50.659199999999998</v>
      </c>
      <c r="F2368" s="294" t="s">
        <v>368</v>
      </c>
    </row>
    <row r="2369" spans="1:6" hidden="1" outlineLevel="1" collapsed="1" x14ac:dyDescent="0.25">
      <c r="A2369" s="295" t="s">
        <v>282</v>
      </c>
      <c r="B2369" s="295" t="s">
        <v>393</v>
      </c>
      <c r="C2369" s="293">
        <v>45.617711999999997</v>
      </c>
      <c r="D2369" s="293">
        <v>48.597971999999999</v>
      </c>
      <c r="E2369" s="293">
        <v>2.9802599999999999</v>
      </c>
      <c r="F2369" s="294" t="s">
        <v>644</v>
      </c>
    </row>
    <row r="2370" spans="1:6" hidden="1" outlineLevel="1" collapsed="1" x14ac:dyDescent="0.25">
      <c r="A2370" s="295" t="s">
        <v>282</v>
      </c>
      <c r="B2370" s="295" t="s">
        <v>394</v>
      </c>
      <c r="C2370" s="293">
        <v>1500</v>
      </c>
      <c r="D2370" s="293">
        <v>0</v>
      </c>
      <c r="E2370" s="293">
        <v>-1500</v>
      </c>
      <c r="F2370" s="294" t="s">
        <v>286</v>
      </c>
    </row>
    <row r="2371" spans="1:6" hidden="1" outlineLevel="1" collapsed="1" x14ac:dyDescent="0.25">
      <c r="A2371" s="295" t="s">
        <v>282</v>
      </c>
      <c r="B2371" s="295" t="s">
        <v>395</v>
      </c>
      <c r="C2371" s="293">
        <v>0</v>
      </c>
      <c r="D2371" s="293">
        <v>1500</v>
      </c>
      <c r="E2371" s="293">
        <v>1500</v>
      </c>
      <c r="F2371" s="294" t="s">
        <v>298</v>
      </c>
    </row>
    <row r="2372" spans="1:6" hidden="1" outlineLevel="1" collapsed="1" x14ac:dyDescent="0.25">
      <c r="A2372" s="295" t="s">
        <v>282</v>
      </c>
      <c r="B2372" s="295" t="s">
        <v>396</v>
      </c>
      <c r="C2372" s="293">
        <v>49.68</v>
      </c>
      <c r="D2372" s="293">
        <v>0</v>
      </c>
      <c r="E2372" s="293">
        <v>-49.68</v>
      </c>
      <c r="F2372" s="294" t="s">
        <v>286</v>
      </c>
    </row>
    <row r="2373" spans="1:6" hidden="1" outlineLevel="1" collapsed="1" x14ac:dyDescent="0.25">
      <c r="A2373" s="295" t="s">
        <v>282</v>
      </c>
      <c r="B2373" s="295" t="s">
        <v>397</v>
      </c>
      <c r="C2373" s="293">
        <v>0</v>
      </c>
      <c r="D2373" s="293">
        <v>48.48</v>
      </c>
      <c r="E2373" s="293">
        <v>48.48</v>
      </c>
      <c r="F2373" s="294" t="s">
        <v>298</v>
      </c>
    </row>
    <row r="2374" spans="1:6" hidden="1" outlineLevel="1" collapsed="1" x14ac:dyDescent="0.25">
      <c r="A2374" s="295" t="s">
        <v>282</v>
      </c>
      <c r="B2374" s="295" t="s">
        <v>398</v>
      </c>
      <c r="C2374" s="293">
        <v>24</v>
      </c>
      <c r="D2374" s="293">
        <v>11.04</v>
      </c>
      <c r="E2374" s="293">
        <v>-12.96</v>
      </c>
      <c r="F2374" s="294" t="s">
        <v>374</v>
      </c>
    </row>
    <row r="2375" spans="1:6" hidden="1" outlineLevel="1" collapsed="1" x14ac:dyDescent="0.25">
      <c r="A2375" s="295" t="s">
        <v>282</v>
      </c>
      <c r="B2375" s="295" t="s">
        <v>523</v>
      </c>
      <c r="C2375" s="293">
        <v>0</v>
      </c>
      <c r="D2375" s="293">
        <v>0</v>
      </c>
      <c r="E2375" s="293">
        <v>0</v>
      </c>
      <c r="F2375" s="294" t="s">
        <v>316</v>
      </c>
    </row>
    <row r="2376" spans="1:6" hidden="1" outlineLevel="1" collapsed="1" x14ac:dyDescent="0.25">
      <c r="A2376" s="295" t="s">
        <v>282</v>
      </c>
      <c r="B2376" s="295" t="s">
        <v>376</v>
      </c>
      <c r="C2376" s="293">
        <v>8325</v>
      </c>
      <c r="D2376" s="293">
        <v>500</v>
      </c>
      <c r="E2376" s="293">
        <v>-7825</v>
      </c>
      <c r="F2376" s="294" t="s">
        <v>1125</v>
      </c>
    </row>
    <row r="2377" spans="1:6" hidden="1" outlineLevel="1" collapsed="1" x14ac:dyDescent="0.25">
      <c r="A2377" s="295" t="s">
        <v>282</v>
      </c>
      <c r="B2377" s="295" t="s">
        <v>1046</v>
      </c>
      <c r="C2377" s="293">
        <v>612</v>
      </c>
      <c r="D2377" s="293">
        <v>0</v>
      </c>
      <c r="E2377" s="293">
        <v>-612</v>
      </c>
      <c r="F2377" s="294" t="s">
        <v>286</v>
      </c>
    </row>
    <row r="2378" spans="1:6" hidden="1" outlineLevel="1" collapsed="1" x14ac:dyDescent="0.25">
      <c r="A2378" s="295" t="s">
        <v>282</v>
      </c>
      <c r="B2378" s="295" t="s">
        <v>662</v>
      </c>
      <c r="C2378" s="293">
        <v>801.36</v>
      </c>
      <c r="D2378" s="293">
        <v>200</v>
      </c>
      <c r="E2378" s="293">
        <v>-601.36</v>
      </c>
      <c r="F2378" s="294" t="s">
        <v>1126</v>
      </c>
    </row>
    <row r="2379" spans="1:6" hidden="1" outlineLevel="1" collapsed="1" x14ac:dyDescent="0.25">
      <c r="A2379" s="295" t="s">
        <v>282</v>
      </c>
      <c r="B2379" s="295" t="s">
        <v>506</v>
      </c>
      <c r="C2379" s="293">
        <v>534.54999999999995</v>
      </c>
      <c r="D2379" s="293">
        <v>0</v>
      </c>
      <c r="E2379" s="293">
        <v>-534.54999999999995</v>
      </c>
      <c r="F2379" s="294" t="s">
        <v>286</v>
      </c>
    </row>
    <row r="2380" spans="1:6" hidden="1" outlineLevel="1" collapsed="1" x14ac:dyDescent="0.25">
      <c r="A2380" s="295" t="s">
        <v>282</v>
      </c>
      <c r="B2380" s="295" t="s">
        <v>567</v>
      </c>
      <c r="C2380" s="293">
        <v>0</v>
      </c>
      <c r="D2380" s="293">
        <v>0</v>
      </c>
      <c r="E2380" s="293">
        <v>0</v>
      </c>
      <c r="F2380" s="294" t="s">
        <v>316</v>
      </c>
    </row>
    <row r="2381" spans="1:6" hidden="1" outlineLevel="1" collapsed="1" x14ac:dyDescent="0.25">
      <c r="A2381" s="295" t="s">
        <v>282</v>
      </c>
      <c r="B2381" s="295" t="s">
        <v>426</v>
      </c>
      <c r="C2381" s="293">
        <v>1200</v>
      </c>
      <c r="D2381" s="293">
        <v>1900</v>
      </c>
      <c r="E2381" s="293">
        <v>700</v>
      </c>
      <c r="F2381" s="294" t="s">
        <v>1127</v>
      </c>
    </row>
    <row r="2382" spans="1:6" hidden="1" outlineLevel="1" collapsed="1" x14ac:dyDescent="0.25">
      <c r="A2382" s="295" t="s">
        <v>282</v>
      </c>
      <c r="B2382" s="295" t="s">
        <v>952</v>
      </c>
      <c r="C2382" s="293">
        <v>600</v>
      </c>
      <c r="D2382" s="293">
        <v>600</v>
      </c>
      <c r="E2382" s="293">
        <v>0</v>
      </c>
      <c r="F2382" s="294" t="s">
        <v>316</v>
      </c>
    </row>
    <row r="2383" spans="1:6" hidden="1" outlineLevel="1" collapsed="1" x14ac:dyDescent="0.25">
      <c r="A2383" s="295" t="s">
        <v>282</v>
      </c>
      <c r="B2383" s="295" t="s">
        <v>482</v>
      </c>
      <c r="C2383" s="293">
        <v>200</v>
      </c>
      <c r="D2383" s="293">
        <v>200</v>
      </c>
      <c r="E2383" s="293">
        <v>0</v>
      </c>
      <c r="F2383" s="294" t="s">
        <v>316</v>
      </c>
    </row>
    <row r="2384" spans="1:6" hidden="1" outlineLevel="1" collapsed="1" x14ac:dyDescent="0.25">
      <c r="A2384" s="295" t="s">
        <v>282</v>
      </c>
      <c r="B2384" s="295" t="s">
        <v>597</v>
      </c>
      <c r="C2384" s="293">
        <v>0</v>
      </c>
      <c r="D2384" s="293">
        <v>1125</v>
      </c>
      <c r="E2384" s="293">
        <v>1125</v>
      </c>
      <c r="F2384" s="294" t="s">
        <v>298</v>
      </c>
    </row>
    <row r="2385" spans="1:6" hidden="1" outlineLevel="1" collapsed="1" x14ac:dyDescent="0.25">
      <c r="A2385" s="295" t="s">
        <v>282</v>
      </c>
      <c r="B2385" s="295" t="s">
        <v>842</v>
      </c>
      <c r="C2385" s="293">
        <v>0.53</v>
      </c>
      <c r="D2385" s="293">
        <v>10000</v>
      </c>
      <c r="E2385" s="293">
        <v>9999.4699999999993</v>
      </c>
      <c r="F2385" s="294" t="s">
        <v>1128</v>
      </c>
    </row>
    <row r="2386" spans="1:6" hidden="1" outlineLevel="1" collapsed="1" x14ac:dyDescent="0.25">
      <c r="A2386" s="295" t="s">
        <v>282</v>
      </c>
      <c r="B2386" s="295" t="s">
        <v>416</v>
      </c>
      <c r="C2386" s="293">
        <v>1025</v>
      </c>
      <c r="D2386" s="293">
        <v>0</v>
      </c>
      <c r="E2386" s="293">
        <v>-1025</v>
      </c>
      <c r="F2386" s="294" t="s">
        <v>286</v>
      </c>
    </row>
    <row r="2387" spans="1:6" hidden="1" outlineLevel="1" collapsed="1" x14ac:dyDescent="0.25">
      <c r="A2387" s="295" t="s">
        <v>282</v>
      </c>
      <c r="B2387" s="295" t="s">
        <v>448</v>
      </c>
      <c r="C2387" s="293">
        <v>8190</v>
      </c>
      <c r="D2387" s="293">
        <v>0</v>
      </c>
      <c r="E2387" s="293">
        <v>-8190</v>
      </c>
      <c r="F2387" s="294" t="s">
        <v>286</v>
      </c>
    </row>
    <row r="2388" spans="1:6" hidden="1" outlineLevel="1" collapsed="1" x14ac:dyDescent="0.25">
      <c r="A2388" s="295" t="s">
        <v>282</v>
      </c>
      <c r="B2388" s="295" t="s">
        <v>626</v>
      </c>
      <c r="C2388" s="293">
        <v>190851.19</v>
      </c>
      <c r="D2388" s="293">
        <v>63973</v>
      </c>
      <c r="E2388" s="293">
        <v>-126878.19</v>
      </c>
      <c r="F2388" s="294" t="s">
        <v>1129</v>
      </c>
    </row>
    <row r="2389" spans="1:6" hidden="1" outlineLevel="1" collapsed="1" x14ac:dyDescent="0.25">
      <c r="A2389" s="295" t="s">
        <v>282</v>
      </c>
      <c r="B2389" s="295" t="s">
        <v>405</v>
      </c>
      <c r="C2389" s="293">
        <v>4147.47</v>
      </c>
      <c r="D2389" s="293">
        <v>0</v>
      </c>
      <c r="E2389" s="293">
        <v>-4147.47</v>
      </c>
      <c r="F2389" s="294" t="s">
        <v>286</v>
      </c>
    </row>
    <row r="2390" spans="1:6" hidden="1" outlineLevel="1" collapsed="1" x14ac:dyDescent="0.25">
      <c r="A2390" s="295" t="s">
        <v>282</v>
      </c>
      <c r="B2390" s="295" t="s">
        <v>557</v>
      </c>
      <c r="C2390" s="293">
        <v>55505.35</v>
      </c>
      <c r="D2390" s="293">
        <v>20000</v>
      </c>
      <c r="E2390" s="293">
        <v>-35505.35</v>
      </c>
      <c r="F2390" s="294" t="s">
        <v>1130</v>
      </c>
    </row>
    <row r="2391" spans="1:6" hidden="1" outlineLevel="1" collapsed="1" x14ac:dyDescent="0.25">
      <c r="A2391" s="295" t="s">
        <v>282</v>
      </c>
      <c r="B2391" s="295" t="s">
        <v>576</v>
      </c>
      <c r="C2391" s="293">
        <v>1012.5</v>
      </c>
      <c r="D2391" s="293">
        <v>0</v>
      </c>
      <c r="E2391" s="293">
        <v>-1012.5</v>
      </c>
      <c r="F2391" s="294" t="s">
        <v>286</v>
      </c>
    </row>
    <row r="2392" spans="1:6" hidden="1" outlineLevel="1" collapsed="1" x14ac:dyDescent="0.25">
      <c r="A2392" s="295" t="s">
        <v>282</v>
      </c>
      <c r="B2392" s="295" t="s">
        <v>422</v>
      </c>
      <c r="C2392" s="293">
        <v>0</v>
      </c>
      <c r="D2392" s="293">
        <v>5000</v>
      </c>
      <c r="E2392" s="293">
        <v>5000</v>
      </c>
      <c r="F2392" s="294" t="s">
        <v>298</v>
      </c>
    </row>
    <row r="2393" spans="1:6" hidden="1" outlineLevel="1" collapsed="1" x14ac:dyDescent="0.25">
      <c r="A2393" s="295" t="s">
        <v>282</v>
      </c>
      <c r="B2393" s="295" t="s">
        <v>770</v>
      </c>
      <c r="C2393" s="293">
        <v>0</v>
      </c>
      <c r="D2393" s="293">
        <v>5000</v>
      </c>
      <c r="E2393" s="293">
        <v>5000</v>
      </c>
      <c r="F2393" s="294" t="s">
        <v>298</v>
      </c>
    </row>
    <row r="2394" spans="1:6" collapsed="1" x14ac:dyDescent="0.25">
      <c r="A2394" s="560" t="s">
        <v>1131</v>
      </c>
      <c r="B2394" s="561"/>
      <c r="C2394" s="292">
        <v>185655.46217099999</v>
      </c>
      <c r="D2394" s="293">
        <v>178146.59602900001</v>
      </c>
      <c r="E2394" s="293">
        <v>-7508.8661419999999</v>
      </c>
      <c r="F2394" s="294" t="s">
        <v>1132</v>
      </c>
    </row>
    <row r="2395" spans="1:6" hidden="1" outlineLevel="1" collapsed="1" x14ac:dyDescent="0.25">
      <c r="A2395" s="295" t="s">
        <v>282</v>
      </c>
      <c r="B2395" s="295" t="s">
        <v>464</v>
      </c>
      <c r="C2395" s="293">
        <v>84478.043084000004</v>
      </c>
      <c r="D2395" s="293">
        <v>104462.093997</v>
      </c>
      <c r="E2395" s="293">
        <v>19984.050912999999</v>
      </c>
      <c r="F2395" s="294" t="s">
        <v>1133</v>
      </c>
    </row>
    <row r="2396" spans="1:6" hidden="1" outlineLevel="1" collapsed="1" x14ac:dyDescent="0.25">
      <c r="A2396" s="295" t="s">
        <v>282</v>
      </c>
      <c r="B2396" s="295" t="s">
        <v>476</v>
      </c>
      <c r="C2396" s="293">
        <v>25000</v>
      </c>
      <c r="D2396" s="293">
        <v>1806</v>
      </c>
      <c r="E2396" s="293">
        <v>-23194</v>
      </c>
      <c r="F2396" s="294" t="s">
        <v>1134</v>
      </c>
    </row>
    <row r="2397" spans="1:6" hidden="1" outlineLevel="1" collapsed="1" x14ac:dyDescent="0.25">
      <c r="A2397" s="295" t="s">
        <v>282</v>
      </c>
      <c r="B2397" s="295" t="s">
        <v>384</v>
      </c>
      <c r="C2397" s="293">
        <v>14193.767806</v>
      </c>
      <c r="D2397" s="293">
        <v>0</v>
      </c>
      <c r="E2397" s="293">
        <v>-14193.767806</v>
      </c>
      <c r="F2397" s="294" t="s">
        <v>286</v>
      </c>
    </row>
    <row r="2398" spans="1:6" hidden="1" outlineLevel="1" collapsed="1" x14ac:dyDescent="0.25">
      <c r="A2398" s="295" t="s">
        <v>282</v>
      </c>
      <c r="B2398" s="295" t="s">
        <v>385</v>
      </c>
      <c r="C2398" s="293">
        <v>0</v>
      </c>
      <c r="D2398" s="293">
        <v>16402.310842999999</v>
      </c>
      <c r="E2398" s="293">
        <v>16402.310842999999</v>
      </c>
      <c r="F2398" s="294" t="s">
        <v>298</v>
      </c>
    </row>
    <row r="2399" spans="1:6" hidden="1" outlineLevel="1" collapsed="1" x14ac:dyDescent="0.25">
      <c r="A2399" s="295" t="s">
        <v>282</v>
      </c>
      <c r="B2399" s="295" t="s">
        <v>386</v>
      </c>
      <c r="C2399" s="293">
        <v>7035.6386629999997</v>
      </c>
      <c r="D2399" s="293">
        <v>0</v>
      </c>
      <c r="E2399" s="293">
        <v>-7035.6386629999997</v>
      </c>
      <c r="F2399" s="294" t="s">
        <v>286</v>
      </c>
    </row>
    <row r="2400" spans="1:6" hidden="1" outlineLevel="1" collapsed="1" x14ac:dyDescent="0.25">
      <c r="A2400" s="295" t="s">
        <v>282</v>
      </c>
      <c r="B2400" s="295" t="s">
        <v>387</v>
      </c>
      <c r="C2400" s="293">
        <v>0</v>
      </c>
      <c r="D2400" s="293">
        <v>6476.6498119999997</v>
      </c>
      <c r="E2400" s="293">
        <v>6476.6498119999997</v>
      </c>
      <c r="F2400" s="294" t="s">
        <v>298</v>
      </c>
    </row>
    <row r="2401" spans="1:6" hidden="1" outlineLevel="1" collapsed="1" x14ac:dyDescent="0.25">
      <c r="A2401" s="295" t="s">
        <v>282</v>
      </c>
      <c r="B2401" s="295" t="s">
        <v>388</v>
      </c>
      <c r="C2401" s="293">
        <v>1645.4316060000001</v>
      </c>
      <c r="D2401" s="293">
        <v>1514.700347</v>
      </c>
      <c r="E2401" s="293">
        <v>-130.73125899999999</v>
      </c>
      <c r="F2401" s="294" t="s">
        <v>1135</v>
      </c>
    </row>
    <row r="2402" spans="1:6" hidden="1" outlineLevel="1" collapsed="1" x14ac:dyDescent="0.25">
      <c r="A2402" s="295" t="s">
        <v>282</v>
      </c>
      <c r="B2402" s="295" t="s">
        <v>444</v>
      </c>
      <c r="C2402" s="293">
        <v>90</v>
      </c>
      <c r="D2402" s="293">
        <v>163</v>
      </c>
      <c r="E2402" s="293">
        <v>73</v>
      </c>
      <c r="F2402" s="294" t="s">
        <v>1136</v>
      </c>
    </row>
    <row r="2403" spans="1:6" hidden="1" outlineLevel="1" collapsed="1" x14ac:dyDescent="0.25">
      <c r="A2403" s="295" t="s">
        <v>282</v>
      </c>
      <c r="B2403" s="295" t="s">
        <v>389</v>
      </c>
      <c r="C2403" s="293">
        <v>1278.3743999999999</v>
      </c>
      <c r="D2403" s="293">
        <v>1090.27</v>
      </c>
      <c r="E2403" s="293">
        <v>-188.1044</v>
      </c>
      <c r="F2403" s="294" t="s">
        <v>1137</v>
      </c>
    </row>
    <row r="2404" spans="1:6" hidden="1" outlineLevel="1" collapsed="1" x14ac:dyDescent="0.25">
      <c r="A2404" s="295" t="s">
        <v>282</v>
      </c>
      <c r="B2404" s="295" t="s">
        <v>390</v>
      </c>
      <c r="C2404" s="293">
        <v>46455.81</v>
      </c>
      <c r="D2404" s="293">
        <v>41228.14</v>
      </c>
      <c r="E2404" s="293">
        <v>-5227.67</v>
      </c>
      <c r="F2404" s="294" t="s">
        <v>1138</v>
      </c>
    </row>
    <row r="2405" spans="1:6" hidden="1" outlineLevel="1" collapsed="1" x14ac:dyDescent="0.25">
      <c r="A2405" s="295" t="s">
        <v>282</v>
      </c>
      <c r="B2405" s="295" t="s">
        <v>392</v>
      </c>
      <c r="C2405" s="293">
        <v>700.61760000000004</v>
      </c>
      <c r="D2405" s="293">
        <v>472.44</v>
      </c>
      <c r="E2405" s="293">
        <v>-228.17760000000001</v>
      </c>
      <c r="F2405" s="294" t="s">
        <v>1139</v>
      </c>
    </row>
    <row r="2406" spans="1:6" hidden="1" outlineLevel="1" collapsed="1" x14ac:dyDescent="0.25">
      <c r="A2406" s="295" t="s">
        <v>282</v>
      </c>
      <c r="B2406" s="295" t="s">
        <v>393</v>
      </c>
      <c r="C2406" s="293">
        <v>56.739012000000002</v>
      </c>
      <c r="D2406" s="293">
        <v>52.231029999999997</v>
      </c>
      <c r="E2406" s="293">
        <v>-4.5079820000000002</v>
      </c>
      <c r="F2406" s="294" t="s">
        <v>1135</v>
      </c>
    </row>
    <row r="2407" spans="1:6" hidden="1" outlineLevel="1" collapsed="1" x14ac:dyDescent="0.25">
      <c r="A2407" s="295" t="s">
        <v>282</v>
      </c>
      <c r="B2407" s="295" t="s">
        <v>394</v>
      </c>
      <c r="C2407" s="293">
        <v>4500</v>
      </c>
      <c r="D2407" s="293">
        <v>0</v>
      </c>
      <c r="E2407" s="293">
        <v>-4500</v>
      </c>
      <c r="F2407" s="294" t="s">
        <v>286</v>
      </c>
    </row>
    <row r="2408" spans="1:6" hidden="1" outlineLevel="1" collapsed="1" x14ac:dyDescent="0.25">
      <c r="A2408" s="295" t="s">
        <v>282</v>
      </c>
      <c r="B2408" s="295" t="s">
        <v>395</v>
      </c>
      <c r="C2408" s="293">
        <v>0</v>
      </c>
      <c r="D2408" s="293">
        <v>3875</v>
      </c>
      <c r="E2408" s="293">
        <v>3875</v>
      </c>
      <c r="F2408" s="294" t="s">
        <v>298</v>
      </c>
    </row>
    <row r="2409" spans="1:6" hidden="1" outlineLevel="1" collapsed="1" x14ac:dyDescent="0.25">
      <c r="A2409" s="295" t="s">
        <v>282</v>
      </c>
      <c r="B2409" s="295" t="s">
        <v>396</v>
      </c>
      <c r="C2409" s="293">
        <v>149.04</v>
      </c>
      <c r="D2409" s="293">
        <v>0</v>
      </c>
      <c r="E2409" s="293">
        <v>-149.04</v>
      </c>
      <c r="F2409" s="294" t="s">
        <v>286</v>
      </c>
    </row>
    <row r="2410" spans="1:6" hidden="1" outlineLevel="1" collapsed="1" x14ac:dyDescent="0.25">
      <c r="A2410" s="295" t="s">
        <v>282</v>
      </c>
      <c r="B2410" s="295" t="s">
        <v>397</v>
      </c>
      <c r="C2410" s="293">
        <v>0</v>
      </c>
      <c r="D2410" s="293">
        <v>125.24</v>
      </c>
      <c r="E2410" s="293">
        <v>125.24</v>
      </c>
      <c r="F2410" s="294" t="s">
        <v>298</v>
      </c>
    </row>
    <row r="2411" spans="1:6" hidden="1" outlineLevel="1" collapsed="1" x14ac:dyDescent="0.25">
      <c r="A2411" s="295" t="s">
        <v>282</v>
      </c>
      <c r="B2411" s="295" t="s">
        <v>398</v>
      </c>
      <c r="C2411" s="293">
        <v>72</v>
      </c>
      <c r="D2411" s="293">
        <v>28.52</v>
      </c>
      <c r="E2411" s="293">
        <v>-43.48</v>
      </c>
      <c r="F2411" s="294" t="s">
        <v>1140</v>
      </c>
    </row>
    <row r="2412" spans="1:6" hidden="1" outlineLevel="1" collapsed="1" x14ac:dyDescent="0.25">
      <c r="A2412" s="295" t="s">
        <v>282</v>
      </c>
      <c r="B2412" s="295" t="s">
        <v>376</v>
      </c>
      <c r="C2412" s="293">
        <v>0</v>
      </c>
      <c r="D2412" s="293">
        <v>450</v>
      </c>
      <c r="E2412" s="293">
        <v>450</v>
      </c>
      <c r="F2412" s="294" t="s">
        <v>298</v>
      </c>
    </row>
    <row r="2413" spans="1:6" collapsed="1" x14ac:dyDescent="0.25">
      <c r="A2413" s="560" t="s">
        <v>1141</v>
      </c>
      <c r="B2413" s="561"/>
      <c r="C2413" s="292">
        <v>124800.32120000001</v>
      </c>
      <c r="D2413" s="293">
        <v>125865.11188</v>
      </c>
      <c r="E2413" s="293">
        <v>1064.7906800000001</v>
      </c>
      <c r="F2413" s="294" t="s">
        <v>1142</v>
      </c>
    </row>
    <row r="2414" spans="1:6" hidden="1" outlineLevel="1" collapsed="1" x14ac:dyDescent="0.25">
      <c r="A2414" s="295" t="s">
        <v>282</v>
      </c>
      <c r="B2414" s="295" t="s">
        <v>1143</v>
      </c>
      <c r="C2414" s="293">
        <v>64371.360000000001</v>
      </c>
      <c r="D2414" s="293">
        <v>67478.418000000005</v>
      </c>
      <c r="E2414" s="293">
        <v>3107.058</v>
      </c>
      <c r="F2414" s="294" t="s">
        <v>774</v>
      </c>
    </row>
    <row r="2415" spans="1:6" hidden="1" outlineLevel="1" collapsed="1" x14ac:dyDescent="0.25">
      <c r="A2415" s="295" t="s">
        <v>282</v>
      </c>
      <c r="B2415" s="295" t="s">
        <v>441</v>
      </c>
      <c r="C2415" s="293">
        <v>1000</v>
      </c>
      <c r="D2415" s="293">
        <v>0</v>
      </c>
      <c r="E2415" s="293">
        <v>-1000</v>
      </c>
      <c r="F2415" s="294" t="s">
        <v>286</v>
      </c>
    </row>
    <row r="2416" spans="1:6" hidden="1" outlineLevel="1" collapsed="1" x14ac:dyDescent="0.25">
      <c r="A2416" s="295" t="s">
        <v>282</v>
      </c>
      <c r="B2416" s="295" t="s">
        <v>1144</v>
      </c>
      <c r="C2416" s="293">
        <v>0</v>
      </c>
      <c r="D2416" s="293">
        <v>0</v>
      </c>
      <c r="E2416" s="293">
        <v>0</v>
      </c>
      <c r="F2416" s="294" t="s">
        <v>316</v>
      </c>
    </row>
    <row r="2417" spans="1:6" hidden="1" outlineLevel="1" collapsed="1" x14ac:dyDescent="0.25">
      <c r="A2417" s="295" t="s">
        <v>282</v>
      </c>
      <c r="B2417" s="295" t="s">
        <v>751</v>
      </c>
      <c r="C2417" s="293">
        <v>8400.4624800000001</v>
      </c>
      <c r="D2417" s="293">
        <v>0</v>
      </c>
      <c r="E2417" s="293">
        <v>-8400.4624800000001</v>
      </c>
      <c r="F2417" s="294" t="s">
        <v>286</v>
      </c>
    </row>
    <row r="2418" spans="1:6" hidden="1" outlineLevel="1" collapsed="1" x14ac:dyDescent="0.25">
      <c r="A2418" s="295" t="s">
        <v>282</v>
      </c>
      <c r="B2418" s="295" t="s">
        <v>752</v>
      </c>
      <c r="C2418" s="293">
        <v>0</v>
      </c>
      <c r="D2418" s="293">
        <v>9737.1357100000005</v>
      </c>
      <c r="E2418" s="293">
        <v>9737.1357100000005</v>
      </c>
      <c r="F2418" s="294" t="s">
        <v>298</v>
      </c>
    </row>
    <row r="2419" spans="1:6" hidden="1" outlineLevel="1" collapsed="1" x14ac:dyDescent="0.25">
      <c r="A2419" s="295" t="s">
        <v>282</v>
      </c>
      <c r="B2419" s="295" t="s">
        <v>753</v>
      </c>
      <c r="C2419" s="293">
        <v>3991.02432</v>
      </c>
      <c r="D2419" s="293">
        <v>4183.6619099999998</v>
      </c>
      <c r="E2419" s="293">
        <v>192.63758999999999</v>
      </c>
      <c r="F2419" s="294" t="s">
        <v>774</v>
      </c>
    </row>
    <row r="2420" spans="1:6" hidden="1" outlineLevel="1" collapsed="1" x14ac:dyDescent="0.25">
      <c r="A2420" s="295" t="s">
        <v>282</v>
      </c>
      <c r="B2420" s="295" t="s">
        <v>388</v>
      </c>
      <c r="C2420" s="293">
        <v>933.38472000000002</v>
      </c>
      <c r="D2420" s="293">
        <v>978.43705999999997</v>
      </c>
      <c r="E2420" s="293">
        <v>45.052340000000001</v>
      </c>
      <c r="F2420" s="294" t="s">
        <v>774</v>
      </c>
    </row>
    <row r="2421" spans="1:6" hidden="1" outlineLevel="1" collapsed="1" x14ac:dyDescent="0.25">
      <c r="A2421" s="295" t="s">
        <v>282</v>
      </c>
      <c r="B2421" s="295" t="s">
        <v>754</v>
      </c>
      <c r="C2421" s="293">
        <v>15358.56</v>
      </c>
      <c r="D2421" s="293">
        <v>15959.28</v>
      </c>
      <c r="E2421" s="293">
        <v>600.72</v>
      </c>
      <c r="F2421" s="294" t="s">
        <v>366</v>
      </c>
    </row>
    <row r="2422" spans="1:6" hidden="1" outlineLevel="1" collapsed="1" x14ac:dyDescent="0.25">
      <c r="A2422" s="295" t="s">
        <v>282</v>
      </c>
      <c r="B2422" s="295" t="s">
        <v>755</v>
      </c>
      <c r="C2422" s="293">
        <v>426.12479999999999</v>
      </c>
      <c r="D2422" s="293">
        <v>422.04</v>
      </c>
      <c r="E2422" s="293">
        <v>-4.0848000000000004</v>
      </c>
      <c r="F2422" s="294" t="s">
        <v>364</v>
      </c>
    </row>
    <row r="2423" spans="1:6" hidden="1" outlineLevel="1" collapsed="1" x14ac:dyDescent="0.25">
      <c r="A2423" s="295" t="s">
        <v>282</v>
      </c>
      <c r="B2423" s="295" t="s">
        <v>756</v>
      </c>
      <c r="C2423" s="293">
        <v>233.53919999999999</v>
      </c>
      <c r="D2423" s="293">
        <v>182.88</v>
      </c>
      <c r="E2423" s="293">
        <v>-50.659199999999998</v>
      </c>
      <c r="F2423" s="294" t="s">
        <v>368</v>
      </c>
    </row>
    <row r="2424" spans="1:6" hidden="1" outlineLevel="1" collapsed="1" x14ac:dyDescent="0.25">
      <c r="A2424" s="295" t="s">
        <v>282</v>
      </c>
      <c r="B2424" s="295" t="s">
        <v>757</v>
      </c>
      <c r="C2424" s="293">
        <v>32.185679999999998</v>
      </c>
      <c r="D2424" s="293">
        <v>0</v>
      </c>
      <c r="E2424" s="293">
        <v>-32.185679999999998</v>
      </c>
      <c r="F2424" s="294" t="s">
        <v>286</v>
      </c>
    </row>
    <row r="2425" spans="1:6" hidden="1" outlineLevel="1" collapsed="1" x14ac:dyDescent="0.25">
      <c r="A2425" s="295" t="s">
        <v>282</v>
      </c>
      <c r="B2425" s="295" t="s">
        <v>758</v>
      </c>
      <c r="C2425" s="293">
        <v>0</v>
      </c>
      <c r="D2425" s="293">
        <v>33.739199999999997</v>
      </c>
      <c r="E2425" s="293">
        <v>33.739199999999997</v>
      </c>
      <c r="F2425" s="294" t="s">
        <v>298</v>
      </c>
    </row>
    <row r="2426" spans="1:6" hidden="1" outlineLevel="1" collapsed="1" x14ac:dyDescent="0.25">
      <c r="A2426" s="295" t="s">
        <v>282</v>
      </c>
      <c r="B2426" s="295" t="s">
        <v>759</v>
      </c>
      <c r="C2426" s="293">
        <v>1500</v>
      </c>
      <c r="D2426" s="293">
        <v>0</v>
      </c>
      <c r="E2426" s="293">
        <v>-1500</v>
      </c>
      <c r="F2426" s="294" t="s">
        <v>286</v>
      </c>
    </row>
    <row r="2427" spans="1:6" hidden="1" outlineLevel="1" collapsed="1" x14ac:dyDescent="0.25">
      <c r="A2427" s="295" t="s">
        <v>282</v>
      </c>
      <c r="B2427" s="295" t="s">
        <v>760</v>
      </c>
      <c r="C2427" s="293">
        <v>0</v>
      </c>
      <c r="D2427" s="293">
        <v>1500</v>
      </c>
      <c r="E2427" s="293">
        <v>1500</v>
      </c>
      <c r="F2427" s="294" t="s">
        <v>298</v>
      </c>
    </row>
    <row r="2428" spans="1:6" hidden="1" outlineLevel="1" collapsed="1" x14ac:dyDescent="0.25">
      <c r="A2428" s="295" t="s">
        <v>282</v>
      </c>
      <c r="B2428" s="295" t="s">
        <v>761</v>
      </c>
      <c r="C2428" s="293">
        <v>49.68</v>
      </c>
      <c r="D2428" s="293">
        <v>0</v>
      </c>
      <c r="E2428" s="293">
        <v>-49.68</v>
      </c>
      <c r="F2428" s="294" t="s">
        <v>286</v>
      </c>
    </row>
    <row r="2429" spans="1:6" hidden="1" outlineLevel="1" collapsed="1" x14ac:dyDescent="0.25">
      <c r="A2429" s="295" t="s">
        <v>282</v>
      </c>
      <c r="B2429" s="295" t="s">
        <v>762</v>
      </c>
      <c r="C2429" s="293">
        <v>0</v>
      </c>
      <c r="D2429" s="293">
        <v>48.48</v>
      </c>
      <c r="E2429" s="293">
        <v>48.48</v>
      </c>
      <c r="F2429" s="294" t="s">
        <v>298</v>
      </c>
    </row>
    <row r="2430" spans="1:6" hidden="1" outlineLevel="1" collapsed="1" x14ac:dyDescent="0.25">
      <c r="A2430" s="295" t="s">
        <v>282</v>
      </c>
      <c r="B2430" s="295" t="s">
        <v>763</v>
      </c>
      <c r="C2430" s="293">
        <v>24</v>
      </c>
      <c r="D2430" s="293">
        <v>11.04</v>
      </c>
      <c r="E2430" s="293">
        <v>-12.96</v>
      </c>
      <c r="F2430" s="294" t="s">
        <v>374</v>
      </c>
    </row>
    <row r="2431" spans="1:6" hidden="1" outlineLevel="1" collapsed="1" x14ac:dyDescent="0.25">
      <c r="A2431" s="295" t="s">
        <v>282</v>
      </c>
      <c r="B2431" s="295" t="s">
        <v>376</v>
      </c>
      <c r="C2431" s="293">
        <v>2804</v>
      </c>
      <c r="D2431" s="293">
        <v>1497</v>
      </c>
      <c r="E2431" s="293">
        <v>-1307</v>
      </c>
      <c r="F2431" s="294" t="s">
        <v>1145</v>
      </c>
    </row>
    <row r="2432" spans="1:6" hidden="1" outlineLevel="1" collapsed="1" x14ac:dyDescent="0.25">
      <c r="A2432" s="295" t="s">
        <v>282</v>
      </c>
      <c r="B2432" s="295" t="s">
        <v>662</v>
      </c>
      <c r="C2432" s="293">
        <v>0</v>
      </c>
      <c r="D2432" s="293">
        <v>30</v>
      </c>
      <c r="E2432" s="293">
        <v>30</v>
      </c>
      <c r="F2432" s="294" t="s">
        <v>298</v>
      </c>
    </row>
    <row r="2433" spans="1:6" hidden="1" outlineLevel="1" collapsed="1" x14ac:dyDescent="0.25">
      <c r="A2433" s="295" t="s">
        <v>282</v>
      </c>
      <c r="B2433" s="295" t="s">
        <v>567</v>
      </c>
      <c r="C2433" s="293">
        <v>0</v>
      </c>
      <c r="D2433" s="293">
        <v>1000</v>
      </c>
      <c r="E2433" s="293">
        <v>1000</v>
      </c>
      <c r="F2433" s="294" t="s">
        <v>298</v>
      </c>
    </row>
    <row r="2434" spans="1:6" hidden="1" outlineLevel="1" collapsed="1" x14ac:dyDescent="0.25">
      <c r="A2434" s="295" t="s">
        <v>282</v>
      </c>
      <c r="B2434" s="295" t="s">
        <v>426</v>
      </c>
      <c r="C2434" s="293">
        <v>25119</v>
      </c>
      <c r="D2434" s="293">
        <v>17989</v>
      </c>
      <c r="E2434" s="293">
        <v>-7130</v>
      </c>
      <c r="F2434" s="294" t="s">
        <v>1146</v>
      </c>
    </row>
    <row r="2435" spans="1:6" hidden="1" outlineLevel="1" collapsed="1" x14ac:dyDescent="0.25">
      <c r="A2435" s="295" t="s">
        <v>282</v>
      </c>
      <c r="B2435" s="295" t="s">
        <v>597</v>
      </c>
      <c r="C2435" s="293">
        <v>129</v>
      </c>
      <c r="D2435" s="293">
        <v>374</v>
      </c>
      <c r="E2435" s="293">
        <v>245</v>
      </c>
      <c r="F2435" s="294" t="s">
        <v>1147</v>
      </c>
    </row>
    <row r="2436" spans="1:6" hidden="1" outlineLevel="1" collapsed="1" x14ac:dyDescent="0.25">
      <c r="A2436" s="295" t="s">
        <v>282</v>
      </c>
      <c r="B2436" s="295" t="s">
        <v>416</v>
      </c>
      <c r="C2436" s="293">
        <v>0</v>
      </c>
      <c r="D2436" s="293">
        <v>3691</v>
      </c>
      <c r="E2436" s="293">
        <v>3691</v>
      </c>
      <c r="F2436" s="294" t="s">
        <v>298</v>
      </c>
    </row>
    <row r="2437" spans="1:6" hidden="1" outlineLevel="1" collapsed="1" x14ac:dyDescent="0.25">
      <c r="A2437" s="295" t="s">
        <v>282</v>
      </c>
      <c r="B2437" s="295" t="s">
        <v>543</v>
      </c>
      <c r="C2437" s="293">
        <v>0</v>
      </c>
      <c r="D2437" s="293">
        <v>749</v>
      </c>
      <c r="E2437" s="293">
        <v>749</v>
      </c>
      <c r="F2437" s="294" t="s">
        <v>298</v>
      </c>
    </row>
    <row r="2438" spans="1:6" hidden="1" outlineLevel="1" collapsed="1" x14ac:dyDescent="0.25">
      <c r="A2438" s="295" t="s">
        <v>282</v>
      </c>
      <c r="B2438" s="295" t="s">
        <v>422</v>
      </c>
      <c r="C2438" s="293">
        <v>428</v>
      </c>
      <c r="D2438" s="293">
        <v>0</v>
      </c>
      <c r="E2438" s="293">
        <v>-428</v>
      </c>
      <c r="F2438" s="294" t="s">
        <v>286</v>
      </c>
    </row>
    <row r="2439" spans="1:6" collapsed="1" x14ac:dyDescent="0.25">
      <c r="A2439" s="560" t="s">
        <v>1148</v>
      </c>
      <c r="B2439" s="561"/>
      <c r="C2439" s="292">
        <v>27550</v>
      </c>
      <c r="D2439" s="293">
        <v>27550</v>
      </c>
      <c r="E2439" s="293">
        <v>0</v>
      </c>
      <c r="F2439" s="294" t="s">
        <v>316</v>
      </c>
    </row>
    <row r="2440" spans="1:6" hidden="1" outlineLevel="1" collapsed="1" x14ac:dyDescent="0.25">
      <c r="A2440" s="295" t="s">
        <v>282</v>
      </c>
      <c r="B2440" s="295" t="s">
        <v>475</v>
      </c>
      <c r="C2440" s="293">
        <v>350</v>
      </c>
      <c r="D2440" s="293">
        <v>0</v>
      </c>
      <c r="E2440" s="293">
        <v>-350</v>
      </c>
      <c r="F2440" s="294" t="s">
        <v>286</v>
      </c>
    </row>
    <row r="2441" spans="1:6" hidden="1" outlineLevel="1" collapsed="1" x14ac:dyDescent="0.25">
      <c r="A2441" s="295" t="s">
        <v>282</v>
      </c>
      <c r="B2441" s="295" t="s">
        <v>376</v>
      </c>
      <c r="C2441" s="293">
        <v>3454.5</v>
      </c>
      <c r="D2441" s="293">
        <v>2500</v>
      </c>
      <c r="E2441" s="293">
        <v>-954.5</v>
      </c>
      <c r="F2441" s="294" t="s">
        <v>1149</v>
      </c>
    </row>
    <row r="2442" spans="1:6" hidden="1" outlineLevel="1" collapsed="1" x14ac:dyDescent="0.25">
      <c r="A2442" s="295" t="s">
        <v>282</v>
      </c>
      <c r="B2442" s="295" t="s">
        <v>662</v>
      </c>
      <c r="C2442" s="293">
        <v>0</v>
      </c>
      <c r="D2442" s="293">
        <v>1000</v>
      </c>
      <c r="E2442" s="293">
        <v>1000</v>
      </c>
      <c r="F2442" s="294" t="s">
        <v>298</v>
      </c>
    </row>
    <row r="2443" spans="1:6" hidden="1" outlineLevel="1" collapsed="1" x14ac:dyDescent="0.25">
      <c r="A2443" s="295" t="s">
        <v>282</v>
      </c>
      <c r="B2443" s="295" t="s">
        <v>567</v>
      </c>
      <c r="C2443" s="293">
        <v>17550</v>
      </c>
      <c r="D2443" s="293">
        <v>14050</v>
      </c>
      <c r="E2443" s="293">
        <v>-3500</v>
      </c>
      <c r="F2443" s="294" t="s">
        <v>1065</v>
      </c>
    </row>
    <row r="2444" spans="1:6" hidden="1" outlineLevel="1" collapsed="1" x14ac:dyDescent="0.25">
      <c r="A2444" s="295" t="s">
        <v>282</v>
      </c>
      <c r="B2444" s="295" t="s">
        <v>426</v>
      </c>
      <c r="C2444" s="293">
        <v>500</v>
      </c>
      <c r="D2444" s="293">
        <v>0</v>
      </c>
      <c r="E2444" s="293">
        <v>-500</v>
      </c>
      <c r="F2444" s="294" t="s">
        <v>286</v>
      </c>
    </row>
    <row r="2445" spans="1:6" hidden="1" outlineLevel="1" collapsed="1" x14ac:dyDescent="0.25">
      <c r="A2445" s="295" t="s">
        <v>282</v>
      </c>
      <c r="B2445" s="295" t="s">
        <v>405</v>
      </c>
      <c r="C2445" s="293">
        <v>4250</v>
      </c>
      <c r="D2445" s="293">
        <v>9500</v>
      </c>
      <c r="E2445" s="293">
        <v>5250</v>
      </c>
      <c r="F2445" s="294" t="s">
        <v>1150</v>
      </c>
    </row>
    <row r="2446" spans="1:6" hidden="1" outlineLevel="1" collapsed="1" x14ac:dyDescent="0.25">
      <c r="A2446" s="295" t="s">
        <v>282</v>
      </c>
      <c r="B2446" s="295" t="s">
        <v>557</v>
      </c>
      <c r="C2446" s="293">
        <v>1445.5</v>
      </c>
      <c r="D2446" s="293">
        <v>500</v>
      </c>
      <c r="E2446" s="293">
        <v>-945.5</v>
      </c>
      <c r="F2446" s="294" t="s">
        <v>1151</v>
      </c>
    </row>
    <row r="2447" spans="1:6" collapsed="1" x14ac:dyDescent="0.25">
      <c r="A2447" s="560" t="s">
        <v>1152</v>
      </c>
      <c r="B2447" s="561"/>
      <c r="C2447" s="292">
        <v>37100</v>
      </c>
      <c r="D2447" s="293">
        <v>34100</v>
      </c>
      <c r="E2447" s="293">
        <v>-3000</v>
      </c>
      <c r="F2447" s="294" t="s">
        <v>1153</v>
      </c>
    </row>
    <row r="2448" spans="1:6" hidden="1" outlineLevel="1" collapsed="1" x14ac:dyDescent="0.25">
      <c r="A2448" s="295" t="s">
        <v>282</v>
      </c>
      <c r="B2448" s="295" t="s">
        <v>376</v>
      </c>
      <c r="C2448" s="293">
        <v>4885</v>
      </c>
      <c r="D2448" s="293">
        <v>5700</v>
      </c>
      <c r="E2448" s="293">
        <v>815</v>
      </c>
      <c r="F2448" s="294" t="s">
        <v>1154</v>
      </c>
    </row>
    <row r="2449" spans="1:6" hidden="1" outlineLevel="1" collapsed="1" x14ac:dyDescent="0.25">
      <c r="A2449" s="295" t="s">
        <v>282</v>
      </c>
      <c r="B2449" s="295" t="s">
        <v>884</v>
      </c>
      <c r="C2449" s="293">
        <v>0</v>
      </c>
      <c r="D2449" s="293">
        <v>28400</v>
      </c>
      <c r="E2449" s="293">
        <v>28400</v>
      </c>
      <c r="F2449" s="294" t="s">
        <v>298</v>
      </c>
    </row>
    <row r="2450" spans="1:6" hidden="1" outlineLevel="1" collapsed="1" x14ac:dyDescent="0.25">
      <c r="A2450" s="295" t="s">
        <v>282</v>
      </c>
      <c r="B2450" s="295" t="s">
        <v>403</v>
      </c>
      <c r="C2450" s="293">
        <v>32215</v>
      </c>
      <c r="D2450" s="293">
        <v>0</v>
      </c>
      <c r="E2450" s="293">
        <v>-32215</v>
      </c>
      <c r="F2450" s="294" t="s">
        <v>286</v>
      </c>
    </row>
    <row r="2451" spans="1:6" collapsed="1" x14ac:dyDescent="0.25">
      <c r="A2451" s="560" t="s">
        <v>1155</v>
      </c>
      <c r="B2451" s="561"/>
      <c r="C2451" s="292">
        <v>15000</v>
      </c>
      <c r="D2451" s="293">
        <v>16000</v>
      </c>
      <c r="E2451" s="293">
        <v>1000</v>
      </c>
      <c r="F2451" s="294" t="s">
        <v>1156</v>
      </c>
    </row>
    <row r="2452" spans="1:6" hidden="1" outlineLevel="1" collapsed="1" x14ac:dyDescent="0.25">
      <c r="A2452" s="295" t="s">
        <v>282</v>
      </c>
      <c r="B2452" s="295" t="s">
        <v>405</v>
      </c>
      <c r="C2452" s="293">
        <v>15000</v>
      </c>
      <c r="D2452" s="293">
        <v>16000</v>
      </c>
      <c r="E2452" s="293">
        <v>1000</v>
      </c>
      <c r="F2452" s="294" t="s">
        <v>1156</v>
      </c>
    </row>
    <row r="2453" spans="1:6" collapsed="1" x14ac:dyDescent="0.25">
      <c r="A2453" s="560" t="s">
        <v>1157</v>
      </c>
      <c r="B2453" s="561"/>
      <c r="C2453" s="292">
        <v>43862.295447999997</v>
      </c>
      <c r="D2453" s="293">
        <v>45728.831299999998</v>
      </c>
      <c r="E2453" s="293">
        <v>1866.535852</v>
      </c>
      <c r="F2453" s="294" t="s">
        <v>1158</v>
      </c>
    </row>
    <row r="2454" spans="1:6" hidden="1" outlineLevel="1" collapsed="1" x14ac:dyDescent="0.25">
      <c r="A2454" s="295" t="s">
        <v>282</v>
      </c>
      <c r="B2454" s="295" t="s">
        <v>464</v>
      </c>
      <c r="C2454" s="293">
        <v>21819.356059999998</v>
      </c>
      <c r="D2454" s="293">
        <v>22454.665027999999</v>
      </c>
      <c r="E2454" s="293">
        <v>635.30896800000005</v>
      </c>
      <c r="F2454" s="294" t="s">
        <v>630</v>
      </c>
    </row>
    <row r="2455" spans="1:6" hidden="1" outlineLevel="1" collapsed="1" x14ac:dyDescent="0.25">
      <c r="A2455" s="295" t="s">
        <v>282</v>
      </c>
      <c r="B2455" s="295" t="s">
        <v>384</v>
      </c>
      <c r="C2455" s="293">
        <v>2644.2349920000001</v>
      </c>
      <c r="D2455" s="293">
        <v>0</v>
      </c>
      <c r="E2455" s="293">
        <v>-2644.2349920000001</v>
      </c>
      <c r="F2455" s="294" t="s">
        <v>286</v>
      </c>
    </row>
    <row r="2456" spans="1:6" hidden="1" outlineLevel="1" collapsed="1" x14ac:dyDescent="0.25">
      <c r="A2456" s="295" t="s">
        <v>282</v>
      </c>
      <c r="B2456" s="295" t="s">
        <v>385</v>
      </c>
      <c r="C2456" s="293">
        <v>0</v>
      </c>
      <c r="D2456" s="293">
        <v>3421.4370720000002</v>
      </c>
      <c r="E2456" s="293">
        <v>3421.4370720000002</v>
      </c>
      <c r="F2456" s="294" t="s">
        <v>298</v>
      </c>
    </row>
    <row r="2457" spans="1:6" hidden="1" outlineLevel="1" collapsed="1" x14ac:dyDescent="0.25">
      <c r="A2457" s="295" t="s">
        <v>282</v>
      </c>
      <c r="B2457" s="295" t="s">
        <v>386</v>
      </c>
      <c r="C2457" s="293">
        <v>1352.800068</v>
      </c>
      <c r="D2457" s="293">
        <v>0</v>
      </c>
      <c r="E2457" s="293">
        <v>-1352.800068</v>
      </c>
      <c r="F2457" s="294" t="s">
        <v>286</v>
      </c>
    </row>
    <row r="2458" spans="1:6" hidden="1" outlineLevel="1" collapsed="1" x14ac:dyDescent="0.25">
      <c r="A2458" s="295" t="s">
        <v>282</v>
      </c>
      <c r="B2458" s="295" t="s">
        <v>387</v>
      </c>
      <c r="C2458" s="293">
        <v>0</v>
      </c>
      <c r="D2458" s="293">
        <v>1392.189228</v>
      </c>
      <c r="E2458" s="293">
        <v>1392.189228</v>
      </c>
      <c r="F2458" s="294" t="s">
        <v>298</v>
      </c>
    </row>
    <row r="2459" spans="1:6" hidden="1" outlineLevel="1" collapsed="1" x14ac:dyDescent="0.25">
      <c r="A2459" s="295" t="s">
        <v>282</v>
      </c>
      <c r="B2459" s="295" t="s">
        <v>388</v>
      </c>
      <c r="C2459" s="293">
        <v>316.38065999999998</v>
      </c>
      <c r="D2459" s="293">
        <v>325.59264000000002</v>
      </c>
      <c r="E2459" s="293">
        <v>9.2119800000000005</v>
      </c>
      <c r="F2459" s="294" t="s">
        <v>630</v>
      </c>
    </row>
    <row r="2460" spans="1:6" hidden="1" outlineLevel="1" collapsed="1" x14ac:dyDescent="0.25">
      <c r="A2460" s="295" t="s">
        <v>282</v>
      </c>
      <c r="B2460" s="295" t="s">
        <v>389</v>
      </c>
      <c r="C2460" s="293">
        <v>426.12479999999999</v>
      </c>
      <c r="D2460" s="293">
        <v>422.04</v>
      </c>
      <c r="E2460" s="293">
        <v>-4.0848000000000004</v>
      </c>
      <c r="F2460" s="294" t="s">
        <v>364</v>
      </c>
    </row>
    <row r="2461" spans="1:6" hidden="1" outlineLevel="1" collapsed="1" x14ac:dyDescent="0.25">
      <c r="A2461" s="295" t="s">
        <v>282</v>
      </c>
      <c r="B2461" s="295" t="s">
        <v>390</v>
      </c>
      <c r="C2461" s="293">
        <v>15485.27</v>
      </c>
      <c r="D2461" s="293">
        <v>15959.28</v>
      </c>
      <c r="E2461" s="293">
        <v>474.01</v>
      </c>
      <c r="F2461" s="294" t="s">
        <v>391</v>
      </c>
    </row>
    <row r="2462" spans="1:6" hidden="1" outlineLevel="1" collapsed="1" x14ac:dyDescent="0.25">
      <c r="A2462" s="295" t="s">
        <v>282</v>
      </c>
      <c r="B2462" s="295" t="s">
        <v>392</v>
      </c>
      <c r="C2462" s="293">
        <v>233.53919999999999</v>
      </c>
      <c r="D2462" s="293">
        <v>182.88</v>
      </c>
      <c r="E2462" s="293">
        <v>-50.659199999999998</v>
      </c>
      <c r="F2462" s="294" t="s">
        <v>368</v>
      </c>
    </row>
    <row r="2463" spans="1:6" hidden="1" outlineLevel="1" collapsed="1" x14ac:dyDescent="0.25">
      <c r="A2463" s="295" t="s">
        <v>282</v>
      </c>
      <c r="B2463" s="295" t="s">
        <v>393</v>
      </c>
      <c r="C2463" s="293">
        <v>10.909668</v>
      </c>
      <c r="D2463" s="293">
        <v>11.227332000000001</v>
      </c>
      <c r="E2463" s="293">
        <v>0.317664</v>
      </c>
      <c r="F2463" s="294" t="s">
        <v>630</v>
      </c>
    </row>
    <row r="2464" spans="1:6" hidden="1" outlineLevel="1" collapsed="1" x14ac:dyDescent="0.25">
      <c r="A2464" s="295" t="s">
        <v>282</v>
      </c>
      <c r="B2464" s="295" t="s">
        <v>394</v>
      </c>
      <c r="C2464" s="293">
        <v>1500</v>
      </c>
      <c r="D2464" s="293">
        <v>0</v>
      </c>
      <c r="E2464" s="293">
        <v>-1500</v>
      </c>
      <c r="F2464" s="294" t="s">
        <v>286</v>
      </c>
    </row>
    <row r="2465" spans="1:6" hidden="1" outlineLevel="1" collapsed="1" x14ac:dyDescent="0.25">
      <c r="A2465" s="295" t="s">
        <v>282</v>
      </c>
      <c r="B2465" s="295" t="s">
        <v>395</v>
      </c>
      <c r="C2465" s="293">
        <v>0</v>
      </c>
      <c r="D2465" s="293">
        <v>1500</v>
      </c>
      <c r="E2465" s="293">
        <v>1500</v>
      </c>
      <c r="F2465" s="294" t="s">
        <v>298</v>
      </c>
    </row>
    <row r="2466" spans="1:6" hidden="1" outlineLevel="1" collapsed="1" x14ac:dyDescent="0.25">
      <c r="A2466" s="295" t="s">
        <v>282</v>
      </c>
      <c r="B2466" s="295" t="s">
        <v>396</v>
      </c>
      <c r="C2466" s="293">
        <v>49.68</v>
      </c>
      <c r="D2466" s="293">
        <v>0</v>
      </c>
      <c r="E2466" s="293">
        <v>-49.68</v>
      </c>
      <c r="F2466" s="294" t="s">
        <v>286</v>
      </c>
    </row>
    <row r="2467" spans="1:6" hidden="1" outlineLevel="1" collapsed="1" x14ac:dyDescent="0.25">
      <c r="A2467" s="295" t="s">
        <v>282</v>
      </c>
      <c r="B2467" s="295" t="s">
        <v>397</v>
      </c>
      <c r="C2467" s="293">
        <v>0</v>
      </c>
      <c r="D2467" s="293">
        <v>48.48</v>
      </c>
      <c r="E2467" s="293">
        <v>48.48</v>
      </c>
      <c r="F2467" s="294" t="s">
        <v>298</v>
      </c>
    </row>
    <row r="2468" spans="1:6" hidden="1" outlineLevel="1" collapsed="1" x14ac:dyDescent="0.25">
      <c r="A2468" s="295" t="s">
        <v>282</v>
      </c>
      <c r="B2468" s="295" t="s">
        <v>398</v>
      </c>
      <c r="C2468" s="293">
        <v>24</v>
      </c>
      <c r="D2468" s="293">
        <v>11.04</v>
      </c>
      <c r="E2468" s="293">
        <v>-12.96</v>
      </c>
      <c r="F2468" s="294" t="s">
        <v>374</v>
      </c>
    </row>
    <row r="2469" spans="1:6" hidden="1" outlineLevel="1" collapsed="1" x14ac:dyDescent="0.25">
      <c r="A2469" s="295" t="s">
        <v>282</v>
      </c>
      <c r="B2469" s="295" t="s">
        <v>405</v>
      </c>
      <c r="C2469" s="293">
        <v>0</v>
      </c>
      <c r="D2469" s="293">
        <v>0</v>
      </c>
      <c r="E2469" s="293">
        <v>0</v>
      </c>
      <c r="F2469" s="294" t="s">
        <v>316</v>
      </c>
    </row>
    <row r="2470" spans="1:6" collapsed="1" x14ac:dyDescent="0.25">
      <c r="A2470" s="560" t="s">
        <v>1159</v>
      </c>
      <c r="B2470" s="561"/>
      <c r="C2470" s="292">
        <v>1114977.47</v>
      </c>
      <c r="D2470" s="293">
        <v>1017720</v>
      </c>
      <c r="E2470" s="293">
        <v>-97257.47</v>
      </c>
      <c r="F2470" s="294" t="s">
        <v>1160</v>
      </c>
    </row>
    <row r="2471" spans="1:6" hidden="1" outlineLevel="1" collapsed="1" x14ac:dyDescent="0.25">
      <c r="A2471" s="295" t="s">
        <v>282</v>
      </c>
      <c r="B2471" s="295" t="s">
        <v>376</v>
      </c>
      <c r="C2471" s="293">
        <v>51600</v>
      </c>
      <c r="D2471" s="293">
        <v>53700</v>
      </c>
      <c r="E2471" s="293">
        <v>2100</v>
      </c>
      <c r="F2471" s="294" t="s">
        <v>411</v>
      </c>
    </row>
    <row r="2472" spans="1:6" hidden="1" outlineLevel="1" collapsed="1" x14ac:dyDescent="0.25">
      <c r="A2472" s="295" t="s">
        <v>282</v>
      </c>
      <c r="B2472" s="295" t="s">
        <v>662</v>
      </c>
      <c r="C2472" s="293">
        <v>0</v>
      </c>
      <c r="D2472" s="293">
        <v>300</v>
      </c>
      <c r="E2472" s="293">
        <v>300</v>
      </c>
      <c r="F2472" s="294" t="s">
        <v>298</v>
      </c>
    </row>
    <row r="2473" spans="1:6" hidden="1" outlineLevel="1" collapsed="1" x14ac:dyDescent="0.25">
      <c r="A2473" s="295" t="s">
        <v>282</v>
      </c>
      <c r="B2473" s="295" t="s">
        <v>567</v>
      </c>
      <c r="C2473" s="293">
        <v>128608</v>
      </c>
      <c r="D2473" s="293">
        <v>125275</v>
      </c>
      <c r="E2473" s="293">
        <v>-3333</v>
      </c>
      <c r="F2473" s="294" t="s">
        <v>1161</v>
      </c>
    </row>
    <row r="2474" spans="1:6" hidden="1" outlineLevel="1" collapsed="1" x14ac:dyDescent="0.25">
      <c r="A2474" s="295" t="s">
        <v>282</v>
      </c>
      <c r="B2474" s="295" t="s">
        <v>426</v>
      </c>
      <c r="C2474" s="293">
        <v>1900</v>
      </c>
      <c r="D2474" s="293">
        <v>0</v>
      </c>
      <c r="E2474" s="293">
        <v>-1900</v>
      </c>
      <c r="F2474" s="294" t="s">
        <v>286</v>
      </c>
    </row>
    <row r="2475" spans="1:6" hidden="1" outlineLevel="1" collapsed="1" x14ac:dyDescent="0.25">
      <c r="A2475" s="295" t="s">
        <v>282</v>
      </c>
      <c r="B2475" s="295" t="s">
        <v>842</v>
      </c>
      <c r="C2475" s="293">
        <v>945</v>
      </c>
      <c r="D2475" s="293">
        <v>945</v>
      </c>
      <c r="E2475" s="293">
        <v>0</v>
      </c>
      <c r="F2475" s="294" t="s">
        <v>316</v>
      </c>
    </row>
    <row r="2476" spans="1:6" hidden="1" outlineLevel="1" collapsed="1" x14ac:dyDescent="0.25">
      <c r="A2476" s="295" t="s">
        <v>282</v>
      </c>
      <c r="B2476" s="295" t="s">
        <v>415</v>
      </c>
      <c r="C2476" s="293">
        <v>61513</v>
      </c>
      <c r="D2476" s="293">
        <v>10000</v>
      </c>
      <c r="E2476" s="293">
        <v>-51513</v>
      </c>
      <c r="F2476" s="294" t="s">
        <v>1162</v>
      </c>
    </row>
    <row r="2477" spans="1:6" hidden="1" outlineLevel="1" collapsed="1" x14ac:dyDescent="0.25">
      <c r="A2477" s="295" t="s">
        <v>282</v>
      </c>
      <c r="B2477" s="295" t="s">
        <v>1163</v>
      </c>
      <c r="C2477" s="293">
        <v>54000</v>
      </c>
      <c r="D2477" s="293">
        <v>65000</v>
      </c>
      <c r="E2477" s="293">
        <v>11000</v>
      </c>
      <c r="F2477" s="294" t="s">
        <v>1164</v>
      </c>
    </row>
    <row r="2478" spans="1:6" hidden="1" outlineLevel="1" collapsed="1" x14ac:dyDescent="0.25">
      <c r="A2478" s="295" t="s">
        <v>282</v>
      </c>
      <c r="B2478" s="295" t="s">
        <v>604</v>
      </c>
      <c r="C2478" s="293">
        <v>40000</v>
      </c>
      <c r="D2478" s="293">
        <v>40000</v>
      </c>
      <c r="E2478" s="293">
        <v>0</v>
      </c>
      <c r="F2478" s="294" t="s">
        <v>316</v>
      </c>
    </row>
    <row r="2479" spans="1:6" hidden="1" outlineLevel="1" collapsed="1" x14ac:dyDescent="0.25">
      <c r="A2479" s="295" t="s">
        <v>282</v>
      </c>
      <c r="B2479" s="295" t="s">
        <v>1165</v>
      </c>
      <c r="C2479" s="293">
        <v>31206</v>
      </c>
      <c r="D2479" s="293">
        <v>30000</v>
      </c>
      <c r="E2479" s="293">
        <v>-1206</v>
      </c>
      <c r="F2479" s="294" t="s">
        <v>1166</v>
      </c>
    </row>
    <row r="2480" spans="1:6" hidden="1" outlineLevel="1" collapsed="1" x14ac:dyDescent="0.25">
      <c r="A2480" s="295" t="s">
        <v>282</v>
      </c>
      <c r="B2480" s="295" t="s">
        <v>1167</v>
      </c>
      <c r="C2480" s="293">
        <v>18636</v>
      </c>
      <c r="D2480" s="293">
        <v>21250</v>
      </c>
      <c r="E2480" s="293">
        <v>2614</v>
      </c>
      <c r="F2480" s="294" t="s">
        <v>581</v>
      </c>
    </row>
    <row r="2481" spans="1:6" hidden="1" outlineLevel="1" collapsed="1" x14ac:dyDescent="0.25">
      <c r="A2481" s="295" t="s">
        <v>282</v>
      </c>
      <c r="B2481" s="295" t="s">
        <v>416</v>
      </c>
      <c r="C2481" s="293">
        <v>47106</v>
      </c>
      <c r="D2481" s="293">
        <v>67250</v>
      </c>
      <c r="E2481" s="293">
        <v>20144</v>
      </c>
      <c r="F2481" s="294" t="s">
        <v>1168</v>
      </c>
    </row>
    <row r="2482" spans="1:6" hidden="1" outlineLevel="1" collapsed="1" x14ac:dyDescent="0.25">
      <c r="A2482" s="295" t="s">
        <v>282</v>
      </c>
      <c r="B2482" s="295" t="s">
        <v>543</v>
      </c>
      <c r="C2482" s="293">
        <v>14153</v>
      </c>
      <c r="D2482" s="293">
        <v>20000</v>
      </c>
      <c r="E2482" s="293">
        <v>5847</v>
      </c>
      <c r="F2482" s="294" t="s">
        <v>1169</v>
      </c>
    </row>
    <row r="2483" spans="1:6" hidden="1" outlineLevel="1" collapsed="1" x14ac:dyDescent="0.25">
      <c r="A2483" s="295" t="s">
        <v>282</v>
      </c>
      <c r="B2483" s="295" t="s">
        <v>448</v>
      </c>
      <c r="C2483" s="293">
        <v>50790</v>
      </c>
      <c r="D2483" s="293">
        <v>50000</v>
      </c>
      <c r="E2483" s="293">
        <v>-790</v>
      </c>
      <c r="F2483" s="294" t="s">
        <v>1170</v>
      </c>
    </row>
    <row r="2484" spans="1:6" hidden="1" outlineLevel="1" collapsed="1" x14ac:dyDescent="0.25">
      <c r="A2484" s="295" t="s">
        <v>282</v>
      </c>
      <c r="B2484" s="295" t="s">
        <v>884</v>
      </c>
      <c r="C2484" s="293">
        <v>137274</v>
      </c>
      <c r="D2484" s="293">
        <v>235000</v>
      </c>
      <c r="E2484" s="293">
        <v>97726</v>
      </c>
      <c r="F2484" s="294" t="s">
        <v>1171</v>
      </c>
    </row>
    <row r="2485" spans="1:6" hidden="1" outlineLevel="1" collapsed="1" x14ac:dyDescent="0.25">
      <c r="A2485" s="295" t="s">
        <v>282</v>
      </c>
      <c r="B2485" s="295" t="s">
        <v>1172</v>
      </c>
      <c r="C2485" s="293">
        <v>5200</v>
      </c>
      <c r="D2485" s="293">
        <v>40000</v>
      </c>
      <c r="E2485" s="293">
        <v>34800</v>
      </c>
      <c r="F2485" s="294" t="s">
        <v>1173</v>
      </c>
    </row>
    <row r="2486" spans="1:6" hidden="1" outlineLevel="1" collapsed="1" x14ac:dyDescent="0.25">
      <c r="A2486" s="295" t="s">
        <v>282</v>
      </c>
      <c r="B2486" s="295" t="s">
        <v>403</v>
      </c>
      <c r="C2486" s="293">
        <v>178085</v>
      </c>
      <c r="D2486" s="293">
        <v>138000</v>
      </c>
      <c r="E2486" s="293">
        <v>-40085</v>
      </c>
      <c r="F2486" s="294" t="s">
        <v>1174</v>
      </c>
    </row>
    <row r="2487" spans="1:6" hidden="1" outlineLevel="1" collapsed="1" x14ac:dyDescent="0.25">
      <c r="A2487" s="295" t="s">
        <v>282</v>
      </c>
      <c r="B2487" s="295" t="s">
        <v>1054</v>
      </c>
      <c r="C2487" s="293">
        <v>18000</v>
      </c>
      <c r="D2487" s="293">
        <v>33000</v>
      </c>
      <c r="E2487" s="293">
        <v>15000</v>
      </c>
      <c r="F2487" s="294" t="s">
        <v>1175</v>
      </c>
    </row>
    <row r="2488" spans="1:6" hidden="1" outlineLevel="1" collapsed="1" x14ac:dyDescent="0.25">
      <c r="A2488" s="295" t="s">
        <v>282</v>
      </c>
      <c r="B2488" s="295" t="s">
        <v>1176</v>
      </c>
      <c r="C2488" s="293">
        <v>0</v>
      </c>
      <c r="D2488" s="293">
        <v>0</v>
      </c>
      <c r="E2488" s="293">
        <v>0</v>
      </c>
      <c r="F2488" s="294" t="s">
        <v>316</v>
      </c>
    </row>
    <row r="2489" spans="1:6" hidden="1" outlineLevel="1" collapsed="1" x14ac:dyDescent="0.25">
      <c r="A2489" s="295" t="s">
        <v>282</v>
      </c>
      <c r="B2489" s="295" t="s">
        <v>405</v>
      </c>
      <c r="C2489" s="293">
        <v>14000</v>
      </c>
      <c r="D2489" s="293">
        <v>38000</v>
      </c>
      <c r="E2489" s="293">
        <v>24000</v>
      </c>
      <c r="F2489" s="294" t="s">
        <v>1177</v>
      </c>
    </row>
    <row r="2490" spans="1:6" hidden="1" outlineLevel="1" collapsed="1" x14ac:dyDescent="0.25">
      <c r="A2490" s="295" t="s">
        <v>282</v>
      </c>
      <c r="B2490" s="295" t="s">
        <v>557</v>
      </c>
      <c r="C2490" s="293">
        <v>500</v>
      </c>
      <c r="D2490" s="293">
        <v>0</v>
      </c>
      <c r="E2490" s="293">
        <v>-500</v>
      </c>
      <c r="F2490" s="294" t="s">
        <v>286</v>
      </c>
    </row>
    <row r="2491" spans="1:6" hidden="1" outlineLevel="1" collapsed="1" x14ac:dyDescent="0.25">
      <c r="A2491" s="295" t="s">
        <v>282</v>
      </c>
      <c r="B2491" s="295" t="s">
        <v>831</v>
      </c>
      <c r="C2491" s="293">
        <v>184000</v>
      </c>
      <c r="D2491" s="293">
        <v>20000</v>
      </c>
      <c r="E2491" s="293">
        <v>-164000</v>
      </c>
      <c r="F2491" s="294" t="s">
        <v>1178</v>
      </c>
    </row>
    <row r="2492" spans="1:6" hidden="1" outlineLevel="1" collapsed="1" x14ac:dyDescent="0.25">
      <c r="A2492" s="295" t="s">
        <v>282</v>
      </c>
      <c r="B2492" s="295" t="s">
        <v>422</v>
      </c>
      <c r="C2492" s="293">
        <v>77461.47</v>
      </c>
      <c r="D2492" s="293">
        <v>30000</v>
      </c>
      <c r="E2492" s="293">
        <v>-47461.47</v>
      </c>
      <c r="F2492" s="294" t="s">
        <v>1179</v>
      </c>
    </row>
    <row r="2493" spans="1:6" collapsed="1" x14ac:dyDescent="0.25">
      <c r="A2493" s="560" t="s">
        <v>1180</v>
      </c>
      <c r="B2493" s="561"/>
      <c r="C2493" s="292">
        <v>131206.60399199999</v>
      </c>
      <c r="D2493" s="293">
        <v>103736.081068</v>
      </c>
      <c r="E2493" s="293">
        <v>-27470.522924000001</v>
      </c>
      <c r="F2493" s="294" t="s">
        <v>1181</v>
      </c>
    </row>
    <row r="2494" spans="1:6" hidden="1" outlineLevel="1" collapsed="1" x14ac:dyDescent="0.25">
      <c r="A2494" s="295" t="s">
        <v>282</v>
      </c>
      <c r="B2494" s="295" t="s">
        <v>464</v>
      </c>
      <c r="C2494" s="293">
        <v>85762.939488000004</v>
      </c>
      <c r="D2494" s="293">
        <v>88355.120292000007</v>
      </c>
      <c r="E2494" s="293">
        <v>2592.1808040000001</v>
      </c>
      <c r="F2494" s="294" t="s">
        <v>520</v>
      </c>
    </row>
    <row r="2495" spans="1:6" hidden="1" outlineLevel="1" collapsed="1" x14ac:dyDescent="0.25">
      <c r="A2495" s="295" t="s">
        <v>282</v>
      </c>
      <c r="B2495" s="295" t="s">
        <v>386</v>
      </c>
      <c r="C2495" s="293">
        <v>5317.30224</v>
      </c>
      <c r="D2495" s="293">
        <v>0</v>
      </c>
      <c r="E2495" s="293">
        <v>-5317.30224</v>
      </c>
      <c r="F2495" s="294" t="s">
        <v>286</v>
      </c>
    </row>
    <row r="2496" spans="1:6" hidden="1" outlineLevel="1" collapsed="1" x14ac:dyDescent="0.25">
      <c r="A2496" s="295" t="s">
        <v>282</v>
      </c>
      <c r="B2496" s="295" t="s">
        <v>387</v>
      </c>
      <c r="C2496" s="293">
        <v>0</v>
      </c>
      <c r="D2496" s="293">
        <v>5478.0174479999996</v>
      </c>
      <c r="E2496" s="293">
        <v>5478.0174479999996</v>
      </c>
      <c r="F2496" s="294" t="s">
        <v>298</v>
      </c>
    </row>
    <row r="2497" spans="1:6" hidden="1" outlineLevel="1" collapsed="1" x14ac:dyDescent="0.25">
      <c r="A2497" s="295" t="s">
        <v>282</v>
      </c>
      <c r="B2497" s="295" t="s">
        <v>388</v>
      </c>
      <c r="C2497" s="293">
        <v>1243.5626159999999</v>
      </c>
      <c r="D2497" s="293">
        <v>1281.149232</v>
      </c>
      <c r="E2497" s="293">
        <v>37.586615999999999</v>
      </c>
      <c r="F2497" s="294" t="s">
        <v>520</v>
      </c>
    </row>
    <row r="2498" spans="1:6" hidden="1" outlineLevel="1" collapsed="1" x14ac:dyDescent="0.25">
      <c r="A2498" s="295" t="s">
        <v>282</v>
      </c>
      <c r="B2498" s="295" t="s">
        <v>480</v>
      </c>
      <c r="C2498" s="293">
        <v>1114.9182000000001</v>
      </c>
      <c r="D2498" s="293">
        <v>1148.616552</v>
      </c>
      <c r="E2498" s="293">
        <v>33.698352</v>
      </c>
      <c r="F2498" s="294" t="s">
        <v>520</v>
      </c>
    </row>
    <row r="2499" spans="1:6" hidden="1" outlineLevel="1" collapsed="1" x14ac:dyDescent="0.25">
      <c r="A2499" s="295" t="s">
        <v>282</v>
      </c>
      <c r="B2499" s="295" t="s">
        <v>393</v>
      </c>
      <c r="C2499" s="293">
        <v>42.881447999999999</v>
      </c>
      <c r="D2499" s="293">
        <v>44.177543999999997</v>
      </c>
      <c r="E2499" s="293">
        <v>1.2960959999999999</v>
      </c>
      <c r="F2499" s="294" t="s">
        <v>520</v>
      </c>
    </row>
    <row r="2500" spans="1:6" hidden="1" outlineLevel="1" collapsed="1" x14ac:dyDescent="0.25">
      <c r="A2500" s="295" t="s">
        <v>282</v>
      </c>
      <c r="B2500" s="295" t="s">
        <v>376</v>
      </c>
      <c r="C2500" s="293">
        <v>0</v>
      </c>
      <c r="D2500" s="293">
        <v>5929</v>
      </c>
      <c r="E2500" s="293">
        <v>5929</v>
      </c>
      <c r="F2500" s="294" t="s">
        <v>298</v>
      </c>
    </row>
    <row r="2501" spans="1:6" hidden="1" outlineLevel="1" collapsed="1" x14ac:dyDescent="0.25">
      <c r="A2501" s="295" t="s">
        <v>282</v>
      </c>
      <c r="B2501" s="295" t="s">
        <v>403</v>
      </c>
      <c r="C2501" s="293">
        <v>0</v>
      </c>
      <c r="D2501" s="293">
        <v>500</v>
      </c>
      <c r="E2501" s="293">
        <v>500</v>
      </c>
      <c r="F2501" s="294" t="s">
        <v>298</v>
      </c>
    </row>
    <row r="2502" spans="1:6" hidden="1" outlineLevel="1" collapsed="1" x14ac:dyDescent="0.25">
      <c r="A2502" s="295" t="s">
        <v>282</v>
      </c>
      <c r="B2502" s="295" t="s">
        <v>405</v>
      </c>
      <c r="C2502" s="293">
        <v>0</v>
      </c>
      <c r="D2502" s="293">
        <v>500</v>
      </c>
      <c r="E2502" s="293">
        <v>500</v>
      </c>
      <c r="F2502" s="294" t="s">
        <v>298</v>
      </c>
    </row>
    <row r="2503" spans="1:6" hidden="1" outlineLevel="1" collapsed="1" x14ac:dyDescent="0.25">
      <c r="A2503" s="295" t="s">
        <v>282</v>
      </c>
      <c r="B2503" s="295" t="s">
        <v>422</v>
      </c>
      <c r="C2503" s="293">
        <v>37725</v>
      </c>
      <c r="D2503" s="293">
        <v>500</v>
      </c>
      <c r="E2503" s="293">
        <v>-37225</v>
      </c>
      <c r="F2503" s="294" t="s">
        <v>1182</v>
      </c>
    </row>
    <row r="2504" spans="1:6" collapsed="1" x14ac:dyDescent="0.25">
      <c r="A2504" s="560" t="s">
        <v>1183</v>
      </c>
      <c r="B2504" s="561"/>
      <c r="C2504" s="292">
        <v>58082.084842999997</v>
      </c>
      <c r="D2504" s="293">
        <v>125325.336</v>
      </c>
      <c r="E2504" s="293">
        <v>67243.251157000006</v>
      </c>
      <c r="F2504" s="294" t="s">
        <v>1184</v>
      </c>
    </row>
    <row r="2505" spans="1:6" hidden="1" outlineLevel="1" collapsed="1" x14ac:dyDescent="0.25">
      <c r="A2505" s="295" t="s">
        <v>282</v>
      </c>
      <c r="B2505" s="295" t="s">
        <v>464</v>
      </c>
      <c r="C2505" s="293">
        <v>38867.011028000001</v>
      </c>
      <c r="D2505" s="293">
        <v>40022.118236000002</v>
      </c>
      <c r="E2505" s="293">
        <v>1155.1072079999999</v>
      </c>
      <c r="F2505" s="294" t="s">
        <v>553</v>
      </c>
    </row>
    <row r="2506" spans="1:6" hidden="1" outlineLevel="1" collapsed="1" x14ac:dyDescent="0.25">
      <c r="A2506" s="295" t="s">
        <v>282</v>
      </c>
      <c r="B2506" s="295" t="s">
        <v>945</v>
      </c>
      <c r="C2506" s="293">
        <v>0</v>
      </c>
      <c r="D2506" s="293">
        <v>2500</v>
      </c>
      <c r="E2506" s="293">
        <v>2500</v>
      </c>
      <c r="F2506" s="294" t="s">
        <v>298</v>
      </c>
    </row>
    <row r="2507" spans="1:6" hidden="1" outlineLevel="1" collapsed="1" x14ac:dyDescent="0.25">
      <c r="A2507" s="295" t="s">
        <v>282</v>
      </c>
      <c r="B2507" s="295" t="s">
        <v>476</v>
      </c>
      <c r="C2507" s="293">
        <v>0</v>
      </c>
      <c r="D2507" s="293">
        <v>0</v>
      </c>
      <c r="E2507" s="293">
        <v>0</v>
      </c>
      <c r="F2507" s="294" t="s">
        <v>316</v>
      </c>
    </row>
    <row r="2508" spans="1:6" hidden="1" outlineLevel="1" collapsed="1" x14ac:dyDescent="0.25">
      <c r="A2508" s="295" t="s">
        <v>282</v>
      </c>
      <c r="B2508" s="295" t="s">
        <v>384</v>
      </c>
      <c r="C2508" s="293">
        <v>4807.6999800000003</v>
      </c>
      <c r="D2508" s="293">
        <v>0</v>
      </c>
      <c r="E2508" s="293">
        <v>-4807.6999800000003</v>
      </c>
      <c r="F2508" s="294" t="s">
        <v>286</v>
      </c>
    </row>
    <row r="2509" spans="1:6" hidden="1" outlineLevel="1" collapsed="1" x14ac:dyDescent="0.25">
      <c r="A2509" s="295" t="s">
        <v>282</v>
      </c>
      <c r="B2509" s="295" t="s">
        <v>385</v>
      </c>
      <c r="C2509" s="293">
        <v>0</v>
      </c>
      <c r="D2509" s="293">
        <v>6220.794672</v>
      </c>
      <c r="E2509" s="293">
        <v>6220.794672</v>
      </c>
      <c r="F2509" s="294" t="s">
        <v>298</v>
      </c>
    </row>
    <row r="2510" spans="1:6" hidden="1" outlineLevel="1" collapsed="1" x14ac:dyDescent="0.25">
      <c r="A2510" s="295" t="s">
        <v>282</v>
      </c>
      <c r="B2510" s="295" t="s">
        <v>386</v>
      </c>
      <c r="C2510" s="293">
        <v>2409.75468</v>
      </c>
      <c r="D2510" s="293">
        <v>0</v>
      </c>
      <c r="E2510" s="293">
        <v>-2409.75468</v>
      </c>
      <c r="F2510" s="294" t="s">
        <v>286</v>
      </c>
    </row>
    <row r="2511" spans="1:6" hidden="1" outlineLevel="1" collapsed="1" x14ac:dyDescent="0.25">
      <c r="A2511" s="295" t="s">
        <v>282</v>
      </c>
      <c r="B2511" s="295" t="s">
        <v>387</v>
      </c>
      <c r="C2511" s="293">
        <v>0</v>
      </c>
      <c r="D2511" s="293">
        <v>2481.3713280000002</v>
      </c>
      <c r="E2511" s="293">
        <v>2481.3713280000002</v>
      </c>
      <c r="F2511" s="294" t="s">
        <v>298</v>
      </c>
    </row>
    <row r="2512" spans="1:6" hidden="1" outlineLevel="1" collapsed="1" x14ac:dyDescent="0.25">
      <c r="A2512" s="295" t="s">
        <v>282</v>
      </c>
      <c r="B2512" s="295" t="s">
        <v>388</v>
      </c>
      <c r="C2512" s="293">
        <v>563.57165899999995</v>
      </c>
      <c r="D2512" s="293">
        <v>580.32070799999997</v>
      </c>
      <c r="E2512" s="293">
        <v>16.749048999999999</v>
      </c>
      <c r="F2512" s="294" t="s">
        <v>553</v>
      </c>
    </row>
    <row r="2513" spans="1:6" hidden="1" outlineLevel="1" collapsed="1" x14ac:dyDescent="0.25">
      <c r="A2513" s="295" t="s">
        <v>282</v>
      </c>
      <c r="B2513" s="295" t="s">
        <v>444</v>
      </c>
      <c r="C2513" s="293">
        <v>225</v>
      </c>
      <c r="D2513" s="293">
        <v>225</v>
      </c>
      <c r="E2513" s="293">
        <v>0</v>
      </c>
      <c r="F2513" s="294" t="s">
        <v>316</v>
      </c>
    </row>
    <row r="2514" spans="1:6" hidden="1" outlineLevel="1" collapsed="1" x14ac:dyDescent="0.25">
      <c r="A2514" s="295" t="s">
        <v>282</v>
      </c>
      <c r="B2514" s="295" t="s">
        <v>389</v>
      </c>
      <c r="C2514" s="293">
        <v>426.12479999999999</v>
      </c>
      <c r="D2514" s="293">
        <v>422.04</v>
      </c>
      <c r="E2514" s="293">
        <v>-4.0848000000000004</v>
      </c>
      <c r="F2514" s="294" t="s">
        <v>364</v>
      </c>
    </row>
    <row r="2515" spans="1:6" hidden="1" outlineLevel="1" collapsed="1" x14ac:dyDescent="0.25">
      <c r="A2515" s="295" t="s">
        <v>282</v>
      </c>
      <c r="B2515" s="295" t="s">
        <v>390</v>
      </c>
      <c r="C2515" s="293">
        <v>15485.27</v>
      </c>
      <c r="D2515" s="293">
        <v>15959.28</v>
      </c>
      <c r="E2515" s="293">
        <v>474.01</v>
      </c>
      <c r="F2515" s="294" t="s">
        <v>391</v>
      </c>
    </row>
    <row r="2516" spans="1:6" hidden="1" outlineLevel="1" collapsed="1" x14ac:dyDescent="0.25">
      <c r="A2516" s="295" t="s">
        <v>282</v>
      </c>
      <c r="B2516" s="295" t="s">
        <v>392</v>
      </c>
      <c r="C2516" s="293">
        <v>233.53919999999999</v>
      </c>
      <c r="D2516" s="293">
        <v>182.88</v>
      </c>
      <c r="E2516" s="293">
        <v>-50.659199999999998</v>
      </c>
      <c r="F2516" s="294" t="s">
        <v>368</v>
      </c>
    </row>
    <row r="2517" spans="1:6" hidden="1" outlineLevel="1" collapsed="1" x14ac:dyDescent="0.25">
      <c r="A2517" s="295" t="s">
        <v>282</v>
      </c>
      <c r="B2517" s="295" t="s">
        <v>393</v>
      </c>
      <c r="C2517" s="293">
        <v>19.433496000000002</v>
      </c>
      <c r="D2517" s="293">
        <v>20.011056</v>
      </c>
      <c r="E2517" s="293">
        <v>0.57755999999999996</v>
      </c>
      <c r="F2517" s="294" t="s">
        <v>553</v>
      </c>
    </row>
    <row r="2518" spans="1:6" hidden="1" outlineLevel="1" collapsed="1" x14ac:dyDescent="0.25">
      <c r="A2518" s="295" t="s">
        <v>282</v>
      </c>
      <c r="B2518" s="295" t="s">
        <v>394</v>
      </c>
      <c r="C2518" s="293">
        <v>1500</v>
      </c>
      <c r="D2518" s="293">
        <v>0</v>
      </c>
      <c r="E2518" s="293">
        <v>-1500</v>
      </c>
      <c r="F2518" s="294" t="s">
        <v>286</v>
      </c>
    </row>
    <row r="2519" spans="1:6" hidden="1" outlineLevel="1" collapsed="1" x14ac:dyDescent="0.25">
      <c r="A2519" s="295" t="s">
        <v>282</v>
      </c>
      <c r="B2519" s="295" t="s">
        <v>395</v>
      </c>
      <c r="C2519" s="293">
        <v>0</v>
      </c>
      <c r="D2519" s="293">
        <v>1500</v>
      </c>
      <c r="E2519" s="293">
        <v>1500</v>
      </c>
      <c r="F2519" s="294" t="s">
        <v>298</v>
      </c>
    </row>
    <row r="2520" spans="1:6" hidden="1" outlineLevel="1" collapsed="1" x14ac:dyDescent="0.25">
      <c r="A2520" s="295" t="s">
        <v>282</v>
      </c>
      <c r="B2520" s="295" t="s">
        <v>396</v>
      </c>
      <c r="C2520" s="293">
        <v>49.68</v>
      </c>
      <c r="D2520" s="293">
        <v>0</v>
      </c>
      <c r="E2520" s="293">
        <v>-49.68</v>
      </c>
      <c r="F2520" s="294" t="s">
        <v>286</v>
      </c>
    </row>
    <row r="2521" spans="1:6" hidden="1" outlineLevel="1" collapsed="1" x14ac:dyDescent="0.25">
      <c r="A2521" s="295" t="s">
        <v>282</v>
      </c>
      <c r="B2521" s="295" t="s">
        <v>397</v>
      </c>
      <c r="C2521" s="293">
        <v>0</v>
      </c>
      <c r="D2521" s="293">
        <v>48.48</v>
      </c>
      <c r="E2521" s="293">
        <v>48.48</v>
      </c>
      <c r="F2521" s="294" t="s">
        <v>298</v>
      </c>
    </row>
    <row r="2522" spans="1:6" hidden="1" outlineLevel="1" collapsed="1" x14ac:dyDescent="0.25">
      <c r="A2522" s="295" t="s">
        <v>282</v>
      </c>
      <c r="B2522" s="295" t="s">
        <v>398</v>
      </c>
      <c r="C2522" s="293">
        <v>24</v>
      </c>
      <c r="D2522" s="293">
        <v>11.04</v>
      </c>
      <c r="E2522" s="293">
        <v>-12.96</v>
      </c>
      <c r="F2522" s="294" t="s">
        <v>374</v>
      </c>
    </row>
    <row r="2523" spans="1:6" hidden="1" outlineLevel="1" collapsed="1" x14ac:dyDescent="0.25">
      <c r="A2523" s="295" t="s">
        <v>282</v>
      </c>
      <c r="B2523" s="295" t="s">
        <v>376</v>
      </c>
      <c r="C2523" s="293">
        <v>2375</v>
      </c>
      <c r="D2523" s="293">
        <v>2375</v>
      </c>
      <c r="E2523" s="293">
        <v>0</v>
      </c>
      <c r="F2523" s="294" t="s">
        <v>316</v>
      </c>
    </row>
    <row r="2524" spans="1:6" hidden="1" outlineLevel="1" collapsed="1" x14ac:dyDescent="0.25">
      <c r="A2524" s="295" t="s">
        <v>282</v>
      </c>
      <c r="B2524" s="295" t="s">
        <v>842</v>
      </c>
      <c r="C2524" s="293">
        <v>-16410</v>
      </c>
      <c r="D2524" s="293">
        <v>43471</v>
      </c>
      <c r="E2524" s="293">
        <v>59881</v>
      </c>
      <c r="F2524" s="294" t="s">
        <v>1185</v>
      </c>
    </row>
    <row r="2525" spans="1:6" hidden="1" outlineLevel="1" collapsed="1" x14ac:dyDescent="0.25">
      <c r="A2525" s="295" t="s">
        <v>282</v>
      </c>
      <c r="B2525" s="295" t="s">
        <v>543</v>
      </c>
      <c r="C2525" s="293">
        <v>6700</v>
      </c>
      <c r="D2525" s="293">
        <v>8300</v>
      </c>
      <c r="E2525" s="293">
        <v>1600</v>
      </c>
      <c r="F2525" s="294" t="s">
        <v>1186</v>
      </c>
    </row>
    <row r="2526" spans="1:6" hidden="1" outlineLevel="1" collapsed="1" x14ac:dyDescent="0.25">
      <c r="A2526" s="295" t="s">
        <v>282</v>
      </c>
      <c r="B2526" s="295" t="s">
        <v>405</v>
      </c>
      <c r="C2526" s="293">
        <v>806</v>
      </c>
      <c r="D2526" s="293">
        <v>1006</v>
      </c>
      <c r="E2526" s="293">
        <v>200</v>
      </c>
      <c r="F2526" s="294" t="s">
        <v>1187</v>
      </c>
    </row>
    <row r="2527" spans="1:6" collapsed="1" x14ac:dyDescent="0.25">
      <c r="A2527" s="560" t="s">
        <v>1188</v>
      </c>
      <c r="B2527" s="561"/>
      <c r="C2527" s="292">
        <v>5985</v>
      </c>
      <c r="D2527" s="293">
        <v>5985</v>
      </c>
      <c r="E2527" s="293">
        <v>0</v>
      </c>
      <c r="F2527" s="294" t="s">
        <v>316</v>
      </c>
    </row>
    <row r="2528" spans="1:6" hidden="1" outlineLevel="1" collapsed="1" x14ac:dyDescent="0.25">
      <c r="A2528" s="295" t="s">
        <v>282</v>
      </c>
      <c r="B2528" s="295" t="s">
        <v>662</v>
      </c>
      <c r="C2528" s="293">
        <v>0</v>
      </c>
      <c r="D2528" s="293">
        <v>100</v>
      </c>
      <c r="E2528" s="293">
        <v>100</v>
      </c>
      <c r="F2528" s="294" t="s">
        <v>298</v>
      </c>
    </row>
    <row r="2529" spans="1:6" hidden="1" outlineLevel="1" collapsed="1" x14ac:dyDescent="0.25">
      <c r="A2529" s="295" t="s">
        <v>282</v>
      </c>
      <c r="B2529" s="295" t="s">
        <v>506</v>
      </c>
      <c r="C2529" s="293">
        <v>130.57</v>
      </c>
      <c r="D2529" s="293">
        <v>500</v>
      </c>
      <c r="E2529" s="293">
        <v>369.43</v>
      </c>
      <c r="F2529" s="294" t="s">
        <v>1189</v>
      </c>
    </row>
    <row r="2530" spans="1:6" hidden="1" outlineLevel="1" collapsed="1" x14ac:dyDescent="0.25">
      <c r="A2530" s="295" t="s">
        <v>282</v>
      </c>
      <c r="B2530" s="295" t="s">
        <v>567</v>
      </c>
      <c r="C2530" s="293">
        <v>0</v>
      </c>
      <c r="D2530" s="293">
        <v>125</v>
      </c>
      <c r="E2530" s="293">
        <v>125</v>
      </c>
      <c r="F2530" s="294" t="s">
        <v>298</v>
      </c>
    </row>
    <row r="2531" spans="1:6" hidden="1" outlineLevel="1" collapsed="1" x14ac:dyDescent="0.25">
      <c r="A2531" s="295" t="s">
        <v>282</v>
      </c>
      <c r="B2531" s="295" t="s">
        <v>426</v>
      </c>
      <c r="C2531" s="293">
        <v>5005</v>
      </c>
      <c r="D2531" s="293">
        <v>5260</v>
      </c>
      <c r="E2531" s="293">
        <v>255</v>
      </c>
      <c r="F2531" s="294" t="s">
        <v>1190</v>
      </c>
    </row>
    <row r="2532" spans="1:6" hidden="1" outlineLevel="1" collapsed="1" x14ac:dyDescent="0.25">
      <c r="A2532" s="295" t="s">
        <v>282</v>
      </c>
      <c r="B2532" s="295" t="s">
        <v>557</v>
      </c>
      <c r="C2532" s="293">
        <v>849.43</v>
      </c>
      <c r="D2532" s="293">
        <v>0</v>
      </c>
      <c r="E2532" s="293">
        <v>-849.43</v>
      </c>
      <c r="F2532" s="294" t="s">
        <v>286</v>
      </c>
    </row>
    <row r="2533" spans="1:6" collapsed="1" x14ac:dyDescent="0.25">
      <c r="A2533" s="560" t="s">
        <v>1191</v>
      </c>
      <c r="B2533" s="561"/>
      <c r="C2533" s="292">
        <v>1000</v>
      </c>
      <c r="D2533" s="293">
        <v>1000</v>
      </c>
      <c r="E2533" s="293">
        <v>0</v>
      </c>
      <c r="F2533" s="294" t="s">
        <v>316</v>
      </c>
    </row>
    <row r="2534" spans="1:6" hidden="1" outlineLevel="1" collapsed="1" x14ac:dyDescent="0.25">
      <c r="A2534" s="295" t="s">
        <v>282</v>
      </c>
      <c r="B2534" s="295" t="s">
        <v>843</v>
      </c>
      <c r="C2534" s="293">
        <v>1000</v>
      </c>
      <c r="D2534" s="293">
        <v>1000</v>
      </c>
      <c r="E2534" s="293">
        <v>0</v>
      </c>
      <c r="F2534" s="294" t="s">
        <v>316</v>
      </c>
    </row>
    <row r="2535" spans="1:6" collapsed="1" x14ac:dyDescent="0.25">
      <c r="A2535" s="560" t="s">
        <v>1192</v>
      </c>
      <c r="B2535" s="561"/>
      <c r="C2535" s="292">
        <v>55300.689872000003</v>
      </c>
      <c r="D2535" s="293">
        <v>58022.742103999997</v>
      </c>
      <c r="E2535" s="293">
        <v>2722.052232</v>
      </c>
      <c r="F2535" s="294" t="s">
        <v>1193</v>
      </c>
    </row>
    <row r="2536" spans="1:6" hidden="1" outlineLevel="1" collapsed="1" x14ac:dyDescent="0.25">
      <c r="A2536" s="295" t="s">
        <v>282</v>
      </c>
      <c r="B2536" s="295" t="s">
        <v>464</v>
      </c>
      <c r="C2536" s="293">
        <v>41799.007987999998</v>
      </c>
      <c r="D2536" s="293">
        <v>43012.284476000001</v>
      </c>
      <c r="E2536" s="293">
        <v>1213.276488</v>
      </c>
      <c r="F2536" s="294" t="s">
        <v>1061</v>
      </c>
    </row>
    <row r="2537" spans="1:6" hidden="1" outlineLevel="1" collapsed="1" x14ac:dyDescent="0.25">
      <c r="A2537" s="295" t="s">
        <v>282</v>
      </c>
      <c r="B2537" s="295" t="s">
        <v>384</v>
      </c>
      <c r="C2537" s="293">
        <v>5049.814284</v>
      </c>
      <c r="D2537" s="293">
        <v>0</v>
      </c>
      <c r="E2537" s="293">
        <v>-5049.814284</v>
      </c>
      <c r="F2537" s="294" t="s">
        <v>286</v>
      </c>
    </row>
    <row r="2538" spans="1:6" hidden="1" outlineLevel="1" collapsed="1" x14ac:dyDescent="0.25">
      <c r="A2538" s="295" t="s">
        <v>282</v>
      </c>
      <c r="B2538" s="295" t="s">
        <v>385</v>
      </c>
      <c r="C2538" s="293">
        <v>0</v>
      </c>
      <c r="D2538" s="293">
        <v>6534.0717359999999</v>
      </c>
      <c r="E2538" s="293">
        <v>6534.0717359999999</v>
      </c>
      <c r="F2538" s="294" t="s">
        <v>298</v>
      </c>
    </row>
    <row r="2539" spans="1:6" hidden="1" outlineLevel="1" collapsed="1" x14ac:dyDescent="0.25">
      <c r="A2539" s="295" t="s">
        <v>282</v>
      </c>
      <c r="B2539" s="295" t="s">
        <v>386</v>
      </c>
      <c r="C2539" s="293">
        <v>2591.5384920000001</v>
      </c>
      <c r="D2539" s="293">
        <v>0</v>
      </c>
      <c r="E2539" s="293">
        <v>-2591.5384920000001</v>
      </c>
      <c r="F2539" s="294" t="s">
        <v>286</v>
      </c>
    </row>
    <row r="2540" spans="1:6" hidden="1" outlineLevel="1" collapsed="1" x14ac:dyDescent="0.25">
      <c r="A2540" s="295" t="s">
        <v>282</v>
      </c>
      <c r="B2540" s="295" t="s">
        <v>387</v>
      </c>
      <c r="C2540" s="293">
        <v>0</v>
      </c>
      <c r="D2540" s="293">
        <v>2666.7616320000002</v>
      </c>
      <c r="E2540" s="293">
        <v>2666.7616320000002</v>
      </c>
      <c r="F2540" s="294" t="s">
        <v>298</v>
      </c>
    </row>
    <row r="2541" spans="1:6" hidden="1" outlineLevel="1" collapsed="1" x14ac:dyDescent="0.25">
      <c r="A2541" s="295" t="s">
        <v>282</v>
      </c>
      <c r="B2541" s="295" t="s">
        <v>388</v>
      </c>
      <c r="C2541" s="293">
        <v>606.08560799999998</v>
      </c>
      <c r="D2541" s="293">
        <v>623.67812400000003</v>
      </c>
      <c r="E2541" s="293">
        <v>17.592516</v>
      </c>
      <c r="F2541" s="294" t="s">
        <v>1061</v>
      </c>
    </row>
    <row r="2542" spans="1:6" hidden="1" outlineLevel="1" collapsed="1" x14ac:dyDescent="0.25">
      <c r="A2542" s="295" t="s">
        <v>282</v>
      </c>
      <c r="B2542" s="295" t="s">
        <v>389</v>
      </c>
      <c r="C2542" s="293">
        <v>426.12479999999999</v>
      </c>
      <c r="D2542" s="293">
        <v>422.04</v>
      </c>
      <c r="E2542" s="293">
        <v>-4.0848000000000004</v>
      </c>
      <c r="F2542" s="294" t="s">
        <v>364</v>
      </c>
    </row>
    <row r="2543" spans="1:6" hidden="1" outlineLevel="1" collapsed="1" x14ac:dyDescent="0.25">
      <c r="A2543" s="295" t="s">
        <v>282</v>
      </c>
      <c r="B2543" s="295" t="s">
        <v>392</v>
      </c>
      <c r="C2543" s="293">
        <v>233.53919999999999</v>
      </c>
      <c r="D2543" s="293">
        <v>182.88</v>
      </c>
      <c r="E2543" s="293">
        <v>-50.659199999999998</v>
      </c>
      <c r="F2543" s="294" t="s">
        <v>368</v>
      </c>
    </row>
    <row r="2544" spans="1:6" hidden="1" outlineLevel="1" collapsed="1" x14ac:dyDescent="0.25">
      <c r="A2544" s="295" t="s">
        <v>282</v>
      </c>
      <c r="B2544" s="295" t="s">
        <v>393</v>
      </c>
      <c r="C2544" s="293">
        <v>20.8995</v>
      </c>
      <c r="D2544" s="293">
        <v>21.506136000000001</v>
      </c>
      <c r="E2544" s="293">
        <v>0.60663599999999995</v>
      </c>
      <c r="F2544" s="294" t="s">
        <v>1061</v>
      </c>
    </row>
    <row r="2545" spans="1:6" hidden="1" outlineLevel="1" collapsed="1" x14ac:dyDescent="0.25">
      <c r="A2545" s="295" t="s">
        <v>282</v>
      </c>
      <c r="B2545" s="295" t="s">
        <v>394</v>
      </c>
      <c r="C2545" s="293">
        <v>1500</v>
      </c>
      <c r="D2545" s="293">
        <v>0</v>
      </c>
      <c r="E2545" s="293">
        <v>-1500</v>
      </c>
      <c r="F2545" s="294" t="s">
        <v>286</v>
      </c>
    </row>
    <row r="2546" spans="1:6" hidden="1" outlineLevel="1" collapsed="1" x14ac:dyDescent="0.25">
      <c r="A2546" s="295" t="s">
        <v>282</v>
      </c>
      <c r="B2546" s="295" t="s">
        <v>395</v>
      </c>
      <c r="C2546" s="293">
        <v>0</v>
      </c>
      <c r="D2546" s="293">
        <v>1500</v>
      </c>
      <c r="E2546" s="293">
        <v>1500</v>
      </c>
      <c r="F2546" s="294" t="s">
        <v>298</v>
      </c>
    </row>
    <row r="2547" spans="1:6" hidden="1" outlineLevel="1" collapsed="1" x14ac:dyDescent="0.25">
      <c r="A2547" s="295" t="s">
        <v>282</v>
      </c>
      <c r="B2547" s="295" t="s">
        <v>396</v>
      </c>
      <c r="C2547" s="293">
        <v>49.68</v>
      </c>
      <c r="D2547" s="293">
        <v>0</v>
      </c>
      <c r="E2547" s="293">
        <v>-49.68</v>
      </c>
      <c r="F2547" s="294" t="s">
        <v>286</v>
      </c>
    </row>
    <row r="2548" spans="1:6" hidden="1" outlineLevel="1" collapsed="1" x14ac:dyDescent="0.25">
      <c r="A2548" s="295" t="s">
        <v>282</v>
      </c>
      <c r="B2548" s="295" t="s">
        <v>397</v>
      </c>
      <c r="C2548" s="293">
        <v>0</v>
      </c>
      <c r="D2548" s="293">
        <v>48.48</v>
      </c>
      <c r="E2548" s="293">
        <v>48.48</v>
      </c>
      <c r="F2548" s="294" t="s">
        <v>298</v>
      </c>
    </row>
    <row r="2549" spans="1:6" hidden="1" outlineLevel="1" collapsed="1" x14ac:dyDescent="0.25">
      <c r="A2549" s="295" t="s">
        <v>282</v>
      </c>
      <c r="B2549" s="295" t="s">
        <v>398</v>
      </c>
      <c r="C2549" s="293">
        <v>24</v>
      </c>
      <c r="D2549" s="293">
        <v>11.04</v>
      </c>
      <c r="E2549" s="293">
        <v>-12.96</v>
      </c>
      <c r="F2549" s="294" t="s">
        <v>374</v>
      </c>
    </row>
    <row r="2550" spans="1:6" hidden="1" outlineLevel="1" collapsed="1" x14ac:dyDescent="0.25">
      <c r="A2550" s="295" t="s">
        <v>282</v>
      </c>
      <c r="B2550" s="295" t="s">
        <v>522</v>
      </c>
      <c r="C2550" s="293">
        <v>3000</v>
      </c>
      <c r="D2550" s="293">
        <v>3000</v>
      </c>
      <c r="E2550" s="293">
        <v>0</v>
      </c>
      <c r="F2550" s="294" t="s">
        <v>316</v>
      </c>
    </row>
    <row r="2551" spans="1:6" collapsed="1" x14ac:dyDescent="0.25">
      <c r="A2551" s="560" t="s">
        <v>1194</v>
      </c>
      <c r="B2551" s="561"/>
      <c r="C2551" s="292">
        <v>138553.05186800001</v>
      </c>
      <c r="D2551" s="293">
        <v>144026.78630400001</v>
      </c>
      <c r="E2551" s="293">
        <v>5473.7344359999997</v>
      </c>
      <c r="F2551" s="294" t="s">
        <v>1093</v>
      </c>
    </row>
    <row r="2552" spans="1:6" hidden="1" outlineLevel="1" collapsed="1" x14ac:dyDescent="0.25">
      <c r="A2552" s="295" t="s">
        <v>282</v>
      </c>
      <c r="B2552" s="295" t="s">
        <v>942</v>
      </c>
      <c r="C2552" s="293">
        <v>99923.709587999998</v>
      </c>
      <c r="D2552" s="293">
        <v>101422.563828</v>
      </c>
      <c r="E2552" s="293">
        <v>1498.8542399999999</v>
      </c>
      <c r="F2552" s="294" t="s">
        <v>510</v>
      </c>
    </row>
    <row r="2553" spans="1:6" hidden="1" outlineLevel="1" collapsed="1" x14ac:dyDescent="0.25">
      <c r="A2553" s="295" t="s">
        <v>282</v>
      </c>
      <c r="B2553" s="295" t="s">
        <v>384</v>
      </c>
      <c r="C2553" s="293">
        <v>12570.40266</v>
      </c>
      <c r="D2553" s="293">
        <v>0</v>
      </c>
      <c r="E2553" s="293">
        <v>-12570.40266</v>
      </c>
      <c r="F2553" s="294" t="s">
        <v>286</v>
      </c>
    </row>
    <row r="2554" spans="1:6" hidden="1" outlineLevel="1" collapsed="1" x14ac:dyDescent="0.25">
      <c r="A2554" s="295" t="s">
        <v>282</v>
      </c>
      <c r="B2554" s="295" t="s">
        <v>385</v>
      </c>
      <c r="C2554" s="293">
        <v>0</v>
      </c>
      <c r="D2554" s="293">
        <v>16024.765079999999</v>
      </c>
      <c r="E2554" s="293">
        <v>16024.765079999999</v>
      </c>
      <c r="F2554" s="294" t="s">
        <v>298</v>
      </c>
    </row>
    <row r="2555" spans="1:6" hidden="1" outlineLevel="1" collapsed="1" x14ac:dyDescent="0.25">
      <c r="A2555" s="295" t="s">
        <v>282</v>
      </c>
      <c r="B2555" s="295" t="s">
        <v>386</v>
      </c>
      <c r="C2555" s="293">
        <v>6232.4699879999998</v>
      </c>
      <c r="D2555" s="293">
        <v>0</v>
      </c>
      <c r="E2555" s="293">
        <v>-6232.4699879999998</v>
      </c>
      <c r="F2555" s="294" t="s">
        <v>286</v>
      </c>
    </row>
    <row r="2556" spans="1:6" hidden="1" outlineLevel="1" collapsed="1" x14ac:dyDescent="0.25">
      <c r="A2556" s="295" t="s">
        <v>282</v>
      </c>
      <c r="B2556" s="295" t="s">
        <v>387</v>
      </c>
      <c r="C2556" s="293">
        <v>0</v>
      </c>
      <c r="D2556" s="293">
        <v>6325.398948</v>
      </c>
      <c r="E2556" s="293">
        <v>6325.398948</v>
      </c>
      <c r="F2556" s="294" t="s">
        <v>298</v>
      </c>
    </row>
    <row r="2557" spans="1:6" hidden="1" outlineLevel="1" collapsed="1" x14ac:dyDescent="0.25">
      <c r="A2557" s="295" t="s">
        <v>282</v>
      </c>
      <c r="B2557" s="295" t="s">
        <v>388</v>
      </c>
      <c r="C2557" s="293">
        <v>1457.5937879999999</v>
      </c>
      <c r="D2557" s="293">
        <v>1479.327168</v>
      </c>
      <c r="E2557" s="293">
        <v>21.73338</v>
      </c>
      <c r="F2557" s="294" t="s">
        <v>781</v>
      </c>
    </row>
    <row r="2558" spans="1:6" hidden="1" outlineLevel="1" collapsed="1" x14ac:dyDescent="0.25">
      <c r="A2558" s="295" t="s">
        <v>282</v>
      </c>
      <c r="B2558" s="295" t="s">
        <v>389</v>
      </c>
      <c r="C2558" s="293">
        <v>426.12479999999999</v>
      </c>
      <c r="D2558" s="293">
        <v>422.04</v>
      </c>
      <c r="E2558" s="293">
        <v>-4.0848000000000004</v>
      </c>
      <c r="F2558" s="294" t="s">
        <v>364</v>
      </c>
    </row>
    <row r="2559" spans="1:6" hidden="1" outlineLevel="1" collapsed="1" x14ac:dyDescent="0.25">
      <c r="A2559" s="295" t="s">
        <v>282</v>
      </c>
      <c r="B2559" s="295" t="s">
        <v>390</v>
      </c>
      <c r="C2559" s="293">
        <v>15485.27</v>
      </c>
      <c r="D2559" s="293">
        <v>15959.28</v>
      </c>
      <c r="E2559" s="293">
        <v>474.01</v>
      </c>
      <c r="F2559" s="294" t="s">
        <v>391</v>
      </c>
    </row>
    <row r="2560" spans="1:6" hidden="1" outlineLevel="1" collapsed="1" x14ac:dyDescent="0.25">
      <c r="A2560" s="295" t="s">
        <v>282</v>
      </c>
      <c r="B2560" s="295" t="s">
        <v>392</v>
      </c>
      <c r="C2560" s="293">
        <v>233.53919999999999</v>
      </c>
      <c r="D2560" s="293">
        <v>182.88</v>
      </c>
      <c r="E2560" s="293">
        <v>-50.659199999999998</v>
      </c>
      <c r="F2560" s="294" t="s">
        <v>368</v>
      </c>
    </row>
    <row r="2561" spans="1:6" hidden="1" outlineLevel="1" collapsed="1" x14ac:dyDescent="0.25">
      <c r="A2561" s="295" t="s">
        <v>282</v>
      </c>
      <c r="B2561" s="295" t="s">
        <v>393</v>
      </c>
      <c r="C2561" s="293">
        <v>50.261844000000004</v>
      </c>
      <c r="D2561" s="293">
        <v>51.011279999999999</v>
      </c>
      <c r="E2561" s="293">
        <v>0.74943599999999999</v>
      </c>
      <c r="F2561" s="294" t="s">
        <v>781</v>
      </c>
    </row>
    <row r="2562" spans="1:6" hidden="1" outlineLevel="1" collapsed="1" x14ac:dyDescent="0.25">
      <c r="A2562" s="295" t="s">
        <v>282</v>
      </c>
      <c r="B2562" s="295" t="s">
        <v>394</v>
      </c>
      <c r="C2562" s="293">
        <v>1500</v>
      </c>
      <c r="D2562" s="293">
        <v>0</v>
      </c>
      <c r="E2562" s="293">
        <v>-1500</v>
      </c>
      <c r="F2562" s="294" t="s">
        <v>286</v>
      </c>
    </row>
    <row r="2563" spans="1:6" hidden="1" outlineLevel="1" collapsed="1" x14ac:dyDescent="0.25">
      <c r="A2563" s="295" t="s">
        <v>282</v>
      </c>
      <c r="B2563" s="295" t="s">
        <v>395</v>
      </c>
      <c r="C2563" s="293">
        <v>0</v>
      </c>
      <c r="D2563" s="293">
        <v>1500</v>
      </c>
      <c r="E2563" s="293">
        <v>1500</v>
      </c>
      <c r="F2563" s="294" t="s">
        <v>298</v>
      </c>
    </row>
    <row r="2564" spans="1:6" hidden="1" outlineLevel="1" collapsed="1" x14ac:dyDescent="0.25">
      <c r="A2564" s="295" t="s">
        <v>282</v>
      </c>
      <c r="B2564" s="295" t="s">
        <v>396</v>
      </c>
      <c r="C2564" s="293">
        <v>49.68</v>
      </c>
      <c r="D2564" s="293">
        <v>0</v>
      </c>
      <c r="E2564" s="293">
        <v>-49.68</v>
      </c>
      <c r="F2564" s="294" t="s">
        <v>286</v>
      </c>
    </row>
    <row r="2565" spans="1:6" hidden="1" outlineLevel="1" collapsed="1" x14ac:dyDescent="0.25">
      <c r="A2565" s="295" t="s">
        <v>282</v>
      </c>
      <c r="B2565" s="295" t="s">
        <v>397</v>
      </c>
      <c r="C2565" s="293">
        <v>0</v>
      </c>
      <c r="D2565" s="293">
        <v>48.48</v>
      </c>
      <c r="E2565" s="293">
        <v>48.48</v>
      </c>
      <c r="F2565" s="294" t="s">
        <v>298</v>
      </c>
    </row>
    <row r="2566" spans="1:6" hidden="1" outlineLevel="1" collapsed="1" x14ac:dyDescent="0.25">
      <c r="A2566" s="295" t="s">
        <v>282</v>
      </c>
      <c r="B2566" s="295" t="s">
        <v>398</v>
      </c>
      <c r="C2566" s="293">
        <v>24</v>
      </c>
      <c r="D2566" s="293">
        <v>11.04</v>
      </c>
      <c r="E2566" s="293">
        <v>-12.96</v>
      </c>
      <c r="F2566" s="294" t="s">
        <v>374</v>
      </c>
    </row>
    <row r="2567" spans="1:6" hidden="1" outlineLevel="1" collapsed="1" x14ac:dyDescent="0.25">
      <c r="A2567" s="295" t="s">
        <v>282</v>
      </c>
      <c r="B2567" s="295" t="s">
        <v>952</v>
      </c>
      <c r="C2567" s="293">
        <v>600</v>
      </c>
      <c r="D2567" s="293">
        <v>600</v>
      </c>
      <c r="E2567" s="293">
        <v>0</v>
      </c>
      <c r="F2567" s="294" t="s">
        <v>316</v>
      </c>
    </row>
    <row r="2568" spans="1:6" collapsed="1" x14ac:dyDescent="0.25">
      <c r="A2568" s="560" t="s">
        <v>1195</v>
      </c>
      <c r="B2568" s="561"/>
      <c r="C2568" s="292">
        <v>174929.44539199999</v>
      </c>
      <c r="D2568" s="293">
        <v>180436.25782</v>
      </c>
      <c r="E2568" s="293">
        <v>5506.8124280000002</v>
      </c>
      <c r="F2568" s="294" t="s">
        <v>717</v>
      </c>
    </row>
    <row r="2569" spans="1:6" hidden="1" outlineLevel="1" collapsed="1" x14ac:dyDescent="0.25">
      <c r="A2569" s="295" t="s">
        <v>282</v>
      </c>
      <c r="B2569" s="295" t="s">
        <v>780</v>
      </c>
      <c r="C2569" s="293">
        <v>110159.97823199999</v>
      </c>
      <c r="D2569" s="293">
        <v>111812.375988</v>
      </c>
      <c r="E2569" s="293">
        <v>1652.3977560000001</v>
      </c>
      <c r="F2569" s="294" t="s">
        <v>510</v>
      </c>
    </row>
    <row r="2570" spans="1:6" hidden="1" outlineLevel="1" collapsed="1" x14ac:dyDescent="0.25">
      <c r="A2570" s="295" t="s">
        <v>282</v>
      </c>
      <c r="B2570" s="295" t="s">
        <v>464</v>
      </c>
      <c r="C2570" s="293">
        <v>19893.734638000002</v>
      </c>
      <c r="D2570" s="293">
        <v>20485.198234</v>
      </c>
      <c r="E2570" s="293">
        <v>591.46359600000005</v>
      </c>
      <c r="F2570" s="294" t="s">
        <v>553</v>
      </c>
    </row>
    <row r="2571" spans="1:6" hidden="1" outlineLevel="1" collapsed="1" x14ac:dyDescent="0.25">
      <c r="A2571" s="295" t="s">
        <v>282</v>
      </c>
      <c r="B2571" s="295" t="s">
        <v>751</v>
      </c>
      <c r="C2571" s="293">
        <v>14375.877156</v>
      </c>
      <c r="D2571" s="293">
        <v>0</v>
      </c>
      <c r="E2571" s="293">
        <v>-14375.877156</v>
      </c>
      <c r="F2571" s="294" t="s">
        <v>286</v>
      </c>
    </row>
    <row r="2572" spans="1:6" hidden="1" outlineLevel="1" collapsed="1" x14ac:dyDescent="0.25">
      <c r="A2572" s="295" t="s">
        <v>282</v>
      </c>
      <c r="B2572" s="295" t="s">
        <v>752</v>
      </c>
      <c r="C2572" s="293">
        <v>0</v>
      </c>
      <c r="D2572" s="293">
        <v>16134.525852000001</v>
      </c>
      <c r="E2572" s="293">
        <v>16134.525852000001</v>
      </c>
      <c r="F2572" s="294" t="s">
        <v>298</v>
      </c>
    </row>
    <row r="2573" spans="1:6" hidden="1" outlineLevel="1" collapsed="1" x14ac:dyDescent="0.25">
      <c r="A2573" s="295" t="s">
        <v>282</v>
      </c>
      <c r="B2573" s="295" t="s">
        <v>384</v>
      </c>
      <c r="C2573" s="293">
        <v>2461.7468159999999</v>
      </c>
      <c r="D2573" s="293">
        <v>0</v>
      </c>
      <c r="E2573" s="293">
        <v>-2461.7468159999999</v>
      </c>
      <c r="F2573" s="294" t="s">
        <v>286</v>
      </c>
    </row>
    <row r="2574" spans="1:6" hidden="1" outlineLevel="1" collapsed="1" x14ac:dyDescent="0.25">
      <c r="A2574" s="295" t="s">
        <v>282</v>
      </c>
      <c r="B2574" s="295" t="s">
        <v>385</v>
      </c>
      <c r="C2574" s="293">
        <v>0</v>
      </c>
      <c r="D2574" s="293">
        <v>3185.3113199999998</v>
      </c>
      <c r="E2574" s="293">
        <v>3185.3113199999998</v>
      </c>
      <c r="F2574" s="294" t="s">
        <v>298</v>
      </c>
    </row>
    <row r="2575" spans="1:6" hidden="1" outlineLevel="1" collapsed="1" x14ac:dyDescent="0.25">
      <c r="A2575" s="295" t="s">
        <v>282</v>
      </c>
      <c r="B2575" s="295" t="s">
        <v>386</v>
      </c>
      <c r="C2575" s="293">
        <v>1233.411546</v>
      </c>
      <c r="D2575" s="293">
        <v>0</v>
      </c>
      <c r="E2575" s="293">
        <v>-1233.411546</v>
      </c>
      <c r="F2575" s="294" t="s">
        <v>286</v>
      </c>
    </row>
    <row r="2576" spans="1:6" hidden="1" outlineLevel="1" collapsed="1" x14ac:dyDescent="0.25">
      <c r="A2576" s="295" t="s">
        <v>282</v>
      </c>
      <c r="B2576" s="295" t="s">
        <v>387</v>
      </c>
      <c r="C2576" s="293">
        <v>0</v>
      </c>
      <c r="D2576" s="293">
        <v>1270.0822860000001</v>
      </c>
      <c r="E2576" s="293">
        <v>1270.0822860000001</v>
      </c>
      <c r="F2576" s="294" t="s">
        <v>298</v>
      </c>
    </row>
    <row r="2577" spans="1:6" hidden="1" outlineLevel="1" collapsed="1" x14ac:dyDescent="0.25">
      <c r="A2577" s="295" t="s">
        <v>282</v>
      </c>
      <c r="B2577" s="295" t="s">
        <v>388</v>
      </c>
      <c r="C2577" s="293">
        <v>288.45915000000002</v>
      </c>
      <c r="D2577" s="293">
        <v>297.03537</v>
      </c>
      <c r="E2577" s="293">
        <v>8.5762199999999993</v>
      </c>
      <c r="F2577" s="294" t="s">
        <v>553</v>
      </c>
    </row>
    <row r="2578" spans="1:6" hidden="1" outlineLevel="1" collapsed="1" x14ac:dyDescent="0.25">
      <c r="A2578" s="295" t="s">
        <v>282</v>
      </c>
      <c r="B2578" s="295" t="s">
        <v>389</v>
      </c>
      <c r="C2578" s="293">
        <v>213.0624</v>
      </c>
      <c r="D2578" s="293">
        <v>211.02</v>
      </c>
      <c r="E2578" s="293">
        <v>-2.0424000000000002</v>
      </c>
      <c r="F2578" s="294" t="s">
        <v>364</v>
      </c>
    </row>
    <row r="2579" spans="1:6" hidden="1" outlineLevel="1" collapsed="1" x14ac:dyDescent="0.25">
      <c r="A2579" s="295" t="s">
        <v>282</v>
      </c>
      <c r="B2579" s="295" t="s">
        <v>390</v>
      </c>
      <c r="C2579" s="293">
        <v>7742.6350000000002</v>
      </c>
      <c r="D2579" s="293">
        <v>7979.64</v>
      </c>
      <c r="E2579" s="293">
        <v>237.005</v>
      </c>
      <c r="F2579" s="294" t="s">
        <v>391</v>
      </c>
    </row>
    <row r="2580" spans="1:6" hidden="1" outlineLevel="1" collapsed="1" x14ac:dyDescent="0.25">
      <c r="A2580" s="295" t="s">
        <v>282</v>
      </c>
      <c r="B2580" s="295" t="s">
        <v>392</v>
      </c>
      <c r="C2580" s="293">
        <v>116.7696</v>
      </c>
      <c r="D2580" s="293">
        <v>91.44</v>
      </c>
      <c r="E2580" s="293">
        <v>-25.329599999999999</v>
      </c>
      <c r="F2580" s="294" t="s">
        <v>368</v>
      </c>
    </row>
    <row r="2581" spans="1:6" hidden="1" outlineLevel="1" collapsed="1" x14ac:dyDescent="0.25">
      <c r="A2581" s="295" t="s">
        <v>282</v>
      </c>
      <c r="B2581" s="295" t="s">
        <v>754</v>
      </c>
      <c r="C2581" s="293">
        <v>15358.56</v>
      </c>
      <c r="D2581" s="293">
        <v>15959.28</v>
      </c>
      <c r="E2581" s="293">
        <v>600.72</v>
      </c>
      <c r="F2581" s="294" t="s">
        <v>366</v>
      </c>
    </row>
    <row r="2582" spans="1:6" hidden="1" outlineLevel="1" collapsed="1" x14ac:dyDescent="0.25">
      <c r="A2582" s="295" t="s">
        <v>282</v>
      </c>
      <c r="B2582" s="295" t="s">
        <v>755</v>
      </c>
      <c r="C2582" s="293">
        <v>426.12479999999999</v>
      </c>
      <c r="D2582" s="293">
        <v>422.04</v>
      </c>
      <c r="E2582" s="293">
        <v>-4.0848000000000004</v>
      </c>
      <c r="F2582" s="294" t="s">
        <v>364</v>
      </c>
    </row>
    <row r="2583" spans="1:6" hidden="1" outlineLevel="1" collapsed="1" x14ac:dyDescent="0.25">
      <c r="A2583" s="295" t="s">
        <v>282</v>
      </c>
      <c r="B2583" s="295" t="s">
        <v>756</v>
      </c>
      <c r="C2583" s="293">
        <v>233.53919999999999</v>
      </c>
      <c r="D2583" s="293">
        <v>182.88</v>
      </c>
      <c r="E2583" s="293">
        <v>-50.659199999999998</v>
      </c>
      <c r="F2583" s="294" t="s">
        <v>368</v>
      </c>
    </row>
    <row r="2584" spans="1:6" hidden="1" outlineLevel="1" collapsed="1" x14ac:dyDescent="0.25">
      <c r="A2584" s="295" t="s">
        <v>282</v>
      </c>
      <c r="B2584" s="295" t="s">
        <v>393</v>
      </c>
      <c r="C2584" s="293">
        <v>9.946866</v>
      </c>
      <c r="D2584" s="293">
        <v>10.242594</v>
      </c>
      <c r="E2584" s="293">
        <v>0.29572799999999999</v>
      </c>
      <c r="F2584" s="294" t="s">
        <v>553</v>
      </c>
    </row>
    <row r="2585" spans="1:6" hidden="1" outlineLevel="1" collapsed="1" x14ac:dyDescent="0.25">
      <c r="A2585" s="295" t="s">
        <v>282</v>
      </c>
      <c r="B2585" s="295" t="s">
        <v>757</v>
      </c>
      <c r="C2585" s="293">
        <v>55.079988</v>
      </c>
      <c r="D2585" s="293">
        <v>0</v>
      </c>
      <c r="E2585" s="293">
        <v>-55.079988</v>
      </c>
      <c r="F2585" s="294" t="s">
        <v>286</v>
      </c>
    </row>
    <row r="2586" spans="1:6" hidden="1" outlineLevel="1" collapsed="1" x14ac:dyDescent="0.25">
      <c r="A2586" s="295" t="s">
        <v>282</v>
      </c>
      <c r="B2586" s="295" t="s">
        <v>758</v>
      </c>
      <c r="C2586" s="293">
        <v>0</v>
      </c>
      <c r="D2586" s="293">
        <v>55.906176000000002</v>
      </c>
      <c r="E2586" s="293">
        <v>55.906176000000002</v>
      </c>
      <c r="F2586" s="294" t="s">
        <v>298</v>
      </c>
    </row>
    <row r="2587" spans="1:6" hidden="1" outlineLevel="1" collapsed="1" x14ac:dyDescent="0.25">
      <c r="A2587" s="295" t="s">
        <v>282</v>
      </c>
      <c r="B2587" s="295" t="s">
        <v>394</v>
      </c>
      <c r="C2587" s="293">
        <v>750</v>
      </c>
      <c r="D2587" s="293">
        <v>0</v>
      </c>
      <c r="E2587" s="293">
        <v>-750</v>
      </c>
      <c r="F2587" s="294" t="s">
        <v>286</v>
      </c>
    </row>
    <row r="2588" spans="1:6" hidden="1" outlineLevel="1" collapsed="1" x14ac:dyDescent="0.25">
      <c r="A2588" s="295" t="s">
        <v>282</v>
      </c>
      <c r="B2588" s="295" t="s">
        <v>395</v>
      </c>
      <c r="C2588" s="293">
        <v>0</v>
      </c>
      <c r="D2588" s="293">
        <v>750</v>
      </c>
      <c r="E2588" s="293">
        <v>750</v>
      </c>
      <c r="F2588" s="294" t="s">
        <v>298</v>
      </c>
    </row>
    <row r="2589" spans="1:6" hidden="1" outlineLevel="1" collapsed="1" x14ac:dyDescent="0.25">
      <c r="A2589" s="295" t="s">
        <v>282</v>
      </c>
      <c r="B2589" s="295" t="s">
        <v>759</v>
      </c>
      <c r="C2589" s="293">
        <v>1500</v>
      </c>
      <c r="D2589" s="293">
        <v>0</v>
      </c>
      <c r="E2589" s="293">
        <v>-1500</v>
      </c>
      <c r="F2589" s="294" t="s">
        <v>286</v>
      </c>
    </row>
    <row r="2590" spans="1:6" hidden="1" outlineLevel="1" collapsed="1" x14ac:dyDescent="0.25">
      <c r="A2590" s="295" t="s">
        <v>282</v>
      </c>
      <c r="B2590" s="295" t="s">
        <v>760</v>
      </c>
      <c r="C2590" s="293">
        <v>0</v>
      </c>
      <c r="D2590" s="293">
        <v>1500</v>
      </c>
      <c r="E2590" s="293">
        <v>1500</v>
      </c>
      <c r="F2590" s="294" t="s">
        <v>298</v>
      </c>
    </row>
    <row r="2591" spans="1:6" hidden="1" outlineLevel="1" collapsed="1" x14ac:dyDescent="0.25">
      <c r="A2591" s="295" t="s">
        <v>282</v>
      </c>
      <c r="B2591" s="295" t="s">
        <v>396</v>
      </c>
      <c r="C2591" s="293">
        <v>24.84</v>
      </c>
      <c r="D2591" s="293">
        <v>0</v>
      </c>
      <c r="E2591" s="293">
        <v>-24.84</v>
      </c>
      <c r="F2591" s="294" t="s">
        <v>286</v>
      </c>
    </row>
    <row r="2592" spans="1:6" hidden="1" outlineLevel="1" collapsed="1" x14ac:dyDescent="0.25">
      <c r="A2592" s="295" t="s">
        <v>282</v>
      </c>
      <c r="B2592" s="295" t="s">
        <v>397</v>
      </c>
      <c r="C2592" s="293">
        <v>0</v>
      </c>
      <c r="D2592" s="293">
        <v>24.24</v>
      </c>
      <c r="E2592" s="293">
        <v>24.24</v>
      </c>
      <c r="F2592" s="294" t="s">
        <v>298</v>
      </c>
    </row>
    <row r="2593" spans="1:6" hidden="1" outlineLevel="1" collapsed="1" x14ac:dyDescent="0.25">
      <c r="A2593" s="295" t="s">
        <v>282</v>
      </c>
      <c r="B2593" s="295" t="s">
        <v>761</v>
      </c>
      <c r="C2593" s="293">
        <v>49.68</v>
      </c>
      <c r="D2593" s="293">
        <v>0</v>
      </c>
      <c r="E2593" s="293">
        <v>-49.68</v>
      </c>
      <c r="F2593" s="294" t="s">
        <v>286</v>
      </c>
    </row>
    <row r="2594" spans="1:6" hidden="1" outlineLevel="1" collapsed="1" x14ac:dyDescent="0.25">
      <c r="A2594" s="295" t="s">
        <v>282</v>
      </c>
      <c r="B2594" s="295" t="s">
        <v>762</v>
      </c>
      <c r="C2594" s="293">
        <v>0</v>
      </c>
      <c r="D2594" s="293">
        <v>48.48</v>
      </c>
      <c r="E2594" s="293">
        <v>48.48</v>
      </c>
      <c r="F2594" s="294" t="s">
        <v>298</v>
      </c>
    </row>
    <row r="2595" spans="1:6" hidden="1" outlineLevel="1" collapsed="1" x14ac:dyDescent="0.25">
      <c r="A2595" s="295" t="s">
        <v>282</v>
      </c>
      <c r="B2595" s="295" t="s">
        <v>398</v>
      </c>
      <c r="C2595" s="293">
        <v>12</v>
      </c>
      <c r="D2595" s="293">
        <v>5.52</v>
      </c>
      <c r="E2595" s="293">
        <v>-6.48</v>
      </c>
      <c r="F2595" s="294" t="s">
        <v>374</v>
      </c>
    </row>
    <row r="2596" spans="1:6" hidden="1" outlineLevel="1" collapsed="1" x14ac:dyDescent="0.25">
      <c r="A2596" s="295" t="s">
        <v>282</v>
      </c>
      <c r="B2596" s="295" t="s">
        <v>763</v>
      </c>
      <c r="C2596" s="293">
        <v>24</v>
      </c>
      <c r="D2596" s="293">
        <v>11.04</v>
      </c>
      <c r="E2596" s="293">
        <v>-12.96</v>
      </c>
      <c r="F2596" s="294" t="s">
        <v>374</v>
      </c>
    </row>
    <row r="2597" spans="1:6" collapsed="1" x14ac:dyDescent="0.25">
      <c r="A2597" s="560" t="s">
        <v>1196</v>
      </c>
      <c r="B2597" s="561"/>
      <c r="C2597" s="292">
        <v>222228.73682799999</v>
      </c>
      <c r="D2597" s="293">
        <v>281879.57473599998</v>
      </c>
      <c r="E2597" s="293">
        <v>59650.837908000001</v>
      </c>
      <c r="F2597" s="294" t="s">
        <v>1197</v>
      </c>
    </row>
    <row r="2598" spans="1:6" hidden="1" outlineLevel="1" collapsed="1" x14ac:dyDescent="0.25">
      <c r="A2598" s="295" t="s">
        <v>282</v>
      </c>
      <c r="B2598" s="295" t="s">
        <v>780</v>
      </c>
      <c r="C2598" s="293">
        <v>95168.428151999993</v>
      </c>
      <c r="D2598" s="293">
        <v>101422.563828</v>
      </c>
      <c r="E2598" s="293">
        <v>6254.1356759999999</v>
      </c>
      <c r="F2598" s="294" t="s">
        <v>816</v>
      </c>
    </row>
    <row r="2599" spans="1:6" hidden="1" outlineLevel="1" collapsed="1" x14ac:dyDescent="0.25">
      <c r="A2599" s="295" t="s">
        <v>282</v>
      </c>
      <c r="B2599" s="295" t="s">
        <v>464</v>
      </c>
      <c r="C2599" s="293">
        <v>46437.892099999997</v>
      </c>
      <c r="D2599" s="293">
        <v>88901.671015999993</v>
      </c>
      <c r="E2599" s="293">
        <v>42463.778916000003</v>
      </c>
      <c r="F2599" s="294" t="s">
        <v>1198</v>
      </c>
    </row>
    <row r="2600" spans="1:6" hidden="1" outlineLevel="1" collapsed="1" x14ac:dyDescent="0.25">
      <c r="A2600" s="295" t="s">
        <v>282</v>
      </c>
      <c r="B2600" s="295" t="s">
        <v>476</v>
      </c>
      <c r="C2600" s="293">
        <v>20000</v>
      </c>
      <c r="D2600" s="293">
        <v>0</v>
      </c>
      <c r="E2600" s="293">
        <v>-20000</v>
      </c>
      <c r="F2600" s="294" t="s">
        <v>286</v>
      </c>
    </row>
    <row r="2601" spans="1:6" hidden="1" outlineLevel="1" collapsed="1" x14ac:dyDescent="0.25">
      <c r="A2601" s="295" t="s">
        <v>282</v>
      </c>
      <c r="B2601" s="295" t="s">
        <v>751</v>
      </c>
      <c r="C2601" s="293">
        <v>12419.479872</v>
      </c>
      <c r="D2601" s="293">
        <v>0</v>
      </c>
      <c r="E2601" s="293">
        <v>-12419.479872</v>
      </c>
      <c r="F2601" s="294" t="s">
        <v>286</v>
      </c>
    </row>
    <row r="2602" spans="1:6" hidden="1" outlineLevel="1" collapsed="1" x14ac:dyDescent="0.25">
      <c r="A2602" s="295" t="s">
        <v>282</v>
      </c>
      <c r="B2602" s="295" t="s">
        <v>752</v>
      </c>
      <c r="C2602" s="293">
        <v>0</v>
      </c>
      <c r="D2602" s="293">
        <v>14635.275960000001</v>
      </c>
      <c r="E2602" s="293">
        <v>14635.275960000001</v>
      </c>
      <c r="F2602" s="294" t="s">
        <v>298</v>
      </c>
    </row>
    <row r="2603" spans="1:6" hidden="1" outlineLevel="1" collapsed="1" x14ac:dyDescent="0.25">
      <c r="A2603" s="295" t="s">
        <v>282</v>
      </c>
      <c r="B2603" s="295" t="s">
        <v>384</v>
      </c>
      <c r="C2603" s="293">
        <v>5760.1168200000002</v>
      </c>
      <c r="D2603" s="293">
        <v>0</v>
      </c>
      <c r="E2603" s="293">
        <v>-5760.1168200000002</v>
      </c>
      <c r="F2603" s="294" t="s">
        <v>286</v>
      </c>
    </row>
    <row r="2604" spans="1:6" hidden="1" outlineLevel="1" collapsed="1" x14ac:dyDescent="0.25">
      <c r="A2604" s="295" t="s">
        <v>282</v>
      </c>
      <c r="B2604" s="295" t="s">
        <v>385</v>
      </c>
      <c r="C2604" s="293">
        <v>0</v>
      </c>
      <c r="D2604" s="293">
        <v>13943.764020000001</v>
      </c>
      <c r="E2604" s="293">
        <v>13943.764020000001</v>
      </c>
      <c r="F2604" s="294" t="s">
        <v>298</v>
      </c>
    </row>
    <row r="2605" spans="1:6" hidden="1" outlineLevel="1" collapsed="1" x14ac:dyDescent="0.25">
      <c r="A2605" s="295" t="s">
        <v>282</v>
      </c>
      <c r="B2605" s="295" t="s">
        <v>386</v>
      </c>
      <c r="C2605" s="293">
        <v>2879.1493</v>
      </c>
      <c r="D2605" s="293">
        <v>0</v>
      </c>
      <c r="E2605" s="293">
        <v>-2879.1493</v>
      </c>
      <c r="F2605" s="294" t="s">
        <v>286</v>
      </c>
    </row>
    <row r="2606" spans="1:6" hidden="1" outlineLevel="1" collapsed="1" x14ac:dyDescent="0.25">
      <c r="A2606" s="295" t="s">
        <v>282</v>
      </c>
      <c r="B2606" s="295" t="s">
        <v>387</v>
      </c>
      <c r="C2606" s="293">
        <v>0</v>
      </c>
      <c r="D2606" s="293">
        <v>5511.9035880000001</v>
      </c>
      <c r="E2606" s="293">
        <v>5511.9035880000001</v>
      </c>
      <c r="F2606" s="294" t="s">
        <v>298</v>
      </c>
    </row>
    <row r="2607" spans="1:6" hidden="1" outlineLevel="1" collapsed="1" x14ac:dyDescent="0.25">
      <c r="A2607" s="295" t="s">
        <v>282</v>
      </c>
      <c r="B2607" s="295" t="s">
        <v>388</v>
      </c>
      <c r="C2607" s="293">
        <v>673.34943199999998</v>
      </c>
      <c r="D2607" s="293">
        <v>1289.074224</v>
      </c>
      <c r="E2607" s="293">
        <v>615.72479199999998</v>
      </c>
      <c r="F2607" s="294" t="s">
        <v>1198</v>
      </c>
    </row>
    <row r="2608" spans="1:6" hidden="1" outlineLevel="1" collapsed="1" x14ac:dyDescent="0.25">
      <c r="A2608" s="295" t="s">
        <v>282</v>
      </c>
      <c r="B2608" s="295" t="s">
        <v>444</v>
      </c>
      <c r="C2608" s="293">
        <v>1800</v>
      </c>
      <c r="D2608" s="293">
        <v>0</v>
      </c>
      <c r="E2608" s="293">
        <v>-1800</v>
      </c>
      <c r="F2608" s="294" t="s">
        <v>286</v>
      </c>
    </row>
    <row r="2609" spans="1:6" hidden="1" outlineLevel="1" collapsed="1" x14ac:dyDescent="0.25">
      <c r="A2609" s="295" t="s">
        <v>282</v>
      </c>
      <c r="B2609" s="295" t="s">
        <v>389</v>
      </c>
      <c r="C2609" s="293">
        <v>426.12479999999999</v>
      </c>
      <c r="D2609" s="293">
        <v>844.08</v>
      </c>
      <c r="E2609" s="293">
        <v>417.95519999999999</v>
      </c>
      <c r="F2609" s="294" t="s">
        <v>532</v>
      </c>
    </row>
    <row r="2610" spans="1:6" hidden="1" outlineLevel="1" collapsed="1" x14ac:dyDescent="0.25">
      <c r="A2610" s="295" t="s">
        <v>282</v>
      </c>
      <c r="B2610" s="295" t="s">
        <v>390</v>
      </c>
      <c r="C2610" s="293">
        <v>15485.27</v>
      </c>
      <c r="D2610" s="293">
        <v>31918.560000000001</v>
      </c>
      <c r="E2610" s="293">
        <v>16433.29</v>
      </c>
      <c r="F2610" s="294" t="s">
        <v>1199</v>
      </c>
    </row>
    <row r="2611" spans="1:6" hidden="1" outlineLevel="1" collapsed="1" x14ac:dyDescent="0.25">
      <c r="A2611" s="295" t="s">
        <v>282</v>
      </c>
      <c r="B2611" s="295" t="s">
        <v>392</v>
      </c>
      <c r="C2611" s="293">
        <v>233.53919999999999</v>
      </c>
      <c r="D2611" s="293">
        <v>365.76</v>
      </c>
      <c r="E2611" s="293">
        <v>132.2208</v>
      </c>
      <c r="F2611" s="294" t="s">
        <v>534</v>
      </c>
    </row>
    <row r="2612" spans="1:6" hidden="1" outlineLevel="1" collapsed="1" x14ac:dyDescent="0.25">
      <c r="A2612" s="295" t="s">
        <v>282</v>
      </c>
      <c r="B2612" s="295" t="s">
        <v>754</v>
      </c>
      <c r="C2612" s="293">
        <v>15358.56</v>
      </c>
      <c r="D2612" s="293">
        <v>15959.28</v>
      </c>
      <c r="E2612" s="293">
        <v>600.72</v>
      </c>
      <c r="F2612" s="294" t="s">
        <v>366</v>
      </c>
    </row>
    <row r="2613" spans="1:6" hidden="1" outlineLevel="1" collapsed="1" x14ac:dyDescent="0.25">
      <c r="A2613" s="295" t="s">
        <v>282</v>
      </c>
      <c r="B2613" s="295" t="s">
        <v>755</v>
      </c>
      <c r="C2613" s="293">
        <v>426.12479999999999</v>
      </c>
      <c r="D2613" s="293">
        <v>422.04</v>
      </c>
      <c r="E2613" s="293">
        <v>-4.0848000000000004</v>
      </c>
      <c r="F2613" s="294" t="s">
        <v>364</v>
      </c>
    </row>
    <row r="2614" spans="1:6" hidden="1" outlineLevel="1" collapsed="1" x14ac:dyDescent="0.25">
      <c r="A2614" s="295" t="s">
        <v>282</v>
      </c>
      <c r="B2614" s="295" t="s">
        <v>756</v>
      </c>
      <c r="C2614" s="293">
        <v>233.53919999999999</v>
      </c>
      <c r="D2614" s="293">
        <v>182.88</v>
      </c>
      <c r="E2614" s="293">
        <v>-50.659199999999998</v>
      </c>
      <c r="F2614" s="294" t="s">
        <v>368</v>
      </c>
    </row>
    <row r="2615" spans="1:6" hidden="1" outlineLevel="1" collapsed="1" x14ac:dyDescent="0.25">
      <c r="A2615" s="295" t="s">
        <v>282</v>
      </c>
      <c r="B2615" s="295" t="s">
        <v>393</v>
      </c>
      <c r="C2615" s="293">
        <v>23.21894</v>
      </c>
      <c r="D2615" s="293">
        <v>44.45082</v>
      </c>
      <c r="E2615" s="293">
        <v>21.23188</v>
      </c>
      <c r="F2615" s="294" t="s">
        <v>1198</v>
      </c>
    </row>
    <row r="2616" spans="1:6" hidden="1" outlineLevel="1" collapsed="1" x14ac:dyDescent="0.25">
      <c r="A2616" s="295" t="s">
        <v>282</v>
      </c>
      <c r="B2616" s="295" t="s">
        <v>757</v>
      </c>
      <c r="C2616" s="293">
        <v>47.584212000000001</v>
      </c>
      <c r="D2616" s="293">
        <v>0</v>
      </c>
      <c r="E2616" s="293">
        <v>-47.584212000000001</v>
      </c>
      <c r="F2616" s="294" t="s">
        <v>286</v>
      </c>
    </row>
    <row r="2617" spans="1:6" hidden="1" outlineLevel="1" collapsed="1" x14ac:dyDescent="0.25">
      <c r="A2617" s="295" t="s">
        <v>282</v>
      </c>
      <c r="B2617" s="295" t="s">
        <v>758</v>
      </c>
      <c r="C2617" s="293">
        <v>0</v>
      </c>
      <c r="D2617" s="293">
        <v>50.711280000000002</v>
      </c>
      <c r="E2617" s="293">
        <v>50.711280000000002</v>
      </c>
      <c r="F2617" s="294" t="s">
        <v>298</v>
      </c>
    </row>
    <row r="2618" spans="1:6" hidden="1" outlineLevel="1" collapsed="1" x14ac:dyDescent="0.25">
      <c r="A2618" s="295" t="s">
        <v>282</v>
      </c>
      <c r="B2618" s="295" t="s">
        <v>394</v>
      </c>
      <c r="C2618" s="293">
        <v>1500</v>
      </c>
      <c r="D2618" s="293">
        <v>0</v>
      </c>
      <c r="E2618" s="293">
        <v>-1500</v>
      </c>
      <c r="F2618" s="294" t="s">
        <v>286</v>
      </c>
    </row>
    <row r="2619" spans="1:6" hidden="1" outlineLevel="1" collapsed="1" x14ac:dyDescent="0.25">
      <c r="A2619" s="295" t="s">
        <v>282</v>
      </c>
      <c r="B2619" s="295" t="s">
        <v>395</v>
      </c>
      <c r="C2619" s="293">
        <v>0</v>
      </c>
      <c r="D2619" s="293">
        <v>3000</v>
      </c>
      <c r="E2619" s="293">
        <v>3000</v>
      </c>
      <c r="F2619" s="294" t="s">
        <v>298</v>
      </c>
    </row>
    <row r="2620" spans="1:6" hidden="1" outlineLevel="1" collapsed="1" x14ac:dyDescent="0.25">
      <c r="A2620" s="295" t="s">
        <v>282</v>
      </c>
      <c r="B2620" s="295" t="s">
        <v>759</v>
      </c>
      <c r="C2620" s="293">
        <v>1500</v>
      </c>
      <c r="D2620" s="293">
        <v>0</v>
      </c>
      <c r="E2620" s="293">
        <v>-1500</v>
      </c>
      <c r="F2620" s="294" t="s">
        <v>286</v>
      </c>
    </row>
    <row r="2621" spans="1:6" hidden="1" outlineLevel="1" collapsed="1" x14ac:dyDescent="0.25">
      <c r="A2621" s="295" t="s">
        <v>282</v>
      </c>
      <c r="B2621" s="295" t="s">
        <v>760</v>
      </c>
      <c r="C2621" s="293">
        <v>0</v>
      </c>
      <c r="D2621" s="293">
        <v>1500</v>
      </c>
      <c r="E2621" s="293">
        <v>1500</v>
      </c>
      <c r="F2621" s="294" t="s">
        <v>298</v>
      </c>
    </row>
    <row r="2622" spans="1:6" hidden="1" outlineLevel="1" collapsed="1" x14ac:dyDescent="0.25">
      <c r="A2622" s="295" t="s">
        <v>282</v>
      </c>
      <c r="B2622" s="295" t="s">
        <v>396</v>
      </c>
      <c r="C2622" s="293">
        <v>49.68</v>
      </c>
      <c r="D2622" s="293">
        <v>0</v>
      </c>
      <c r="E2622" s="293">
        <v>-49.68</v>
      </c>
      <c r="F2622" s="294" t="s">
        <v>286</v>
      </c>
    </row>
    <row r="2623" spans="1:6" hidden="1" outlineLevel="1" collapsed="1" x14ac:dyDescent="0.25">
      <c r="A2623" s="295" t="s">
        <v>282</v>
      </c>
      <c r="B2623" s="295" t="s">
        <v>397</v>
      </c>
      <c r="C2623" s="293">
        <v>0</v>
      </c>
      <c r="D2623" s="293">
        <v>96.96</v>
      </c>
      <c r="E2623" s="293">
        <v>96.96</v>
      </c>
      <c r="F2623" s="294" t="s">
        <v>298</v>
      </c>
    </row>
    <row r="2624" spans="1:6" hidden="1" outlineLevel="1" collapsed="1" x14ac:dyDescent="0.25">
      <c r="A2624" s="295" t="s">
        <v>282</v>
      </c>
      <c r="B2624" s="295" t="s">
        <v>761</v>
      </c>
      <c r="C2624" s="293">
        <v>49.68</v>
      </c>
      <c r="D2624" s="293">
        <v>0</v>
      </c>
      <c r="E2624" s="293">
        <v>-49.68</v>
      </c>
      <c r="F2624" s="294" t="s">
        <v>286</v>
      </c>
    </row>
    <row r="2625" spans="1:6" hidden="1" outlineLevel="1" collapsed="1" x14ac:dyDescent="0.25">
      <c r="A2625" s="295" t="s">
        <v>282</v>
      </c>
      <c r="B2625" s="295" t="s">
        <v>762</v>
      </c>
      <c r="C2625" s="293">
        <v>0</v>
      </c>
      <c r="D2625" s="293">
        <v>48.48</v>
      </c>
      <c r="E2625" s="293">
        <v>48.48</v>
      </c>
      <c r="F2625" s="294" t="s">
        <v>298</v>
      </c>
    </row>
    <row r="2626" spans="1:6" hidden="1" outlineLevel="1" collapsed="1" x14ac:dyDescent="0.25">
      <c r="A2626" s="295" t="s">
        <v>282</v>
      </c>
      <c r="B2626" s="295" t="s">
        <v>398</v>
      </c>
      <c r="C2626" s="293">
        <v>24</v>
      </c>
      <c r="D2626" s="293">
        <v>22.08</v>
      </c>
      <c r="E2626" s="293">
        <v>-1.92</v>
      </c>
      <c r="F2626" s="294" t="s">
        <v>536</v>
      </c>
    </row>
    <row r="2627" spans="1:6" hidden="1" outlineLevel="1" collapsed="1" x14ac:dyDescent="0.25">
      <c r="A2627" s="295" t="s">
        <v>282</v>
      </c>
      <c r="B2627" s="295" t="s">
        <v>763</v>
      </c>
      <c r="C2627" s="293">
        <v>24</v>
      </c>
      <c r="D2627" s="293">
        <v>11.04</v>
      </c>
      <c r="E2627" s="293">
        <v>-12.96</v>
      </c>
      <c r="F2627" s="294" t="s">
        <v>374</v>
      </c>
    </row>
    <row r="2628" spans="1:6" hidden="1" outlineLevel="1" collapsed="1" x14ac:dyDescent="0.25">
      <c r="A2628" s="295" t="s">
        <v>282</v>
      </c>
      <c r="B2628" s="295" t="s">
        <v>505</v>
      </c>
      <c r="C2628" s="293">
        <v>0</v>
      </c>
      <c r="D2628" s="293">
        <v>110</v>
      </c>
      <c r="E2628" s="293">
        <v>110</v>
      </c>
      <c r="F2628" s="294" t="s">
        <v>298</v>
      </c>
    </row>
    <row r="2629" spans="1:6" hidden="1" outlineLevel="1" collapsed="1" x14ac:dyDescent="0.25">
      <c r="A2629" s="295" t="s">
        <v>282</v>
      </c>
      <c r="B2629" s="295" t="s">
        <v>523</v>
      </c>
      <c r="C2629" s="293">
        <v>0</v>
      </c>
      <c r="D2629" s="293">
        <v>0</v>
      </c>
      <c r="E2629" s="293">
        <v>0</v>
      </c>
      <c r="F2629" s="294" t="s">
        <v>316</v>
      </c>
    </row>
    <row r="2630" spans="1:6" hidden="1" outlineLevel="1" collapsed="1" x14ac:dyDescent="0.25">
      <c r="A2630" s="295" t="s">
        <v>282</v>
      </c>
      <c r="B2630" s="295" t="s">
        <v>376</v>
      </c>
      <c r="C2630" s="293">
        <v>1709</v>
      </c>
      <c r="D2630" s="293">
        <v>0</v>
      </c>
      <c r="E2630" s="293">
        <v>-1709</v>
      </c>
      <c r="F2630" s="294" t="s">
        <v>286</v>
      </c>
    </row>
    <row r="2631" spans="1:6" hidden="1" outlineLevel="1" collapsed="1" x14ac:dyDescent="0.25">
      <c r="A2631" s="295" t="s">
        <v>282</v>
      </c>
      <c r="B2631" s="295" t="s">
        <v>403</v>
      </c>
      <c r="C2631" s="293">
        <v>0</v>
      </c>
      <c r="D2631" s="293">
        <v>1599</v>
      </c>
      <c r="E2631" s="293">
        <v>1599</v>
      </c>
      <c r="F2631" s="294" t="s">
        <v>298</v>
      </c>
    </row>
    <row r="2632" spans="1:6" collapsed="1" x14ac:dyDescent="0.25">
      <c r="A2632" s="560" t="s">
        <v>1200</v>
      </c>
      <c r="B2632" s="561"/>
      <c r="C2632" s="292">
        <v>19888</v>
      </c>
      <c r="D2632" s="293">
        <v>19442</v>
      </c>
      <c r="E2632" s="293">
        <v>-446</v>
      </c>
      <c r="F2632" s="294" t="s">
        <v>1201</v>
      </c>
    </row>
    <row r="2633" spans="1:6" hidden="1" outlineLevel="1" collapsed="1" x14ac:dyDescent="0.25">
      <c r="A2633" s="295" t="s">
        <v>282</v>
      </c>
      <c r="B2633" s="295" t="s">
        <v>375</v>
      </c>
      <c r="C2633" s="293">
        <v>0</v>
      </c>
      <c r="D2633" s="293">
        <v>1500</v>
      </c>
      <c r="E2633" s="293">
        <v>1500</v>
      </c>
      <c r="F2633" s="294" t="s">
        <v>298</v>
      </c>
    </row>
    <row r="2634" spans="1:6" hidden="1" outlineLevel="1" collapsed="1" x14ac:dyDescent="0.25">
      <c r="A2634" s="295" t="s">
        <v>282</v>
      </c>
      <c r="B2634" s="295" t="s">
        <v>1202</v>
      </c>
      <c r="C2634" s="293">
        <v>5510</v>
      </c>
      <c r="D2634" s="293">
        <v>4870</v>
      </c>
      <c r="E2634" s="293">
        <v>-640</v>
      </c>
      <c r="F2634" s="294" t="s">
        <v>1203</v>
      </c>
    </row>
    <row r="2635" spans="1:6" hidden="1" outlineLevel="1" collapsed="1" x14ac:dyDescent="0.25">
      <c r="A2635" s="295" t="s">
        <v>282</v>
      </c>
      <c r="B2635" s="295" t="s">
        <v>416</v>
      </c>
      <c r="C2635" s="293">
        <v>18</v>
      </c>
      <c r="D2635" s="293">
        <v>0</v>
      </c>
      <c r="E2635" s="293">
        <v>-18</v>
      </c>
      <c r="F2635" s="294" t="s">
        <v>286</v>
      </c>
    </row>
    <row r="2636" spans="1:6" hidden="1" outlineLevel="1" collapsed="1" x14ac:dyDescent="0.25">
      <c r="A2636" s="295" t="s">
        <v>282</v>
      </c>
      <c r="B2636" s="295" t="s">
        <v>401</v>
      </c>
      <c r="C2636" s="293">
        <v>9233</v>
      </c>
      <c r="D2636" s="293">
        <v>8172</v>
      </c>
      <c r="E2636" s="293">
        <v>-1061</v>
      </c>
      <c r="F2636" s="294" t="s">
        <v>1204</v>
      </c>
    </row>
    <row r="2637" spans="1:6" hidden="1" outlineLevel="1" collapsed="1" x14ac:dyDescent="0.25">
      <c r="A2637" s="295" t="s">
        <v>282</v>
      </c>
      <c r="B2637" s="295" t="s">
        <v>405</v>
      </c>
      <c r="C2637" s="293">
        <v>5059</v>
      </c>
      <c r="D2637" s="293">
        <v>4500</v>
      </c>
      <c r="E2637" s="293">
        <v>-559</v>
      </c>
      <c r="F2637" s="294" t="s">
        <v>1205</v>
      </c>
    </row>
    <row r="2638" spans="1:6" hidden="1" outlineLevel="1" collapsed="1" x14ac:dyDescent="0.25">
      <c r="A2638" s="295" t="s">
        <v>282</v>
      </c>
      <c r="B2638" s="295" t="s">
        <v>1206</v>
      </c>
      <c r="C2638" s="293">
        <v>59</v>
      </c>
      <c r="D2638" s="293">
        <v>400</v>
      </c>
      <c r="E2638" s="293">
        <v>341</v>
      </c>
      <c r="F2638" s="294" t="s">
        <v>1207</v>
      </c>
    </row>
    <row r="2639" spans="1:6" hidden="1" outlineLevel="1" collapsed="1" x14ac:dyDescent="0.25">
      <c r="A2639" s="295" t="s">
        <v>282</v>
      </c>
      <c r="B2639" s="295" t="s">
        <v>557</v>
      </c>
      <c r="C2639" s="293">
        <v>9</v>
      </c>
      <c r="D2639" s="293">
        <v>0</v>
      </c>
      <c r="E2639" s="293">
        <v>-9</v>
      </c>
      <c r="F2639" s="294" t="s">
        <v>286</v>
      </c>
    </row>
    <row r="2640" spans="1:6" hidden="1" outlineLevel="1" collapsed="1" x14ac:dyDescent="0.25">
      <c r="A2640" s="295" t="s">
        <v>282</v>
      </c>
      <c r="B2640" s="295" t="s">
        <v>422</v>
      </c>
      <c r="C2640" s="293">
        <v>0</v>
      </c>
      <c r="D2640" s="293">
        <v>0</v>
      </c>
      <c r="E2640" s="293">
        <v>0</v>
      </c>
      <c r="F2640" s="294" t="s">
        <v>316</v>
      </c>
    </row>
    <row r="2641" spans="1:6" collapsed="1" x14ac:dyDescent="0.25">
      <c r="A2641" s="560" t="s">
        <v>1208</v>
      </c>
      <c r="B2641" s="561"/>
      <c r="C2641" s="292">
        <v>8305</v>
      </c>
      <c r="D2641" s="293">
        <v>8203</v>
      </c>
      <c r="E2641" s="293">
        <v>-102</v>
      </c>
      <c r="F2641" s="294" t="s">
        <v>1209</v>
      </c>
    </row>
    <row r="2642" spans="1:6" hidden="1" outlineLevel="1" collapsed="1" x14ac:dyDescent="0.25">
      <c r="A2642" s="295" t="s">
        <v>282</v>
      </c>
      <c r="B2642" s="295" t="s">
        <v>375</v>
      </c>
      <c r="C2642" s="293">
        <v>169</v>
      </c>
      <c r="D2642" s="293">
        <v>1200</v>
      </c>
      <c r="E2642" s="293">
        <v>1031</v>
      </c>
      <c r="F2642" s="294" t="s">
        <v>1210</v>
      </c>
    </row>
    <row r="2643" spans="1:6" hidden="1" outlineLevel="1" collapsed="1" x14ac:dyDescent="0.25">
      <c r="A2643" s="295" t="s">
        <v>282</v>
      </c>
      <c r="B2643" s="295" t="s">
        <v>1202</v>
      </c>
      <c r="C2643" s="293">
        <v>3100</v>
      </c>
      <c r="D2643" s="293">
        <v>2100</v>
      </c>
      <c r="E2643" s="293">
        <v>-1000</v>
      </c>
      <c r="F2643" s="294" t="s">
        <v>1211</v>
      </c>
    </row>
    <row r="2644" spans="1:6" hidden="1" outlineLevel="1" collapsed="1" x14ac:dyDescent="0.25">
      <c r="A2644" s="295" t="s">
        <v>282</v>
      </c>
      <c r="B2644" s="295" t="s">
        <v>1212</v>
      </c>
      <c r="C2644" s="293">
        <v>0</v>
      </c>
      <c r="D2644" s="293">
        <v>200</v>
      </c>
      <c r="E2644" s="293">
        <v>200</v>
      </c>
      <c r="F2644" s="294" t="s">
        <v>298</v>
      </c>
    </row>
    <row r="2645" spans="1:6" hidden="1" outlineLevel="1" collapsed="1" x14ac:dyDescent="0.25">
      <c r="A2645" s="295" t="s">
        <v>282</v>
      </c>
      <c r="B2645" s="295" t="s">
        <v>401</v>
      </c>
      <c r="C2645" s="293">
        <v>2936</v>
      </c>
      <c r="D2645" s="293">
        <v>2403</v>
      </c>
      <c r="E2645" s="293">
        <v>-533</v>
      </c>
      <c r="F2645" s="294" t="s">
        <v>1213</v>
      </c>
    </row>
    <row r="2646" spans="1:6" hidden="1" outlineLevel="1" collapsed="1" x14ac:dyDescent="0.25">
      <c r="A2646" s="295" t="s">
        <v>282</v>
      </c>
      <c r="B2646" s="295" t="s">
        <v>405</v>
      </c>
      <c r="C2646" s="293">
        <v>1650</v>
      </c>
      <c r="D2646" s="293">
        <v>1800</v>
      </c>
      <c r="E2646" s="293">
        <v>150</v>
      </c>
      <c r="F2646" s="294" t="s">
        <v>693</v>
      </c>
    </row>
    <row r="2647" spans="1:6" hidden="1" outlineLevel="1" collapsed="1" x14ac:dyDescent="0.25">
      <c r="A2647" s="295" t="s">
        <v>282</v>
      </c>
      <c r="B2647" s="295" t="s">
        <v>1206</v>
      </c>
      <c r="C2647" s="293">
        <v>450</v>
      </c>
      <c r="D2647" s="293">
        <v>500</v>
      </c>
      <c r="E2647" s="293">
        <v>50</v>
      </c>
      <c r="F2647" s="294" t="s">
        <v>610</v>
      </c>
    </row>
    <row r="2648" spans="1:6" collapsed="1" x14ac:dyDescent="0.25">
      <c r="A2648" s="560" t="s">
        <v>1214</v>
      </c>
      <c r="B2648" s="561"/>
      <c r="C2648" s="292">
        <v>12400</v>
      </c>
      <c r="D2648" s="293">
        <v>12027</v>
      </c>
      <c r="E2648" s="293">
        <v>-373</v>
      </c>
      <c r="F2648" s="294" t="s">
        <v>1215</v>
      </c>
    </row>
    <row r="2649" spans="1:6" hidden="1" outlineLevel="1" collapsed="1" x14ac:dyDescent="0.25">
      <c r="A2649" s="295" t="s">
        <v>282</v>
      </c>
      <c r="B2649" s="295" t="s">
        <v>375</v>
      </c>
      <c r="C2649" s="293">
        <v>0</v>
      </c>
      <c r="D2649" s="293">
        <v>2000</v>
      </c>
      <c r="E2649" s="293">
        <v>2000</v>
      </c>
      <c r="F2649" s="294" t="s">
        <v>298</v>
      </c>
    </row>
    <row r="2650" spans="1:6" hidden="1" outlineLevel="1" collapsed="1" x14ac:dyDescent="0.25">
      <c r="A2650" s="295" t="s">
        <v>282</v>
      </c>
      <c r="B2650" s="295" t="s">
        <v>1202</v>
      </c>
      <c r="C2650" s="293">
        <v>2362</v>
      </c>
      <c r="D2650" s="293">
        <v>1400</v>
      </c>
      <c r="E2650" s="293">
        <v>-962</v>
      </c>
      <c r="F2650" s="294" t="s">
        <v>1216</v>
      </c>
    </row>
    <row r="2651" spans="1:6" hidden="1" outlineLevel="1" collapsed="1" x14ac:dyDescent="0.25">
      <c r="A2651" s="295" t="s">
        <v>282</v>
      </c>
      <c r="B2651" s="295" t="s">
        <v>1212</v>
      </c>
      <c r="C2651" s="293">
        <v>0</v>
      </c>
      <c r="D2651" s="293">
        <v>200</v>
      </c>
      <c r="E2651" s="293">
        <v>200</v>
      </c>
      <c r="F2651" s="294" t="s">
        <v>298</v>
      </c>
    </row>
    <row r="2652" spans="1:6" hidden="1" outlineLevel="1" collapsed="1" x14ac:dyDescent="0.25">
      <c r="A2652" s="295" t="s">
        <v>282</v>
      </c>
      <c r="B2652" s="295" t="s">
        <v>416</v>
      </c>
      <c r="C2652" s="293">
        <v>160</v>
      </c>
      <c r="D2652" s="293">
        <v>0</v>
      </c>
      <c r="E2652" s="293">
        <v>-160</v>
      </c>
      <c r="F2652" s="294" t="s">
        <v>286</v>
      </c>
    </row>
    <row r="2653" spans="1:6" hidden="1" outlineLevel="1" collapsed="1" x14ac:dyDescent="0.25">
      <c r="A2653" s="295" t="s">
        <v>282</v>
      </c>
      <c r="B2653" s="295" t="s">
        <v>401</v>
      </c>
      <c r="C2653" s="293">
        <v>6683</v>
      </c>
      <c r="D2653" s="293">
        <v>5000</v>
      </c>
      <c r="E2653" s="293">
        <v>-1683</v>
      </c>
      <c r="F2653" s="294" t="s">
        <v>1217</v>
      </c>
    </row>
    <row r="2654" spans="1:6" hidden="1" outlineLevel="1" collapsed="1" x14ac:dyDescent="0.25">
      <c r="A2654" s="295" t="s">
        <v>282</v>
      </c>
      <c r="B2654" s="295" t="s">
        <v>405</v>
      </c>
      <c r="C2654" s="293">
        <v>2789</v>
      </c>
      <c r="D2654" s="293">
        <v>2827</v>
      </c>
      <c r="E2654" s="293">
        <v>38</v>
      </c>
      <c r="F2654" s="294" t="s">
        <v>1218</v>
      </c>
    </row>
    <row r="2655" spans="1:6" hidden="1" outlineLevel="1" collapsed="1" x14ac:dyDescent="0.25">
      <c r="A2655" s="295" t="s">
        <v>282</v>
      </c>
      <c r="B2655" s="295" t="s">
        <v>1206</v>
      </c>
      <c r="C2655" s="293">
        <v>406</v>
      </c>
      <c r="D2655" s="293">
        <v>600</v>
      </c>
      <c r="E2655" s="293">
        <v>194</v>
      </c>
      <c r="F2655" s="294" t="s">
        <v>1219</v>
      </c>
    </row>
    <row r="2656" spans="1:6" collapsed="1" x14ac:dyDescent="0.25">
      <c r="A2656" s="560" t="s">
        <v>1220</v>
      </c>
      <c r="B2656" s="561"/>
      <c r="C2656" s="292">
        <v>15892.82</v>
      </c>
      <c r="D2656" s="293">
        <v>11984</v>
      </c>
      <c r="E2656" s="293">
        <v>-3908.82</v>
      </c>
      <c r="F2656" s="294" t="s">
        <v>1221</v>
      </c>
    </row>
    <row r="2657" spans="1:6" hidden="1" outlineLevel="1" collapsed="1" x14ac:dyDescent="0.25">
      <c r="A2657" s="295" t="s">
        <v>282</v>
      </c>
      <c r="B2657" s="295" t="s">
        <v>375</v>
      </c>
      <c r="C2657" s="293">
        <v>1447</v>
      </c>
      <c r="D2657" s="293">
        <v>1500</v>
      </c>
      <c r="E2657" s="293">
        <v>53</v>
      </c>
      <c r="F2657" s="294" t="s">
        <v>414</v>
      </c>
    </row>
    <row r="2658" spans="1:6" hidden="1" outlineLevel="1" collapsed="1" x14ac:dyDescent="0.25">
      <c r="A2658" s="295" t="s">
        <v>282</v>
      </c>
      <c r="B2658" s="295" t="s">
        <v>1202</v>
      </c>
      <c r="C2658" s="293">
        <v>3765</v>
      </c>
      <c r="D2658" s="293">
        <v>3000</v>
      </c>
      <c r="E2658" s="293">
        <v>-765</v>
      </c>
      <c r="F2658" s="294" t="s">
        <v>1222</v>
      </c>
    </row>
    <row r="2659" spans="1:6" hidden="1" outlineLevel="1" collapsed="1" x14ac:dyDescent="0.25">
      <c r="A2659" s="295" t="s">
        <v>282</v>
      </c>
      <c r="B2659" s="295" t="s">
        <v>1212</v>
      </c>
      <c r="C2659" s="293">
        <v>0</v>
      </c>
      <c r="D2659" s="293">
        <v>200</v>
      </c>
      <c r="E2659" s="293">
        <v>200</v>
      </c>
      <c r="F2659" s="294" t="s">
        <v>298</v>
      </c>
    </row>
    <row r="2660" spans="1:6" hidden="1" outlineLevel="1" collapsed="1" x14ac:dyDescent="0.25">
      <c r="A2660" s="295" t="s">
        <v>282</v>
      </c>
      <c r="B2660" s="295" t="s">
        <v>401</v>
      </c>
      <c r="C2660" s="293">
        <v>5000</v>
      </c>
      <c r="D2660" s="293">
        <v>3284</v>
      </c>
      <c r="E2660" s="293">
        <v>-1716</v>
      </c>
      <c r="F2660" s="294" t="s">
        <v>1223</v>
      </c>
    </row>
    <row r="2661" spans="1:6" hidden="1" outlineLevel="1" collapsed="1" x14ac:dyDescent="0.25">
      <c r="A2661" s="295" t="s">
        <v>282</v>
      </c>
      <c r="B2661" s="295" t="s">
        <v>405</v>
      </c>
      <c r="C2661" s="293">
        <v>4194</v>
      </c>
      <c r="D2661" s="293">
        <v>2500</v>
      </c>
      <c r="E2661" s="293">
        <v>-1694</v>
      </c>
      <c r="F2661" s="294" t="s">
        <v>1224</v>
      </c>
    </row>
    <row r="2662" spans="1:6" hidden="1" outlineLevel="1" collapsed="1" x14ac:dyDescent="0.25">
      <c r="A2662" s="295" t="s">
        <v>282</v>
      </c>
      <c r="B2662" s="295" t="s">
        <v>1206</v>
      </c>
      <c r="C2662" s="293">
        <v>1486.82</v>
      </c>
      <c r="D2662" s="293">
        <v>1500</v>
      </c>
      <c r="E2662" s="293">
        <v>13.18</v>
      </c>
      <c r="F2662" s="294" t="s">
        <v>1225</v>
      </c>
    </row>
    <row r="2663" spans="1:6" collapsed="1" x14ac:dyDescent="0.25">
      <c r="A2663" s="560" t="s">
        <v>1226</v>
      </c>
      <c r="B2663" s="561"/>
      <c r="C2663" s="292">
        <v>14968</v>
      </c>
      <c r="D2663" s="293">
        <v>13918</v>
      </c>
      <c r="E2663" s="293">
        <v>-1050</v>
      </c>
      <c r="F2663" s="294" t="s">
        <v>1227</v>
      </c>
    </row>
    <row r="2664" spans="1:6" hidden="1" outlineLevel="1" collapsed="1" x14ac:dyDescent="0.25">
      <c r="A2664" s="295" t="s">
        <v>282</v>
      </c>
      <c r="B2664" s="295" t="s">
        <v>375</v>
      </c>
      <c r="C2664" s="293">
        <v>397</v>
      </c>
      <c r="D2664" s="293">
        <v>1200</v>
      </c>
      <c r="E2664" s="293">
        <v>803</v>
      </c>
      <c r="F2664" s="294" t="s">
        <v>1228</v>
      </c>
    </row>
    <row r="2665" spans="1:6" hidden="1" outlineLevel="1" collapsed="1" x14ac:dyDescent="0.25">
      <c r="A2665" s="295" t="s">
        <v>282</v>
      </c>
      <c r="B2665" s="295" t="s">
        <v>1202</v>
      </c>
      <c r="C2665" s="293">
        <v>4315</v>
      </c>
      <c r="D2665" s="293">
        <v>3500</v>
      </c>
      <c r="E2665" s="293">
        <v>-815</v>
      </c>
      <c r="F2665" s="294" t="s">
        <v>1229</v>
      </c>
    </row>
    <row r="2666" spans="1:6" hidden="1" outlineLevel="1" collapsed="1" x14ac:dyDescent="0.25">
      <c r="A2666" s="295" t="s">
        <v>282</v>
      </c>
      <c r="B2666" s="295" t="s">
        <v>1212</v>
      </c>
      <c r="C2666" s="293">
        <v>0</v>
      </c>
      <c r="D2666" s="293">
        <v>200</v>
      </c>
      <c r="E2666" s="293">
        <v>200</v>
      </c>
      <c r="F2666" s="294" t="s">
        <v>298</v>
      </c>
    </row>
    <row r="2667" spans="1:6" hidden="1" outlineLevel="1" collapsed="1" x14ac:dyDescent="0.25">
      <c r="A2667" s="295" t="s">
        <v>282</v>
      </c>
      <c r="B2667" s="295" t="s">
        <v>401</v>
      </c>
      <c r="C2667" s="293">
        <v>5273</v>
      </c>
      <c r="D2667" s="293">
        <v>4300</v>
      </c>
      <c r="E2667" s="293">
        <v>-973</v>
      </c>
      <c r="F2667" s="294" t="s">
        <v>1230</v>
      </c>
    </row>
    <row r="2668" spans="1:6" hidden="1" outlineLevel="1" collapsed="1" x14ac:dyDescent="0.25">
      <c r="A2668" s="295" t="s">
        <v>282</v>
      </c>
      <c r="B2668" s="295" t="s">
        <v>405</v>
      </c>
      <c r="C2668" s="293">
        <v>3536</v>
      </c>
      <c r="D2668" s="293">
        <v>3218</v>
      </c>
      <c r="E2668" s="293">
        <v>-318</v>
      </c>
      <c r="F2668" s="294" t="s">
        <v>1231</v>
      </c>
    </row>
    <row r="2669" spans="1:6" hidden="1" outlineLevel="1" collapsed="1" x14ac:dyDescent="0.25">
      <c r="A2669" s="295" t="s">
        <v>282</v>
      </c>
      <c r="B2669" s="295" t="s">
        <v>1206</v>
      </c>
      <c r="C2669" s="293">
        <v>1447</v>
      </c>
      <c r="D2669" s="293">
        <v>1500</v>
      </c>
      <c r="E2669" s="293">
        <v>53</v>
      </c>
      <c r="F2669" s="294" t="s">
        <v>414</v>
      </c>
    </row>
    <row r="2670" spans="1:6" collapsed="1" x14ac:dyDescent="0.25">
      <c r="A2670" s="560" t="s">
        <v>1232</v>
      </c>
      <c r="B2670" s="561"/>
      <c r="C2670" s="292">
        <v>9995</v>
      </c>
      <c r="D2670" s="293">
        <v>6196</v>
      </c>
      <c r="E2670" s="293">
        <v>-3799</v>
      </c>
      <c r="F2670" s="294" t="s">
        <v>1233</v>
      </c>
    </row>
    <row r="2671" spans="1:6" hidden="1" outlineLevel="1" collapsed="1" x14ac:dyDescent="0.25">
      <c r="A2671" s="295" t="s">
        <v>282</v>
      </c>
      <c r="B2671" s="295" t="s">
        <v>375</v>
      </c>
      <c r="C2671" s="293">
        <v>325</v>
      </c>
      <c r="D2671" s="293">
        <v>1000</v>
      </c>
      <c r="E2671" s="293">
        <v>675</v>
      </c>
      <c r="F2671" s="294" t="s">
        <v>1234</v>
      </c>
    </row>
    <row r="2672" spans="1:6" hidden="1" outlineLevel="1" collapsed="1" x14ac:dyDescent="0.25">
      <c r="A2672" s="295" t="s">
        <v>282</v>
      </c>
      <c r="B2672" s="295" t="s">
        <v>1212</v>
      </c>
      <c r="C2672" s="293">
        <v>0</v>
      </c>
      <c r="D2672" s="293">
        <v>200</v>
      </c>
      <c r="E2672" s="293">
        <v>200</v>
      </c>
      <c r="F2672" s="294" t="s">
        <v>298</v>
      </c>
    </row>
    <row r="2673" spans="1:6" hidden="1" outlineLevel="1" collapsed="1" x14ac:dyDescent="0.25">
      <c r="A2673" s="295" t="s">
        <v>282</v>
      </c>
      <c r="B2673" s="295" t="s">
        <v>401</v>
      </c>
      <c r="C2673" s="293">
        <v>3001</v>
      </c>
      <c r="D2673" s="293">
        <v>2000</v>
      </c>
      <c r="E2673" s="293">
        <v>-1001</v>
      </c>
      <c r="F2673" s="294" t="s">
        <v>1235</v>
      </c>
    </row>
    <row r="2674" spans="1:6" hidden="1" outlineLevel="1" collapsed="1" x14ac:dyDescent="0.25">
      <c r="A2674" s="295" t="s">
        <v>282</v>
      </c>
      <c r="B2674" s="295" t="s">
        <v>405</v>
      </c>
      <c r="C2674" s="293">
        <v>3539</v>
      </c>
      <c r="D2674" s="293">
        <v>1700</v>
      </c>
      <c r="E2674" s="293">
        <v>-1839</v>
      </c>
      <c r="F2674" s="294" t="s">
        <v>1236</v>
      </c>
    </row>
    <row r="2675" spans="1:6" hidden="1" outlineLevel="1" collapsed="1" x14ac:dyDescent="0.25">
      <c r="A2675" s="295" t="s">
        <v>282</v>
      </c>
      <c r="B2675" s="295" t="s">
        <v>1206</v>
      </c>
      <c r="C2675" s="293">
        <v>3130</v>
      </c>
      <c r="D2675" s="293">
        <v>1296</v>
      </c>
      <c r="E2675" s="293">
        <v>-1834</v>
      </c>
      <c r="F2675" s="294" t="s">
        <v>1237</v>
      </c>
    </row>
    <row r="2676" spans="1:6" collapsed="1" x14ac:dyDescent="0.25">
      <c r="A2676" s="560" t="s">
        <v>1238</v>
      </c>
      <c r="B2676" s="561"/>
      <c r="C2676" s="292">
        <v>6070</v>
      </c>
      <c r="D2676" s="293">
        <v>5513</v>
      </c>
      <c r="E2676" s="293">
        <v>-557</v>
      </c>
      <c r="F2676" s="294" t="s">
        <v>1239</v>
      </c>
    </row>
    <row r="2677" spans="1:6" hidden="1" outlineLevel="1" collapsed="1" x14ac:dyDescent="0.25">
      <c r="A2677" s="295" t="s">
        <v>282</v>
      </c>
      <c r="B2677" s="295" t="s">
        <v>375</v>
      </c>
      <c r="C2677" s="293">
        <v>400</v>
      </c>
      <c r="D2677" s="293">
        <v>1500</v>
      </c>
      <c r="E2677" s="293">
        <v>1100</v>
      </c>
      <c r="F2677" s="294" t="s">
        <v>1240</v>
      </c>
    </row>
    <row r="2678" spans="1:6" hidden="1" outlineLevel="1" collapsed="1" x14ac:dyDescent="0.25">
      <c r="A2678" s="295" t="s">
        <v>282</v>
      </c>
      <c r="B2678" s="295" t="s">
        <v>1212</v>
      </c>
      <c r="C2678" s="293">
        <v>0</v>
      </c>
      <c r="D2678" s="293">
        <v>200</v>
      </c>
      <c r="E2678" s="293">
        <v>200</v>
      </c>
      <c r="F2678" s="294" t="s">
        <v>298</v>
      </c>
    </row>
    <row r="2679" spans="1:6" hidden="1" outlineLevel="1" collapsed="1" x14ac:dyDescent="0.25">
      <c r="A2679" s="295" t="s">
        <v>282</v>
      </c>
      <c r="B2679" s="295" t="s">
        <v>401</v>
      </c>
      <c r="C2679" s="293">
        <v>2195</v>
      </c>
      <c r="D2679" s="293">
        <v>2113</v>
      </c>
      <c r="E2679" s="293">
        <v>-82</v>
      </c>
      <c r="F2679" s="294" t="s">
        <v>1010</v>
      </c>
    </row>
    <row r="2680" spans="1:6" hidden="1" outlineLevel="1" collapsed="1" x14ac:dyDescent="0.25">
      <c r="A2680" s="295" t="s">
        <v>282</v>
      </c>
      <c r="B2680" s="295" t="s">
        <v>405</v>
      </c>
      <c r="C2680" s="293">
        <v>1456</v>
      </c>
      <c r="D2680" s="293">
        <v>1000</v>
      </c>
      <c r="E2680" s="293">
        <v>-456</v>
      </c>
      <c r="F2680" s="294" t="s">
        <v>1241</v>
      </c>
    </row>
    <row r="2681" spans="1:6" hidden="1" outlineLevel="1" collapsed="1" x14ac:dyDescent="0.25">
      <c r="A2681" s="295" t="s">
        <v>282</v>
      </c>
      <c r="B2681" s="295" t="s">
        <v>1206</v>
      </c>
      <c r="C2681" s="293">
        <v>2019</v>
      </c>
      <c r="D2681" s="293">
        <v>700</v>
      </c>
      <c r="E2681" s="293">
        <v>-1319</v>
      </c>
      <c r="F2681" s="294" t="s">
        <v>1242</v>
      </c>
    </row>
    <row r="2682" spans="1:6" collapsed="1" x14ac:dyDescent="0.25">
      <c r="A2682" s="560" t="s">
        <v>1243</v>
      </c>
      <c r="B2682" s="561"/>
      <c r="C2682" s="292">
        <v>4819</v>
      </c>
      <c r="D2682" s="293">
        <v>5288</v>
      </c>
      <c r="E2682" s="293">
        <v>469</v>
      </c>
      <c r="F2682" s="294" t="s">
        <v>1244</v>
      </c>
    </row>
    <row r="2683" spans="1:6" hidden="1" outlineLevel="1" collapsed="1" x14ac:dyDescent="0.25">
      <c r="A2683" s="295" t="s">
        <v>282</v>
      </c>
      <c r="B2683" s="295" t="s">
        <v>375</v>
      </c>
      <c r="C2683" s="293">
        <v>141</v>
      </c>
      <c r="D2683" s="293">
        <v>1000</v>
      </c>
      <c r="E2683" s="293">
        <v>859</v>
      </c>
      <c r="F2683" s="294" t="s">
        <v>1245</v>
      </c>
    </row>
    <row r="2684" spans="1:6" hidden="1" outlineLevel="1" collapsed="1" x14ac:dyDescent="0.25">
      <c r="A2684" s="295" t="s">
        <v>282</v>
      </c>
      <c r="B2684" s="295" t="s">
        <v>401</v>
      </c>
      <c r="C2684" s="293">
        <v>2823</v>
      </c>
      <c r="D2684" s="293">
        <v>2350</v>
      </c>
      <c r="E2684" s="293">
        <v>-473</v>
      </c>
      <c r="F2684" s="294" t="s">
        <v>1246</v>
      </c>
    </row>
    <row r="2685" spans="1:6" hidden="1" outlineLevel="1" collapsed="1" x14ac:dyDescent="0.25">
      <c r="A2685" s="295" t="s">
        <v>282</v>
      </c>
      <c r="B2685" s="295" t="s">
        <v>405</v>
      </c>
      <c r="C2685" s="293">
        <v>1320</v>
      </c>
      <c r="D2685" s="293">
        <v>1100</v>
      </c>
      <c r="E2685" s="293">
        <v>-220</v>
      </c>
      <c r="F2685" s="294" t="s">
        <v>852</v>
      </c>
    </row>
    <row r="2686" spans="1:6" hidden="1" outlineLevel="1" collapsed="1" x14ac:dyDescent="0.25">
      <c r="A2686" s="295" t="s">
        <v>282</v>
      </c>
      <c r="B2686" s="295" t="s">
        <v>1206</v>
      </c>
      <c r="C2686" s="293">
        <v>535</v>
      </c>
      <c r="D2686" s="293">
        <v>838</v>
      </c>
      <c r="E2686" s="293">
        <v>303</v>
      </c>
      <c r="F2686" s="294" t="s">
        <v>1247</v>
      </c>
    </row>
    <row r="2687" spans="1:6" collapsed="1" x14ac:dyDescent="0.25">
      <c r="A2687" s="560" t="s">
        <v>1248</v>
      </c>
      <c r="B2687" s="561"/>
      <c r="C2687" s="292">
        <v>3718</v>
      </c>
      <c r="D2687" s="293">
        <v>4443</v>
      </c>
      <c r="E2687" s="293">
        <v>725</v>
      </c>
      <c r="F2687" s="294" t="s">
        <v>1249</v>
      </c>
    </row>
    <row r="2688" spans="1:6" hidden="1" outlineLevel="1" collapsed="1" x14ac:dyDescent="0.25">
      <c r="A2688" s="295" t="s">
        <v>282</v>
      </c>
      <c r="B2688" s="295" t="s">
        <v>375</v>
      </c>
      <c r="C2688" s="293">
        <v>0</v>
      </c>
      <c r="D2688" s="293">
        <v>1000</v>
      </c>
      <c r="E2688" s="293">
        <v>1000</v>
      </c>
      <c r="F2688" s="294" t="s">
        <v>298</v>
      </c>
    </row>
    <row r="2689" spans="1:6" hidden="1" outlineLevel="1" collapsed="1" x14ac:dyDescent="0.25">
      <c r="A2689" s="295" t="s">
        <v>282</v>
      </c>
      <c r="B2689" s="295" t="s">
        <v>401</v>
      </c>
      <c r="C2689" s="293">
        <v>2458</v>
      </c>
      <c r="D2689" s="293">
        <v>1943</v>
      </c>
      <c r="E2689" s="293">
        <v>-515</v>
      </c>
      <c r="F2689" s="294" t="s">
        <v>1250</v>
      </c>
    </row>
    <row r="2690" spans="1:6" hidden="1" outlineLevel="1" collapsed="1" x14ac:dyDescent="0.25">
      <c r="A2690" s="295" t="s">
        <v>282</v>
      </c>
      <c r="B2690" s="295" t="s">
        <v>405</v>
      </c>
      <c r="C2690" s="293">
        <v>880</v>
      </c>
      <c r="D2690" s="293">
        <v>1000</v>
      </c>
      <c r="E2690" s="293">
        <v>120</v>
      </c>
      <c r="F2690" s="294" t="s">
        <v>1251</v>
      </c>
    </row>
    <row r="2691" spans="1:6" hidden="1" outlineLevel="1" collapsed="1" x14ac:dyDescent="0.25">
      <c r="A2691" s="295" t="s">
        <v>282</v>
      </c>
      <c r="B2691" s="295" t="s">
        <v>1206</v>
      </c>
      <c r="C2691" s="293">
        <v>380</v>
      </c>
      <c r="D2691" s="293">
        <v>500</v>
      </c>
      <c r="E2691" s="293">
        <v>120</v>
      </c>
      <c r="F2691" s="294" t="s">
        <v>1252</v>
      </c>
    </row>
    <row r="2692" spans="1:6" collapsed="1" x14ac:dyDescent="0.25">
      <c r="A2692" s="560" t="s">
        <v>1253</v>
      </c>
      <c r="B2692" s="561"/>
      <c r="C2692" s="292">
        <v>36569</v>
      </c>
      <c r="D2692" s="293">
        <v>33101</v>
      </c>
      <c r="E2692" s="293">
        <v>-3468</v>
      </c>
      <c r="F2692" s="294" t="s">
        <v>1254</v>
      </c>
    </row>
    <row r="2693" spans="1:6" hidden="1" outlineLevel="1" collapsed="1" x14ac:dyDescent="0.25">
      <c r="A2693" s="295" t="s">
        <v>282</v>
      </c>
      <c r="B2693" s="295" t="s">
        <v>375</v>
      </c>
      <c r="C2693" s="293">
        <v>0</v>
      </c>
      <c r="D2693" s="293">
        <v>3000</v>
      </c>
      <c r="E2693" s="293">
        <v>3000</v>
      </c>
      <c r="F2693" s="294" t="s">
        <v>298</v>
      </c>
    </row>
    <row r="2694" spans="1:6" hidden="1" outlineLevel="1" collapsed="1" x14ac:dyDescent="0.25">
      <c r="A2694" s="295" t="s">
        <v>282</v>
      </c>
      <c r="B2694" s="295" t="s">
        <v>567</v>
      </c>
      <c r="C2694" s="293">
        <v>2130</v>
      </c>
      <c r="D2694" s="293">
        <v>2000</v>
      </c>
      <c r="E2694" s="293">
        <v>-130</v>
      </c>
      <c r="F2694" s="294" t="s">
        <v>1255</v>
      </c>
    </row>
    <row r="2695" spans="1:6" hidden="1" outlineLevel="1" collapsed="1" x14ac:dyDescent="0.25">
      <c r="A2695" s="295" t="s">
        <v>282</v>
      </c>
      <c r="B2695" s="295" t="s">
        <v>1202</v>
      </c>
      <c r="C2695" s="293">
        <v>6284</v>
      </c>
      <c r="D2695" s="293">
        <v>4200</v>
      </c>
      <c r="E2695" s="293">
        <v>-2084</v>
      </c>
      <c r="F2695" s="294" t="s">
        <v>1256</v>
      </c>
    </row>
    <row r="2696" spans="1:6" hidden="1" outlineLevel="1" collapsed="1" x14ac:dyDescent="0.25">
      <c r="A2696" s="295" t="s">
        <v>282</v>
      </c>
      <c r="B2696" s="295" t="s">
        <v>1212</v>
      </c>
      <c r="C2696" s="293">
        <v>0</v>
      </c>
      <c r="D2696" s="293">
        <v>3000</v>
      </c>
      <c r="E2696" s="293">
        <v>3000</v>
      </c>
      <c r="F2696" s="294" t="s">
        <v>298</v>
      </c>
    </row>
    <row r="2697" spans="1:6" hidden="1" outlineLevel="1" collapsed="1" x14ac:dyDescent="0.25">
      <c r="A2697" s="295" t="s">
        <v>282</v>
      </c>
      <c r="B2697" s="295" t="s">
        <v>416</v>
      </c>
      <c r="C2697" s="293">
        <v>0</v>
      </c>
      <c r="D2697" s="293">
        <v>0</v>
      </c>
      <c r="E2697" s="293">
        <v>0</v>
      </c>
      <c r="F2697" s="294" t="s">
        <v>316</v>
      </c>
    </row>
    <row r="2698" spans="1:6" hidden="1" outlineLevel="1" collapsed="1" x14ac:dyDescent="0.25">
      <c r="A2698" s="295" t="s">
        <v>282</v>
      </c>
      <c r="B2698" s="295" t="s">
        <v>401</v>
      </c>
      <c r="C2698" s="293">
        <v>16793</v>
      </c>
      <c r="D2698" s="293">
        <v>13000</v>
      </c>
      <c r="E2698" s="293">
        <v>-3793</v>
      </c>
      <c r="F2698" s="294" t="s">
        <v>1257</v>
      </c>
    </row>
    <row r="2699" spans="1:6" hidden="1" outlineLevel="1" collapsed="1" x14ac:dyDescent="0.25">
      <c r="A2699" s="295" t="s">
        <v>282</v>
      </c>
      <c r="B2699" s="295" t="s">
        <v>403</v>
      </c>
      <c r="C2699" s="293">
        <v>5200</v>
      </c>
      <c r="D2699" s="293">
        <v>3700</v>
      </c>
      <c r="E2699" s="293">
        <v>-1500</v>
      </c>
      <c r="F2699" s="294" t="s">
        <v>1258</v>
      </c>
    </row>
    <row r="2700" spans="1:6" hidden="1" outlineLevel="1" collapsed="1" x14ac:dyDescent="0.25">
      <c r="A2700" s="295" t="s">
        <v>282</v>
      </c>
      <c r="B2700" s="295" t="s">
        <v>405</v>
      </c>
      <c r="C2700" s="293">
        <v>3462</v>
      </c>
      <c r="D2700" s="293">
        <v>2462</v>
      </c>
      <c r="E2700" s="293">
        <v>-1000</v>
      </c>
      <c r="F2700" s="294" t="s">
        <v>1259</v>
      </c>
    </row>
    <row r="2701" spans="1:6" hidden="1" outlineLevel="1" collapsed="1" x14ac:dyDescent="0.25">
      <c r="A2701" s="295" t="s">
        <v>282</v>
      </c>
      <c r="B2701" s="295" t="s">
        <v>422</v>
      </c>
      <c r="C2701" s="293">
        <v>2700</v>
      </c>
      <c r="D2701" s="293">
        <v>1739</v>
      </c>
      <c r="E2701" s="293">
        <v>-961</v>
      </c>
      <c r="F2701" s="294" t="s">
        <v>1260</v>
      </c>
    </row>
    <row r="2702" spans="1:6" collapsed="1" x14ac:dyDescent="0.25">
      <c r="A2702" s="560" t="s">
        <v>1261</v>
      </c>
      <c r="B2702" s="561"/>
      <c r="C2702" s="292">
        <v>11330.44</v>
      </c>
      <c r="D2702" s="293">
        <v>9593</v>
      </c>
      <c r="E2702" s="293">
        <v>-1737.44</v>
      </c>
      <c r="F2702" s="294" t="s">
        <v>1262</v>
      </c>
    </row>
    <row r="2703" spans="1:6" hidden="1" outlineLevel="1" collapsed="1" x14ac:dyDescent="0.25">
      <c r="A2703" s="295" t="s">
        <v>282</v>
      </c>
      <c r="B2703" s="295" t="s">
        <v>375</v>
      </c>
      <c r="C2703" s="293">
        <v>119</v>
      </c>
      <c r="D2703" s="293">
        <v>1000</v>
      </c>
      <c r="E2703" s="293">
        <v>881</v>
      </c>
      <c r="F2703" s="294" t="s">
        <v>1263</v>
      </c>
    </row>
    <row r="2704" spans="1:6" hidden="1" outlineLevel="1" collapsed="1" x14ac:dyDescent="0.25">
      <c r="A2704" s="295" t="s">
        <v>282</v>
      </c>
      <c r="B2704" s="295" t="s">
        <v>1202</v>
      </c>
      <c r="C2704" s="293">
        <v>2815</v>
      </c>
      <c r="D2704" s="293">
        <v>3500</v>
      </c>
      <c r="E2704" s="293">
        <v>685</v>
      </c>
      <c r="F2704" s="294" t="s">
        <v>1264</v>
      </c>
    </row>
    <row r="2705" spans="1:6" hidden="1" outlineLevel="1" collapsed="1" x14ac:dyDescent="0.25">
      <c r="A2705" s="295" t="s">
        <v>282</v>
      </c>
      <c r="B2705" s="295" t="s">
        <v>1212</v>
      </c>
      <c r="C2705" s="293">
        <v>0</v>
      </c>
      <c r="D2705" s="293">
        <v>300</v>
      </c>
      <c r="E2705" s="293">
        <v>300</v>
      </c>
      <c r="F2705" s="294" t="s">
        <v>298</v>
      </c>
    </row>
    <row r="2706" spans="1:6" hidden="1" outlineLevel="1" collapsed="1" x14ac:dyDescent="0.25">
      <c r="A2706" s="295" t="s">
        <v>282</v>
      </c>
      <c r="B2706" s="295" t="s">
        <v>401</v>
      </c>
      <c r="C2706" s="293">
        <v>6553.44</v>
      </c>
      <c r="D2706" s="293">
        <v>2951</v>
      </c>
      <c r="E2706" s="293">
        <v>-3602.44</v>
      </c>
      <c r="F2706" s="294" t="s">
        <v>1265</v>
      </c>
    </row>
    <row r="2707" spans="1:6" hidden="1" outlineLevel="1" collapsed="1" x14ac:dyDescent="0.25">
      <c r="A2707" s="295" t="s">
        <v>282</v>
      </c>
      <c r="B2707" s="295" t="s">
        <v>405</v>
      </c>
      <c r="C2707" s="293">
        <v>1843</v>
      </c>
      <c r="D2707" s="293">
        <v>1842</v>
      </c>
      <c r="E2707" s="293">
        <v>-1</v>
      </c>
      <c r="F2707" s="294" t="s">
        <v>1266</v>
      </c>
    </row>
    <row r="2708" spans="1:6" collapsed="1" x14ac:dyDescent="0.25">
      <c r="A2708" s="560" t="s">
        <v>1267</v>
      </c>
      <c r="B2708" s="561"/>
      <c r="C2708" s="292">
        <v>12215.74</v>
      </c>
      <c r="D2708" s="293">
        <v>12961</v>
      </c>
      <c r="E2708" s="293">
        <v>745.26</v>
      </c>
      <c r="F2708" s="294" t="s">
        <v>1268</v>
      </c>
    </row>
    <row r="2709" spans="1:6" hidden="1" outlineLevel="1" collapsed="1" x14ac:dyDescent="0.25">
      <c r="A2709" s="295" t="s">
        <v>282</v>
      </c>
      <c r="B2709" s="295" t="s">
        <v>375</v>
      </c>
      <c r="C2709" s="293">
        <v>1.74</v>
      </c>
      <c r="D2709" s="293">
        <v>1800</v>
      </c>
      <c r="E2709" s="293">
        <v>1798.26</v>
      </c>
      <c r="F2709" s="294" t="s">
        <v>1269</v>
      </c>
    </row>
    <row r="2710" spans="1:6" hidden="1" outlineLevel="1" collapsed="1" x14ac:dyDescent="0.25">
      <c r="A2710" s="295" t="s">
        <v>282</v>
      </c>
      <c r="B2710" s="295" t="s">
        <v>1202</v>
      </c>
      <c r="C2710" s="293">
        <v>2421</v>
      </c>
      <c r="D2710" s="293">
        <v>2200</v>
      </c>
      <c r="E2710" s="293">
        <v>-221</v>
      </c>
      <c r="F2710" s="294" t="s">
        <v>1270</v>
      </c>
    </row>
    <row r="2711" spans="1:6" hidden="1" outlineLevel="1" collapsed="1" x14ac:dyDescent="0.25">
      <c r="A2711" s="295" t="s">
        <v>282</v>
      </c>
      <c r="B2711" s="295" t="s">
        <v>1212</v>
      </c>
      <c r="C2711" s="293">
        <v>0</v>
      </c>
      <c r="D2711" s="293">
        <v>200</v>
      </c>
      <c r="E2711" s="293">
        <v>200</v>
      </c>
      <c r="F2711" s="294" t="s">
        <v>298</v>
      </c>
    </row>
    <row r="2712" spans="1:6" hidden="1" outlineLevel="1" collapsed="1" x14ac:dyDescent="0.25">
      <c r="A2712" s="295" t="s">
        <v>282</v>
      </c>
      <c r="B2712" s="295" t="s">
        <v>401</v>
      </c>
      <c r="C2712" s="293">
        <v>7105</v>
      </c>
      <c r="D2712" s="293">
        <v>6000</v>
      </c>
      <c r="E2712" s="293">
        <v>-1105</v>
      </c>
      <c r="F2712" s="294" t="s">
        <v>1271</v>
      </c>
    </row>
    <row r="2713" spans="1:6" hidden="1" outlineLevel="1" collapsed="1" x14ac:dyDescent="0.25">
      <c r="A2713" s="295" t="s">
        <v>282</v>
      </c>
      <c r="B2713" s="295" t="s">
        <v>405</v>
      </c>
      <c r="C2713" s="293">
        <v>2688</v>
      </c>
      <c r="D2713" s="293">
        <v>2761</v>
      </c>
      <c r="E2713" s="293">
        <v>73</v>
      </c>
      <c r="F2713" s="294" t="s">
        <v>666</v>
      </c>
    </row>
    <row r="2714" spans="1:6" collapsed="1" x14ac:dyDescent="0.25">
      <c r="A2714" s="560" t="s">
        <v>1272</v>
      </c>
      <c r="B2714" s="561"/>
      <c r="C2714" s="292">
        <v>13589</v>
      </c>
      <c r="D2714" s="293">
        <v>15029</v>
      </c>
      <c r="E2714" s="293">
        <v>1440</v>
      </c>
      <c r="F2714" s="294" t="s">
        <v>1273</v>
      </c>
    </row>
    <row r="2715" spans="1:6" hidden="1" outlineLevel="1" collapsed="1" x14ac:dyDescent="0.25">
      <c r="A2715" s="295" t="s">
        <v>282</v>
      </c>
      <c r="B2715" s="295" t="s">
        <v>375</v>
      </c>
      <c r="C2715" s="293">
        <v>1192</v>
      </c>
      <c r="D2715" s="293">
        <v>1500</v>
      </c>
      <c r="E2715" s="293">
        <v>308</v>
      </c>
      <c r="F2715" s="294" t="s">
        <v>1274</v>
      </c>
    </row>
    <row r="2716" spans="1:6" hidden="1" outlineLevel="1" collapsed="1" x14ac:dyDescent="0.25">
      <c r="A2716" s="295" t="s">
        <v>282</v>
      </c>
      <c r="B2716" s="295" t="s">
        <v>376</v>
      </c>
      <c r="C2716" s="293">
        <v>0</v>
      </c>
      <c r="D2716" s="293">
        <v>0</v>
      </c>
      <c r="E2716" s="293">
        <v>0</v>
      </c>
      <c r="F2716" s="294" t="s">
        <v>316</v>
      </c>
    </row>
    <row r="2717" spans="1:6" hidden="1" outlineLevel="1" collapsed="1" x14ac:dyDescent="0.25">
      <c r="A2717" s="295" t="s">
        <v>282</v>
      </c>
      <c r="B2717" s="295" t="s">
        <v>1202</v>
      </c>
      <c r="C2717" s="293">
        <v>5047</v>
      </c>
      <c r="D2717" s="293">
        <v>5050</v>
      </c>
      <c r="E2717" s="293">
        <v>3</v>
      </c>
      <c r="F2717" s="294" t="s">
        <v>848</v>
      </c>
    </row>
    <row r="2718" spans="1:6" hidden="1" outlineLevel="1" collapsed="1" x14ac:dyDescent="0.25">
      <c r="A2718" s="295" t="s">
        <v>282</v>
      </c>
      <c r="B2718" s="295" t="s">
        <v>597</v>
      </c>
      <c r="C2718" s="293">
        <v>7350</v>
      </c>
      <c r="D2718" s="293">
        <v>8479</v>
      </c>
      <c r="E2718" s="293">
        <v>1129</v>
      </c>
      <c r="F2718" s="294" t="s">
        <v>1275</v>
      </c>
    </row>
    <row r="2719" spans="1:6" hidden="1" outlineLevel="1" collapsed="1" x14ac:dyDescent="0.25">
      <c r="A2719" s="295" t="s">
        <v>282</v>
      </c>
      <c r="B2719" s="295" t="s">
        <v>543</v>
      </c>
      <c r="C2719" s="293">
        <v>0</v>
      </c>
      <c r="D2719" s="293">
        <v>0</v>
      </c>
      <c r="E2719" s="293">
        <v>0</v>
      </c>
      <c r="F2719" s="294" t="s">
        <v>316</v>
      </c>
    </row>
    <row r="2720" spans="1:6" hidden="1" outlineLevel="1" collapsed="1" x14ac:dyDescent="0.25">
      <c r="A2720" s="295" t="s">
        <v>282</v>
      </c>
      <c r="B2720" s="295" t="s">
        <v>403</v>
      </c>
      <c r="C2720" s="293">
        <v>0</v>
      </c>
      <c r="D2720" s="293">
        <v>0</v>
      </c>
      <c r="E2720" s="293">
        <v>0</v>
      </c>
      <c r="F2720" s="294" t="s">
        <v>316</v>
      </c>
    </row>
    <row r="2721" spans="1:6" collapsed="1" x14ac:dyDescent="0.25">
      <c r="A2721" s="560" t="s">
        <v>1276</v>
      </c>
      <c r="B2721" s="561"/>
      <c r="C2721" s="292">
        <v>2525</v>
      </c>
      <c r="D2721" s="293">
        <v>2925</v>
      </c>
      <c r="E2721" s="293">
        <v>400</v>
      </c>
      <c r="F2721" s="294" t="s">
        <v>1277</v>
      </c>
    </row>
    <row r="2722" spans="1:6" hidden="1" outlineLevel="1" collapsed="1" x14ac:dyDescent="0.25">
      <c r="A2722" s="295" t="s">
        <v>282</v>
      </c>
      <c r="B2722" s="295" t="s">
        <v>597</v>
      </c>
      <c r="C2722" s="293">
        <v>2474</v>
      </c>
      <c r="D2722" s="293">
        <v>2500</v>
      </c>
      <c r="E2722" s="293">
        <v>26</v>
      </c>
      <c r="F2722" s="294" t="s">
        <v>1278</v>
      </c>
    </row>
    <row r="2723" spans="1:6" hidden="1" outlineLevel="1" collapsed="1" x14ac:dyDescent="0.25">
      <c r="A2723" s="295" t="s">
        <v>282</v>
      </c>
      <c r="B2723" s="295" t="s">
        <v>403</v>
      </c>
      <c r="C2723" s="293">
        <v>51</v>
      </c>
      <c r="D2723" s="293">
        <v>425</v>
      </c>
      <c r="E2723" s="293">
        <v>374</v>
      </c>
      <c r="F2723" s="294" t="s">
        <v>1279</v>
      </c>
    </row>
    <row r="2724" spans="1:6" collapsed="1" x14ac:dyDescent="0.25">
      <c r="A2724" s="560" t="s">
        <v>1280</v>
      </c>
      <c r="B2724" s="561"/>
      <c r="C2724" s="292">
        <v>68474.008111999996</v>
      </c>
      <c r="D2724" s="293">
        <v>41890.932488999999</v>
      </c>
      <c r="E2724" s="293">
        <v>-26583.075623000001</v>
      </c>
      <c r="F2724" s="294" t="s">
        <v>1281</v>
      </c>
    </row>
    <row r="2725" spans="1:6" hidden="1" outlineLevel="1" collapsed="1" x14ac:dyDescent="0.25">
      <c r="A2725" s="295" t="s">
        <v>282</v>
      </c>
      <c r="B2725" s="295" t="s">
        <v>464</v>
      </c>
      <c r="C2725" s="293">
        <v>14997.700467999999</v>
      </c>
      <c r="D2725" s="293">
        <v>25359.321862000001</v>
      </c>
      <c r="E2725" s="293">
        <v>10361.621394</v>
      </c>
      <c r="F2725" s="294" t="s">
        <v>1282</v>
      </c>
    </row>
    <row r="2726" spans="1:6" hidden="1" outlineLevel="1" collapsed="1" x14ac:dyDescent="0.25">
      <c r="A2726" s="295" t="s">
        <v>282</v>
      </c>
      <c r="B2726" s="295" t="s">
        <v>799</v>
      </c>
      <c r="C2726" s="293">
        <v>27200</v>
      </c>
      <c r="D2726" s="293">
        <v>0</v>
      </c>
      <c r="E2726" s="293">
        <v>-27200</v>
      </c>
      <c r="F2726" s="294" t="s">
        <v>286</v>
      </c>
    </row>
    <row r="2727" spans="1:6" hidden="1" outlineLevel="1" collapsed="1" x14ac:dyDescent="0.25">
      <c r="A2727" s="295" t="s">
        <v>282</v>
      </c>
      <c r="B2727" s="295" t="s">
        <v>384</v>
      </c>
      <c r="C2727" s="293">
        <v>5308.4707200000003</v>
      </c>
      <c r="D2727" s="293">
        <v>0</v>
      </c>
      <c r="E2727" s="293">
        <v>-5308.4707200000003</v>
      </c>
      <c r="F2727" s="294" t="s">
        <v>286</v>
      </c>
    </row>
    <row r="2728" spans="1:6" hidden="1" outlineLevel="1" collapsed="1" x14ac:dyDescent="0.25">
      <c r="A2728" s="295" t="s">
        <v>282</v>
      </c>
      <c r="B2728" s="295" t="s">
        <v>385</v>
      </c>
      <c r="C2728" s="293">
        <v>0</v>
      </c>
      <c r="D2728" s="293">
        <v>4006.7728539999998</v>
      </c>
      <c r="E2728" s="293">
        <v>4006.7728539999998</v>
      </c>
      <c r="F2728" s="294" t="s">
        <v>298</v>
      </c>
    </row>
    <row r="2729" spans="1:6" hidden="1" outlineLevel="1" collapsed="1" x14ac:dyDescent="0.25">
      <c r="A2729" s="295" t="s">
        <v>282</v>
      </c>
      <c r="B2729" s="295" t="s">
        <v>386</v>
      </c>
      <c r="C2729" s="293">
        <v>2616.2574239999999</v>
      </c>
      <c r="D2729" s="293">
        <v>0</v>
      </c>
      <c r="E2729" s="293">
        <v>-2616.2574239999999</v>
      </c>
      <c r="F2729" s="294" t="s">
        <v>286</v>
      </c>
    </row>
    <row r="2730" spans="1:6" hidden="1" outlineLevel="1" collapsed="1" x14ac:dyDescent="0.25">
      <c r="A2730" s="295" t="s">
        <v>282</v>
      </c>
      <c r="B2730" s="295" t="s">
        <v>387</v>
      </c>
      <c r="C2730" s="293">
        <v>0</v>
      </c>
      <c r="D2730" s="293">
        <v>1572.2779519999999</v>
      </c>
      <c r="E2730" s="293">
        <v>1572.2779519999999</v>
      </c>
      <c r="F2730" s="294" t="s">
        <v>298</v>
      </c>
    </row>
    <row r="2731" spans="1:6" hidden="1" outlineLevel="1" collapsed="1" x14ac:dyDescent="0.25">
      <c r="A2731" s="295" t="s">
        <v>282</v>
      </c>
      <c r="B2731" s="295" t="s">
        <v>388</v>
      </c>
      <c r="C2731" s="293">
        <v>611.86665600000003</v>
      </c>
      <c r="D2731" s="293">
        <v>367.71016100000003</v>
      </c>
      <c r="E2731" s="293">
        <v>-244.15649500000001</v>
      </c>
      <c r="F2731" s="294" t="s">
        <v>1283</v>
      </c>
    </row>
    <row r="2732" spans="1:6" hidden="1" outlineLevel="1" collapsed="1" x14ac:dyDescent="0.25">
      <c r="A2732" s="295" t="s">
        <v>282</v>
      </c>
      <c r="B2732" s="295" t="s">
        <v>389</v>
      </c>
      <c r="C2732" s="293">
        <v>426.12479999999999</v>
      </c>
      <c r="D2732" s="293">
        <v>246.19</v>
      </c>
      <c r="E2732" s="293">
        <v>-179.9348</v>
      </c>
      <c r="F2732" s="294" t="s">
        <v>744</v>
      </c>
    </row>
    <row r="2733" spans="1:6" hidden="1" outlineLevel="1" collapsed="1" x14ac:dyDescent="0.25">
      <c r="A2733" s="295" t="s">
        <v>282</v>
      </c>
      <c r="B2733" s="295" t="s">
        <v>390</v>
      </c>
      <c r="C2733" s="293">
        <v>15485.27</v>
      </c>
      <c r="D2733" s="293">
        <v>9309.58</v>
      </c>
      <c r="E2733" s="293">
        <v>-6175.69</v>
      </c>
      <c r="F2733" s="294" t="s">
        <v>745</v>
      </c>
    </row>
    <row r="2734" spans="1:6" hidden="1" outlineLevel="1" collapsed="1" x14ac:dyDescent="0.25">
      <c r="A2734" s="295" t="s">
        <v>282</v>
      </c>
      <c r="B2734" s="295" t="s">
        <v>392</v>
      </c>
      <c r="C2734" s="293">
        <v>233.53919999999999</v>
      </c>
      <c r="D2734" s="293">
        <v>106.68</v>
      </c>
      <c r="E2734" s="293">
        <v>-126.8592</v>
      </c>
      <c r="F2734" s="294" t="s">
        <v>746</v>
      </c>
    </row>
    <row r="2735" spans="1:6" hidden="1" outlineLevel="1" collapsed="1" x14ac:dyDescent="0.25">
      <c r="A2735" s="295" t="s">
        <v>282</v>
      </c>
      <c r="B2735" s="295" t="s">
        <v>393</v>
      </c>
      <c r="C2735" s="293">
        <v>21.098844</v>
      </c>
      <c r="D2735" s="293">
        <v>12.67966</v>
      </c>
      <c r="E2735" s="293">
        <v>-8.4191839999999996</v>
      </c>
      <c r="F2735" s="294" t="s">
        <v>1283</v>
      </c>
    </row>
    <row r="2736" spans="1:6" hidden="1" outlineLevel="1" collapsed="1" x14ac:dyDescent="0.25">
      <c r="A2736" s="295" t="s">
        <v>282</v>
      </c>
      <c r="B2736" s="295" t="s">
        <v>394</v>
      </c>
      <c r="C2736" s="293">
        <v>1500</v>
      </c>
      <c r="D2736" s="293">
        <v>0</v>
      </c>
      <c r="E2736" s="293">
        <v>-1500</v>
      </c>
      <c r="F2736" s="294" t="s">
        <v>286</v>
      </c>
    </row>
    <row r="2737" spans="1:6" hidden="1" outlineLevel="1" collapsed="1" x14ac:dyDescent="0.25">
      <c r="A2737" s="295" t="s">
        <v>282</v>
      </c>
      <c r="B2737" s="295" t="s">
        <v>395</v>
      </c>
      <c r="C2737" s="293">
        <v>0</v>
      </c>
      <c r="D2737" s="293">
        <v>875</v>
      </c>
      <c r="E2737" s="293">
        <v>875</v>
      </c>
      <c r="F2737" s="294" t="s">
        <v>298</v>
      </c>
    </row>
    <row r="2738" spans="1:6" hidden="1" outlineLevel="1" collapsed="1" x14ac:dyDescent="0.25">
      <c r="A2738" s="295" t="s">
        <v>282</v>
      </c>
      <c r="B2738" s="295" t="s">
        <v>396</v>
      </c>
      <c r="C2738" s="293">
        <v>49.68</v>
      </c>
      <c r="D2738" s="293">
        <v>0</v>
      </c>
      <c r="E2738" s="293">
        <v>-49.68</v>
      </c>
      <c r="F2738" s="294" t="s">
        <v>286</v>
      </c>
    </row>
    <row r="2739" spans="1:6" hidden="1" outlineLevel="1" collapsed="1" x14ac:dyDescent="0.25">
      <c r="A2739" s="295" t="s">
        <v>282</v>
      </c>
      <c r="B2739" s="295" t="s">
        <v>397</v>
      </c>
      <c r="C2739" s="293">
        <v>0</v>
      </c>
      <c r="D2739" s="293">
        <v>28.28</v>
      </c>
      <c r="E2739" s="293">
        <v>28.28</v>
      </c>
      <c r="F2739" s="294" t="s">
        <v>298</v>
      </c>
    </row>
    <row r="2740" spans="1:6" hidden="1" outlineLevel="1" collapsed="1" x14ac:dyDescent="0.25">
      <c r="A2740" s="295" t="s">
        <v>282</v>
      </c>
      <c r="B2740" s="295" t="s">
        <v>398</v>
      </c>
      <c r="C2740" s="293">
        <v>24</v>
      </c>
      <c r="D2740" s="293">
        <v>6.44</v>
      </c>
      <c r="E2740" s="293">
        <v>-17.559999999999999</v>
      </c>
      <c r="F2740" s="294" t="s">
        <v>747</v>
      </c>
    </row>
    <row r="2741" spans="1:6" collapsed="1" x14ac:dyDescent="0.25">
      <c r="A2741" s="560" t="s">
        <v>1284</v>
      </c>
      <c r="B2741" s="561"/>
      <c r="C2741" s="292">
        <v>46</v>
      </c>
      <c r="D2741" s="293">
        <v>0</v>
      </c>
      <c r="E2741" s="293">
        <v>-46</v>
      </c>
      <c r="F2741" s="294" t="s">
        <v>286</v>
      </c>
    </row>
    <row r="2742" spans="1:6" hidden="1" outlineLevel="1" collapsed="1" x14ac:dyDescent="0.25">
      <c r="A2742" s="295" t="s">
        <v>282</v>
      </c>
      <c r="B2742" s="295" t="s">
        <v>375</v>
      </c>
      <c r="C2742" s="293">
        <v>46</v>
      </c>
      <c r="D2742" s="293">
        <v>0</v>
      </c>
      <c r="E2742" s="293">
        <v>-46</v>
      </c>
      <c r="F2742" s="294" t="s">
        <v>286</v>
      </c>
    </row>
    <row r="2743" spans="1:6" collapsed="1" x14ac:dyDescent="0.25">
      <c r="A2743" s="560" t="s">
        <v>1285</v>
      </c>
      <c r="B2743" s="561"/>
      <c r="C2743" s="292">
        <v>816933.10600399994</v>
      </c>
      <c r="D2743" s="293">
        <v>565783.35801199998</v>
      </c>
      <c r="E2743" s="293">
        <v>-251149.74799199999</v>
      </c>
      <c r="F2743" s="294" t="s">
        <v>1286</v>
      </c>
    </row>
    <row r="2744" spans="1:6" hidden="1" outlineLevel="1" collapsed="1" x14ac:dyDescent="0.25">
      <c r="A2744" s="295" t="s">
        <v>282</v>
      </c>
      <c r="B2744" s="295" t="s">
        <v>942</v>
      </c>
      <c r="C2744" s="293">
        <v>262673.88782399998</v>
      </c>
      <c r="D2744" s="293">
        <v>271682.70062399999</v>
      </c>
      <c r="E2744" s="293">
        <v>9008.8127999999997</v>
      </c>
      <c r="F2744" s="294" t="s">
        <v>1287</v>
      </c>
    </row>
    <row r="2745" spans="1:6" hidden="1" outlineLevel="1" collapsed="1" x14ac:dyDescent="0.25">
      <c r="A2745" s="295" t="s">
        <v>282</v>
      </c>
      <c r="B2745" s="295" t="s">
        <v>464</v>
      </c>
      <c r="C2745" s="293">
        <v>113227.583828</v>
      </c>
      <c r="D2745" s="293">
        <v>116625.702704</v>
      </c>
      <c r="E2745" s="293">
        <v>3398.118876</v>
      </c>
      <c r="F2745" s="294" t="s">
        <v>548</v>
      </c>
    </row>
    <row r="2746" spans="1:6" hidden="1" outlineLevel="1" collapsed="1" x14ac:dyDescent="0.25">
      <c r="A2746" s="295" t="s">
        <v>282</v>
      </c>
      <c r="B2746" s="295" t="s">
        <v>384</v>
      </c>
      <c r="C2746" s="293">
        <v>47187.765108</v>
      </c>
      <c r="D2746" s="293">
        <v>0</v>
      </c>
      <c r="E2746" s="293">
        <v>-47187.765108</v>
      </c>
      <c r="F2746" s="294" t="s">
        <v>286</v>
      </c>
    </row>
    <row r="2747" spans="1:6" hidden="1" outlineLevel="1" collapsed="1" x14ac:dyDescent="0.25">
      <c r="A2747" s="295" t="s">
        <v>282</v>
      </c>
      <c r="B2747" s="295" t="s">
        <v>385</v>
      </c>
      <c r="C2747" s="293">
        <v>0</v>
      </c>
      <c r="D2747" s="293">
        <v>61226.327711999998</v>
      </c>
      <c r="E2747" s="293">
        <v>61226.327711999998</v>
      </c>
      <c r="F2747" s="294" t="s">
        <v>298</v>
      </c>
    </row>
    <row r="2748" spans="1:6" hidden="1" outlineLevel="1" collapsed="1" x14ac:dyDescent="0.25">
      <c r="A2748" s="295" t="s">
        <v>282</v>
      </c>
      <c r="B2748" s="295" t="s">
        <v>386</v>
      </c>
      <c r="C2748" s="293">
        <v>23305.891211999999</v>
      </c>
      <c r="D2748" s="293">
        <v>0</v>
      </c>
      <c r="E2748" s="293">
        <v>-23305.891211999999</v>
      </c>
      <c r="F2748" s="294" t="s">
        <v>286</v>
      </c>
    </row>
    <row r="2749" spans="1:6" hidden="1" outlineLevel="1" collapsed="1" x14ac:dyDescent="0.25">
      <c r="A2749" s="295" t="s">
        <v>282</v>
      </c>
      <c r="B2749" s="295" t="s">
        <v>387</v>
      </c>
      <c r="C2749" s="293">
        <v>0</v>
      </c>
      <c r="D2749" s="293">
        <v>24075.120972000001</v>
      </c>
      <c r="E2749" s="293">
        <v>24075.120972000001</v>
      </c>
      <c r="F2749" s="294" t="s">
        <v>298</v>
      </c>
    </row>
    <row r="2750" spans="1:6" hidden="1" outlineLevel="1" collapsed="1" x14ac:dyDescent="0.25">
      <c r="A2750" s="295" t="s">
        <v>282</v>
      </c>
      <c r="B2750" s="295" t="s">
        <v>388</v>
      </c>
      <c r="C2750" s="293">
        <v>5450.5713239999995</v>
      </c>
      <c r="D2750" s="293">
        <v>5630.4718199999998</v>
      </c>
      <c r="E2750" s="293">
        <v>179.900496</v>
      </c>
      <c r="F2750" s="294" t="s">
        <v>1288</v>
      </c>
    </row>
    <row r="2751" spans="1:6" hidden="1" outlineLevel="1" collapsed="1" x14ac:dyDescent="0.25">
      <c r="A2751" s="295" t="s">
        <v>282</v>
      </c>
      <c r="B2751" s="295" t="s">
        <v>389</v>
      </c>
      <c r="C2751" s="293">
        <v>1704.4992</v>
      </c>
      <c r="D2751" s="293">
        <v>1688.16</v>
      </c>
      <c r="E2751" s="293">
        <v>-16.339200000000002</v>
      </c>
      <c r="F2751" s="294" t="s">
        <v>364</v>
      </c>
    </row>
    <row r="2752" spans="1:6" hidden="1" outlineLevel="1" collapsed="1" x14ac:dyDescent="0.25">
      <c r="A2752" s="295" t="s">
        <v>282</v>
      </c>
      <c r="B2752" s="295" t="s">
        <v>390</v>
      </c>
      <c r="C2752" s="293">
        <v>61941.08</v>
      </c>
      <c r="D2752" s="293">
        <v>63837.120000000003</v>
      </c>
      <c r="E2752" s="293">
        <v>1896.04</v>
      </c>
      <c r="F2752" s="294" t="s">
        <v>391</v>
      </c>
    </row>
    <row r="2753" spans="1:6" hidden="1" outlineLevel="1" collapsed="1" x14ac:dyDescent="0.25">
      <c r="A2753" s="295" t="s">
        <v>282</v>
      </c>
      <c r="B2753" s="295" t="s">
        <v>392</v>
      </c>
      <c r="C2753" s="293">
        <v>934.15679999999998</v>
      </c>
      <c r="D2753" s="293">
        <v>731.52</v>
      </c>
      <c r="E2753" s="293">
        <v>-202.63679999999999</v>
      </c>
      <c r="F2753" s="294" t="s">
        <v>368</v>
      </c>
    </row>
    <row r="2754" spans="1:6" hidden="1" outlineLevel="1" collapsed="1" x14ac:dyDescent="0.25">
      <c r="A2754" s="295" t="s">
        <v>282</v>
      </c>
      <c r="B2754" s="295" t="s">
        <v>393</v>
      </c>
      <c r="C2754" s="293">
        <v>187.95070799999999</v>
      </c>
      <c r="D2754" s="293">
        <v>194.15418</v>
      </c>
      <c r="E2754" s="293">
        <v>6.2034719999999997</v>
      </c>
      <c r="F2754" s="294" t="s">
        <v>1288</v>
      </c>
    </row>
    <row r="2755" spans="1:6" hidden="1" outlineLevel="1" collapsed="1" x14ac:dyDescent="0.25">
      <c r="A2755" s="295" t="s">
        <v>282</v>
      </c>
      <c r="B2755" s="295" t="s">
        <v>394</v>
      </c>
      <c r="C2755" s="293">
        <v>6000</v>
      </c>
      <c r="D2755" s="293">
        <v>0</v>
      </c>
      <c r="E2755" s="293">
        <v>-6000</v>
      </c>
      <c r="F2755" s="294" t="s">
        <v>286</v>
      </c>
    </row>
    <row r="2756" spans="1:6" hidden="1" outlineLevel="1" collapsed="1" x14ac:dyDescent="0.25">
      <c r="A2756" s="295" t="s">
        <v>282</v>
      </c>
      <c r="B2756" s="295" t="s">
        <v>395</v>
      </c>
      <c r="C2756" s="293">
        <v>0</v>
      </c>
      <c r="D2756" s="293">
        <v>6000</v>
      </c>
      <c r="E2756" s="293">
        <v>6000</v>
      </c>
      <c r="F2756" s="294" t="s">
        <v>298</v>
      </c>
    </row>
    <row r="2757" spans="1:6" hidden="1" outlineLevel="1" collapsed="1" x14ac:dyDescent="0.25">
      <c r="A2757" s="295" t="s">
        <v>282</v>
      </c>
      <c r="B2757" s="295" t="s">
        <v>396</v>
      </c>
      <c r="C2757" s="293">
        <v>198.72</v>
      </c>
      <c r="D2757" s="293">
        <v>0</v>
      </c>
      <c r="E2757" s="293">
        <v>-198.72</v>
      </c>
      <c r="F2757" s="294" t="s">
        <v>286</v>
      </c>
    </row>
    <row r="2758" spans="1:6" hidden="1" outlineLevel="1" collapsed="1" x14ac:dyDescent="0.25">
      <c r="A2758" s="295" t="s">
        <v>282</v>
      </c>
      <c r="B2758" s="295" t="s">
        <v>397</v>
      </c>
      <c r="C2758" s="293">
        <v>0</v>
      </c>
      <c r="D2758" s="293">
        <v>193.92</v>
      </c>
      <c r="E2758" s="293">
        <v>193.92</v>
      </c>
      <c r="F2758" s="294" t="s">
        <v>298</v>
      </c>
    </row>
    <row r="2759" spans="1:6" hidden="1" outlineLevel="1" collapsed="1" x14ac:dyDescent="0.25">
      <c r="A2759" s="295" t="s">
        <v>282</v>
      </c>
      <c r="B2759" s="295" t="s">
        <v>398</v>
      </c>
      <c r="C2759" s="293">
        <v>96</v>
      </c>
      <c r="D2759" s="293">
        <v>44.16</v>
      </c>
      <c r="E2759" s="293">
        <v>-51.84</v>
      </c>
      <c r="F2759" s="294" t="s">
        <v>374</v>
      </c>
    </row>
    <row r="2760" spans="1:6" hidden="1" outlineLevel="1" collapsed="1" x14ac:dyDescent="0.25">
      <c r="A2760" s="295" t="s">
        <v>282</v>
      </c>
      <c r="B2760" s="295" t="s">
        <v>399</v>
      </c>
      <c r="C2760" s="293">
        <v>175</v>
      </c>
      <c r="D2760" s="293">
        <v>0</v>
      </c>
      <c r="E2760" s="293">
        <v>-175</v>
      </c>
      <c r="F2760" s="294" t="s">
        <v>286</v>
      </c>
    </row>
    <row r="2761" spans="1:6" hidden="1" outlineLevel="1" collapsed="1" x14ac:dyDescent="0.25">
      <c r="A2761" s="295" t="s">
        <v>282</v>
      </c>
      <c r="B2761" s="295" t="s">
        <v>376</v>
      </c>
      <c r="C2761" s="293">
        <v>2423</v>
      </c>
      <c r="D2761" s="293">
        <v>2423</v>
      </c>
      <c r="E2761" s="293">
        <v>0</v>
      </c>
      <c r="F2761" s="294" t="s">
        <v>316</v>
      </c>
    </row>
    <row r="2762" spans="1:6" hidden="1" outlineLevel="1" collapsed="1" x14ac:dyDescent="0.25">
      <c r="A2762" s="295" t="s">
        <v>282</v>
      </c>
      <c r="B2762" s="295" t="s">
        <v>426</v>
      </c>
      <c r="C2762" s="293">
        <v>410</v>
      </c>
      <c r="D2762" s="293">
        <v>7500</v>
      </c>
      <c r="E2762" s="293">
        <v>7090</v>
      </c>
      <c r="F2762" s="294" t="s">
        <v>1289</v>
      </c>
    </row>
    <row r="2763" spans="1:6" hidden="1" outlineLevel="1" collapsed="1" x14ac:dyDescent="0.25">
      <c r="A2763" s="295" t="s">
        <v>282</v>
      </c>
      <c r="B2763" s="295" t="s">
        <v>952</v>
      </c>
      <c r="C2763" s="293">
        <v>600</v>
      </c>
      <c r="D2763" s="293">
        <v>600</v>
      </c>
      <c r="E2763" s="293">
        <v>0</v>
      </c>
      <c r="F2763" s="294" t="s">
        <v>316</v>
      </c>
    </row>
    <row r="2764" spans="1:6" hidden="1" outlineLevel="1" collapsed="1" x14ac:dyDescent="0.25">
      <c r="A2764" s="295" t="s">
        <v>282</v>
      </c>
      <c r="B2764" s="295" t="s">
        <v>405</v>
      </c>
      <c r="C2764" s="293">
        <v>98311</v>
      </c>
      <c r="D2764" s="293">
        <v>0</v>
      </c>
      <c r="E2764" s="293">
        <v>-98311</v>
      </c>
      <c r="F2764" s="294" t="s">
        <v>286</v>
      </c>
    </row>
    <row r="2765" spans="1:6" hidden="1" outlineLevel="1" collapsed="1" x14ac:dyDescent="0.25">
      <c r="A2765" s="295" t="s">
        <v>282</v>
      </c>
      <c r="B2765" s="295" t="s">
        <v>831</v>
      </c>
      <c r="C2765" s="293">
        <v>90548</v>
      </c>
      <c r="D2765" s="293">
        <v>0</v>
      </c>
      <c r="E2765" s="293">
        <v>-90548</v>
      </c>
      <c r="F2765" s="294" t="s">
        <v>286</v>
      </c>
    </row>
    <row r="2766" spans="1:6" hidden="1" outlineLevel="1" collapsed="1" x14ac:dyDescent="0.25">
      <c r="A2766" s="295" t="s">
        <v>282</v>
      </c>
      <c r="B2766" s="295" t="s">
        <v>422</v>
      </c>
      <c r="C2766" s="293">
        <v>101558</v>
      </c>
      <c r="D2766" s="293">
        <v>3331</v>
      </c>
      <c r="E2766" s="293">
        <v>-98227</v>
      </c>
      <c r="F2766" s="294" t="s">
        <v>1290</v>
      </c>
    </row>
    <row r="2767" spans="1:6" collapsed="1" x14ac:dyDescent="0.25">
      <c r="A2767" s="560" t="s">
        <v>1291</v>
      </c>
      <c r="B2767" s="561"/>
      <c r="C2767" s="292">
        <v>214396.32064300001</v>
      </c>
      <c r="D2767" s="293">
        <v>225603.96169500001</v>
      </c>
      <c r="E2767" s="293">
        <v>11207.641052000001</v>
      </c>
      <c r="F2767" s="294" t="s">
        <v>1292</v>
      </c>
    </row>
    <row r="2768" spans="1:6" hidden="1" outlineLevel="1" collapsed="1" x14ac:dyDescent="0.25">
      <c r="A2768" s="295" t="s">
        <v>282</v>
      </c>
      <c r="B2768" s="295" t="s">
        <v>358</v>
      </c>
      <c r="C2768" s="293">
        <v>100153.68</v>
      </c>
      <c r="D2768" s="293">
        <v>101655.9852</v>
      </c>
      <c r="E2768" s="293">
        <v>1502.3052</v>
      </c>
      <c r="F2768" s="294" t="s">
        <v>510</v>
      </c>
    </row>
    <row r="2769" spans="1:6" hidden="1" outlineLevel="1" collapsed="1" x14ac:dyDescent="0.25">
      <c r="A2769" s="295" t="s">
        <v>282</v>
      </c>
      <c r="B2769" s="295" t="s">
        <v>380</v>
      </c>
      <c r="C2769" s="293">
        <v>49155.937996000001</v>
      </c>
      <c r="D2769" s="293">
        <v>53171.447846000003</v>
      </c>
      <c r="E2769" s="293">
        <v>4015.5098499999999</v>
      </c>
      <c r="F2769" s="294" t="s">
        <v>613</v>
      </c>
    </row>
    <row r="2770" spans="1:6" hidden="1" outlineLevel="1" collapsed="1" x14ac:dyDescent="0.25">
      <c r="A2770" s="295" t="s">
        <v>282</v>
      </c>
      <c r="B2770" s="295" t="s">
        <v>475</v>
      </c>
      <c r="C2770" s="293">
        <v>400</v>
      </c>
      <c r="D2770" s="293">
        <v>1000</v>
      </c>
      <c r="E2770" s="293">
        <v>600</v>
      </c>
      <c r="F2770" s="294" t="s">
        <v>1293</v>
      </c>
    </row>
    <row r="2771" spans="1:6" hidden="1" outlineLevel="1" collapsed="1" x14ac:dyDescent="0.25">
      <c r="A2771" s="295" t="s">
        <v>282</v>
      </c>
      <c r="B2771" s="295" t="s">
        <v>360</v>
      </c>
      <c r="C2771" s="293">
        <v>13070.05524</v>
      </c>
      <c r="D2771" s="293">
        <v>14668.95866</v>
      </c>
      <c r="E2771" s="293">
        <v>1598.9034200000001</v>
      </c>
      <c r="F2771" s="294" t="s">
        <v>511</v>
      </c>
    </row>
    <row r="2772" spans="1:6" hidden="1" outlineLevel="1" collapsed="1" x14ac:dyDescent="0.25">
      <c r="A2772" s="295" t="s">
        <v>282</v>
      </c>
      <c r="B2772" s="295" t="s">
        <v>384</v>
      </c>
      <c r="C2772" s="293">
        <v>6183.8169959999996</v>
      </c>
      <c r="D2772" s="293">
        <v>0</v>
      </c>
      <c r="E2772" s="293">
        <v>-6183.8169959999996</v>
      </c>
      <c r="F2772" s="294" t="s">
        <v>286</v>
      </c>
    </row>
    <row r="2773" spans="1:6" hidden="1" outlineLevel="1" collapsed="1" x14ac:dyDescent="0.25">
      <c r="A2773" s="295" t="s">
        <v>282</v>
      </c>
      <c r="B2773" s="295" t="s">
        <v>385</v>
      </c>
      <c r="C2773" s="293">
        <v>0</v>
      </c>
      <c r="D2773" s="293">
        <v>8401.0887550000007</v>
      </c>
      <c r="E2773" s="293">
        <v>8401.0887550000007</v>
      </c>
      <c r="F2773" s="294" t="s">
        <v>298</v>
      </c>
    </row>
    <row r="2774" spans="1:6" hidden="1" outlineLevel="1" collapsed="1" x14ac:dyDescent="0.25">
      <c r="A2774" s="295" t="s">
        <v>282</v>
      </c>
      <c r="B2774" s="295" t="s">
        <v>386</v>
      </c>
      <c r="C2774" s="293">
        <v>3047.668154</v>
      </c>
      <c r="D2774" s="293">
        <v>0</v>
      </c>
      <c r="E2774" s="293">
        <v>-3047.668154</v>
      </c>
      <c r="F2774" s="294" t="s">
        <v>286</v>
      </c>
    </row>
    <row r="2775" spans="1:6" hidden="1" outlineLevel="1" collapsed="1" x14ac:dyDescent="0.25">
      <c r="A2775" s="295" t="s">
        <v>282</v>
      </c>
      <c r="B2775" s="295" t="s">
        <v>387</v>
      </c>
      <c r="C2775" s="293">
        <v>0</v>
      </c>
      <c r="D2775" s="293">
        <v>3296.6297629999999</v>
      </c>
      <c r="E2775" s="293">
        <v>3296.6297629999999</v>
      </c>
      <c r="F2775" s="294" t="s">
        <v>298</v>
      </c>
    </row>
    <row r="2776" spans="1:6" hidden="1" outlineLevel="1" collapsed="1" x14ac:dyDescent="0.25">
      <c r="A2776" s="295" t="s">
        <v>282</v>
      </c>
      <c r="B2776" s="295" t="s">
        <v>362</v>
      </c>
      <c r="C2776" s="293">
        <v>1452.2283600000001</v>
      </c>
      <c r="D2776" s="293">
        <v>1474.01178</v>
      </c>
      <c r="E2776" s="293">
        <v>21.78342</v>
      </c>
      <c r="F2776" s="294" t="s">
        <v>510</v>
      </c>
    </row>
    <row r="2777" spans="1:6" hidden="1" outlineLevel="1" collapsed="1" x14ac:dyDescent="0.25">
      <c r="A2777" s="295" t="s">
        <v>282</v>
      </c>
      <c r="B2777" s="295" t="s">
        <v>388</v>
      </c>
      <c r="C2777" s="293">
        <v>712.76109599999995</v>
      </c>
      <c r="D2777" s="293">
        <v>770.98598400000003</v>
      </c>
      <c r="E2777" s="293">
        <v>58.224888</v>
      </c>
      <c r="F2777" s="294" t="s">
        <v>613</v>
      </c>
    </row>
    <row r="2778" spans="1:6" hidden="1" outlineLevel="1" collapsed="1" x14ac:dyDescent="0.25">
      <c r="A2778" s="295" t="s">
        <v>282</v>
      </c>
      <c r="B2778" s="295" t="s">
        <v>363</v>
      </c>
      <c r="C2778" s="293">
        <v>426.12479999999999</v>
      </c>
      <c r="D2778" s="293">
        <v>422.04</v>
      </c>
      <c r="E2778" s="293">
        <v>-4.0848000000000004</v>
      </c>
      <c r="F2778" s="294" t="s">
        <v>364</v>
      </c>
    </row>
    <row r="2779" spans="1:6" hidden="1" outlineLevel="1" collapsed="1" x14ac:dyDescent="0.25">
      <c r="A2779" s="295" t="s">
        <v>282</v>
      </c>
      <c r="B2779" s="295" t="s">
        <v>365</v>
      </c>
      <c r="C2779" s="293">
        <v>15358.56</v>
      </c>
      <c r="D2779" s="293">
        <v>15959.28</v>
      </c>
      <c r="E2779" s="293">
        <v>600.72</v>
      </c>
      <c r="F2779" s="294" t="s">
        <v>366</v>
      </c>
    </row>
    <row r="2780" spans="1:6" hidden="1" outlineLevel="1" collapsed="1" x14ac:dyDescent="0.25">
      <c r="A2780" s="295" t="s">
        <v>282</v>
      </c>
      <c r="B2780" s="295" t="s">
        <v>367</v>
      </c>
      <c r="C2780" s="293">
        <v>233.53919999999999</v>
      </c>
      <c r="D2780" s="293">
        <v>182.88</v>
      </c>
      <c r="E2780" s="293">
        <v>-50.659199999999998</v>
      </c>
      <c r="F2780" s="294" t="s">
        <v>368</v>
      </c>
    </row>
    <row r="2781" spans="1:6" hidden="1" outlineLevel="1" collapsed="1" x14ac:dyDescent="0.25">
      <c r="A2781" s="295" t="s">
        <v>282</v>
      </c>
      <c r="B2781" s="295" t="s">
        <v>444</v>
      </c>
      <c r="C2781" s="293">
        <v>85</v>
      </c>
      <c r="D2781" s="293">
        <v>90</v>
      </c>
      <c r="E2781" s="293">
        <v>5</v>
      </c>
      <c r="F2781" s="294" t="s">
        <v>1294</v>
      </c>
    </row>
    <row r="2782" spans="1:6" hidden="1" outlineLevel="1" collapsed="1" x14ac:dyDescent="0.25">
      <c r="A2782" s="295" t="s">
        <v>282</v>
      </c>
      <c r="B2782" s="295" t="s">
        <v>389</v>
      </c>
      <c r="C2782" s="293">
        <v>426.12479999999999</v>
      </c>
      <c r="D2782" s="293">
        <v>422.04</v>
      </c>
      <c r="E2782" s="293">
        <v>-4.0848000000000004</v>
      </c>
      <c r="F2782" s="294" t="s">
        <v>364</v>
      </c>
    </row>
    <row r="2783" spans="1:6" hidden="1" outlineLevel="1" collapsed="1" x14ac:dyDescent="0.25">
      <c r="A2783" s="295" t="s">
        <v>282</v>
      </c>
      <c r="B2783" s="295" t="s">
        <v>390</v>
      </c>
      <c r="C2783" s="293">
        <v>15485.27</v>
      </c>
      <c r="D2783" s="293">
        <v>15959.28</v>
      </c>
      <c r="E2783" s="293">
        <v>474.01</v>
      </c>
      <c r="F2783" s="294" t="s">
        <v>391</v>
      </c>
    </row>
    <row r="2784" spans="1:6" hidden="1" outlineLevel="1" collapsed="1" x14ac:dyDescent="0.25">
      <c r="A2784" s="295" t="s">
        <v>282</v>
      </c>
      <c r="B2784" s="295" t="s">
        <v>392</v>
      </c>
      <c r="C2784" s="293">
        <v>233.53919999999999</v>
      </c>
      <c r="D2784" s="293">
        <v>182.88</v>
      </c>
      <c r="E2784" s="293">
        <v>-50.659199999999998</v>
      </c>
      <c r="F2784" s="294" t="s">
        <v>368</v>
      </c>
    </row>
    <row r="2785" spans="1:6" hidden="1" outlineLevel="1" collapsed="1" x14ac:dyDescent="0.25">
      <c r="A2785" s="295" t="s">
        <v>282</v>
      </c>
      <c r="B2785" s="295" t="s">
        <v>369</v>
      </c>
      <c r="C2785" s="293">
        <v>50.076839999999997</v>
      </c>
      <c r="D2785" s="293">
        <v>50.82799</v>
      </c>
      <c r="E2785" s="293">
        <v>0.75114999999999998</v>
      </c>
      <c r="F2785" s="294" t="s">
        <v>510</v>
      </c>
    </row>
    <row r="2786" spans="1:6" hidden="1" outlineLevel="1" collapsed="1" x14ac:dyDescent="0.25">
      <c r="A2786" s="295" t="s">
        <v>282</v>
      </c>
      <c r="B2786" s="295" t="s">
        <v>393</v>
      </c>
      <c r="C2786" s="293">
        <v>24.577960999999998</v>
      </c>
      <c r="D2786" s="293">
        <v>26.585716999999999</v>
      </c>
      <c r="E2786" s="293">
        <v>2.0077560000000001</v>
      </c>
      <c r="F2786" s="294" t="s">
        <v>613</v>
      </c>
    </row>
    <row r="2787" spans="1:6" hidden="1" outlineLevel="1" collapsed="1" x14ac:dyDescent="0.25">
      <c r="A2787" s="295" t="s">
        <v>282</v>
      </c>
      <c r="B2787" s="295" t="s">
        <v>370</v>
      </c>
      <c r="C2787" s="293">
        <v>1500</v>
      </c>
      <c r="D2787" s="293">
        <v>1500</v>
      </c>
      <c r="E2787" s="293">
        <v>0</v>
      </c>
      <c r="F2787" s="294" t="s">
        <v>316</v>
      </c>
    </row>
    <row r="2788" spans="1:6" hidden="1" outlineLevel="1" collapsed="1" x14ac:dyDescent="0.25">
      <c r="A2788" s="295" t="s">
        <v>282</v>
      </c>
      <c r="B2788" s="295" t="s">
        <v>394</v>
      </c>
      <c r="C2788" s="293">
        <v>1500</v>
      </c>
      <c r="D2788" s="293">
        <v>0</v>
      </c>
      <c r="E2788" s="293">
        <v>-1500</v>
      </c>
      <c r="F2788" s="294" t="s">
        <v>286</v>
      </c>
    </row>
    <row r="2789" spans="1:6" hidden="1" outlineLevel="1" collapsed="1" x14ac:dyDescent="0.25">
      <c r="A2789" s="295" t="s">
        <v>282</v>
      </c>
      <c r="B2789" s="295" t="s">
        <v>395</v>
      </c>
      <c r="C2789" s="293">
        <v>0</v>
      </c>
      <c r="D2789" s="293">
        <v>1500</v>
      </c>
      <c r="E2789" s="293">
        <v>1500</v>
      </c>
      <c r="F2789" s="294" t="s">
        <v>298</v>
      </c>
    </row>
    <row r="2790" spans="1:6" hidden="1" outlineLevel="1" collapsed="1" x14ac:dyDescent="0.25">
      <c r="A2790" s="295" t="s">
        <v>282</v>
      </c>
      <c r="B2790" s="295" t="s">
        <v>371</v>
      </c>
      <c r="C2790" s="293">
        <v>49.68</v>
      </c>
      <c r="D2790" s="293">
        <v>48.48</v>
      </c>
      <c r="E2790" s="293">
        <v>-1.2</v>
      </c>
      <c r="F2790" s="294" t="s">
        <v>372</v>
      </c>
    </row>
    <row r="2791" spans="1:6" hidden="1" outlineLevel="1" collapsed="1" x14ac:dyDescent="0.25">
      <c r="A2791" s="295" t="s">
        <v>282</v>
      </c>
      <c r="B2791" s="295" t="s">
        <v>396</v>
      </c>
      <c r="C2791" s="293">
        <v>49.68</v>
      </c>
      <c r="D2791" s="293">
        <v>0</v>
      </c>
      <c r="E2791" s="293">
        <v>-49.68</v>
      </c>
      <c r="F2791" s="294" t="s">
        <v>286</v>
      </c>
    </row>
    <row r="2792" spans="1:6" hidden="1" outlineLevel="1" collapsed="1" x14ac:dyDescent="0.25">
      <c r="A2792" s="295" t="s">
        <v>282</v>
      </c>
      <c r="B2792" s="295" t="s">
        <v>397</v>
      </c>
      <c r="C2792" s="293">
        <v>0</v>
      </c>
      <c r="D2792" s="293">
        <v>48.48</v>
      </c>
      <c r="E2792" s="293">
        <v>48.48</v>
      </c>
      <c r="F2792" s="294" t="s">
        <v>298</v>
      </c>
    </row>
    <row r="2793" spans="1:6" hidden="1" outlineLevel="1" collapsed="1" x14ac:dyDescent="0.25">
      <c r="A2793" s="295" t="s">
        <v>282</v>
      </c>
      <c r="B2793" s="295" t="s">
        <v>373</v>
      </c>
      <c r="C2793" s="293">
        <v>24</v>
      </c>
      <c r="D2793" s="293">
        <v>11.04</v>
      </c>
      <c r="E2793" s="293">
        <v>-12.96</v>
      </c>
      <c r="F2793" s="294" t="s">
        <v>374</v>
      </c>
    </row>
    <row r="2794" spans="1:6" hidden="1" outlineLevel="1" collapsed="1" x14ac:dyDescent="0.25">
      <c r="A2794" s="295" t="s">
        <v>282</v>
      </c>
      <c r="B2794" s="295" t="s">
        <v>398</v>
      </c>
      <c r="C2794" s="293">
        <v>24</v>
      </c>
      <c r="D2794" s="293">
        <v>11.04</v>
      </c>
      <c r="E2794" s="293">
        <v>-12.96</v>
      </c>
      <c r="F2794" s="294" t="s">
        <v>374</v>
      </c>
    </row>
    <row r="2795" spans="1:6" hidden="1" outlineLevel="1" collapsed="1" x14ac:dyDescent="0.25">
      <c r="A2795" s="295" t="s">
        <v>282</v>
      </c>
      <c r="B2795" s="295" t="s">
        <v>375</v>
      </c>
      <c r="C2795" s="293">
        <v>4750</v>
      </c>
      <c r="D2795" s="293">
        <v>4750</v>
      </c>
      <c r="E2795" s="293">
        <v>0</v>
      </c>
      <c r="F2795" s="294" t="s">
        <v>316</v>
      </c>
    </row>
    <row r="2796" spans="1:6" collapsed="1" x14ac:dyDescent="0.25">
      <c r="A2796" s="560" t="s">
        <v>1295</v>
      </c>
      <c r="B2796" s="561"/>
      <c r="C2796" s="292">
        <v>218816.85497099999</v>
      </c>
      <c r="D2796" s="293">
        <v>223137.833056</v>
      </c>
      <c r="E2796" s="293">
        <v>4320.9780849999997</v>
      </c>
      <c r="F2796" s="294" t="s">
        <v>1296</v>
      </c>
    </row>
    <row r="2797" spans="1:6" hidden="1" outlineLevel="1" collapsed="1" x14ac:dyDescent="0.25">
      <c r="A2797" s="295" t="s">
        <v>282</v>
      </c>
      <c r="B2797" s="295" t="s">
        <v>358</v>
      </c>
      <c r="C2797" s="293">
        <v>93201.12</v>
      </c>
      <c r="D2797" s="293">
        <v>94599.136799999993</v>
      </c>
      <c r="E2797" s="293">
        <v>1398.0168000000001</v>
      </c>
      <c r="F2797" s="294" t="s">
        <v>510</v>
      </c>
    </row>
    <row r="2798" spans="1:6" hidden="1" outlineLevel="1" collapsed="1" x14ac:dyDescent="0.25">
      <c r="A2798" s="295" t="s">
        <v>282</v>
      </c>
      <c r="B2798" s="295" t="s">
        <v>380</v>
      </c>
      <c r="C2798" s="293">
        <v>53307.469268000001</v>
      </c>
      <c r="D2798" s="293">
        <v>54899.039515999997</v>
      </c>
      <c r="E2798" s="293">
        <v>1591.570248</v>
      </c>
      <c r="F2798" s="294" t="s">
        <v>975</v>
      </c>
    </row>
    <row r="2799" spans="1:6" hidden="1" outlineLevel="1" collapsed="1" x14ac:dyDescent="0.25">
      <c r="A2799" s="295" t="s">
        <v>282</v>
      </c>
      <c r="B2799" s="295" t="s">
        <v>475</v>
      </c>
      <c r="C2799" s="293">
        <v>1000</v>
      </c>
      <c r="D2799" s="293">
        <v>0</v>
      </c>
      <c r="E2799" s="293">
        <v>-1000</v>
      </c>
      <c r="F2799" s="294" t="s">
        <v>286</v>
      </c>
    </row>
    <row r="2800" spans="1:6" hidden="1" outlineLevel="1" collapsed="1" x14ac:dyDescent="0.25">
      <c r="A2800" s="295" t="s">
        <v>282</v>
      </c>
      <c r="B2800" s="295" t="s">
        <v>452</v>
      </c>
      <c r="C2800" s="293">
        <v>1800</v>
      </c>
      <c r="D2800" s="293">
        <v>0</v>
      </c>
      <c r="E2800" s="293">
        <v>-1800</v>
      </c>
      <c r="F2800" s="294" t="s">
        <v>286</v>
      </c>
    </row>
    <row r="2801" spans="1:6" hidden="1" outlineLevel="1" collapsed="1" x14ac:dyDescent="0.25">
      <c r="A2801" s="295" t="s">
        <v>282</v>
      </c>
      <c r="B2801" s="295" t="s">
        <v>360</v>
      </c>
      <c r="C2801" s="293">
        <v>12162.746160000001</v>
      </c>
      <c r="D2801" s="293">
        <v>13650.65544</v>
      </c>
      <c r="E2801" s="293">
        <v>1487.9092800000001</v>
      </c>
      <c r="F2801" s="294" t="s">
        <v>511</v>
      </c>
    </row>
    <row r="2802" spans="1:6" hidden="1" outlineLevel="1" collapsed="1" x14ac:dyDescent="0.25">
      <c r="A2802" s="295" t="s">
        <v>282</v>
      </c>
      <c r="B2802" s="295" t="s">
        <v>384</v>
      </c>
      <c r="C2802" s="293">
        <v>6624.3096240000004</v>
      </c>
      <c r="D2802" s="293">
        <v>0</v>
      </c>
      <c r="E2802" s="293">
        <v>-6624.3096240000004</v>
      </c>
      <c r="F2802" s="294" t="s">
        <v>286</v>
      </c>
    </row>
    <row r="2803" spans="1:6" hidden="1" outlineLevel="1" collapsed="1" x14ac:dyDescent="0.25">
      <c r="A2803" s="295" t="s">
        <v>282</v>
      </c>
      <c r="B2803" s="295" t="s">
        <v>385</v>
      </c>
      <c r="C2803" s="293">
        <v>0</v>
      </c>
      <c r="D2803" s="293">
        <v>8571.3482399999994</v>
      </c>
      <c r="E2803" s="293">
        <v>8571.3482399999994</v>
      </c>
      <c r="F2803" s="294" t="s">
        <v>298</v>
      </c>
    </row>
    <row r="2804" spans="1:6" hidden="1" outlineLevel="1" collapsed="1" x14ac:dyDescent="0.25">
      <c r="A2804" s="295" t="s">
        <v>282</v>
      </c>
      <c r="B2804" s="295" t="s">
        <v>386</v>
      </c>
      <c r="C2804" s="293">
        <v>3305.0630879999999</v>
      </c>
      <c r="D2804" s="293">
        <v>0</v>
      </c>
      <c r="E2804" s="293">
        <v>-3305.0630879999999</v>
      </c>
      <c r="F2804" s="294" t="s">
        <v>286</v>
      </c>
    </row>
    <row r="2805" spans="1:6" hidden="1" outlineLevel="1" collapsed="1" x14ac:dyDescent="0.25">
      <c r="A2805" s="295" t="s">
        <v>282</v>
      </c>
      <c r="B2805" s="295" t="s">
        <v>387</v>
      </c>
      <c r="C2805" s="293">
        <v>0</v>
      </c>
      <c r="D2805" s="293">
        <v>3403.740444</v>
      </c>
      <c r="E2805" s="293">
        <v>3403.740444</v>
      </c>
      <c r="F2805" s="294" t="s">
        <v>298</v>
      </c>
    </row>
    <row r="2806" spans="1:6" hidden="1" outlineLevel="1" collapsed="1" x14ac:dyDescent="0.25">
      <c r="A2806" s="295" t="s">
        <v>282</v>
      </c>
      <c r="B2806" s="295" t="s">
        <v>362</v>
      </c>
      <c r="C2806" s="293">
        <v>1351.41624</v>
      </c>
      <c r="D2806" s="293">
        <v>1371.6874800000001</v>
      </c>
      <c r="E2806" s="293">
        <v>20.271239999999999</v>
      </c>
      <c r="F2806" s="294" t="s">
        <v>510</v>
      </c>
    </row>
    <row r="2807" spans="1:6" hidden="1" outlineLevel="1" collapsed="1" x14ac:dyDescent="0.25">
      <c r="A2807" s="295" t="s">
        <v>282</v>
      </c>
      <c r="B2807" s="295" t="s">
        <v>388</v>
      </c>
      <c r="C2807" s="293">
        <v>772.958303</v>
      </c>
      <c r="D2807" s="293">
        <v>796.036068</v>
      </c>
      <c r="E2807" s="293">
        <v>23.077764999999999</v>
      </c>
      <c r="F2807" s="294" t="s">
        <v>975</v>
      </c>
    </row>
    <row r="2808" spans="1:6" hidden="1" outlineLevel="1" collapsed="1" x14ac:dyDescent="0.25">
      <c r="A2808" s="295" t="s">
        <v>282</v>
      </c>
      <c r="B2808" s="295" t="s">
        <v>363</v>
      </c>
      <c r="C2808" s="293">
        <v>426.12479999999999</v>
      </c>
      <c r="D2808" s="293">
        <v>422.04</v>
      </c>
      <c r="E2808" s="293">
        <v>-4.0848000000000004</v>
      </c>
      <c r="F2808" s="294" t="s">
        <v>364</v>
      </c>
    </row>
    <row r="2809" spans="1:6" hidden="1" outlineLevel="1" collapsed="1" x14ac:dyDescent="0.25">
      <c r="A2809" s="295" t="s">
        <v>282</v>
      </c>
      <c r="B2809" s="295" t="s">
        <v>365</v>
      </c>
      <c r="C2809" s="293">
        <v>15358.56</v>
      </c>
      <c r="D2809" s="293">
        <v>15959.28</v>
      </c>
      <c r="E2809" s="293">
        <v>600.72</v>
      </c>
      <c r="F2809" s="294" t="s">
        <v>366</v>
      </c>
    </row>
    <row r="2810" spans="1:6" hidden="1" outlineLevel="1" collapsed="1" x14ac:dyDescent="0.25">
      <c r="A2810" s="295" t="s">
        <v>282</v>
      </c>
      <c r="B2810" s="295" t="s">
        <v>367</v>
      </c>
      <c r="C2810" s="293">
        <v>233.53919999999999</v>
      </c>
      <c r="D2810" s="293">
        <v>182.88</v>
      </c>
      <c r="E2810" s="293">
        <v>-50.659199999999998</v>
      </c>
      <c r="F2810" s="294" t="s">
        <v>368</v>
      </c>
    </row>
    <row r="2811" spans="1:6" hidden="1" outlineLevel="1" collapsed="1" x14ac:dyDescent="0.25">
      <c r="A2811" s="295" t="s">
        <v>282</v>
      </c>
      <c r="B2811" s="295" t="s">
        <v>444</v>
      </c>
      <c r="C2811" s="293">
        <v>297</v>
      </c>
      <c r="D2811" s="293">
        <v>0</v>
      </c>
      <c r="E2811" s="293">
        <v>-297</v>
      </c>
      <c r="F2811" s="294" t="s">
        <v>286</v>
      </c>
    </row>
    <row r="2812" spans="1:6" hidden="1" outlineLevel="1" collapsed="1" x14ac:dyDescent="0.25">
      <c r="A2812" s="295" t="s">
        <v>282</v>
      </c>
      <c r="B2812" s="295" t="s">
        <v>389</v>
      </c>
      <c r="C2812" s="293">
        <v>426.12479999999999</v>
      </c>
      <c r="D2812" s="293">
        <v>422.04</v>
      </c>
      <c r="E2812" s="293">
        <v>-4.0848000000000004</v>
      </c>
      <c r="F2812" s="294" t="s">
        <v>364</v>
      </c>
    </row>
    <row r="2813" spans="1:6" hidden="1" outlineLevel="1" collapsed="1" x14ac:dyDescent="0.25">
      <c r="A2813" s="295" t="s">
        <v>282</v>
      </c>
      <c r="B2813" s="295" t="s">
        <v>390</v>
      </c>
      <c r="C2813" s="293">
        <v>15485.27</v>
      </c>
      <c r="D2813" s="293">
        <v>15959.28</v>
      </c>
      <c r="E2813" s="293">
        <v>474.01</v>
      </c>
      <c r="F2813" s="294" t="s">
        <v>391</v>
      </c>
    </row>
    <row r="2814" spans="1:6" hidden="1" outlineLevel="1" collapsed="1" x14ac:dyDescent="0.25">
      <c r="A2814" s="295" t="s">
        <v>282</v>
      </c>
      <c r="B2814" s="295" t="s">
        <v>392</v>
      </c>
      <c r="C2814" s="293">
        <v>233.53919999999999</v>
      </c>
      <c r="D2814" s="293">
        <v>182.88</v>
      </c>
      <c r="E2814" s="293">
        <v>-50.659199999999998</v>
      </c>
      <c r="F2814" s="294" t="s">
        <v>368</v>
      </c>
    </row>
    <row r="2815" spans="1:6" hidden="1" outlineLevel="1" collapsed="1" x14ac:dyDescent="0.25">
      <c r="A2815" s="295" t="s">
        <v>282</v>
      </c>
      <c r="B2815" s="295" t="s">
        <v>369</v>
      </c>
      <c r="C2815" s="293">
        <v>46.600560000000002</v>
      </c>
      <c r="D2815" s="293">
        <v>47.29956</v>
      </c>
      <c r="E2815" s="293">
        <v>0.69899999999999995</v>
      </c>
      <c r="F2815" s="294" t="s">
        <v>510</v>
      </c>
    </row>
    <row r="2816" spans="1:6" hidden="1" outlineLevel="1" collapsed="1" x14ac:dyDescent="0.25">
      <c r="A2816" s="295" t="s">
        <v>282</v>
      </c>
      <c r="B2816" s="295" t="s">
        <v>393</v>
      </c>
      <c r="C2816" s="293">
        <v>26.653728000000001</v>
      </c>
      <c r="D2816" s="293">
        <v>27.449508000000002</v>
      </c>
      <c r="E2816" s="293">
        <v>0.79578000000000004</v>
      </c>
      <c r="F2816" s="294" t="s">
        <v>975</v>
      </c>
    </row>
    <row r="2817" spans="1:6" hidden="1" outlineLevel="1" collapsed="1" x14ac:dyDescent="0.25">
      <c r="A2817" s="295" t="s">
        <v>282</v>
      </c>
      <c r="B2817" s="295" t="s">
        <v>370</v>
      </c>
      <c r="C2817" s="293">
        <v>1500</v>
      </c>
      <c r="D2817" s="293">
        <v>1500</v>
      </c>
      <c r="E2817" s="293">
        <v>0</v>
      </c>
      <c r="F2817" s="294" t="s">
        <v>316</v>
      </c>
    </row>
    <row r="2818" spans="1:6" hidden="1" outlineLevel="1" collapsed="1" x14ac:dyDescent="0.25">
      <c r="A2818" s="295" t="s">
        <v>282</v>
      </c>
      <c r="B2818" s="295" t="s">
        <v>394</v>
      </c>
      <c r="C2818" s="293">
        <v>1500</v>
      </c>
      <c r="D2818" s="293">
        <v>0</v>
      </c>
      <c r="E2818" s="293">
        <v>-1500</v>
      </c>
      <c r="F2818" s="294" t="s">
        <v>286</v>
      </c>
    </row>
    <row r="2819" spans="1:6" hidden="1" outlineLevel="1" collapsed="1" x14ac:dyDescent="0.25">
      <c r="A2819" s="295" t="s">
        <v>282</v>
      </c>
      <c r="B2819" s="295" t="s">
        <v>395</v>
      </c>
      <c r="C2819" s="293">
        <v>0</v>
      </c>
      <c r="D2819" s="293">
        <v>1500</v>
      </c>
      <c r="E2819" s="293">
        <v>1500</v>
      </c>
      <c r="F2819" s="294" t="s">
        <v>298</v>
      </c>
    </row>
    <row r="2820" spans="1:6" hidden="1" outlineLevel="1" collapsed="1" x14ac:dyDescent="0.25">
      <c r="A2820" s="295" t="s">
        <v>282</v>
      </c>
      <c r="B2820" s="295" t="s">
        <v>371</v>
      </c>
      <c r="C2820" s="293">
        <v>49.68</v>
      </c>
      <c r="D2820" s="293">
        <v>48.48</v>
      </c>
      <c r="E2820" s="293">
        <v>-1.2</v>
      </c>
      <c r="F2820" s="294" t="s">
        <v>372</v>
      </c>
    </row>
    <row r="2821" spans="1:6" hidden="1" outlineLevel="1" collapsed="1" x14ac:dyDescent="0.25">
      <c r="A2821" s="295" t="s">
        <v>282</v>
      </c>
      <c r="B2821" s="295" t="s">
        <v>396</v>
      </c>
      <c r="C2821" s="293">
        <v>49.68</v>
      </c>
      <c r="D2821" s="293">
        <v>0</v>
      </c>
      <c r="E2821" s="293">
        <v>-49.68</v>
      </c>
      <c r="F2821" s="294" t="s">
        <v>286</v>
      </c>
    </row>
    <row r="2822" spans="1:6" hidden="1" outlineLevel="1" collapsed="1" x14ac:dyDescent="0.25">
      <c r="A2822" s="295" t="s">
        <v>282</v>
      </c>
      <c r="B2822" s="295" t="s">
        <v>397</v>
      </c>
      <c r="C2822" s="293">
        <v>0</v>
      </c>
      <c r="D2822" s="293">
        <v>48.48</v>
      </c>
      <c r="E2822" s="293">
        <v>48.48</v>
      </c>
      <c r="F2822" s="294" t="s">
        <v>298</v>
      </c>
    </row>
    <row r="2823" spans="1:6" hidden="1" outlineLevel="1" collapsed="1" x14ac:dyDescent="0.25">
      <c r="A2823" s="295" t="s">
        <v>282</v>
      </c>
      <c r="B2823" s="295" t="s">
        <v>373</v>
      </c>
      <c r="C2823" s="293">
        <v>24</v>
      </c>
      <c r="D2823" s="293">
        <v>11.04</v>
      </c>
      <c r="E2823" s="293">
        <v>-12.96</v>
      </c>
      <c r="F2823" s="294" t="s">
        <v>374</v>
      </c>
    </row>
    <row r="2824" spans="1:6" hidden="1" outlineLevel="1" collapsed="1" x14ac:dyDescent="0.25">
      <c r="A2824" s="295" t="s">
        <v>282</v>
      </c>
      <c r="B2824" s="295" t="s">
        <v>398</v>
      </c>
      <c r="C2824" s="293">
        <v>24</v>
      </c>
      <c r="D2824" s="293">
        <v>11.04</v>
      </c>
      <c r="E2824" s="293">
        <v>-12.96</v>
      </c>
      <c r="F2824" s="294" t="s">
        <v>374</v>
      </c>
    </row>
    <row r="2825" spans="1:6" hidden="1" outlineLevel="1" collapsed="1" x14ac:dyDescent="0.25">
      <c r="A2825" s="295" t="s">
        <v>282</v>
      </c>
      <c r="B2825" s="295" t="s">
        <v>376</v>
      </c>
      <c r="C2825" s="293">
        <v>112</v>
      </c>
      <c r="D2825" s="293">
        <v>113</v>
      </c>
      <c r="E2825" s="293">
        <v>1</v>
      </c>
      <c r="F2825" s="294" t="s">
        <v>1225</v>
      </c>
    </row>
    <row r="2826" spans="1:6" hidden="1" outlineLevel="1" collapsed="1" x14ac:dyDescent="0.25">
      <c r="A2826" s="295" t="s">
        <v>282</v>
      </c>
      <c r="B2826" s="295" t="s">
        <v>415</v>
      </c>
      <c r="C2826" s="293">
        <v>558</v>
      </c>
      <c r="D2826" s="293">
        <v>470</v>
      </c>
      <c r="E2826" s="293">
        <v>-88</v>
      </c>
      <c r="F2826" s="294" t="s">
        <v>1297</v>
      </c>
    </row>
    <row r="2827" spans="1:6" hidden="1" outlineLevel="1" collapsed="1" x14ac:dyDescent="0.25">
      <c r="A2827" s="295" t="s">
        <v>282</v>
      </c>
      <c r="B2827" s="295" t="s">
        <v>884</v>
      </c>
      <c r="C2827" s="293">
        <v>3893</v>
      </c>
      <c r="D2827" s="293">
        <v>3893</v>
      </c>
      <c r="E2827" s="293">
        <v>0</v>
      </c>
      <c r="F2827" s="294" t="s">
        <v>316</v>
      </c>
    </row>
    <row r="2828" spans="1:6" hidden="1" outlineLevel="1" collapsed="1" x14ac:dyDescent="0.25">
      <c r="A2828" s="295" t="s">
        <v>282</v>
      </c>
      <c r="B2828" s="295" t="s">
        <v>403</v>
      </c>
      <c r="C2828" s="293">
        <v>5048</v>
      </c>
      <c r="D2828" s="293">
        <v>5048</v>
      </c>
      <c r="E2828" s="293">
        <v>0</v>
      </c>
      <c r="F2828" s="294" t="s">
        <v>316</v>
      </c>
    </row>
    <row r="2829" spans="1:6" collapsed="1" x14ac:dyDescent="0.25">
      <c r="A2829" s="560" t="s">
        <v>1298</v>
      </c>
      <c r="B2829" s="561"/>
      <c r="C2829" s="292">
        <v>147455.29743999999</v>
      </c>
      <c r="D2829" s="293">
        <v>233139.86885599999</v>
      </c>
      <c r="E2829" s="293">
        <v>85684.571416000006</v>
      </c>
      <c r="F2829" s="294" t="s">
        <v>1299</v>
      </c>
    </row>
    <row r="2830" spans="1:6" hidden="1" outlineLevel="1" collapsed="1" x14ac:dyDescent="0.25">
      <c r="A2830" s="295" t="s">
        <v>282</v>
      </c>
      <c r="B2830" s="295" t="s">
        <v>358</v>
      </c>
      <c r="C2830" s="293">
        <v>92719.679999999993</v>
      </c>
      <c r="D2830" s="293">
        <v>96510.665999999997</v>
      </c>
      <c r="E2830" s="293">
        <v>3790.9859999999999</v>
      </c>
      <c r="F2830" s="294" t="s">
        <v>490</v>
      </c>
    </row>
    <row r="2831" spans="1:6" hidden="1" outlineLevel="1" collapsed="1" x14ac:dyDescent="0.25">
      <c r="A2831" s="295" t="s">
        <v>282</v>
      </c>
      <c r="B2831" s="295" t="s">
        <v>412</v>
      </c>
      <c r="C2831" s="293">
        <v>14000</v>
      </c>
      <c r="D2831" s="293">
        <v>14000</v>
      </c>
      <c r="E2831" s="293">
        <v>0</v>
      </c>
      <c r="F2831" s="294" t="s">
        <v>316</v>
      </c>
    </row>
    <row r="2832" spans="1:6" hidden="1" outlineLevel="1" collapsed="1" x14ac:dyDescent="0.25">
      <c r="A2832" s="295" t="s">
        <v>282</v>
      </c>
      <c r="B2832" s="295" t="s">
        <v>380</v>
      </c>
      <c r="C2832" s="293">
        <v>0</v>
      </c>
      <c r="D2832" s="293">
        <v>54899.039515999997</v>
      </c>
      <c r="E2832" s="293">
        <v>54899.039515999997</v>
      </c>
      <c r="F2832" s="294" t="s">
        <v>298</v>
      </c>
    </row>
    <row r="2833" spans="1:6" hidden="1" outlineLevel="1" collapsed="1" x14ac:dyDescent="0.25">
      <c r="A2833" s="295" t="s">
        <v>282</v>
      </c>
      <c r="B2833" s="295" t="s">
        <v>360</v>
      </c>
      <c r="C2833" s="293">
        <v>12099.918240000001</v>
      </c>
      <c r="D2833" s="293">
        <v>13926.489100000001</v>
      </c>
      <c r="E2833" s="293">
        <v>1826.57086</v>
      </c>
      <c r="F2833" s="294" t="s">
        <v>571</v>
      </c>
    </row>
    <row r="2834" spans="1:6" hidden="1" outlineLevel="1" collapsed="1" x14ac:dyDescent="0.25">
      <c r="A2834" s="295" t="s">
        <v>282</v>
      </c>
      <c r="B2834" s="295" t="s">
        <v>385</v>
      </c>
      <c r="C2834" s="293">
        <v>0</v>
      </c>
      <c r="D2834" s="293">
        <v>8571.3482399999994</v>
      </c>
      <c r="E2834" s="293">
        <v>8571.3482399999994</v>
      </c>
      <c r="F2834" s="294" t="s">
        <v>298</v>
      </c>
    </row>
    <row r="2835" spans="1:6" hidden="1" outlineLevel="1" collapsed="1" x14ac:dyDescent="0.25">
      <c r="A2835" s="295" t="s">
        <v>282</v>
      </c>
      <c r="B2835" s="295" t="s">
        <v>387</v>
      </c>
      <c r="C2835" s="293">
        <v>0</v>
      </c>
      <c r="D2835" s="293">
        <v>3403.740444</v>
      </c>
      <c r="E2835" s="293">
        <v>3403.740444</v>
      </c>
      <c r="F2835" s="294" t="s">
        <v>298</v>
      </c>
    </row>
    <row r="2836" spans="1:6" hidden="1" outlineLevel="1" collapsed="1" x14ac:dyDescent="0.25">
      <c r="A2836" s="295" t="s">
        <v>282</v>
      </c>
      <c r="B2836" s="295" t="s">
        <v>362</v>
      </c>
      <c r="C2836" s="293">
        <v>1547.4353599999999</v>
      </c>
      <c r="D2836" s="293">
        <v>1602.4046499999999</v>
      </c>
      <c r="E2836" s="293">
        <v>54.969290000000001</v>
      </c>
      <c r="F2836" s="294" t="s">
        <v>1300</v>
      </c>
    </row>
    <row r="2837" spans="1:6" hidden="1" outlineLevel="1" collapsed="1" x14ac:dyDescent="0.25">
      <c r="A2837" s="295" t="s">
        <v>282</v>
      </c>
      <c r="B2837" s="295" t="s">
        <v>388</v>
      </c>
      <c r="C2837" s="293">
        <v>0</v>
      </c>
      <c r="D2837" s="293">
        <v>796.036068</v>
      </c>
      <c r="E2837" s="293">
        <v>796.036068</v>
      </c>
      <c r="F2837" s="294" t="s">
        <v>298</v>
      </c>
    </row>
    <row r="2838" spans="1:6" hidden="1" outlineLevel="1" collapsed="1" x14ac:dyDescent="0.25">
      <c r="A2838" s="295" t="s">
        <v>282</v>
      </c>
      <c r="B2838" s="295" t="s">
        <v>363</v>
      </c>
      <c r="C2838" s="293">
        <v>426.12479999999999</v>
      </c>
      <c r="D2838" s="293">
        <v>422.04</v>
      </c>
      <c r="E2838" s="293">
        <v>-4.0848000000000004</v>
      </c>
      <c r="F2838" s="294" t="s">
        <v>364</v>
      </c>
    </row>
    <row r="2839" spans="1:6" hidden="1" outlineLevel="1" collapsed="1" x14ac:dyDescent="0.25">
      <c r="A2839" s="295" t="s">
        <v>282</v>
      </c>
      <c r="B2839" s="295" t="s">
        <v>365</v>
      </c>
      <c r="C2839" s="293">
        <v>15358.56</v>
      </c>
      <c r="D2839" s="293">
        <v>15959.28</v>
      </c>
      <c r="E2839" s="293">
        <v>600.72</v>
      </c>
      <c r="F2839" s="294" t="s">
        <v>366</v>
      </c>
    </row>
    <row r="2840" spans="1:6" hidden="1" outlineLevel="1" collapsed="1" x14ac:dyDescent="0.25">
      <c r="A2840" s="295" t="s">
        <v>282</v>
      </c>
      <c r="B2840" s="295" t="s">
        <v>367</v>
      </c>
      <c r="C2840" s="293">
        <v>233.53919999999999</v>
      </c>
      <c r="D2840" s="293">
        <v>182.88</v>
      </c>
      <c r="E2840" s="293">
        <v>-50.659199999999998</v>
      </c>
      <c r="F2840" s="294" t="s">
        <v>368</v>
      </c>
    </row>
    <row r="2841" spans="1:6" hidden="1" outlineLevel="1" collapsed="1" x14ac:dyDescent="0.25">
      <c r="A2841" s="295" t="s">
        <v>282</v>
      </c>
      <c r="B2841" s="295" t="s">
        <v>389</v>
      </c>
      <c r="C2841" s="293">
        <v>0</v>
      </c>
      <c r="D2841" s="293">
        <v>422.04</v>
      </c>
      <c r="E2841" s="293">
        <v>422.04</v>
      </c>
      <c r="F2841" s="294" t="s">
        <v>298</v>
      </c>
    </row>
    <row r="2842" spans="1:6" hidden="1" outlineLevel="1" collapsed="1" x14ac:dyDescent="0.25">
      <c r="A2842" s="295" t="s">
        <v>282</v>
      </c>
      <c r="B2842" s="295" t="s">
        <v>390</v>
      </c>
      <c r="C2842" s="293">
        <v>0</v>
      </c>
      <c r="D2842" s="293">
        <v>15959.28</v>
      </c>
      <c r="E2842" s="293">
        <v>15959.28</v>
      </c>
      <c r="F2842" s="294" t="s">
        <v>298</v>
      </c>
    </row>
    <row r="2843" spans="1:6" hidden="1" outlineLevel="1" collapsed="1" x14ac:dyDescent="0.25">
      <c r="A2843" s="295" t="s">
        <v>282</v>
      </c>
      <c r="B2843" s="295" t="s">
        <v>392</v>
      </c>
      <c r="C2843" s="293">
        <v>0</v>
      </c>
      <c r="D2843" s="293">
        <v>182.88</v>
      </c>
      <c r="E2843" s="293">
        <v>182.88</v>
      </c>
      <c r="F2843" s="294" t="s">
        <v>298</v>
      </c>
    </row>
    <row r="2844" spans="1:6" hidden="1" outlineLevel="1" collapsed="1" x14ac:dyDescent="0.25">
      <c r="A2844" s="295" t="s">
        <v>282</v>
      </c>
      <c r="B2844" s="295" t="s">
        <v>369</v>
      </c>
      <c r="C2844" s="293">
        <v>53.359839999999998</v>
      </c>
      <c r="D2844" s="293">
        <v>55.255330000000001</v>
      </c>
      <c r="E2844" s="293">
        <v>1.8954899999999999</v>
      </c>
      <c r="F2844" s="294" t="s">
        <v>1300</v>
      </c>
    </row>
    <row r="2845" spans="1:6" hidden="1" outlineLevel="1" collapsed="1" x14ac:dyDescent="0.25">
      <c r="A2845" s="295" t="s">
        <v>282</v>
      </c>
      <c r="B2845" s="295" t="s">
        <v>393</v>
      </c>
      <c r="C2845" s="293">
        <v>0</v>
      </c>
      <c r="D2845" s="293">
        <v>27.449508000000002</v>
      </c>
      <c r="E2845" s="293">
        <v>27.449508000000002</v>
      </c>
      <c r="F2845" s="294" t="s">
        <v>298</v>
      </c>
    </row>
    <row r="2846" spans="1:6" hidden="1" outlineLevel="1" collapsed="1" x14ac:dyDescent="0.25">
      <c r="A2846" s="295" t="s">
        <v>282</v>
      </c>
      <c r="B2846" s="295" t="s">
        <v>370</v>
      </c>
      <c r="C2846" s="293">
        <v>1500</v>
      </c>
      <c r="D2846" s="293">
        <v>1500</v>
      </c>
      <c r="E2846" s="293">
        <v>0</v>
      </c>
      <c r="F2846" s="294" t="s">
        <v>316</v>
      </c>
    </row>
    <row r="2847" spans="1:6" hidden="1" outlineLevel="1" collapsed="1" x14ac:dyDescent="0.25">
      <c r="A2847" s="295" t="s">
        <v>282</v>
      </c>
      <c r="B2847" s="295" t="s">
        <v>395</v>
      </c>
      <c r="C2847" s="293">
        <v>0</v>
      </c>
      <c r="D2847" s="293">
        <v>1500</v>
      </c>
      <c r="E2847" s="293">
        <v>1500</v>
      </c>
      <c r="F2847" s="294" t="s">
        <v>298</v>
      </c>
    </row>
    <row r="2848" spans="1:6" hidden="1" outlineLevel="1" collapsed="1" x14ac:dyDescent="0.25">
      <c r="A2848" s="295" t="s">
        <v>282</v>
      </c>
      <c r="B2848" s="295" t="s">
        <v>371</v>
      </c>
      <c r="C2848" s="293">
        <v>49.68</v>
      </c>
      <c r="D2848" s="293">
        <v>48.48</v>
      </c>
      <c r="E2848" s="293">
        <v>-1.2</v>
      </c>
      <c r="F2848" s="294" t="s">
        <v>372</v>
      </c>
    </row>
    <row r="2849" spans="1:6" hidden="1" outlineLevel="1" collapsed="1" x14ac:dyDescent="0.25">
      <c r="A2849" s="295" t="s">
        <v>282</v>
      </c>
      <c r="B2849" s="295" t="s">
        <v>397</v>
      </c>
      <c r="C2849" s="293">
        <v>0</v>
      </c>
      <c r="D2849" s="293">
        <v>48.48</v>
      </c>
      <c r="E2849" s="293">
        <v>48.48</v>
      </c>
      <c r="F2849" s="294" t="s">
        <v>298</v>
      </c>
    </row>
    <row r="2850" spans="1:6" hidden="1" outlineLevel="1" collapsed="1" x14ac:dyDescent="0.25">
      <c r="A2850" s="295" t="s">
        <v>282</v>
      </c>
      <c r="B2850" s="295" t="s">
        <v>373</v>
      </c>
      <c r="C2850" s="293">
        <v>24</v>
      </c>
      <c r="D2850" s="293">
        <v>11.04</v>
      </c>
      <c r="E2850" s="293">
        <v>-12.96</v>
      </c>
      <c r="F2850" s="294" t="s">
        <v>374</v>
      </c>
    </row>
    <row r="2851" spans="1:6" hidden="1" outlineLevel="1" collapsed="1" x14ac:dyDescent="0.25">
      <c r="A2851" s="295" t="s">
        <v>282</v>
      </c>
      <c r="B2851" s="295" t="s">
        <v>398</v>
      </c>
      <c r="C2851" s="293">
        <v>0</v>
      </c>
      <c r="D2851" s="293">
        <v>11.04</v>
      </c>
      <c r="E2851" s="293">
        <v>11.04</v>
      </c>
      <c r="F2851" s="294" t="s">
        <v>298</v>
      </c>
    </row>
    <row r="2852" spans="1:6" hidden="1" outlineLevel="1" collapsed="1" x14ac:dyDescent="0.25">
      <c r="A2852" s="295" t="s">
        <v>282</v>
      </c>
      <c r="B2852" s="295" t="s">
        <v>375</v>
      </c>
      <c r="C2852" s="293">
        <v>3063</v>
      </c>
      <c r="D2852" s="293">
        <v>3100</v>
      </c>
      <c r="E2852" s="293">
        <v>37</v>
      </c>
      <c r="F2852" s="294" t="s">
        <v>1301</v>
      </c>
    </row>
    <row r="2853" spans="1:6" hidden="1" outlineLevel="1" collapsed="1" x14ac:dyDescent="0.25">
      <c r="A2853" s="295" t="s">
        <v>282</v>
      </c>
      <c r="B2853" s="295" t="s">
        <v>403</v>
      </c>
      <c r="C2853" s="293">
        <v>6380</v>
      </c>
      <c r="D2853" s="293">
        <v>0</v>
      </c>
      <c r="E2853" s="293">
        <v>-6380</v>
      </c>
      <c r="F2853" s="294" t="s">
        <v>286</v>
      </c>
    </row>
    <row r="2854" spans="1:6" collapsed="1" x14ac:dyDescent="0.25">
      <c r="A2854" s="560" t="s">
        <v>1302</v>
      </c>
      <c r="B2854" s="561"/>
      <c r="C2854" s="292">
        <v>48964.613319999997</v>
      </c>
      <c r="D2854" s="293">
        <v>50827.302785</v>
      </c>
      <c r="E2854" s="293">
        <v>1862.6894649999999</v>
      </c>
      <c r="F2854" s="294" t="s">
        <v>1303</v>
      </c>
    </row>
    <row r="2855" spans="1:6" hidden="1" outlineLevel="1" collapsed="1" x14ac:dyDescent="0.25">
      <c r="A2855" s="295" t="s">
        <v>282</v>
      </c>
      <c r="B2855" s="295" t="s">
        <v>358</v>
      </c>
      <c r="C2855" s="293">
        <v>38501.040000000001</v>
      </c>
      <c r="D2855" s="293">
        <v>40149.299400000004</v>
      </c>
      <c r="E2855" s="293">
        <v>1648.2593999999999</v>
      </c>
      <c r="F2855" s="294" t="s">
        <v>1304</v>
      </c>
    </row>
    <row r="2856" spans="1:6" hidden="1" outlineLevel="1" collapsed="1" x14ac:dyDescent="0.25">
      <c r="A2856" s="295" t="s">
        <v>282</v>
      </c>
      <c r="B2856" s="295" t="s">
        <v>441</v>
      </c>
      <c r="C2856" s="293">
        <v>2000</v>
      </c>
      <c r="D2856" s="293">
        <v>1700</v>
      </c>
      <c r="E2856" s="293">
        <v>-300</v>
      </c>
      <c r="F2856" s="294" t="s">
        <v>1305</v>
      </c>
    </row>
    <row r="2857" spans="1:6" hidden="1" outlineLevel="1" collapsed="1" x14ac:dyDescent="0.25">
      <c r="A2857" s="295" t="s">
        <v>282</v>
      </c>
      <c r="B2857" s="295" t="s">
        <v>360</v>
      </c>
      <c r="C2857" s="293">
        <v>5024.3857200000002</v>
      </c>
      <c r="D2857" s="293">
        <v>5793.5438999999997</v>
      </c>
      <c r="E2857" s="293">
        <v>769.15818000000002</v>
      </c>
      <c r="F2857" s="294" t="s">
        <v>1306</v>
      </c>
    </row>
    <row r="2858" spans="1:6" hidden="1" outlineLevel="1" collapsed="1" x14ac:dyDescent="0.25">
      <c r="A2858" s="295" t="s">
        <v>282</v>
      </c>
      <c r="B2858" s="295" t="s">
        <v>362</v>
      </c>
      <c r="C2858" s="293">
        <v>558.26508000000001</v>
      </c>
      <c r="D2858" s="293">
        <v>582.16484000000003</v>
      </c>
      <c r="E2858" s="293">
        <v>23.899760000000001</v>
      </c>
      <c r="F2858" s="294" t="s">
        <v>1304</v>
      </c>
    </row>
    <row r="2859" spans="1:6" hidden="1" outlineLevel="1" collapsed="1" x14ac:dyDescent="0.25">
      <c r="A2859" s="295" t="s">
        <v>282</v>
      </c>
      <c r="B2859" s="295" t="s">
        <v>363</v>
      </c>
      <c r="C2859" s="293">
        <v>213.0624</v>
      </c>
      <c r="D2859" s="293">
        <v>211.02</v>
      </c>
      <c r="E2859" s="293">
        <v>-2.0424000000000002</v>
      </c>
      <c r="F2859" s="294" t="s">
        <v>364</v>
      </c>
    </row>
    <row r="2860" spans="1:6" hidden="1" outlineLevel="1" collapsed="1" x14ac:dyDescent="0.25">
      <c r="A2860" s="295" t="s">
        <v>282</v>
      </c>
      <c r="B2860" s="295" t="s">
        <v>367</v>
      </c>
      <c r="C2860" s="293">
        <v>116.7696</v>
      </c>
      <c r="D2860" s="293">
        <v>91.44</v>
      </c>
      <c r="E2860" s="293">
        <v>-25.329599999999999</v>
      </c>
      <c r="F2860" s="294" t="s">
        <v>368</v>
      </c>
    </row>
    <row r="2861" spans="1:6" hidden="1" outlineLevel="1" collapsed="1" x14ac:dyDescent="0.25">
      <c r="A2861" s="295" t="s">
        <v>282</v>
      </c>
      <c r="B2861" s="295" t="s">
        <v>444</v>
      </c>
      <c r="C2861" s="293">
        <v>245</v>
      </c>
      <c r="D2861" s="293">
        <v>0</v>
      </c>
      <c r="E2861" s="293">
        <v>-245</v>
      </c>
      <c r="F2861" s="294" t="s">
        <v>286</v>
      </c>
    </row>
    <row r="2862" spans="1:6" hidden="1" outlineLevel="1" collapsed="1" x14ac:dyDescent="0.25">
      <c r="A2862" s="295" t="s">
        <v>282</v>
      </c>
      <c r="B2862" s="295" t="s">
        <v>369</v>
      </c>
      <c r="C2862" s="293">
        <v>19.250520000000002</v>
      </c>
      <c r="D2862" s="293">
        <v>20.074645</v>
      </c>
      <c r="E2862" s="293">
        <v>0.824125</v>
      </c>
      <c r="F2862" s="294" t="s">
        <v>1304</v>
      </c>
    </row>
    <row r="2863" spans="1:6" hidden="1" outlineLevel="1" collapsed="1" x14ac:dyDescent="0.25">
      <c r="A2863" s="295" t="s">
        <v>282</v>
      </c>
      <c r="B2863" s="295" t="s">
        <v>370</v>
      </c>
      <c r="C2863" s="293">
        <v>750</v>
      </c>
      <c r="D2863" s="293">
        <v>750</v>
      </c>
      <c r="E2863" s="293">
        <v>0</v>
      </c>
      <c r="F2863" s="294" t="s">
        <v>316</v>
      </c>
    </row>
    <row r="2864" spans="1:6" hidden="1" outlineLevel="1" collapsed="1" x14ac:dyDescent="0.25">
      <c r="A2864" s="295" t="s">
        <v>282</v>
      </c>
      <c r="B2864" s="295" t="s">
        <v>371</v>
      </c>
      <c r="C2864" s="293">
        <v>24.84</v>
      </c>
      <c r="D2864" s="293">
        <v>24.24</v>
      </c>
      <c r="E2864" s="293">
        <v>-0.6</v>
      </c>
      <c r="F2864" s="294" t="s">
        <v>372</v>
      </c>
    </row>
    <row r="2865" spans="1:6" hidden="1" outlineLevel="1" collapsed="1" x14ac:dyDescent="0.25">
      <c r="A2865" s="295" t="s">
        <v>282</v>
      </c>
      <c r="B2865" s="295" t="s">
        <v>373</v>
      </c>
      <c r="C2865" s="293">
        <v>12</v>
      </c>
      <c r="D2865" s="293">
        <v>5.52</v>
      </c>
      <c r="E2865" s="293">
        <v>-6.48</v>
      </c>
      <c r="F2865" s="294" t="s">
        <v>374</v>
      </c>
    </row>
    <row r="2866" spans="1:6" hidden="1" outlineLevel="1" collapsed="1" x14ac:dyDescent="0.25">
      <c r="A2866" s="295" t="s">
        <v>282</v>
      </c>
      <c r="B2866" s="295" t="s">
        <v>445</v>
      </c>
      <c r="C2866" s="293">
        <v>1500</v>
      </c>
      <c r="D2866" s="293">
        <v>1500</v>
      </c>
      <c r="E2866" s="293">
        <v>0</v>
      </c>
      <c r="F2866" s="294" t="s">
        <v>316</v>
      </c>
    </row>
    <row r="2867" spans="1:6" collapsed="1" x14ac:dyDescent="0.25">
      <c r="A2867" s="560" t="s">
        <v>1307</v>
      </c>
      <c r="B2867" s="561"/>
      <c r="C2867" s="292">
        <v>46719.613319999997</v>
      </c>
      <c r="D2867" s="293">
        <v>49127.302785</v>
      </c>
      <c r="E2867" s="293">
        <v>2407.6894649999999</v>
      </c>
      <c r="F2867" s="294" t="s">
        <v>618</v>
      </c>
    </row>
    <row r="2868" spans="1:6" hidden="1" outlineLevel="1" collapsed="1" x14ac:dyDescent="0.25">
      <c r="A2868" s="295" t="s">
        <v>282</v>
      </c>
      <c r="B2868" s="295" t="s">
        <v>358</v>
      </c>
      <c r="C2868" s="293">
        <v>38501.040000000001</v>
      </c>
      <c r="D2868" s="293">
        <v>40149.299400000004</v>
      </c>
      <c r="E2868" s="293">
        <v>1648.2593999999999</v>
      </c>
      <c r="F2868" s="294" t="s">
        <v>1304</v>
      </c>
    </row>
    <row r="2869" spans="1:6" hidden="1" outlineLevel="1" collapsed="1" x14ac:dyDescent="0.25">
      <c r="A2869" s="295" t="s">
        <v>282</v>
      </c>
      <c r="B2869" s="295" t="s">
        <v>360</v>
      </c>
      <c r="C2869" s="293">
        <v>5024.3857200000002</v>
      </c>
      <c r="D2869" s="293">
        <v>5793.5438999999997</v>
      </c>
      <c r="E2869" s="293">
        <v>769.15818000000002</v>
      </c>
      <c r="F2869" s="294" t="s">
        <v>1306</v>
      </c>
    </row>
    <row r="2870" spans="1:6" hidden="1" outlineLevel="1" collapsed="1" x14ac:dyDescent="0.25">
      <c r="A2870" s="295" t="s">
        <v>282</v>
      </c>
      <c r="B2870" s="295" t="s">
        <v>362</v>
      </c>
      <c r="C2870" s="293">
        <v>558.26508000000001</v>
      </c>
      <c r="D2870" s="293">
        <v>582.16484000000003</v>
      </c>
      <c r="E2870" s="293">
        <v>23.899760000000001</v>
      </c>
      <c r="F2870" s="294" t="s">
        <v>1304</v>
      </c>
    </row>
    <row r="2871" spans="1:6" hidden="1" outlineLevel="1" collapsed="1" x14ac:dyDescent="0.25">
      <c r="A2871" s="295" t="s">
        <v>282</v>
      </c>
      <c r="B2871" s="295" t="s">
        <v>363</v>
      </c>
      <c r="C2871" s="293">
        <v>213.0624</v>
      </c>
      <c r="D2871" s="293">
        <v>211.02</v>
      </c>
      <c r="E2871" s="293">
        <v>-2.0424000000000002</v>
      </c>
      <c r="F2871" s="294" t="s">
        <v>364</v>
      </c>
    </row>
    <row r="2872" spans="1:6" hidden="1" outlineLevel="1" collapsed="1" x14ac:dyDescent="0.25">
      <c r="A2872" s="295" t="s">
        <v>282</v>
      </c>
      <c r="B2872" s="295" t="s">
        <v>367</v>
      </c>
      <c r="C2872" s="293">
        <v>116.7696</v>
      </c>
      <c r="D2872" s="293">
        <v>91.44</v>
      </c>
      <c r="E2872" s="293">
        <v>-25.329599999999999</v>
      </c>
      <c r="F2872" s="294" t="s">
        <v>368</v>
      </c>
    </row>
    <row r="2873" spans="1:6" hidden="1" outlineLevel="1" collapsed="1" x14ac:dyDescent="0.25">
      <c r="A2873" s="295" t="s">
        <v>282</v>
      </c>
      <c r="B2873" s="295" t="s">
        <v>369</v>
      </c>
      <c r="C2873" s="293">
        <v>19.250520000000002</v>
      </c>
      <c r="D2873" s="293">
        <v>20.074645</v>
      </c>
      <c r="E2873" s="293">
        <v>0.824125</v>
      </c>
      <c r="F2873" s="294" t="s">
        <v>1304</v>
      </c>
    </row>
    <row r="2874" spans="1:6" hidden="1" outlineLevel="1" collapsed="1" x14ac:dyDescent="0.25">
      <c r="A2874" s="295" t="s">
        <v>282</v>
      </c>
      <c r="B2874" s="295" t="s">
        <v>370</v>
      </c>
      <c r="C2874" s="293">
        <v>750</v>
      </c>
      <c r="D2874" s="293">
        <v>750</v>
      </c>
      <c r="E2874" s="293">
        <v>0</v>
      </c>
      <c r="F2874" s="294" t="s">
        <v>316</v>
      </c>
    </row>
    <row r="2875" spans="1:6" hidden="1" outlineLevel="1" collapsed="1" x14ac:dyDescent="0.25">
      <c r="A2875" s="295" t="s">
        <v>282</v>
      </c>
      <c r="B2875" s="295" t="s">
        <v>371</v>
      </c>
      <c r="C2875" s="293">
        <v>24.84</v>
      </c>
      <c r="D2875" s="293">
        <v>24.24</v>
      </c>
      <c r="E2875" s="293">
        <v>-0.6</v>
      </c>
      <c r="F2875" s="294" t="s">
        <v>372</v>
      </c>
    </row>
    <row r="2876" spans="1:6" hidden="1" outlineLevel="1" collapsed="1" x14ac:dyDescent="0.25">
      <c r="A2876" s="295" t="s">
        <v>282</v>
      </c>
      <c r="B2876" s="295" t="s">
        <v>373</v>
      </c>
      <c r="C2876" s="293">
        <v>12</v>
      </c>
      <c r="D2876" s="293">
        <v>5.52</v>
      </c>
      <c r="E2876" s="293">
        <v>-6.48</v>
      </c>
      <c r="F2876" s="294" t="s">
        <v>374</v>
      </c>
    </row>
    <row r="2877" spans="1:6" hidden="1" outlineLevel="1" collapsed="1" x14ac:dyDescent="0.25">
      <c r="A2877" s="295" t="s">
        <v>282</v>
      </c>
      <c r="B2877" s="295" t="s">
        <v>445</v>
      </c>
      <c r="C2877" s="293">
        <v>1500</v>
      </c>
      <c r="D2877" s="293">
        <v>1500</v>
      </c>
      <c r="E2877" s="293">
        <v>0</v>
      </c>
      <c r="F2877" s="294" t="s">
        <v>316</v>
      </c>
    </row>
    <row r="2878" spans="1:6" collapsed="1" x14ac:dyDescent="0.25">
      <c r="A2878" s="560" t="s">
        <v>1308</v>
      </c>
      <c r="B2878" s="561"/>
      <c r="C2878" s="292">
        <v>195559.04373199999</v>
      </c>
      <c r="D2878" s="293">
        <v>204311.50424499999</v>
      </c>
      <c r="E2878" s="293">
        <v>8752.460513</v>
      </c>
      <c r="F2878" s="294" t="s">
        <v>894</v>
      </c>
    </row>
    <row r="2879" spans="1:6" hidden="1" outlineLevel="1" collapsed="1" x14ac:dyDescent="0.25">
      <c r="A2879" s="295" t="s">
        <v>282</v>
      </c>
      <c r="B2879" s="295" t="s">
        <v>358</v>
      </c>
      <c r="C2879" s="293">
        <v>79111.92</v>
      </c>
      <c r="D2879" s="293">
        <v>82440.0864</v>
      </c>
      <c r="E2879" s="293">
        <v>3328.1664000000001</v>
      </c>
      <c r="F2879" s="294" t="s">
        <v>1309</v>
      </c>
    </row>
    <row r="2880" spans="1:6" hidden="1" outlineLevel="1" collapsed="1" x14ac:dyDescent="0.25">
      <c r="A2880" s="295" t="s">
        <v>282</v>
      </c>
      <c r="B2880" s="295" t="s">
        <v>412</v>
      </c>
      <c r="C2880" s="293">
        <v>7000</v>
      </c>
      <c r="D2880" s="293">
        <v>7000</v>
      </c>
      <c r="E2880" s="293">
        <v>0</v>
      </c>
      <c r="F2880" s="294" t="s">
        <v>316</v>
      </c>
    </row>
    <row r="2881" spans="1:6" hidden="1" outlineLevel="1" collapsed="1" x14ac:dyDescent="0.25">
      <c r="A2881" s="295" t="s">
        <v>282</v>
      </c>
      <c r="B2881" s="295" t="s">
        <v>380</v>
      </c>
      <c r="C2881" s="293">
        <v>49054.365980000002</v>
      </c>
      <c r="D2881" s="293">
        <v>50517.386323999999</v>
      </c>
      <c r="E2881" s="293">
        <v>1463.020344</v>
      </c>
      <c r="F2881" s="294" t="s">
        <v>381</v>
      </c>
    </row>
    <row r="2882" spans="1:6" hidden="1" outlineLevel="1" collapsed="1" x14ac:dyDescent="0.25">
      <c r="A2882" s="295" t="s">
        <v>282</v>
      </c>
      <c r="B2882" s="295" t="s">
        <v>452</v>
      </c>
      <c r="C2882" s="293">
        <v>2400</v>
      </c>
      <c r="D2882" s="293">
        <v>2400</v>
      </c>
      <c r="E2882" s="293">
        <v>0</v>
      </c>
      <c r="F2882" s="294" t="s">
        <v>316</v>
      </c>
    </row>
    <row r="2883" spans="1:6" hidden="1" outlineLevel="1" collapsed="1" x14ac:dyDescent="0.25">
      <c r="A2883" s="295" t="s">
        <v>282</v>
      </c>
      <c r="B2883" s="295" t="s">
        <v>360</v>
      </c>
      <c r="C2883" s="293">
        <v>10324.10556</v>
      </c>
      <c r="D2883" s="293">
        <v>11896.10446</v>
      </c>
      <c r="E2883" s="293">
        <v>1571.9989</v>
      </c>
      <c r="F2883" s="294" t="s">
        <v>1310</v>
      </c>
    </row>
    <row r="2884" spans="1:6" hidden="1" outlineLevel="1" collapsed="1" x14ac:dyDescent="0.25">
      <c r="A2884" s="295" t="s">
        <v>282</v>
      </c>
      <c r="B2884" s="295" t="s">
        <v>384</v>
      </c>
      <c r="C2884" s="293">
        <v>6089.2692360000001</v>
      </c>
      <c r="D2884" s="293">
        <v>0</v>
      </c>
      <c r="E2884" s="293">
        <v>-6089.2692360000001</v>
      </c>
      <c r="F2884" s="294" t="s">
        <v>286</v>
      </c>
    </row>
    <row r="2885" spans="1:6" hidden="1" outlineLevel="1" collapsed="1" x14ac:dyDescent="0.25">
      <c r="A2885" s="295" t="s">
        <v>282</v>
      </c>
      <c r="B2885" s="295" t="s">
        <v>385</v>
      </c>
      <c r="C2885" s="293">
        <v>0</v>
      </c>
      <c r="D2885" s="293">
        <v>7879.0470359999999</v>
      </c>
      <c r="E2885" s="293">
        <v>7879.0470359999999</v>
      </c>
      <c r="F2885" s="294" t="s">
        <v>298</v>
      </c>
    </row>
    <row r="2886" spans="1:6" hidden="1" outlineLevel="1" collapsed="1" x14ac:dyDescent="0.25">
      <c r="A2886" s="295" t="s">
        <v>282</v>
      </c>
      <c r="B2886" s="295" t="s">
        <v>386</v>
      </c>
      <c r="C2886" s="293">
        <v>3041.370684</v>
      </c>
      <c r="D2886" s="293">
        <v>0</v>
      </c>
      <c r="E2886" s="293">
        <v>-3041.370684</v>
      </c>
      <c r="F2886" s="294" t="s">
        <v>286</v>
      </c>
    </row>
    <row r="2887" spans="1:6" hidden="1" outlineLevel="1" collapsed="1" x14ac:dyDescent="0.25">
      <c r="A2887" s="295" t="s">
        <v>282</v>
      </c>
      <c r="B2887" s="295" t="s">
        <v>387</v>
      </c>
      <c r="C2887" s="293">
        <v>0</v>
      </c>
      <c r="D2887" s="293">
        <v>3132.0779510000002</v>
      </c>
      <c r="E2887" s="293">
        <v>3132.0779510000002</v>
      </c>
      <c r="F2887" s="294" t="s">
        <v>298</v>
      </c>
    </row>
    <row r="2888" spans="1:6" hidden="1" outlineLevel="1" collapsed="1" x14ac:dyDescent="0.25">
      <c r="A2888" s="295" t="s">
        <v>282</v>
      </c>
      <c r="B2888" s="295" t="s">
        <v>362</v>
      </c>
      <c r="C2888" s="293">
        <v>1248.62284</v>
      </c>
      <c r="D2888" s="293">
        <v>1296.8812499999999</v>
      </c>
      <c r="E2888" s="293">
        <v>48.258409999999998</v>
      </c>
      <c r="F2888" s="294" t="s">
        <v>779</v>
      </c>
    </row>
    <row r="2889" spans="1:6" hidden="1" outlineLevel="1" collapsed="1" x14ac:dyDescent="0.25">
      <c r="A2889" s="295" t="s">
        <v>282</v>
      </c>
      <c r="B2889" s="295" t="s">
        <v>388</v>
      </c>
      <c r="C2889" s="293">
        <v>711.28830000000005</v>
      </c>
      <c r="D2889" s="293">
        <v>732.50209199999995</v>
      </c>
      <c r="E2889" s="293">
        <v>21.213792000000002</v>
      </c>
      <c r="F2889" s="294" t="s">
        <v>381</v>
      </c>
    </row>
    <row r="2890" spans="1:6" hidden="1" outlineLevel="1" collapsed="1" x14ac:dyDescent="0.25">
      <c r="A2890" s="295" t="s">
        <v>282</v>
      </c>
      <c r="B2890" s="295" t="s">
        <v>363</v>
      </c>
      <c r="C2890" s="293">
        <v>426.12479999999999</v>
      </c>
      <c r="D2890" s="293">
        <v>422.04</v>
      </c>
      <c r="E2890" s="293">
        <v>-4.0848000000000004</v>
      </c>
      <c r="F2890" s="294" t="s">
        <v>364</v>
      </c>
    </row>
    <row r="2891" spans="1:6" hidden="1" outlineLevel="1" collapsed="1" x14ac:dyDescent="0.25">
      <c r="A2891" s="295" t="s">
        <v>282</v>
      </c>
      <c r="B2891" s="295" t="s">
        <v>365</v>
      </c>
      <c r="C2891" s="293">
        <v>15358.56</v>
      </c>
      <c r="D2891" s="293">
        <v>15959.28</v>
      </c>
      <c r="E2891" s="293">
        <v>600.72</v>
      </c>
      <c r="F2891" s="294" t="s">
        <v>366</v>
      </c>
    </row>
    <row r="2892" spans="1:6" hidden="1" outlineLevel="1" collapsed="1" x14ac:dyDescent="0.25">
      <c r="A2892" s="295" t="s">
        <v>282</v>
      </c>
      <c r="B2892" s="295" t="s">
        <v>367</v>
      </c>
      <c r="C2892" s="293">
        <v>233.53919999999999</v>
      </c>
      <c r="D2892" s="293">
        <v>182.88</v>
      </c>
      <c r="E2892" s="293">
        <v>-50.659199999999998</v>
      </c>
      <c r="F2892" s="294" t="s">
        <v>368</v>
      </c>
    </row>
    <row r="2893" spans="1:6" hidden="1" outlineLevel="1" collapsed="1" x14ac:dyDescent="0.25">
      <c r="A2893" s="295" t="s">
        <v>282</v>
      </c>
      <c r="B2893" s="295" t="s">
        <v>389</v>
      </c>
      <c r="C2893" s="293">
        <v>426.12479999999999</v>
      </c>
      <c r="D2893" s="293">
        <v>422.04</v>
      </c>
      <c r="E2893" s="293">
        <v>-4.0848000000000004</v>
      </c>
      <c r="F2893" s="294" t="s">
        <v>364</v>
      </c>
    </row>
    <row r="2894" spans="1:6" hidden="1" outlineLevel="1" collapsed="1" x14ac:dyDescent="0.25">
      <c r="A2894" s="295" t="s">
        <v>282</v>
      </c>
      <c r="B2894" s="295" t="s">
        <v>390</v>
      </c>
      <c r="C2894" s="293">
        <v>15485.27</v>
      </c>
      <c r="D2894" s="293">
        <v>15959.28</v>
      </c>
      <c r="E2894" s="293">
        <v>474.01</v>
      </c>
      <c r="F2894" s="294" t="s">
        <v>391</v>
      </c>
    </row>
    <row r="2895" spans="1:6" hidden="1" outlineLevel="1" collapsed="1" x14ac:dyDescent="0.25">
      <c r="A2895" s="295" t="s">
        <v>282</v>
      </c>
      <c r="B2895" s="295" t="s">
        <v>392</v>
      </c>
      <c r="C2895" s="293">
        <v>233.53919999999999</v>
      </c>
      <c r="D2895" s="293">
        <v>182.88</v>
      </c>
      <c r="E2895" s="293">
        <v>-50.659199999999998</v>
      </c>
      <c r="F2895" s="294" t="s">
        <v>368</v>
      </c>
    </row>
    <row r="2896" spans="1:6" hidden="1" outlineLevel="1" collapsed="1" x14ac:dyDescent="0.25">
      <c r="A2896" s="295" t="s">
        <v>282</v>
      </c>
      <c r="B2896" s="295" t="s">
        <v>369</v>
      </c>
      <c r="C2896" s="293">
        <v>43.055959999999999</v>
      </c>
      <c r="D2896" s="293">
        <v>44.720039999999997</v>
      </c>
      <c r="E2896" s="293">
        <v>1.66408</v>
      </c>
      <c r="F2896" s="294" t="s">
        <v>779</v>
      </c>
    </row>
    <row r="2897" spans="1:6" hidden="1" outlineLevel="1" collapsed="1" x14ac:dyDescent="0.25">
      <c r="A2897" s="295" t="s">
        <v>282</v>
      </c>
      <c r="B2897" s="295" t="s">
        <v>393</v>
      </c>
      <c r="C2897" s="293">
        <v>24.527172</v>
      </c>
      <c r="D2897" s="293">
        <v>25.258692</v>
      </c>
      <c r="E2897" s="293">
        <v>0.73151999999999995</v>
      </c>
      <c r="F2897" s="294" t="s">
        <v>381</v>
      </c>
    </row>
    <row r="2898" spans="1:6" hidden="1" outlineLevel="1" collapsed="1" x14ac:dyDescent="0.25">
      <c r="A2898" s="295" t="s">
        <v>282</v>
      </c>
      <c r="B2898" s="295" t="s">
        <v>370</v>
      </c>
      <c r="C2898" s="293">
        <v>1500</v>
      </c>
      <c r="D2898" s="293">
        <v>1500</v>
      </c>
      <c r="E2898" s="293">
        <v>0</v>
      </c>
      <c r="F2898" s="294" t="s">
        <v>316</v>
      </c>
    </row>
    <row r="2899" spans="1:6" hidden="1" outlineLevel="1" collapsed="1" x14ac:dyDescent="0.25">
      <c r="A2899" s="295" t="s">
        <v>282</v>
      </c>
      <c r="B2899" s="295" t="s">
        <v>394</v>
      </c>
      <c r="C2899" s="293">
        <v>1500</v>
      </c>
      <c r="D2899" s="293">
        <v>0</v>
      </c>
      <c r="E2899" s="293">
        <v>-1500</v>
      </c>
      <c r="F2899" s="294" t="s">
        <v>286</v>
      </c>
    </row>
    <row r="2900" spans="1:6" hidden="1" outlineLevel="1" collapsed="1" x14ac:dyDescent="0.25">
      <c r="A2900" s="295" t="s">
        <v>282</v>
      </c>
      <c r="B2900" s="295" t="s">
        <v>395</v>
      </c>
      <c r="C2900" s="293">
        <v>0</v>
      </c>
      <c r="D2900" s="293">
        <v>1500</v>
      </c>
      <c r="E2900" s="293">
        <v>1500</v>
      </c>
      <c r="F2900" s="294" t="s">
        <v>298</v>
      </c>
    </row>
    <row r="2901" spans="1:6" hidden="1" outlineLevel="1" collapsed="1" x14ac:dyDescent="0.25">
      <c r="A2901" s="295" t="s">
        <v>282</v>
      </c>
      <c r="B2901" s="295" t="s">
        <v>371</v>
      </c>
      <c r="C2901" s="293">
        <v>49.68</v>
      </c>
      <c r="D2901" s="293">
        <v>48.48</v>
      </c>
      <c r="E2901" s="293">
        <v>-1.2</v>
      </c>
      <c r="F2901" s="294" t="s">
        <v>372</v>
      </c>
    </row>
    <row r="2902" spans="1:6" hidden="1" outlineLevel="1" collapsed="1" x14ac:dyDescent="0.25">
      <c r="A2902" s="295" t="s">
        <v>282</v>
      </c>
      <c r="B2902" s="295" t="s">
        <v>396</v>
      </c>
      <c r="C2902" s="293">
        <v>49.68</v>
      </c>
      <c r="D2902" s="293">
        <v>0</v>
      </c>
      <c r="E2902" s="293">
        <v>-49.68</v>
      </c>
      <c r="F2902" s="294" t="s">
        <v>286</v>
      </c>
    </row>
    <row r="2903" spans="1:6" hidden="1" outlineLevel="1" collapsed="1" x14ac:dyDescent="0.25">
      <c r="A2903" s="295" t="s">
        <v>282</v>
      </c>
      <c r="B2903" s="295" t="s">
        <v>397</v>
      </c>
      <c r="C2903" s="293">
        <v>0</v>
      </c>
      <c r="D2903" s="293">
        <v>48.48</v>
      </c>
      <c r="E2903" s="293">
        <v>48.48</v>
      </c>
      <c r="F2903" s="294" t="s">
        <v>298</v>
      </c>
    </row>
    <row r="2904" spans="1:6" hidden="1" outlineLevel="1" collapsed="1" x14ac:dyDescent="0.25">
      <c r="A2904" s="295" t="s">
        <v>282</v>
      </c>
      <c r="B2904" s="295" t="s">
        <v>373</v>
      </c>
      <c r="C2904" s="293">
        <v>24</v>
      </c>
      <c r="D2904" s="293">
        <v>11.04</v>
      </c>
      <c r="E2904" s="293">
        <v>-12.96</v>
      </c>
      <c r="F2904" s="294" t="s">
        <v>374</v>
      </c>
    </row>
    <row r="2905" spans="1:6" hidden="1" outlineLevel="1" collapsed="1" x14ac:dyDescent="0.25">
      <c r="A2905" s="295" t="s">
        <v>282</v>
      </c>
      <c r="B2905" s="295" t="s">
        <v>398</v>
      </c>
      <c r="C2905" s="293">
        <v>24</v>
      </c>
      <c r="D2905" s="293">
        <v>11.04</v>
      </c>
      <c r="E2905" s="293">
        <v>-12.96</v>
      </c>
      <c r="F2905" s="294" t="s">
        <v>374</v>
      </c>
    </row>
    <row r="2906" spans="1:6" hidden="1" outlineLevel="1" collapsed="1" x14ac:dyDescent="0.25">
      <c r="A2906" s="295" t="s">
        <v>282</v>
      </c>
      <c r="B2906" s="295" t="s">
        <v>375</v>
      </c>
      <c r="C2906" s="293">
        <v>400</v>
      </c>
      <c r="D2906" s="293">
        <v>400</v>
      </c>
      <c r="E2906" s="293">
        <v>0</v>
      </c>
      <c r="F2906" s="294" t="s">
        <v>316</v>
      </c>
    </row>
    <row r="2907" spans="1:6" hidden="1" outlineLevel="1" collapsed="1" x14ac:dyDescent="0.25">
      <c r="A2907" s="295" t="s">
        <v>282</v>
      </c>
      <c r="B2907" s="295" t="s">
        <v>376</v>
      </c>
      <c r="C2907" s="293">
        <v>800</v>
      </c>
      <c r="D2907" s="293">
        <v>300</v>
      </c>
      <c r="E2907" s="293">
        <v>-500</v>
      </c>
      <c r="F2907" s="294" t="s">
        <v>1311</v>
      </c>
    </row>
    <row r="2908" spans="1:6" collapsed="1" x14ac:dyDescent="0.25">
      <c r="A2908" s="560" t="s">
        <v>1312</v>
      </c>
      <c r="B2908" s="561"/>
      <c r="C2908" s="292">
        <v>415869.74164000002</v>
      </c>
      <c r="D2908" s="293">
        <v>400124.19391600002</v>
      </c>
      <c r="E2908" s="293">
        <v>-15745.547724</v>
      </c>
      <c r="F2908" s="294" t="s">
        <v>1313</v>
      </c>
    </row>
    <row r="2909" spans="1:6" hidden="1" outlineLevel="1" collapsed="1" x14ac:dyDescent="0.25">
      <c r="A2909" s="295" t="s">
        <v>282</v>
      </c>
      <c r="B2909" s="295" t="s">
        <v>358</v>
      </c>
      <c r="C2909" s="293">
        <v>289756.08</v>
      </c>
      <c r="D2909" s="293">
        <v>273941.53710000002</v>
      </c>
      <c r="E2909" s="293">
        <v>-15814.5429</v>
      </c>
      <c r="F2909" s="294" t="s">
        <v>1314</v>
      </c>
    </row>
    <row r="2910" spans="1:6" hidden="1" outlineLevel="1" collapsed="1" x14ac:dyDescent="0.25">
      <c r="A2910" s="295" t="s">
        <v>282</v>
      </c>
      <c r="B2910" s="295" t="s">
        <v>412</v>
      </c>
      <c r="C2910" s="293">
        <v>7000</v>
      </c>
      <c r="D2910" s="293">
        <v>7000</v>
      </c>
      <c r="E2910" s="293">
        <v>0</v>
      </c>
      <c r="F2910" s="294" t="s">
        <v>316</v>
      </c>
    </row>
    <row r="2911" spans="1:6" hidden="1" outlineLevel="1" collapsed="1" x14ac:dyDescent="0.25">
      <c r="A2911" s="295" t="s">
        <v>282</v>
      </c>
      <c r="B2911" s="295" t="s">
        <v>452</v>
      </c>
      <c r="C2911" s="293">
        <v>5400</v>
      </c>
      <c r="D2911" s="293">
        <v>5400</v>
      </c>
      <c r="E2911" s="293">
        <v>0</v>
      </c>
      <c r="F2911" s="294" t="s">
        <v>316</v>
      </c>
    </row>
    <row r="2912" spans="1:6" hidden="1" outlineLevel="1" collapsed="1" x14ac:dyDescent="0.25">
      <c r="A2912" s="295" t="s">
        <v>282</v>
      </c>
      <c r="B2912" s="295" t="s">
        <v>453</v>
      </c>
      <c r="C2912" s="293">
        <v>4800</v>
      </c>
      <c r="D2912" s="293">
        <v>5200</v>
      </c>
      <c r="E2912" s="293">
        <v>400</v>
      </c>
      <c r="F2912" s="294" t="s">
        <v>328</v>
      </c>
    </row>
    <row r="2913" spans="1:6" hidden="1" outlineLevel="1" collapsed="1" x14ac:dyDescent="0.25">
      <c r="A2913" s="295" t="s">
        <v>282</v>
      </c>
      <c r="B2913" s="295" t="s">
        <v>360</v>
      </c>
      <c r="C2913" s="293">
        <v>37813.168440000001</v>
      </c>
      <c r="D2913" s="293">
        <v>39529.763798</v>
      </c>
      <c r="E2913" s="293">
        <v>1716.595358</v>
      </c>
      <c r="F2913" s="294" t="s">
        <v>719</v>
      </c>
    </row>
    <row r="2914" spans="1:6" hidden="1" outlineLevel="1" collapsed="1" x14ac:dyDescent="0.25">
      <c r="A2914" s="295" t="s">
        <v>282</v>
      </c>
      <c r="B2914" s="295" t="s">
        <v>362</v>
      </c>
      <c r="C2914" s="293">
        <v>4302.9631600000002</v>
      </c>
      <c r="D2914" s="293">
        <v>4073.6522730000002</v>
      </c>
      <c r="E2914" s="293">
        <v>-229.31088700000001</v>
      </c>
      <c r="F2914" s="294" t="s">
        <v>1315</v>
      </c>
    </row>
    <row r="2915" spans="1:6" hidden="1" outlineLevel="1" collapsed="1" x14ac:dyDescent="0.25">
      <c r="A2915" s="295" t="s">
        <v>282</v>
      </c>
      <c r="B2915" s="295" t="s">
        <v>363</v>
      </c>
      <c r="C2915" s="293">
        <v>1278.3743999999999</v>
      </c>
      <c r="D2915" s="293">
        <v>1160.6099999999999</v>
      </c>
      <c r="E2915" s="293">
        <v>-117.76439999999999</v>
      </c>
      <c r="F2915" s="294" t="s">
        <v>1316</v>
      </c>
    </row>
    <row r="2916" spans="1:6" hidden="1" outlineLevel="1" collapsed="1" x14ac:dyDescent="0.25">
      <c r="A2916" s="295" t="s">
        <v>282</v>
      </c>
      <c r="B2916" s="295" t="s">
        <v>365</v>
      </c>
      <c r="C2916" s="293">
        <v>30717.119999999999</v>
      </c>
      <c r="D2916" s="293">
        <v>31918.560000000001</v>
      </c>
      <c r="E2916" s="293">
        <v>1201.44</v>
      </c>
      <c r="F2916" s="294" t="s">
        <v>366</v>
      </c>
    </row>
    <row r="2917" spans="1:6" hidden="1" outlineLevel="1" collapsed="1" x14ac:dyDescent="0.25">
      <c r="A2917" s="295" t="s">
        <v>282</v>
      </c>
      <c r="B2917" s="295" t="s">
        <v>367</v>
      </c>
      <c r="C2917" s="293">
        <v>700.61760000000004</v>
      </c>
      <c r="D2917" s="293">
        <v>502.92</v>
      </c>
      <c r="E2917" s="293">
        <v>-197.69759999999999</v>
      </c>
      <c r="F2917" s="294" t="s">
        <v>1317</v>
      </c>
    </row>
    <row r="2918" spans="1:6" hidden="1" outlineLevel="1" collapsed="1" x14ac:dyDescent="0.25">
      <c r="A2918" s="295" t="s">
        <v>282</v>
      </c>
      <c r="B2918" s="295" t="s">
        <v>444</v>
      </c>
      <c r="C2918" s="293">
        <v>432</v>
      </c>
      <c r="D2918" s="293">
        <v>468</v>
      </c>
      <c r="E2918" s="293">
        <v>36</v>
      </c>
      <c r="F2918" s="294" t="s">
        <v>328</v>
      </c>
    </row>
    <row r="2919" spans="1:6" hidden="1" outlineLevel="1" collapsed="1" x14ac:dyDescent="0.25">
      <c r="A2919" s="295" t="s">
        <v>282</v>
      </c>
      <c r="B2919" s="295" t="s">
        <v>369</v>
      </c>
      <c r="C2919" s="293">
        <v>148.37804</v>
      </c>
      <c r="D2919" s="293">
        <v>140.47074499999999</v>
      </c>
      <c r="E2919" s="293">
        <v>-7.9072950000000004</v>
      </c>
      <c r="F2919" s="294" t="s">
        <v>1315</v>
      </c>
    </row>
    <row r="2920" spans="1:6" hidden="1" outlineLevel="1" collapsed="1" x14ac:dyDescent="0.25">
      <c r="A2920" s="295" t="s">
        <v>282</v>
      </c>
      <c r="B2920" s="295" t="s">
        <v>370</v>
      </c>
      <c r="C2920" s="293">
        <v>4500</v>
      </c>
      <c r="D2920" s="293">
        <v>4125</v>
      </c>
      <c r="E2920" s="293">
        <v>-375</v>
      </c>
      <c r="F2920" s="294" t="s">
        <v>1318</v>
      </c>
    </row>
    <row r="2921" spans="1:6" hidden="1" outlineLevel="1" collapsed="1" x14ac:dyDescent="0.25">
      <c r="A2921" s="295" t="s">
        <v>282</v>
      </c>
      <c r="B2921" s="295" t="s">
        <v>371</v>
      </c>
      <c r="C2921" s="293">
        <v>149.04</v>
      </c>
      <c r="D2921" s="293">
        <v>133.32</v>
      </c>
      <c r="E2921" s="293">
        <v>-15.72</v>
      </c>
      <c r="F2921" s="294" t="s">
        <v>1319</v>
      </c>
    </row>
    <row r="2922" spans="1:6" hidden="1" outlineLevel="1" collapsed="1" x14ac:dyDescent="0.25">
      <c r="A2922" s="295" t="s">
        <v>282</v>
      </c>
      <c r="B2922" s="295" t="s">
        <v>373</v>
      </c>
      <c r="C2922" s="293">
        <v>72</v>
      </c>
      <c r="D2922" s="293">
        <v>30.36</v>
      </c>
      <c r="E2922" s="293">
        <v>-41.64</v>
      </c>
      <c r="F2922" s="294" t="s">
        <v>1320</v>
      </c>
    </row>
    <row r="2923" spans="1:6" hidden="1" outlineLevel="1" collapsed="1" x14ac:dyDescent="0.25">
      <c r="A2923" s="295" t="s">
        <v>282</v>
      </c>
      <c r="B2923" s="295" t="s">
        <v>445</v>
      </c>
      <c r="C2923" s="293">
        <v>3000</v>
      </c>
      <c r="D2923" s="293">
        <v>2250</v>
      </c>
      <c r="E2923" s="293">
        <v>-750</v>
      </c>
      <c r="F2923" s="294" t="s">
        <v>1321</v>
      </c>
    </row>
    <row r="2924" spans="1:6" hidden="1" outlineLevel="1" collapsed="1" x14ac:dyDescent="0.25">
      <c r="A2924" s="295" t="s">
        <v>282</v>
      </c>
      <c r="B2924" s="295" t="s">
        <v>375</v>
      </c>
      <c r="C2924" s="293">
        <v>2985</v>
      </c>
      <c r="D2924" s="293">
        <v>2800</v>
      </c>
      <c r="E2924" s="293">
        <v>-185</v>
      </c>
      <c r="F2924" s="294" t="s">
        <v>1322</v>
      </c>
    </row>
    <row r="2925" spans="1:6" hidden="1" outlineLevel="1" collapsed="1" x14ac:dyDescent="0.25">
      <c r="A2925" s="295" t="s">
        <v>282</v>
      </c>
      <c r="B2925" s="295" t="s">
        <v>597</v>
      </c>
      <c r="C2925" s="293">
        <v>30</v>
      </c>
      <c r="D2925" s="293">
        <v>450</v>
      </c>
      <c r="E2925" s="293">
        <v>420</v>
      </c>
      <c r="F2925" s="294" t="s">
        <v>1323</v>
      </c>
    </row>
    <row r="2926" spans="1:6" hidden="1" outlineLevel="1" collapsed="1" x14ac:dyDescent="0.25">
      <c r="A2926" s="295" t="s">
        <v>282</v>
      </c>
      <c r="B2926" s="295" t="s">
        <v>416</v>
      </c>
      <c r="C2926" s="293">
        <v>12665</v>
      </c>
      <c r="D2926" s="293">
        <v>20000</v>
      </c>
      <c r="E2926" s="293">
        <v>7335</v>
      </c>
      <c r="F2926" s="294" t="s">
        <v>1324</v>
      </c>
    </row>
    <row r="2927" spans="1:6" hidden="1" outlineLevel="1" collapsed="1" x14ac:dyDescent="0.25">
      <c r="A2927" s="295" t="s">
        <v>282</v>
      </c>
      <c r="B2927" s="295" t="s">
        <v>1325</v>
      </c>
      <c r="C2927" s="293">
        <v>1500</v>
      </c>
      <c r="D2927" s="293">
        <v>0</v>
      </c>
      <c r="E2927" s="293">
        <v>-1500</v>
      </c>
      <c r="F2927" s="294" t="s">
        <v>286</v>
      </c>
    </row>
    <row r="2928" spans="1:6" hidden="1" outlineLevel="1" collapsed="1" x14ac:dyDescent="0.25">
      <c r="A2928" s="295" t="s">
        <v>282</v>
      </c>
      <c r="B2928" s="295" t="s">
        <v>403</v>
      </c>
      <c r="C2928" s="293">
        <v>1000</v>
      </c>
      <c r="D2928" s="293">
        <v>1000</v>
      </c>
      <c r="E2928" s="293">
        <v>0</v>
      </c>
      <c r="F2928" s="294" t="s">
        <v>316</v>
      </c>
    </row>
    <row r="2929" spans="1:6" hidden="1" outlineLevel="1" collapsed="1" x14ac:dyDescent="0.25">
      <c r="A2929" s="295" t="s">
        <v>282</v>
      </c>
      <c r="B2929" s="295" t="s">
        <v>405</v>
      </c>
      <c r="C2929" s="293">
        <v>420</v>
      </c>
      <c r="D2929" s="293">
        <v>0</v>
      </c>
      <c r="E2929" s="293">
        <v>-420</v>
      </c>
      <c r="F2929" s="294" t="s">
        <v>286</v>
      </c>
    </row>
    <row r="2930" spans="1:6" hidden="1" outlineLevel="1" collapsed="1" x14ac:dyDescent="0.25">
      <c r="A2930" s="295" t="s">
        <v>282</v>
      </c>
      <c r="B2930" s="295" t="s">
        <v>422</v>
      </c>
      <c r="C2930" s="293">
        <v>7200</v>
      </c>
      <c r="D2930" s="293">
        <v>0</v>
      </c>
      <c r="E2930" s="293">
        <v>-7200</v>
      </c>
      <c r="F2930" s="294" t="s">
        <v>286</v>
      </c>
    </row>
    <row r="2931" spans="1:6" collapsed="1" x14ac:dyDescent="0.25">
      <c r="A2931" s="560" t="s">
        <v>1326</v>
      </c>
      <c r="B2931" s="561"/>
      <c r="C2931" s="292">
        <v>108454.59096</v>
      </c>
      <c r="D2931" s="293">
        <v>136250.44145000001</v>
      </c>
      <c r="E2931" s="293">
        <v>27795.850490000001</v>
      </c>
      <c r="F2931" s="294" t="s">
        <v>1327</v>
      </c>
    </row>
    <row r="2932" spans="1:6" hidden="1" outlineLevel="1" collapsed="1" x14ac:dyDescent="0.25">
      <c r="A2932" s="295" t="s">
        <v>282</v>
      </c>
      <c r="B2932" s="295" t="s">
        <v>358</v>
      </c>
      <c r="C2932" s="293">
        <v>60799.12</v>
      </c>
      <c r="D2932" s="293">
        <v>86694.316800000001</v>
      </c>
      <c r="E2932" s="293">
        <v>25895.196800000002</v>
      </c>
      <c r="F2932" s="294" t="s">
        <v>1328</v>
      </c>
    </row>
    <row r="2933" spans="1:6" hidden="1" outlineLevel="1" collapsed="1" x14ac:dyDescent="0.25">
      <c r="A2933" s="295" t="s">
        <v>282</v>
      </c>
      <c r="B2933" s="295" t="s">
        <v>412</v>
      </c>
      <c r="C2933" s="293">
        <v>7000</v>
      </c>
      <c r="D2933" s="293">
        <v>7000</v>
      </c>
      <c r="E2933" s="293">
        <v>0</v>
      </c>
      <c r="F2933" s="294" t="s">
        <v>316</v>
      </c>
    </row>
    <row r="2934" spans="1:6" hidden="1" outlineLevel="1" collapsed="1" x14ac:dyDescent="0.25">
      <c r="A2934" s="295" t="s">
        <v>282</v>
      </c>
      <c r="B2934" s="295" t="s">
        <v>360</v>
      </c>
      <c r="C2934" s="293">
        <v>10869.230159999999</v>
      </c>
      <c r="D2934" s="293">
        <v>12509.98991</v>
      </c>
      <c r="E2934" s="293">
        <v>1640.7597499999999</v>
      </c>
      <c r="F2934" s="294" t="s">
        <v>571</v>
      </c>
    </row>
    <row r="2935" spans="1:6" hidden="1" outlineLevel="1" collapsed="1" x14ac:dyDescent="0.25">
      <c r="A2935" s="295" t="s">
        <v>282</v>
      </c>
      <c r="B2935" s="295" t="s">
        <v>362</v>
      </c>
      <c r="C2935" s="293">
        <v>1309.1922400000001</v>
      </c>
      <c r="D2935" s="293">
        <v>1358.5675900000001</v>
      </c>
      <c r="E2935" s="293">
        <v>49.375349999999997</v>
      </c>
      <c r="F2935" s="294" t="s">
        <v>1329</v>
      </c>
    </row>
    <row r="2936" spans="1:6" hidden="1" outlineLevel="1" collapsed="1" x14ac:dyDescent="0.25">
      <c r="A2936" s="295" t="s">
        <v>282</v>
      </c>
      <c r="B2936" s="295" t="s">
        <v>363</v>
      </c>
      <c r="C2936" s="293">
        <v>426.12479999999999</v>
      </c>
      <c r="D2936" s="293">
        <v>422.04</v>
      </c>
      <c r="E2936" s="293">
        <v>-4.0848000000000004</v>
      </c>
      <c r="F2936" s="294" t="s">
        <v>364</v>
      </c>
    </row>
    <row r="2937" spans="1:6" hidden="1" outlineLevel="1" collapsed="1" x14ac:dyDescent="0.25">
      <c r="A2937" s="295" t="s">
        <v>282</v>
      </c>
      <c r="B2937" s="295" t="s">
        <v>365</v>
      </c>
      <c r="C2937" s="293">
        <v>15358.56</v>
      </c>
      <c r="D2937" s="293">
        <v>15959.28</v>
      </c>
      <c r="E2937" s="293">
        <v>600.72</v>
      </c>
      <c r="F2937" s="294" t="s">
        <v>366</v>
      </c>
    </row>
    <row r="2938" spans="1:6" hidden="1" outlineLevel="1" collapsed="1" x14ac:dyDescent="0.25">
      <c r="A2938" s="295" t="s">
        <v>282</v>
      </c>
      <c r="B2938" s="295" t="s">
        <v>367</v>
      </c>
      <c r="C2938" s="293">
        <v>233.53919999999999</v>
      </c>
      <c r="D2938" s="293">
        <v>182.88</v>
      </c>
      <c r="E2938" s="293">
        <v>-50.659199999999998</v>
      </c>
      <c r="F2938" s="294" t="s">
        <v>368</v>
      </c>
    </row>
    <row r="2939" spans="1:6" hidden="1" outlineLevel="1" collapsed="1" x14ac:dyDescent="0.25">
      <c r="A2939" s="295" t="s">
        <v>282</v>
      </c>
      <c r="B2939" s="295" t="s">
        <v>369</v>
      </c>
      <c r="C2939" s="293">
        <v>45.144559999999998</v>
      </c>
      <c r="D2939" s="293">
        <v>46.847149999999999</v>
      </c>
      <c r="E2939" s="293">
        <v>1.70259</v>
      </c>
      <c r="F2939" s="294" t="s">
        <v>1329</v>
      </c>
    </row>
    <row r="2940" spans="1:6" hidden="1" outlineLevel="1" collapsed="1" x14ac:dyDescent="0.25">
      <c r="A2940" s="295" t="s">
        <v>282</v>
      </c>
      <c r="B2940" s="295" t="s">
        <v>370</v>
      </c>
      <c r="C2940" s="293">
        <v>1500</v>
      </c>
      <c r="D2940" s="293">
        <v>1500</v>
      </c>
      <c r="E2940" s="293">
        <v>0</v>
      </c>
      <c r="F2940" s="294" t="s">
        <v>316</v>
      </c>
    </row>
    <row r="2941" spans="1:6" hidden="1" outlineLevel="1" collapsed="1" x14ac:dyDescent="0.25">
      <c r="A2941" s="295" t="s">
        <v>282</v>
      </c>
      <c r="B2941" s="295" t="s">
        <v>371</v>
      </c>
      <c r="C2941" s="293">
        <v>49.68</v>
      </c>
      <c r="D2941" s="293">
        <v>48.48</v>
      </c>
      <c r="E2941" s="293">
        <v>-1.2</v>
      </c>
      <c r="F2941" s="294" t="s">
        <v>372</v>
      </c>
    </row>
    <row r="2942" spans="1:6" hidden="1" outlineLevel="1" collapsed="1" x14ac:dyDescent="0.25">
      <c r="A2942" s="295" t="s">
        <v>282</v>
      </c>
      <c r="B2942" s="295" t="s">
        <v>373</v>
      </c>
      <c r="C2942" s="293">
        <v>24</v>
      </c>
      <c r="D2942" s="293">
        <v>11.04</v>
      </c>
      <c r="E2942" s="293">
        <v>-12.96</v>
      </c>
      <c r="F2942" s="294" t="s">
        <v>374</v>
      </c>
    </row>
    <row r="2943" spans="1:6" hidden="1" outlineLevel="1" collapsed="1" x14ac:dyDescent="0.25">
      <c r="A2943" s="295" t="s">
        <v>282</v>
      </c>
      <c r="B2943" s="295" t="s">
        <v>399</v>
      </c>
      <c r="C2943" s="293">
        <v>500</v>
      </c>
      <c r="D2943" s="293">
        <v>517</v>
      </c>
      <c r="E2943" s="293">
        <v>17</v>
      </c>
      <c r="F2943" s="294" t="s">
        <v>1330</v>
      </c>
    </row>
    <row r="2944" spans="1:6" hidden="1" outlineLevel="1" collapsed="1" x14ac:dyDescent="0.25">
      <c r="A2944" s="295" t="s">
        <v>282</v>
      </c>
      <c r="B2944" s="295" t="s">
        <v>567</v>
      </c>
      <c r="C2944" s="293">
        <v>10340</v>
      </c>
      <c r="D2944" s="293">
        <v>10000</v>
      </c>
      <c r="E2944" s="293">
        <v>-340</v>
      </c>
      <c r="F2944" s="294" t="s">
        <v>1331</v>
      </c>
    </row>
    <row r="2945" spans="1:6" collapsed="1" x14ac:dyDescent="0.25">
      <c r="A2945" s="560" t="s">
        <v>1332</v>
      </c>
      <c r="B2945" s="561"/>
      <c r="C2945" s="292">
        <v>274072.56205900002</v>
      </c>
      <c r="D2945" s="293">
        <v>330740.46049600001</v>
      </c>
      <c r="E2945" s="293">
        <v>56667.898437000003</v>
      </c>
      <c r="F2945" s="294" t="s">
        <v>1333</v>
      </c>
    </row>
    <row r="2946" spans="1:6" hidden="1" outlineLevel="1" collapsed="1" x14ac:dyDescent="0.25">
      <c r="A2946" s="295" t="s">
        <v>282</v>
      </c>
      <c r="B2946" s="295" t="s">
        <v>358</v>
      </c>
      <c r="C2946" s="293">
        <v>138365.856</v>
      </c>
      <c r="D2946" s="293">
        <v>172296.33119999999</v>
      </c>
      <c r="E2946" s="293">
        <v>33930.475200000001</v>
      </c>
      <c r="F2946" s="294" t="s">
        <v>1334</v>
      </c>
    </row>
    <row r="2947" spans="1:6" hidden="1" outlineLevel="1" collapsed="1" x14ac:dyDescent="0.25">
      <c r="A2947" s="295" t="s">
        <v>282</v>
      </c>
      <c r="B2947" s="295" t="s">
        <v>380</v>
      </c>
      <c r="C2947" s="293">
        <v>53457.469268000001</v>
      </c>
      <c r="D2947" s="293">
        <v>55049.039515999997</v>
      </c>
      <c r="E2947" s="293">
        <v>1591.570248</v>
      </c>
      <c r="F2947" s="294" t="s">
        <v>381</v>
      </c>
    </row>
    <row r="2948" spans="1:6" hidden="1" outlineLevel="1" collapsed="1" x14ac:dyDescent="0.25">
      <c r="A2948" s="295" t="s">
        <v>282</v>
      </c>
      <c r="B2948" s="295" t="s">
        <v>452</v>
      </c>
      <c r="C2948" s="293">
        <v>600</v>
      </c>
      <c r="D2948" s="293">
        <v>600</v>
      </c>
      <c r="E2948" s="293">
        <v>0</v>
      </c>
      <c r="F2948" s="294" t="s">
        <v>316</v>
      </c>
    </row>
    <row r="2949" spans="1:6" hidden="1" outlineLevel="1" collapsed="1" x14ac:dyDescent="0.25">
      <c r="A2949" s="295" t="s">
        <v>282</v>
      </c>
      <c r="B2949" s="295" t="s">
        <v>453</v>
      </c>
      <c r="C2949" s="293">
        <v>2400</v>
      </c>
      <c r="D2949" s="293">
        <v>3740</v>
      </c>
      <c r="E2949" s="293">
        <v>1340</v>
      </c>
      <c r="F2949" s="294" t="s">
        <v>1335</v>
      </c>
    </row>
    <row r="2950" spans="1:6" hidden="1" outlineLevel="1" collapsed="1" x14ac:dyDescent="0.25">
      <c r="A2950" s="295" t="s">
        <v>282</v>
      </c>
      <c r="B2950" s="295" t="s">
        <v>360</v>
      </c>
      <c r="C2950" s="293">
        <v>18056.744208</v>
      </c>
      <c r="D2950" s="293">
        <v>24862.36058</v>
      </c>
      <c r="E2950" s="293">
        <v>6805.6163720000004</v>
      </c>
      <c r="F2950" s="294" t="s">
        <v>1336</v>
      </c>
    </row>
    <row r="2951" spans="1:6" hidden="1" outlineLevel="1" collapsed="1" x14ac:dyDescent="0.25">
      <c r="A2951" s="295" t="s">
        <v>282</v>
      </c>
      <c r="B2951" s="295" t="s">
        <v>384</v>
      </c>
      <c r="C2951" s="293">
        <v>6624.3096240000004</v>
      </c>
      <c r="D2951" s="293">
        <v>0</v>
      </c>
      <c r="E2951" s="293">
        <v>-6624.3096240000004</v>
      </c>
      <c r="F2951" s="294" t="s">
        <v>286</v>
      </c>
    </row>
    <row r="2952" spans="1:6" hidden="1" outlineLevel="1" collapsed="1" x14ac:dyDescent="0.25">
      <c r="A2952" s="295" t="s">
        <v>282</v>
      </c>
      <c r="B2952" s="295" t="s">
        <v>385</v>
      </c>
      <c r="C2952" s="293">
        <v>0</v>
      </c>
      <c r="D2952" s="293">
        <v>8571.3482399999994</v>
      </c>
      <c r="E2952" s="293">
        <v>8571.3482399999994</v>
      </c>
      <c r="F2952" s="294" t="s">
        <v>298</v>
      </c>
    </row>
    <row r="2953" spans="1:6" hidden="1" outlineLevel="1" collapsed="1" x14ac:dyDescent="0.25">
      <c r="A2953" s="295" t="s">
        <v>282</v>
      </c>
      <c r="B2953" s="295" t="s">
        <v>386</v>
      </c>
      <c r="C2953" s="293">
        <v>3314.3630880000001</v>
      </c>
      <c r="D2953" s="293">
        <v>0</v>
      </c>
      <c r="E2953" s="293">
        <v>-3314.3630880000001</v>
      </c>
      <c r="F2953" s="294" t="s">
        <v>286</v>
      </c>
    </row>
    <row r="2954" spans="1:6" hidden="1" outlineLevel="1" collapsed="1" x14ac:dyDescent="0.25">
      <c r="A2954" s="295" t="s">
        <v>282</v>
      </c>
      <c r="B2954" s="295" t="s">
        <v>387</v>
      </c>
      <c r="C2954" s="293">
        <v>0</v>
      </c>
      <c r="D2954" s="293">
        <v>3413.0404440000002</v>
      </c>
      <c r="E2954" s="293">
        <v>3413.0404440000002</v>
      </c>
      <c r="F2954" s="294" t="s">
        <v>298</v>
      </c>
    </row>
    <row r="2955" spans="1:6" hidden="1" outlineLevel="1" collapsed="1" x14ac:dyDescent="0.25">
      <c r="A2955" s="295" t="s">
        <v>282</v>
      </c>
      <c r="B2955" s="295" t="s">
        <v>362</v>
      </c>
      <c r="C2955" s="293">
        <v>2006.3049120000001</v>
      </c>
      <c r="D2955" s="293">
        <v>2498.2967899999999</v>
      </c>
      <c r="E2955" s="293">
        <v>491.99187799999999</v>
      </c>
      <c r="F2955" s="294" t="s">
        <v>1334</v>
      </c>
    </row>
    <row r="2956" spans="1:6" hidden="1" outlineLevel="1" collapsed="1" x14ac:dyDescent="0.25">
      <c r="A2956" s="295" t="s">
        <v>282</v>
      </c>
      <c r="B2956" s="295" t="s">
        <v>388</v>
      </c>
      <c r="C2956" s="293">
        <v>775.13330299999996</v>
      </c>
      <c r="D2956" s="293">
        <v>798.21106799999995</v>
      </c>
      <c r="E2956" s="293">
        <v>23.077764999999999</v>
      </c>
      <c r="F2956" s="294" t="s">
        <v>381</v>
      </c>
    </row>
    <row r="2957" spans="1:6" hidden="1" outlineLevel="1" collapsed="1" x14ac:dyDescent="0.25">
      <c r="A2957" s="295" t="s">
        <v>282</v>
      </c>
      <c r="B2957" s="295" t="s">
        <v>363</v>
      </c>
      <c r="C2957" s="293">
        <v>639.18719999999996</v>
      </c>
      <c r="D2957" s="293">
        <v>844.08</v>
      </c>
      <c r="E2957" s="293">
        <v>204.89279999999999</v>
      </c>
      <c r="F2957" s="294" t="s">
        <v>914</v>
      </c>
    </row>
    <row r="2958" spans="1:6" hidden="1" outlineLevel="1" collapsed="1" x14ac:dyDescent="0.25">
      <c r="A2958" s="295" t="s">
        <v>282</v>
      </c>
      <c r="B2958" s="295" t="s">
        <v>365</v>
      </c>
      <c r="C2958" s="293">
        <v>23037.84</v>
      </c>
      <c r="D2958" s="293">
        <v>31918.560000000001</v>
      </c>
      <c r="E2958" s="293">
        <v>8880.7199999999993</v>
      </c>
      <c r="F2958" s="294" t="s">
        <v>915</v>
      </c>
    </row>
    <row r="2959" spans="1:6" hidden="1" outlineLevel="1" collapsed="1" x14ac:dyDescent="0.25">
      <c r="A2959" s="295" t="s">
        <v>282</v>
      </c>
      <c r="B2959" s="295" t="s">
        <v>367</v>
      </c>
      <c r="C2959" s="293">
        <v>350.30880000000002</v>
      </c>
      <c r="D2959" s="293">
        <v>365.76</v>
      </c>
      <c r="E2959" s="293">
        <v>15.4512</v>
      </c>
      <c r="F2959" s="294" t="s">
        <v>916</v>
      </c>
    </row>
    <row r="2960" spans="1:6" hidden="1" outlineLevel="1" collapsed="1" x14ac:dyDescent="0.25">
      <c r="A2960" s="295" t="s">
        <v>282</v>
      </c>
      <c r="B2960" s="295" t="s">
        <v>444</v>
      </c>
      <c r="C2960" s="293">
        <v>270</v>
      </c>
      <c r="D2960" s="293">
        <v>427</v>
      </c>
      <c r="E2960" s="293">
        <v>157</v>
      </c>
      <c r="F2960" s="294" t="s">
        <v>1337</v>
      </c>
    </row>
    <row r="2961" spans="1:6" hidden="1" outlineLevel="1" collapsed="1" x14ac:dyDescent="0.25">
      <c r="A2961" s="295" t="s">
        <v>282</v>
      </c>
      <c r="B2961" s="295" t="s">
        <v>389</v>
      </c>
      <c r="C2961" s="293">
        <v>426.12479999999999</v>
      </c>
      <c r="D2961" s="293">
        <v>422.04</v>
      </c>
      <c r="E2961" s="293">
        <v>-4.0848000000000004</v>
      </c>
      <c r="F2961" s="294" t="s">
        <v>364</v>
      </c>
    </row>
    <row r="2962" spans="1:6" hidden="1" outlineLevel="1" collapsed="1" x14ac:dyDescent="0.25">
      <c r="A2962" s="295" t="s">
        <v>282</v>
      </c>
      <c r="B2962" s="295" t="s">
        <v>390</v>
      </c>
      <c r="C2962" s="293">
        <v>15485.27</v>
      </c>
      <c r="D2962" s="293">
        <v>15959.28</v>
      </c>
      <c r="E2962" s="293">
        <v>474.01</v>
      </c>
      <c r="F2962" s="294" t="s">
        <v>391</v>
      </c>
    </row>
    <row r="2963" spans="1:6" hidden="1" outlineLevel="1" collapsed="1" x14ac:dyDescent="0.25">
      <c r="A2963" s="295" t="s">
        <v>282</v>
      </c>
      <c r="B2963" s="295" t="s">
        <v>392</v>
      </c>
      <c r="C2963" s="293">
        <v>233.53919999999999</v>
      </c>
      <c r="D2963" s="293">
        <v>182.88</v>
      </c>
      <c r="E2963" s="293">
        <v>-50.659199999999998</v>
      </c>
      <c r="F2963" s="294" t="s">
        <v>368</v>
      </c>
    </row>
    <row r="2964" spans="1:6" hidden="1" outlineLevel="1" collapsed="1" x14ac:dyDescent="0.25">
      <c r="A2964" s="295" t="s">
        <v>282</v>
      </c>
      <c r="B2964" s="295" t="s">
        <v>369</v>
      </c>
      <c r="C2964" s="293">
        <v>69.182928000000004</v>
      </c>
      <c r="D2964" s="293">
        <v>86.148150000000001</v>
      </c>
      <c r="E2964" s="293">
        <v>16.965222000000001</v>
      </c>
      <c r="F2964" s="294" t="s">
        <v>1334</v>
      </c>
    </row>
    <row r="2965" spans="1:6" hidden="1" outlineLevel="1" collapsed="1" x14ac:dyDescent="0.25">
      <c r="A2965" s="295" t="s">
        <v>282</v>
      </c>
      <c r="B2965" s="295" t="s">
        <v>393</v>
      </c>
      <c r="C2965" s="293">
        <v>26.728728</v>
      </c>
      <c r="D2965" s="293">
        <v>27.524508000000001</v>
      </c>
      <c r="E2965" s="293">
        <v>0.79578000000000004</v>
      </c>
      <c r="F2965" s="294" t="s">
        <v>381</v>
      </c>
    </row>
    <row r="2966" spans="1:6" hidden="1" outlineLevel="1" collapsed="1" x14ac:dyDescent="0.25">
      <c r="A2966" s="295" t="s">
        <v>282</v>
      </c>
      <c r="B2966" s="295" t="s">
        <v>370</v>
      </c>
      <c r="C2966" s="293">
        <v>2250</v>
      </c>
      <c r="D2966" s="293">
        <v>3000</v>
      </c>
      <c r="E2966" s="293">
        <v>750</v>
      </c>
      <c r="F2966" s="294" t="s">
        <v>886</v>
      </c>
    </row>
    <row r="2967" spans="1:6" hidden="1" outlineLevel="1" collapsed="1" x14ac:dyDescent="0.25">
      <c r="A2967" s="295" t="s">
        <v>282</v>
      </c>
      <c r="B2967" s="295" t="s">
        <v>394</v>
      </c>
      <c r="C2967" s="293">
        <v>1500</v>
      </c>
      <c r="D2967" s="293">
        <v>0</v>
      </c>
      <c r="E2967" s="293">
        <v>-1500</v>
      </c>
      <c r="F2967" s="294" t="s">
        <v>286</v>
      </c>
    </row>
    <row r="2968" spans="1:6" hidden="1" outlineLevel="1" collapsed="1" x14ac:dyDescent="0.25">
      <c r="A2968" s="295" t="s">
        <v>282</v>
      </c>
      <c r="B2968" s="295" t="s">
        <v>395</v>
      </c>
      <c r="C2968" s="293">
        <v>0</v>
      </c>
      <c r="D2968" s="293">
        <v>1500</v>
      </c>
      <c r="E2968" s="293">
        <v>1500</v>
      </c>
      <c r="F2968" s="294" t="s">
        <v>298</v>
      </c>
    </row>
    <row r="2969" spans="1:6" hidden="1" outlineLevel="1" collapsed="1" x14ac:dyDescent="0.25">
      <c r="A2969" s="295" t="s">
        <v>282</v>
      </c>
      <c r="B2969" s="295" t="s">
        <v>371</v>
      </c>
      <c r="C2969" s="293">
        <v>74.52</v>
      </c>
      <c r="D2969" s="293">
        <v>96.96</v>
      </c>
      <c r="E2969" s="293">
        <v>22.44</v>
      </c>
      <c r="F2969" s="294" t="s">
        <v>920</v>
      </c>
    </row>
    <row r="2970" spans="1:6" hidden="1" outlineLevel="1" collapsed="1" x14ac:dyDescent="0.25">
      <c r="A2970" s="295" t="s">
        <v>282</v>
      </c>
      <c r="B2970" s="295" t="s">
        <v>396</v>
      </c>
      <c r="C2970" s="293">
        <v>49.68</v>
      </c>
      <c r="D2970" s="293">
        <v>0</v>
      </c>
      <c r="E2970" s="293">
        <v>-49.68</v>
      </c>
      <c r="F2970" s="294" t="s">
        <v>286</v>
      </c>
    </row>
    <row r="2971" spans="1:6" hidden="1" outlineLevel="1" collapsed="1" x14ac:dyDescent="0.25">
      <c r="A2971" s="295" t="s">
        <v>282</v>
      </c>
      <c r="B2971" s="295" t="s">
        <v>397</v>
      </c>
      <c r="C2971" s="293">
        <v>0</v>
      </c>
      <c r="D2971" s="293">
        <v>48.48</v>
      </c>
      <c r="E2971" s="293">
        <v>48.48</v>
      </c>
      <c r="F2971" s="294" t="s">
        <v>298</v>
      </c>
    </row>
    <row r="2972" spans="1:6" hidden="1" outlineLevel="1" collapsed="1" x14ac:dyDescent="0.25">
      <c r="A2972" s="295" t="s">
        <v>282</v>
      </c>
      <c r="B2972" s="295" t="s">
        <v>373</v>
      </c>
      <c r="C2972" s="293">
        <v>36</v>
      </c>
      <c r="D2972" s="293">
        <v>22.08</v>
      </c>
      <c r="E2972" s="293">
        <v>-13.92</v>
      </c>
      <c r="F2972" s="294" t="s">
        <v>921</v>
      </c>
    </row>
    <row r="2973" spans="1:6" hidden="1" outlineLevel="1" collapsed="1" x14ac:dyDescent="0.25">
      <c r="A2973" s="295" t="s">
        <v>282</v>
      </c>
      <c r="B2973" s="295" t="s">
        <v>398</v>
      </c>
      <c r="C2973" s="293">
        <v>24</v>
      </c>
      <c r="D2973" s="293">
        <v>11.04</v>
      </c>
      <c r="E2973" s="293">
        <v>-12.96</v>
      </c>
      <c r="F2973" s="294" t="s">
        <v>374</v>
      </c>
    </row>
    <row r="2974" spans="1:6" hidden="1" outlineLevel="1" collapsed="1" x14ac:dyDescent="0.25">
      <c r="A2974" s="295" t="s">
        <v>282</v>
      </c>
      <c r="B2974" s="295" t="s">
        <v>375</v>
      </c>
      <c r="C2974" s="293">
        <v>4000</v>
      </c>
      <c r="D2974" s="293">
        <v>4000</v>
      </c>
      <c r="E2974" s="293">
        <v>0</v>
      </c>
      <c r="F2974" s="294" t="s">
        <v>316</v>
      </c>
    </row>
    <row r="2975" spans="1:6" collapsed="1" x14ac:dyDescent="0.25">
      <c r="A2975" s="560" t="s">
        <v>1338</v>
      </c>
      <c r="B2975" s="561"/>
      <c r="C2975" s="292">
        <v>127879.44416</v>
      </c>
      <c r="D2975" s="293">
        <v>133514.09649</v>
      </c>
      <c r="E2975" s="293">
        <v>5634.6523299999999</v>
      </c>
      <c r="F2975" s="294" t="s">
        <v>916</v>
      </c>
    </row>
    <row r="2976" spans="1:6" hidden="1" outlineLevel="1" collapsed="1" x14ac:dyDescent="0.25">
      <c r="A2976" s="295" t="s">
        <v>282</v>
      </c>
      <c r="B2976" s="295" t="s">
        <v>358</v>
      </c>
      <c r="C2976" s="293">
        <v>85979.520000000004</v>
      </c>
      <c r="D2976" s="293">
        <v>88749.57</v>
      </c>
      <c r="E2976" s="293">
        <v>2770.05</v>
      </c>
      <c r="F2976" s="294" t="s">
        <v>647</v>
      </c>
    </row>
    <row r="2977" spans="1:6" hidden="1" outlineLevel="1" collapsed="1" x14ac:dyDescent="0.25">
      <c r="A2977" s="295" t="s">
        <v>282</v>
      </c>
      <c r="B2977" s="295" t="s">
        <v>412</v>
      </c>
      <c r="C2977" s="293">
        <v>7000</v>
      </c>
      <c r="D2977" s="293">
        <v>7000</v>
      </c>
      <c r="E2977" s="293">
        <v>0</v>
      </c>
      <c r="F2977" s="294" t="s">
        <v>316</v>
      </c>
    </row>
    <row r="2978" spans="1:6" hidden="1" outlineLevel="1" collapsed="1" x14ac:dyDescent="0.25">
      <c r="A2978" s="295" t="s">
        <v>282</v>
      </c>
      <c r="B2978" s="295" t="s">
        <v>453</v>
      </c>
      <c r="C2978" s="293">
        <v>816</v>
      </c>
      <c r="D2978" s="293">
        <v>2200</v>
      </c>
      <c r="E2978" s="293">
        <v>1384</v>
      </c>
      <c r="F2978" s="294" t="s">
        <v>1339</v>
      </c>
    </row>
    <row r="2979" spans="1:6" hidden="1" outlineLevel="1" collapsed="1" x14ac:dyDescent="0.25">
      <c r="A2979" s="295" t="s">
        <v>282</v>
      </c>
      <c r="B2979" s="295" t="s">
        <v>360</v>
      </c>
      <c r="C2979" s="293">
        <v>11220.327359999999</v>
      </c>
      <c r="D2979" s="293">
        <v>12806.56295</v>
      </c>
      <c r="E2979" s="293">
        <v>1586.23559</v>
      </c>
      <c r="F2979" s="294" t="s">
        <v>1340</v>
      </c>
    </row>
    <row r="2980" spans="1:6" hidden="1" outlineLevel="1" collapsed="1" x14ac:dyDescent="0.25">
      <c r="A2980" s="295" t="s">
        <v>282</v>
      </c>
      <c r="B2980" s="295" t="s">
        <v>362</v>
      </c>
      <c r="C2980" s="293">
        <v>1348.2030400000001</v>
      </c>
      <c r="D2980" s="293">
        <v>1388.3687600000001</v>
      </c>
      <c r="E2980" s="293">
        <v>40.16572</v>
      </c>
      <c r="F2980" s="294" t="s">
        <v>381</v>
      </c>
    </row>
    <row r="2981" spans="1:6" hidden="1" outlineLevel="1" collapsed="1" x14ac:dyDescent="0.25">
      <c r="A2981" s="295" t="s">
        <v>282</v>
      </c>
      <c r="B2981" s="295" t="s">
        <v>1341</v>
      </c>
      <c r="C2981" s="293">
        <v>158</v>
      </c>
      <c r="D2981" s="293">
        <v>0</v>
      </c>
      <c r="E2981" s="293">
        <v>-158</v>
      </c>
      <c r="F2981" s="294" t="s">
        <v>286</v>
      </c>
    </row>
    <row r="2982" spans="1:6" hidden="1" outlineLevel="1" collapsed="1" x14ac:dyDescent="0.25">
      <c r="A2982" s="295" t="s">
        <v>282</v>
      </c>
      <c r="B2982" s="295" t="s">
        <v>363</v>
      </c>
      <c r="C2982" s="293">
        <v>426.12479999999999</v>
      </c>
      <c r="D2982" s="293">
        <v>422.04</v>
      </c>
      <c r="E2982" s="293">
        <v>-4.0848000000000004</v>
      </c>
      <c r="F2982" s="294" t="s">
        <v>364</v>
      </c>
    </row>
    <row r="2983" spans="1:6" hidden="1" outlineLevel="1" collapsed="1" x14ac:dyDescent="0.25">
      <c r="A2983" s="295" t="s">
        <v>282</v>
      </c>
      <c r="B2983" s="295" t="s">
        <v>365</v>
      </c>
      <c r="C2983" s="293">
        <v>15358.56</v>
      </c>
      <c r="D2983" s="293">
        <v>15959.28</v>
      </c>
      <c r="E2983" s="293">
        <v>600.72</v>
      </c>
      <c r="F2983" s="294" t="s">
        <v>366</v>
      </c>
    </row>
    <row r="2984" spans="1:6" hidden="1" outlineLevel="1" collapsed="1" x14ac:dyDescent="0.25">
      <c r="A2984" s="295" t="s">
        <v>282</v>
      </c>
      <c r="B2984" s="295" t="s">
        <v>367</v>
      </c>
      <c r="C2984" s="293">
        <v>233.53919999999999</v>
      </c>
      <c r="D2984" s="293">
        <v>182.88</v>
      </c>
      <c r="E2984" s="293">
        <v>-50.659199999999998</v>
      </c>
      <c r="F2984" s="294" t="s">
        <v>368</v>
      </c>
    </row>
    <row r="2985" spans="1:6" hidden="1" outlineLevel="1" collapsed="1" x14ac:dyDescent="0.25">
      <c r="A2985" s="295" t="s">
        <v>282</v>
      </c>
      <c r="B2985" s="295" t="s">
        <v>444</v>
      </c>
      <c r="C2985" s="293">
        <v>0</v>
      </c>
      <c r="D2985" s="293">
        <v>198</v>
      </c>
      <c r="E2985" s="293">
        <v>198</v>
      </c>
      <c r="F2985" s="294" t="s">
        <v>298</v>
      </c>
    </row>
    <row r="2986" spans="1:6" hidden="1" outlineLevel="1" collapsed="1" x14ac:dyDescent="0.25">
      <c r="A2986" s="295" t="s">
        <v>282</v>
      </c>
      <c r="B2986" s="295" t="s">
        <v>369</v>
      </c>
      <c r="C2986" s="293">
        <v>46.489759999999997</v>
      </c>
      <c r="D2986" s="293">
        <v>47.874780000000001</v>
      </c>
      <c r="E2986" s="293">
        <v>1.3850199999999999</v>
      </c>
      <c r="F2986" s="294" t="s">
        <v>381</v>
      </c>
    </row>
    <row r="2987" spans="1:6" hidden="1" outlineLevel="1" collapsed="1" x14ac:dyDescent="0.25">
      <c r="A2987" s="295" t="s">
        <v>282</v>
      </c>
      <c r="B2987" s="295" t="s">
        <v>370</v>
      </c>
      <c r="C2987" s="293">
        <v>1500</v>
      </c>
      <c r="D2987" s="293">
        <v>1500</v>
      </c>
      <c r="E2987" s="293">
        <v>0</v>
      </c>
      <c r="F2987" s="294" t="s">
        <v>316</v>
      </c>
    </row>
    <row r="2988" spans="1:6" hidden="1" outlineLevel="1" collapsed="1" x14ac:dyDescent="0.25">
      <c r="A2988" s="295" t="s">
        <v>282</v>
      </c>
      <c r="B2988" s="295" t="s">
        <v>371</v>
      </c>
      <c r="C2988" s="293">
        <v>49.68</v>
      </c>
      <c r="D2988" s="293">
        <v>48.48</v>
      </c>
      <c r="E2988" s="293">
        <v>-1.2</v>
      </c>
      <c r="F2988" s="294" t="s">
        <v>372</v>
      </c>
    </row>
    <row r="2989" spans="1:6" hidden="1" outlineLevel="1" collapsed="1" x14ac:dyDescent="0.25">
      <c r="A2989" s="295" t="s">
        <v>282</v>
      </c>
      <c r="B2989" s="295" t="s">
        <v>373</v>
      </c>
      <c r="C2989" s="293">
        <v>24</v>
      </c>
      <c r="D2989" s="293">
        <v>11.04</v>
      </c>
      <c r="E2989" s="293">
        <v>-12.96</v>
      </c>
      <c r="F2989" s="294" t="s">
        <v>374</v>
      </c>
    </row>
    <row r="2990" spans="1:6" hidden="1" outlineLevel="1" collapsed="1" x14ac:dyDescent="0.25">
      <c r="A2990" s="295" t="s">
        <v>282</v>
      </c>
      <c r="B2990" s="295" t="s">
        <v>375</v>
      </c>
      <c r="C2990" s="293">
        <v>3719</v>
      </c>
      <c r="D2990" s="293">
        <v>3000</v>
      </c>
      <c r="E2990" s="293">
        <v>-719</v>
      </c>
      <c r="F2990" s="294" t="s">
        <v>1342</v>
      </c>
    </row>
    <row r="2991" spans="1:6" hidden="1" outlineLevel="1" collapsed="1" x14ac:dyDescent="0.25">
      <c r="A2991" s="295" t="s">
        <v>282</v>
      </c>
      <c r="B2991" s="295" t="s">
        <v>422</v>
      </c>
      <c r="C2991" s="293">
        <v>0</v>
      </c>
      <c r="D2991" s="293">
        <v>0</v>
      </c>
      <c r="E2991" s="293">
        <v>0</v>
      </c>
      <c r="F2991" s="294" t="s">
        <v>316</v>
      </c>
    </row>
    <row r="2992" spans="1:6" collapsed="1" x14ac:dyDescent="0.25">
      <c r="A2992" s="560" t="s">
        <v>1343</v>
      </c>
      <c r="B2992" s="561"/>
      <c r="C2992" s="292">
        <v>231407.74226</v>
      </c>
      <c r="D2992" s="293">
        <v>241341.99509499999</v>
      </c>
      <c r="E2992" s="293">
        <v>9934.2528349999993</v>
      </c>
      <c r="F2992" s="294" t="s">
        <v>487</v>
      </c>
    </row>
    <row r="2993" spans="1:6" hidden="1" outlineLevel="1" collapsed="1" x14ac:dyDescent="0.25">
      <c r="A2993" s="295" t="s">
        <v>282</v>
      </c>
      <c r="B2993" s="295" t="s">
        <v>358</v>
      </c>
      <c r="C2993" s="293">
        <v>90581.52</v>
      </c>
      <c r="D2993" s="293">
        <v>93492.462</v>
      </c>
      <c r="E2993" s="293">
        <v>2910.942</v>
      </c>
      <c r="F2993" s="294" t="s">
        <v>359</v>
      </c>
    </row>
    <row r="2994" spans="1:6" hidden="1" outlineLevel="1" collapsed="1" x14ac:dyDescent="0.25">
      <c r="A2994" s="295" t="s">
        <v>282</v>
      </c>
      <c r="B2994" s="295" t="s">
        <v>441</v>
      </c>
      <c r="C2994" s="293">
        <v>1200</v>
      </c>
      <c r="D2994" s="293">
        <v>0</v>
      </c>
      <c r="E2994" s="293">
        <v>-1200</v>
      </c>
      <c r="F2994" s="294" t="s">
        <v>286</v>
      </c>
    </row>
    <row r="2995" spans="1:6" hidden="1" outlineLevel="1" collapsed="1" x14ac:dyDescent="0.25">
      <c r="A2995" s="295" t="s">
        <v>282</v>
      </c>
      <c r="B2995" s="295" t="s">
        <v>380</v>
      </c>
      <c r="C2995" s="293">
        <v>58794.365755999999</v>
      </c>
      <c r="D2995" s="293">
        <v>60551.776471999998</v>
      </c>
      <c r="E2995" s="293">
        <v>1757.4107160000001</v>
      </c>
      <c r="F2995" s="294" t="s">
        <v>975</v>
      </c>
    </row>
    <row r="2996" spans="1:6" hidden="1" outlineLevel="1" collapsed="1" x14ac:dyDescent="0.25">
      <c r="A2996" s="295" t="s">
        <v>282</v>
      </c>
      <c r="B2996" s="295" t="s">
        <v>424</v>
      </c>
      <c r="C2996" s="293">
        <v>1000</v>
      </c>
      <c r="D2996" s="293">
        <v>0</v>
      </c>
      <c r="E2996" s="293">
        <v>-1000</v>
      </c>
      <c r="F2996" s="294" t="s">
        <v>286</v>
      </c>
    </row>
    <row r="2997" spans="1:6" hidden="1" outlineLevel="1" collapsed="1" x14ac:dyDescent="0.25">
      <c r="A2997" s="295" t="s">
        <v>282</v>
      </c>
      <c r="B2997" s="295" t="s">
        <v>935</v>
      </c>
      <c r="C2997" s="293">
        <v>400</v>
      </c>
      <c r="D2997" s="293">
        <v>1400</v>
      </c>
      <c r="E2997" s="293">
        <v>1000</v>
      </c>
      <c r="F2997" s="294" t="s">
        <v>1344</v>
      </c>
    </row>
    <row r="2998" spans="1:6" hidden="1" outlineLevel="1" collapsed="1" x14ac:dyDescent="0.25">
      <c r="A2998" s="295" t="s">
        <v>282</v>
      </c>
      <c r="B2998" s="295" t="s">
        <v>475</v>
      </c>
      <c r="C2998" s="293">
        <v>8000</v>
      </c>
      <c r="D2998" s="293">
        <v>8000</v>
      </c>
      <c r="E2998" s="293">
        <v>0</v>
      </c>
      <c r="F2998" s="294" t="s">
        <v>316</v>
      </c>
    </row>
    <row r="2999" spans="1:6" hidden="1" outlineLevel="1" collapsed="1" x14ac:dyDescent="0.25">
      <c r="A2999" s="295" t="s">
        <v>282</v>
      </c>
      <c r="B2999" s="295" t="s">
        <v>452</v>
      </c>
      <c r="C2999" s="293">
        <v>7600</v>
      </c>
      <c r="D2999" s="293">
        <v>0</v>
      </c>
      <c r="E2999" s="293">
        <v>-7600</v>
      </c>
      <c r="F2999" s="294" t="s">
        <v>286</v>
      </c>
    </row>
    <row r="3000" spans="1:6" hidden="1" outlineLevel="1" collapsed="1" x14ac:dyDescent="0.25">
      <c r="A3000" s="295" t="s">
        <v>282</v>
      </c>
      <c r="B3000" s="295" t="s">
        <v>453</v>
      </c>
      <c r="C3000" s="293">
        <v>0</v>
      </c>
      <c r="D3000" s="293">
        <v>7600</v>
      </c>
      <c r="E3000" s="293">
        <v>7600</v>
      </c>
      <c r="F3000" s="294" t="s">
        <v>298</v>
      </c>
    </row>
    <row r="3001" spans="1:6" hidden="1" outlineLevel="1" collapsed="1" x14ac:dyDescent="0.25">
      <c r="A3001" s="295" t="s">
        <v>282</v>
      </c>
      <c r="B3001" s="295" t="s">
        <v>360</v>
      </c>
      <c r="C3001" s="293">
        <v>11820.888360000001</v>
      </c>
      <c r="D3001" s="293">
        <v>13490.96226</v>
      </c>
      <c r="E3001" s="293">
        <v>1670.0739000000001</v>
      </c>
      <c r="F3001" s="294" t="s">
        <v>361</v>
      </c>
    </row>
    <row r="3002" spans="1:6" hidden="1" outlineLevel="1" collapsed="1" x14ac:dyDescent="0.25">
      <c r="A3002" s="295" t="s">
        <v>282</v>
      </c>
      <c r="B3002" s="295" t="s">
        <v>384</v>
      </c>
      <c r="C3002" s="293">
        <v>7314.5612039999996</v>
      </c>
      <c r="D3002" s="293">
        <v>0</v>
      </c>
      <c r="E3002" s="293">
        <v>-7314.5612039999996</v>
      </c>
      <c r="F3002" s="294" t="s">
        <v>286</v>
      </c>
    </row>
    <row r="3003" spans="1:6" hidden="1" outlineLevel="1" collapsed="1" x14ac:dyDescent="0.25">
      <c r="A3003" s="295" t="s">
        <v>282</v>
      </c>
      <c r="B3003" s="295" t="s">
        <v>385</v>
      </c>
      <c r="C3003" s="293">
        <v>0</v>
      </c>
      <c r="D3003" s="293">
        <v>9464.4806759999992</v>
      </c>
      <c r="E3003" s="293">
        <v>9464.4806759999992</v>
      </c>
      <c r="F3003" s="294" t="s">
        <v>298</v>
      </c>
    </row>
    <row r="3004" spans="1:6" hidden="1" outlineLevel="1" collapsed="1" x14ac:dyDescent="0.25">
      <c r="A3004" s="295" t="s">
        <v>282</v>
      </c>
      <c r="B3004" s="295" t="s">
        <v>386</v>
      </c>
      <c r="C3004" s="293">
        <v>3645.2506680000001</v>
      </c>
      <c r="D3004" s="293">
        <v>0</v>
      </c>
      <c r="E3004" s="293">
        <v>-3645.2506680000001</v>
      </c>
      <c r="F3004" s="294" t="s">
        <v>286</v>
      </c>
    </row>
    <row r="3005" spans="1:6" hidden="1" outlineLevel="1" collapsed="1" x14ac:dyDescent="0.25">
      <c r="A3005" s="295" t="s">
        <v>282</v>
      </c>
      <c r="B3005" s="295" t="s">
        <v>387</v>
      </c>
      <c r="C3005" s="293">
        <v>0</v>
      </c>
      <c r="D3005" s="293">
        <v>3754.2101389999998</v>
      </c>
      <c r="E3005" s="293">
        <v>3754.2101389999998</v>
      </c>
      <c r="F3005" s="294" t="s">
        <v>298</v>
      </c>
    </row>
    <row r="3006" spans="1:6" hidden="1" outlineLevel="1" collapsed="1" x14ac:dyDescent="0.25">
      <c r="A3006" s="295" t="s">
        <v>282</v>
      </c>
      <c r="B3006" s="295" t="s">
        <v>362</v>
      </c>
      <c r="C3006" s="293">
        <v>1313.4320399999999</v>
      </c>
      <c r="D3006" s="293">
        <v>1355.6406899999999</v>
      </c>
      <c r="E3006" s="293">
        <v>42.208649999999999</v>
      </c>
      <c r="F3006" s="294" t="s">
        <v>359</v>
      </c>
    </row>
    <row r="3007" spans="1:6" hidden="1" outlineLevel="1" collapsed="1" x14ac:dyDescent="0.25">
      <c r="A3007" s="295" t="s">
        <v>282</v>
      </c>
      <c r="B3007" s="295" t="s">
        <v>388</v>
      </c>
      <c r="C3007" s="293">
        <v>852.51829199999997</v>
      </c>
      <c r="D3007" s="293">
        <v>878.00074800000004</v>
      </c>
      <c r="E3007" s="293">
        <v>25.482455999999999</v>
      </c>
      <c r="F3007" s="294" t="s">
        <v>975</v>
      </c>
    </row>
    <row r="3008" spans="1:6" hidden="1" outlineLevel="1" collapsed="1" x14ac:dyDescent="0.25">
      <c r="A3008" s="295" t="s">
        <v>282</v>
      </c>
      <c r="B3008" s="295" t="s">
        <v>363</v>
      </c>
      <c r="C3008" s="293">
        <v>426.12479999999999</v>
      </c>
      <c r="D3008" s="293">
        <v>422.04</v>
      </c>
      <c r="E3008" s="293">
        <v>-4.0848000000000004</v>
      </c>
      <c r="F3008" s="294" t="s">
        <v>364</v>
      </c>
    </row>
    <row r="3009" spans="1:6" hidden="1" outlineLevel="1" collapsed="1" x14ac:dyDescent="0.25">
      <c r="A3009" s="295" t="s">
        <v>282</v>
      </c>
      <c r="B3009" s="295" t="s">
        <v>365</v>
      </c>
      <c r="C3009" s="293">
        <v>15358.56</v>
      </c>
      <c r="D3009" s="293">
        <v>15959.28</v>
      </c>
      <c r="E3009" s="293">
        <v>600.72</v>
      </c>
      <c r="F3009" s="294" t="s">
        <v>366</v>
      </c>
    </row>
    <row r="3010" spans="1:6" hidden="1" outlineLevel="1" collapsed="1" x14ac:dyDescent="0.25">
      <c r="A3010" s="295" t="s">
        <v>282</v>
      </c>
      <c r="B3010" s="295" t="s">
        <v>367</v>
      </c>
      <c r="C3010" s="293">
        <v>233.53919999999999</v>
      </c>
      <c r="D3010" s="293">
        <v>182.88</v>
      </c>
      <c r="E3010" s="293">
        <v>-50.659199999999998</v>
      </c>
      <c r="F3010" s="294" t="s">
        <v>368</v>
      </c>
    </row>
    <row r="3011" spans="1:6" hidden="1" outlineLevel="1" collapsed="1" x14ac:dyDescent="0.25">
      <c r="A3011" s="295" t="s">
        <v>282</v>
      </c>
      <c r="B3011" s="295" t="s">
        <v>444</v>
      </c>
      <c r="C3011" s="293">
        <v>0</v>
      </c>
      <c r="D3011" s="293">
        <v>1530</v>
      </c>
      <c r="E3011" s="293">
        <v>1530</v>
      </c>
      <c r="F3011" s="294" t="s">
        <v>298</v>
      </c>
    </row>
    <row r="3012" spans="1:6" hidden="1" outlineLevel="1" collapsed="1" x14ac:dyDescent="0.25">
      <c r="A3012" s="295" t="s">
        <v>282</v>
      </c>
      <c r="B3012" s="295" t="s">
        <v>389</v>
      </c>
      <c r="C3012" s="293">
        <v>426.12479999999999</v>
      </c>
      <c r="D3012" s="293">
        <v>422.04</v>
      </c>
      <c r="E3012" s="293">
        <v>-4.0848000000000004</v>
      </c>
      <c r="F3012" s="294" t="s">
        <v>364</v>
      </c>
    </row>
    <row r="3013" spans="1:6" hidden="1" outlineLevel="1" collapsed="1" x14ac:dyDescent="0.25">
      <c r="A3013" s="295" t="s">
        <v>282</v>
      </c>
      <c r="B3013" s="295" t="s">
        <v>390</v>
      </c>
      <c r="C3013" s="293">
        <v>15485.27</v>
      </c>
      <c r="D3013" s="293">
        <v>15959.28</v>
      </c>
      <c r="E3013" s="293">
        <v>474.01</v>
      </c>
      <c r="F3013" s="294" t="s">
        <v>391</v>
      </c>
    </row>
    <row r="3014" spans="1:6" hidden="1" outlineLevel="1" collapsed="1" x14ac:dyDescent="0.25">
      <c r="A3014" s="295" t="s">
        <v>282</v>
      </c>
      <c r="B3014" s="295" t="s">
        <v>392</v>
      </c>
      <c r="C3014" s="293">
        <v>233.53919999999999</v>
      </c>
      <c r="D3014" s="293">
        <v>182.88</v>
      </c>
      <c r="E3014" s="293">
        <v>-50.659199999999998</v>
      </c>
      <c r="F3014" s="294" t="s">
        <v>368</v>
      </c>
    </row>
    <row r="3015" spans="1:6" hidden="1" outlineLevel="1" collapsed="1" x14ac:dyDescent="0.25">
      <c r="A3015" s="295" t="s">
        <v>282</v>
      </c>
      <c r="B3015" s="295" t="s">
        <v>369</v>
      </c>
      <c r="C3015" s="293">
        <v>45.290759999999999</v>
      </c>
      <c r="D3015" s="293">
        <v>46.746229999999997</v>
      </c>
      <c r="E3015" s="293">
        <v>1.45547</v>
      </c>
      <c r="F3015" s="294" t="s">
        <v>359</v>
      </c>
    </row>
    <row r="3016" spans="1:6" hidden="1" outlineLevel="1" collapsed="1" x14ac:dyDescent="0.25">
      <c r="A3016" s="295" t="s">
        <v>282</v>
      </c>
      <c r="B3016" s="295" t="s">
        <v>393</v>
      </c>
      <c r="C3016" s="293">
        <v>29.397179999999999</v>
      </c>
      <c r="D3016" s="293">
        <v>30.275880000000001</v>
      </c>
      <c r="E3016" s="293">
        <v>0.87870000000000004</v>
      </c>
      <c r="F3016" s="294" t="s">
        <v>975</v>
      </c>
    </row>
    <row r="3017" spans="1:6" hidden="1" outlineLevel="1" collapsed="1" x14ac:dyDescent="0.25">
      <c r="A3017" s="295" t="s">
        <v>282</v>
      </c>
      <c r="B3017" s="295" t="s">
        <v>370</v>
      </c>
      <c r="C3017" s="293">
        <v>1500</v>
      </c>
      <c r="D3017" s="293">
        <v>1500</v>
      </c>
      <c r="E3017" s="293">
        <v>0</v>
      </c>
      <c r="F3017" s="294" t="s">
        <v>316</v>
      </c>
    </row>
    <row r="3018" spans="1:6" hidden="1" outlineLevel="1" collapsed="1" x14ac:dyDescent="0.25">
      <c r="A3018" s="295" t="s">
        <v>282</v>
      </c>
      <c r="B3018" s="295" t="s">
        <v>394</v>
      </c>
      <c r="C3018" s="293">
        <v>1500</v>
      </c>
      <c r="D3018" s="293">
        <v>0</v>
      </c>
      <c r="E3018" s="293">
        <v>-1500</v>
      </c>
      <c r="F3018" s="294" t="s">
        <v>286</v>
      </c>
    </row>
    <row r="3019" spans="1:6" hidden="1" outlineLevel="1" collapsed="1" x14ac:dyDescent="0.25">
      <c r="A3019" s="295" t="s">
        <v>282</v>
      </c>
      <c r="B3019" s="295" t="s">
        <v>395</v>
      </c>
      <c r="C3019" s="293">
        <v>0</v>
      </c>
      <c r="D3019" s="293">
        <v>1500</v>
      </c>
      <c r="E3019" s="293">
        <v>1500</v>
      </c>
      <c r="F3019" s="294" t="s">
        <v>298</v>
      </c>
    </row>
    <row r="3020" spans="1:6" hidden="1" outlineLevel="1" collapsed="1" x14ac:dyDescent="0.25">
      <c r="A3020" s="295" t="s">
        <v>282</v>
      </c>
      <c r="B3020" s="295" t="s">
        <v>371</v>
      </c>
      <c r="C3020" s="293">
        <v>49.68</v>
      </c>
      <c r="D3020" s="293">
        <v>48.48</v>
      </c>
      <c r="E3020" s="293">
        <v>-1.2</v>
      </c>
      <c r="F3020" s="294" t="s">
        <v>372</v>
      </c>
    </row>
    <row r="3021" spans="1:6" hidden="1" outlineLevel="1" collapsed="1" x14ac:dyDescent="0.25">
      <c r="A3021" s="295" t="s">
        <v>282</v>
      </c>
      <c r="B3021" s="295" t="s">
        <v>396</v>
      </c>
      <c r="C3021" s="293">
        <v>49.68</v>
      </c>
      <c r="D3021" s="293">
        <v>0</v>
      </c>
      <c r="E3021" s="293">
        <v>-49.68</v>
      </c>
      <c r="F3021" s="294" t="s">
        <v>286</v>
      </c>
    </row>
    <row r="3022" spans="1:6" hidden="1" outlineLevel="1" collapsed="1" x14ac:dyDescent="0.25">
      <c r="A3022" s="295" t="s">
        <v>282</v>
      </c>
      <c r="B3022" s="295" t="s">
        <v>397</v>
      </c>
      <c r="C3022" s="293">
        <v>0</v>
      </c>
      <c r="D3022" s="293">
        <v>48.48</v>
      </c>
      <c r="E3022" s="293">
        <v>48.48</v>
      </c>
      <c r="F3022" s="294" t="s">
        <v>298</v>
      </c>
    </row>
    <row r="3023" spans="1:6" hidden="1" outlineLevel="1" collapsed="1" x14ac:dyDescent="0.25">
      <c r="A3023" s="295" t="s">
        <v>282</v>
      </c>
      <c r="B3023" s="295" t="s">
        <v>373</v>
      </c>
      <c r="C3023" s="293">
        <v>24</v>
      </c>
      <c r="D3023" s="293">
        <v>11.04</v>
      </c>
      <c r="E3023" s="293">
        <v>-12.96</v>
      </c>
      <c r="F3023" s="294" t="s">
        <v>374</v>
      </c>
    </row>
    <row r="3024" spans="1:6" hidden="1" outlineLevel="1" collapsed="1" x14ac:dyDescent="0.25">
      <c r="A3024" s="295" t="s">
        <v>282</v>
      </c>
      <c r="B3024" s="295" t="s">
        <v>398</v>
      </c>
      <c r="C3024" s="293">
        <v>24</v>
      </c>
      <c r="D3024" s="293">
        <v>11.04</v>
      </c>
      <c r="E3024" s="293">
        <v>-12.96</v>
      </c>
      <c r="F3024" s="294" t="s">
        <v>374</v>
      </c>
    </row>
    <row r="3025" spans="1:6" hidden="1" outlineLevel="1" collapsed="1" x14ac:dyDescent="0.25">
      <c r="A3025" s="295" t="s">
        <v>282</v>
      </c>
      <c r="B3025" s="295" t="s">
        <v>375</v>
      </c>
      <c r="C3025" s="293">
        <v>3500</v>
      </c>
      <c r="D3025" s="293">
        <v>3500</v>
      </c>
      <c r="E3025" s="293">
        <v>0</v>
      </c>
      <c r="F3025" s="294" t="s">
        <v>316</v>
      </c>
    </row>
    <row r="3026" spans="1:6" collapsed="1" x14ac:dyDescent="0.25">
      <c r="A3026" s="560" t="s">
        <v>1345</v>
      </c>
      <c r="B3026" s="561"/>
      <c r="C3026" s="292">
        <v>247507.2732</v>
      </c>
      <c r="D3026" s="293">
        <v>256168.16587</v>
      </c>
      <c r="E3026" s="293">
        <v>8660.8926699999993</v>
      </c>
      <c r="F3026" s="294" t="s">
        <v>538</v>
      </c>
    </row>
    <row r="3027" spans="1:6" hidden="1" outlineLevel="1" collapsed="1" x14ac:dyDescent="0.25">
      <c r="A3027" s="295" t="s">
        <v>282</v>
      </c>
      <c r="B3027" s="295" t="s">
        <v>358</v>
      </c>
      <c r="C3027" s="293">
        <v>185354.4</v>
      </c>
      <c r="D3027" s="293">
        <v>189701.3076</v>
      </c>
      <c r="E3027" s="293">
        <v>4346.9075999999995</v>
      </c>
      <c r="F3027" s="294" t="s">
        <v>650</v>
      </c>
    </row>
    <row r="3028" spans="1:6" hidden="1" outlineLevel="1" collapsed="1" x14ac:dyDescent="0.25">
      <c r="A3028" s="295" t="s">
        <v>282</v>
      </c>
      <c r="B3028" s="295" t="s">
        <v>360</v>
      </c>
      <c r="C3028" s="293">
        <v>24188.749199999998</v>
      </c>
      <c r="D3028" s="293">
        <v>27373.898679999998</v>
      </c>
      <c r="E3028" s="293">
        <v>3185.14948</v>
      </c>
      <c r="F3028" s="294" t="s">
        <v>1346</v>
      </c>
    </row>
    <row r="3029" spans="1:6" hidden="1" outlineLevel="1" collapsed="1" x14ac:dyDescent="0.25">
      <c r="A3029" s="295" t="s">
        <v>282</v>
      </c>
      <c r="B3029" s="295" t="s">
        <v>362</v>
      </c>
      <c r="C3029" s="293">
        <v>2687.6388000000002</v>
      </c>
      <c r="D3029" s="293">
        <v>2750.6689500000002</v>
      </c>
      <c r="E3029" s="293">
        <v>63.030149999999999</v>
      </c>
      <c r="F3029" s="294" t="s">
        <v>650</v>
      </c>
    </row>
    <row r="3030" spans="1:6" hidden="1" outlineLevel="1" collapsed="1" x14ac:dyDescent="0.25">
      <c r="A3030" s="295" t="s">
        <v>282</v>
      </c>
      <c r="B3030" s="295" t="s">
        <v>363</v>
      </c>
      <c r="C3030" s="293">
        <v>852.24959999999999</v>
      </c>
      <c r="D3030" s="293">
        <v>844.08</v>
      </c>
      <c r="E3030" s="293">
        <v>-8.1696000000000009</v>
      </c>
      <c r="F3030" s="294" t="s">
        <v>364</v>
      </c>
    </row>
    <row r="3031" spans="1:6" hidden="1" outlineLevel="1" collapsed="1" x14ac:dyDescent="0.25">
      <c r="A3031" s="295" t="s">
        <v>282</v>
      </c>
      <c r="B3031" s="295" t="s">
        <v>365</v>
      </c>
      <c r="C3031" s="293">
        <v>30717.119999999999</v>
      </c>
      <c r="D3031" s="293">
        <v>31918.560000000001</v>
      </c>
      <c r="E3031" s="293">
        <v>1201.44</v>
      </c>
      <c r="F3031" s="294" t="s">
        <v>366</v>
      </c>
    </row>
    <row r="3032" spans="1:6" hidden="1" outlineLevel="1" collapsed="1" x14ac:dyDescent="0.25">
      <c r="A3032" s="295" t="s">
        <v>282</v>
      </c>
      <c r="B3032" s="295" t="s">
        <v>367</v>
      </c>
      <c r="C3032" s="293">
        <v>467.07839999999999</v>
      </c>
      <c r="D3032" s="293">
        <v>365.76</v>
      </c>
      <c r="E3032" s="293">
        <v>-101.3184</v>
      </c>
      <c r="F3032" s="294" t="s">
        <v>368</v>
      </c>
    </row>
    <row r="3033" spans="1:6" hidden="1" outlineLevel="1" collapsed="1" x14ac:dyDescent="0.25">
      <c r="A3033" s="295" t="s">
        <v>282</v>
      </c>
      <c r="B3033" s="295" t="s">
        <v>369</v>
      </c>
      <c r="C3033" s="293">
        <v>92.677199999999999</v>
      </c>
      <c r="D3033" s="293">
        <v>94.850639999999999</v>
      </c>
      <c r="E3033" s="293">
        <v>2.1734399999999998</v>
      </c>
      <c r="F3033" s="294" t="s">
        <v>650</v>
      </c>
    </row>
    <row r="3034" spans="1:6" hidden="1" outlineLevel="1" collapsed="1" x14ac:dyDescent="0.25">
      <c r="A3034" s="295" t="s">
        <v>282</v>
      </c>
      <c r="B3034" s="295" t="s">
        <v>370</v>
      </c>
      <c r="C3034" s="293">
        <v>3000</v>
      </c>
      <c r="D3034" s="293">
        <v>3000</v>
      </c>
      <c r="E3034" s="293">
        <v>0</v>
      </c>
      <c r="F3034" s="294" t="s">
        <v>316</v>
      </c>
    </row>
    <row r="3035" spans="1:6" hidden="1" outlineLevel="1" collapsed="1" x14ac:dyDescent="0.25">
      <c r="A3035" s="295" t="s">
        <v>282</v>
      </c>
      <c r="B3035" s="295" t="s">
        <v>371</v>
      </c>
      <c r="C3035" s="293">
        <v>99.36</v>
      </c>
      <c r="D3035" s="293">
        <v>96.96</v>
      </c>
      <c r="E3035" s="293">
        <v>-2.4</v>
      </c>
      <c r="F3035" s="294" t="s">
        <v>372</v>
      </c>
    </row>
    <row r="3036" spans="1:6" hidden="1" outlineLevel="1" collapsed="1" x14ac:dyDescent="0.25">
      <c r="A3036" s="295" t="s">
        <v>282</v>
      </c>
      <c r="B3036" s="295" t="s">
        <v>373</v>
      </c>
      <c r="C3036" s="293">
        <v>48</v>
      </c>
      <c r="D3036" s="293">
        <v>22.08</v>
      </c>
      <c r="E3036" s="293">
        <v>-25.92</v>
      </c>
      <c r="F3036" s="294" t="s">
        <v>374</v>
      </c>
    </row>
    <row r="3037" spans="1:6" collapsed="1" x14ac:dyDescent="0.25">
      <c r="A3037" s="560" t="s">
        <v>1347</v>
      </c>
      <c r="B3037" s="561"/>
      <c r="C3037" s="292">
        <v>660305.71846</v>
      </c>
      <c r="D3037" s="293">
        <v>688589.29472400004</v>
      </c>
      <c r="E3037" s="293">
        <v>28283.576263999999</v>
      </c>
      <c r="F3037" s="294" t="s">
        <v>1304</v>
      </c>
    </row>
    <row r="3038" spans="1:6" hidden="1" outlineLevel="1" collapsed="1" x14ac:dyDescent="0.25">
      <c r="A3038" s="295" t="s">
        <v>282</v>
      </c>
      <c r="B3038" s="295" t="s">
        <v>358</v>
      </c>
      <c r="C3038" s="293">
        <v>422817.199968</v>
      </c>
      <c r="D3038" s="293">
        <v>438688.359168</v>
      </c>
      <c r="E3038" s="293">
        <v>15871.1592</v>
      </c>
      <c r="F3038" s="294" t="s">
        <v>1074</v>
      </c>
    </row>
    <row r="3039" spans="1:6" hidden="1" outlineLevel="1" collapsed="1" x14ac:dyDescent="0.25">
      <c r="A3039" s="295" t="s">
        <v>282</v>
      </c>
      <c r="B3039" s="295" t="s">
        <v>818</v>
      </c>
      <c r="C3039" s="293">
        <v>91339</v>
      </c>
      <c r="D3039" s="293">
        <v>92000</v>
      </c>
      <c r="E3039" s="293">
        <v>661</v>
      </c>
      <c r="F3039" s="294" t="s">
        <v>1348</v>
      </c>
    </row>
    <row r="3040" spans="1:6" hidden="1" outlineLevel="1" collapsed="1" x14ac:dyDescent="0.25">
      <c r="A3040" s="295" t="s">
        <v>282</v>
      </c>
      <c r="B3040" s="295" t="s">
        <v>360</v>
      </c>
      <c r="C3040" s="293">
        <v>55177.644551999998</v>
      </c>
      <c r="D3040" s="293">
        <v>63302.730216000004</v>
      </c>
      <c r="E3040" s="293">
        <v>8125.0856640000002</v>
      </c>
      <c r="F3040" s="294" t="s">
        <v>1349</v>
      </c>
    </row>
    <row r="3041" spans="1:6" hidden="1" outlineLevel="1" collapsed="1" x14ac:dyDescent="0.25">
      <c r="A3041" s="295" t="s">
        <v>282</v>
      </c>
      <c r="B3041" s="295" t="s">
        <v>362</v>
      </c>
      <c r="C3041" s="293">
        <v>6130.8493680000001</v>
      </c>
      <c r="D3041" s="293">
        <v>6360.9811799999998</v>
      </c>
      <c r="E3041" s="293">
        <v>230.131812</v>
      </c>
      <c r="F3041" s="294" t="s">
        <v>1074</v>
      </c>
    </row>
    <row r="3042" spans="1:6" hidden="1" outlineLevel="1" collapsed="1" x14ac:dyDescent="0.25">
      <c r="A3042" s="295" t="s">
        <v>282</v>
      </c>
      <c r="B3042" s="295" t="s">
        <v>363</v>
      </c>
      <c r="C3042" s="293">
        <v>1704.4992</v>
      </c>
      <c r="D3042" s="293">
        <v>1688.16</v>
      </c>
      <c r="E3042" s="293">
        <v>-16.339200000000002</v>
      </c>
      <c r="F3042" s="294" t="s">
        <v>364</v>
      </c>
    </row>
    <row r="3043" spans="1:6" hidden="1" outlineLevel="1" collapsed="1" x14ac:dyDescent="0.25">
      <c r="A3043" s="295" t="s">
        <v>282</v>
      </c>
      <c r="B3043" s="295" t="s">
        <v>365</v>
      </c>
      <c r="C3043" s="293">
        <v>61434.239999999998</v>
      </c>
      <c r="D3043" s="293">
        <v>63837.120000000003</v>
      </c>
      <c r="E3043" s="293">
        <v>2402.88</v>
      </c>
      <c r="F3043" s="294" t="s">
        <v>366</v>
      </c>
    </row>
    <row r="3044" spans="1:6" hidden="1" outlineLevel="1" collapsed="1" x14ac:dyDescent="0.25">
      <c r="A3044" s="295" t="s">
        <v>282</v>
      </c>
      <c r="B3044" s="295" t="s">
        <v>367</v>
      </c>
      <c r="C3044" s="293">
        <v>934.15679999999998</v>
      </c>
      <c r="D3044" s="293">
        <v>731.52</v>
      </c>
      <c r="E3044" s="293">
        <v>-202.63679999999999</v>
      </c>
      <c r="F3044" s="294" t="s">
        <v>368</v>
      </c>
    </row>
    <row r="3045" spans="1:6" hidden="1" outlineLevel="1" collapsed="1" x14ac:dyDescent="0.25">
      <c r="A3045" s="295" t="s">
        <v>282</v>
      </c>
      <c r="B3045" s="295" t="s">
        <v>444</v>
      </c>
      <c r="C3045" s="293">
        <v>8100</v>
      </c>
      <c r="D3045" s="293">
        <v>9000</v>
      </c>
      <c r="E3045" s="293">
        <v>900</v>
      </c>
      <c r="F3045" s="294" t="s">
        <v>610</v>
      </c>
    </row>
    <row r="3046" spans="1:6" hidden="1" outlineLevel="1" collapsed="1" x14ac:dyDescent="0.25">
      <c r="A3046" s="295" t="s">
        <v>282</v>
      </c>
      <c r="B3046" s="295" t="s">
        <v>369</v>
      </c>
      <c r="C3046" s="293">
        <v>211.40857199999999</v>
      </c>
      <c r="D3046" s="293">
        <v>219.34415999999999</v>
      </c>
      <c r="E3046" s="293">
        <v>7.9355880000000001</v>
      </c>
      <c r="F3046" s="294" t="s">
        <v>1074</v>
      </c>
    </row>
    <row r="3047" spans="1:6" hidden="1" outlineLevel="1" collapsed="1" x14ac:dyDescent="0.25">
      <c r="A3047" s="295" t="s">
        <v>282</v>
      </c>
      <c r="B3047" s="295" t="s">
        <v>370</v>
      </c>
      <c r="C3047" s="293">
        <v>6000</v>
      </c>
      <c r="D3047" s="293">
        <v>6000</v>
      </c>
      <c r="E3047" s="293">
        <v>0</v>
      </c>
      <c r="F3047" s="294" t="s">
        <v>316</v>
      </c>
    </row>
    <row r="3048" spans="1:6" hidden="1" outlineLevel="1" collapsed="1" x14ac:dyDescent="0.25">
      <c r="A3048" s="295" t="s">
        <v>282</v>
      </c>
      <c r="B3048" s="295" t="s">
        <v>371</v>
      </c>
      <c r="C3048" s="293">
        <v>198.72</v>
      </c>
      <c r="D3048" s="293">
        <v>193.92</v>
      </c>
      <c r="E3048" s="293">
        <v>-4.8</v>
      </c>
      <c r="F3048" s="294" t="s">
        <v>372</v>
      </c>
    </row>
    <row r="3049" spans="1:6" hidden="1" outlineLevel="1" collapsed="1" x14ac:dyDescent="0.25">
      <c r="A3049" s="295" t="s">
        <v>282</v>
      </c>
      <c r="B3049" s="295" t="s">
        <v>373</v>
      </c>
      <c r="C3049" s="293">
        <v>96</v>
      </c>
      <c r="D3049" s="293">
        <v>44.16</v>
      </c>
      <c r="E3049" s="293">
        <v>-51.84</v>
      </c>
      <c r="F3049" s="294" t="s">
        <v>374</v>
      </c>
    </row>
    <row r="3050" spans="1:6" hidden="1" outlineLevel="1" collapsed="1" x14ac:dyDescent="0.25">
      <c r="A3050" s="295" t="s">
        <v>282</v>
      </c>
      <c r="B3050" s="295" t="s">
        <v>375</v>
      </c>
      <c r="C3050" s="293">
        <v>674</v>
      </c>
      <c r="D3050" s="293">
        <v>674</v>
      </c>
      <c r="E3050" s="293">
        <v>0</v>
      </c>
      <c r="F3050" s="294" t="s">
        <v>316</v>
      </c>
    </row>
    <row r="3051" spans="1:6" hidden="1" outlineLevel="1" collapsed="1" x14ac:dyDescent="0.25">
      <c r="A3051" s="295" t="s">
        <v>282</v>
      </c>
      <c r="B3051" s="295" t="s">
        <v>376</v>
      </c>
      <c r="C3051" s="293">
        <v>644</v>
      </c>
      <c r="D3051" s="293">
        <v>644</v>
      </c>
      <c r="E3051" s="293">
        <v>0</v>
      </c>
      <c r="F3051" s="294" t="s">
        <v>316</v>
      </c>
    </row>
    <row r="3052" spans="1:6" hidden="1" outlineLevel="1" collapsed="1" x14ac:dyDescent="0.25">
      <c r="A3052" s="295" t="s">
        <v>282</v>
      </c>
      <c r="B3052" s="295" t="s">
        <v>567</v>
      </c>
      <c r="C3052" s="293">
        <v>0</v>
      </c>
      <c r="D3052" s="293">
        <v>685</v>
      </c>
      <c r="E3052" s="293">
        <v>685</v>
      </c>
      <c r="F3052" s="294" t="s">
        <v>298</v>
      </c>
    </row>
    <row r="3053" spans="1:6" hidden="1" outlineLevel="1" collapsed="1" x14ac:dyDescent="0.25">
      <c r="A3053" s="295" t="s">
        <v>282</v>
      </c>
      <c r="B3053" s="295" t="s">
        <v>482</v>
      </c>
      <c r="C3053" s="293">
        <v>0</v>
      </c>
      <c r="D3053" s="293">
        <v>0</v>
      </c>
      <c r="E3053" s="293">
        <v>0</v>
      </c>
      <c r="F3053" s="294" t="s">
        <v>316</v>
      </c>
    </row>
    <row r="3054" spans="1:6" hidden="1" outlineLevel="1" collapsed="1" x14ac:dyDescent="0.25">
      <c r="A3054" s="295" t="s">
        <v>282</v>
      </c>
      <c r="B3054" s="295" t="s">
        <v>416</v>
      </c>
      <c r="C3054" s="293">
        <v>1784</v>
      </c>
      <c r="D3054" s="293">
        <v>1784</v>
      </c>
      <c r="E3054" s="293">
        <v>0</v>
      </c>
      <c r="F3054" s="294" t="s">
        <v>316</v>
      </c>
    </row>
    <row r="3055" spans="1:6" hidden="1" outlineLevel="1" collapsed="1" x14ac:dyDescent="0.25">
      <c r="A3055" s="295" t="s">
        <v>282</v>
      </c>
      <c r="B3055" s="295" t="s">
        <v>884</v>
      </c>
      <c r="C3055" s="293">
        <v>836</v>
      </c>
      <c r="D3055" s="293">
        <v>836</v>
      </c>
      <c r="E3055" s="293">
        <v>0</v>
      </c>
      <c r="F3055" s="294" t="s">
        <v>316</v>
      </c>
    </row>
    <row r="3056" spans="1:6" hidden="1" outlineLevel="1" collapsed="1" x14ac:dyDescent="0.25">
      <c r="A3056" s="295" t="s">
        <v>282</v>
      </c>
      <c r="B3056" s="295" t="s">
        <v>405</v>
      </c>
      <c r="C3056" s="293">
        <v>2224</v>
      </c>
      <c r="D3056" s="293">
        <v>1900</v>
      </c>
      <c r="E3056" s="293">
        <v>-324</v>
      </c>
      <c r="F3056" s="294" t="s">
        <v>692</v>
      </c>
    </row>
    <row r="3057" spans="1:6" collapsed="1" x14ac:dyDescent="0.25">
      <c r="A3057" s="560" t="s">
        <v>1350</v>
      </c>
      <c r="B3057" s="561"/>
      <c r="C3057" s="292">
        <v>850978.37250399997</v>
      </c>
      <c r="D3057" s="293">
        <v>893911.352174</v>
      </c>
      <c r="E3057" s="293">
        <v>42932.979670000001</v>
      </c>
      <c r="F3057" s="294" t="s">
        <v>876</v>
      </c>
    </row>
    <row r="3058" spans="1:6" hidden="1" outlineLevel="1" collapsed="1" x14ac:dyDescent="0.25">
      <c r="A3058" s="295" t="s">
        <v>282</v>
      </c>
      <c r="B3058" s="295" t="s">
        <v>358</v>
      </c>
      <c r="C3058" s="293">
        <v>506643.51997199998</v>
      </c>
      <c r="D3058" s="293">
        <v>519745.77196799999</v>
      </c>
      <c r="E3058" s="293">
        <v>13102.251996000001</v>
      </c>
      <c r="F3058" s="294" t="s">
        <v>1351</v>
      </c>
    </row>
    <row r="3059" spans="1:6" hidden="1" outlineLevel="1" collapsed="1" x14ac:dyDescent="0.25">
      <c r="A3059" s="295" t="s">
        <v>282</v>
      </c>
      <c r="B3059" s="295" t="s">
        <v>412</v>
      </c>
      <c r="C3059" s="293">
        <v>7000</v>
      </c>
      <c r="D3059" s="293">
        <v>7000</v>
      </c>
      <c r="E3059" s="293">
        <v>0</v>
      </c>
      <c r="F3059" s="294" t="s">
        <v>316</v>
      </c>
    </row>
    <row r="3060" spans="1:6" hidden="1" outlineLevel="1" collapsed="1" x14ac:dyDescent="0.25">
      <c r="A3060" s="295" t="s">
        <v>282</v>
      </c>
      <c r="B3060" s="295" t="s">
        <v>380</v>
      </c>
      <c r="C3060" s="293">
        <v>45049.381187999999</v>
      </c>
      <c r="D3060" s="293">
        <v>48688.094711999998</v>
      </c>
      <c r="E3060" s="293">
        <v>3638.7135239999998</v>
      </c>
      <c r="F3060" s="294" t="s">
        <v>1352</v>
      </c>
    </row>
    <row r="3061" spans="1:6" hidden="1" outlineLevel="1" collapsed="1" x14ac:dyDescent="0.25">
      <c r="A3061" s="295" t="s">
        <v>282</v>
      </c>
      <c r="B3061" s="295" t="s">
        <v>935</v>
      </c>
      <c r="C3061" s="293">
        <v>678</v>
      </c>
      <c r="D3061" s="293">
        <v>0</v>
      </c>
      <c r="E3061" s="293">
        <v>-678</v>
      </c>
      <c r="F3061" s="294" t="s">
        <v>286</v>
      </c>
    </row>
    <row r="3062" spans="1:6" hidden="1" outlineLevel="1" collapsed="1" x14ac:dyDescent="0.25">
      <c r="A3062" s="295" t="s">
        <v>282</v>
      </c>
      <c r="B3062" s="295" t="s">
        <v>818</v>
      </c>
      <c r="C3062" s="293">
        <v>95940</v>
      </c>
      <c r="D3062" s="293">
        <v>95940</v>
      </c>
      <c r="E3062" s="293">
        <v>0</v>
      </c>
      <c r="F3062" s="294" t="s">
        <v>316</v>
      </c>
    </row>
    <row r="3063" spans="1:6" hidden="1" outlineLevel="1" collapsed="1" x14ac:dyDescent="0.25">
      <c r="A3063" s="295" t="s">
        <v>282</v>
      </c>
      <c r="B3063" s="295" t="s">
        <v>360</v>
      </c>
      <c r="C3063" s="293">
        <v>66116.979324</v>
      </c>
      <c r="D3063" s="293">
        <v>74999.314864</v>
      </c>
      <c r="E3063" s="293">
        <v>8882.33554</v>
      </c>
      <c r="F3063" s="294" t="s">
        <v>1353</v>
      </c>
    </row>
    <row r="3064" spans="1:6" hidden="1" outlineLevel="1" collapsed="1" x14ac:dyDescent="0.25">
      <c r="A3064" s="295" t="s">
        <v>282</v>
      </c>
      <c r="B3064" s="295" t="s">
        <v>384</v>
      </c>
      <c r="C3064" s="293">
        <v>5585.1729420000001</v>
      </c>
      <c r="D3064" s="293">
        <v>0</v>
      </c>
      <c r="E3064" s="293">
        <v>-5585.1729420000001</v>
      </c>
      <c r="F3064" s="294" t="s">
        <v>286</v>
      </c>
    </row>
    <row r="3065" spans="1:6" hidden="1" outlineLevel="1" collapsed="1" x14ac:dyDescent="0.25">
      <c r="A3065" s="295" t="s">
        <v>282</v>
      </c>
      <c r="B3065" s="295" t="s">
        <v>385</v>
      </c>
      <c r="C3065" s="293">
        <v>0</v>
      </c>
      <c r="D3065" s="293">
        <v>7589.6808419999998</v>
      </c>
      <c r="E3065" s="293">
        <v>7589.6808419999998</v>
      </c>
      <c r="F3065" s="294" t="s">
        <v>298</v>
      </c>
    </row>
    <row r="3066" spans="1:6" hidden="1" outlineLevel="1" collapsed="1" x14ac:dyDescent="0.25">
      <c r="A3066" s="295" t="s">
        <v>282</v>
      </c>
      <c r="B3066" s="295" t="s">
        <v>386</v>
      </c>
      <c r="C3066" s="293">
        <v>2793.0616319999999</v>
      </c>
      <c r="D3066" s="293">
        <v>0</v>
      </c>
      <c r="E3066" s="293">
        <v>-2793.0616319999999</v>
      </c>
      <c r="F3066" s="294" t="s">
        <v>286</v>
      </c>
    </row>
    <row r="3067" spans="1:6" hidden="1" outlineLevel="1" collapsed="1" x14ac:dyDescent="0.25">
      <c r="A3067" s="295" t="s">
        <v>282</v>
      </c>
      <c r="B3067" s="295" t="s">
        <v>387</v>
      </c>
      <c r="C3067" s="293">
        <v>0</v>
      </c>
      <c r="D3067" s="293">
        <v>3018.6618659999999</v>
      </c>
      <c r="E3067" s="293">
        <v>3018.6618659999999</v>
      </c>
      <c r="F3067" s="294" t="s">
        <v>298</v>
      </c>
    </row>
    <row r="3068" spans="1:6" hidden="1" outlineLevel="1" collapsed="1" x14ac:dyDescent="0.25">
      <c r="A3068" s="295" t="s">
        <v>282</v>
      </c>
      <c r="B3068" s="295" t="s">
        <v>362</v>
      </c>
      <c r="C3068" s="293">
        <v>7447.8310080000001</v>
      </c>
      <c r="D3068" s="293">
        <v>7637.813658</v>
      </c>
      <c r="E3068" s="293">
        <v>189.98265000000001</v>
      </c>
      <c r="F3068" s="294" t="s">
        <v>1354</v>
      </c>
    </row>
    <row r="3069" spans="1:6" hidden="1" outlineLevel="1" collapsed="1" x14ac:dyDescent="0.25">
      <c r="A3069" s="295" t="s">
        <v>282</v>
      </c>
      <c r="B3069" s="295" t="s">
        <v>388</v>
      </c>
      <c r="C3069" s="293">
        <v>653.21602199999995</v>
      </c>
      <c r="D3069" s="293">
        <v>705.97736999999995</v>
      </c>
      <c r="E3069" s="293">
        <v>52.761347999999998</v>
      </c>
      <c r="F3069" s="294" t="s">
        <v>1352</v>
      </c>
    </row>
    <row r="3070" spans="1:6" hidden="1" outlineLevel="1" collapsed="1" x14ac:dyDescent="0.25">
      <c r="A3070" s="295" t="s">
        <v>282</v>
      </c>
      <c r="B3070" s="295" t="s">
        <v>363</v>
      </c>
      <c r="C3070" s="293">
        <v>2130.6239999999998</v>
      </c>
      <c r="D3070" s="293">
        <v>2110.1999999999998</v>
      </c>
      <c r="E3070" s="293">
        <v>-20.423999999999999</v>
      </c>
      <c r="F3070" s="294" t="s">
        <v>364</v>
      </c>
    </row>
    <row r="3071" spans="1:6" hidden="1" outlineLevel="1" collapsed="1" x14ac:dyDescent="0.25">
      <c r="A3071" s="295" t="s">
        <v>282</v>
      </c>
      <c r="B3071" s="295" t="s">
        <v>365</v>
      </c>
      <c r="C3071" s="293">
        <v>76792.800000000003</v>
      </c>
      <c r="D3071" s="293">
        <v>79796.399999999994</v>
      </c>
      <c r="E3071" s="293">
        <v>3003.6</v>
      </c>
      <c r="F3071" s="294" t="s">
        <v>366</v>
      </c>
    </row>
    <row r="3072" spans="1:6" hidden="1" outlineLevel="1" collapsed="1" x14ac:dyDescent="0.25">
      <c r="A3072" s="295" t="s">
        <v>282</v>
      </c>
      <c r="B3072" s="295" t="s">
        <v>367</v>
      </c>
      <c r="C3072" s="293">
        <v>1167.6959999999999</v>
      </c>
      <c r="D3072" s="293">
        <v>914.4</v>
      </c>
      <c r="E3072" s="293">
        <v>-253.29599999999999</v>
      </c>
      <c r="F3072" s="294" t="s">
        <v>368</v>
      </c>
    </row>
    <row r="3073" spans="1:6" hidden="1" outlineLevel="1" collapsed="1" x14ac:dyDescent="0.25">
      <c r="A3073" s="295" t="s">
        <v>282</v>
      </c>
      <c r="B3073" s="295" t="s">
        <v>444</v>
      </c>
      <c r="C3073" s="293">
        <v>8635</v>
      </c>
      <c r="D3073" s="293">
        <v>8545</v>
      </c>
      <c r="E3073" s="293">
        <v>-90</v>
      </c>
      <c r="F3073" s="294" t="s">
        <v>1355</v>
      </c>
    </row>
    <row r="3074" spans="1:6" hidden="1" outlineLevel="1" collapsed="1" x14ac:dyDescent="0.25">
      <c r="A3074" s="295" t="s">
        <v>282</v>
      </c>
      <c r="B3074" s="295" t="s">
        <v>389</v>
      </c>
      <c r="C3074" s="293">
        <v>426.12479999999999</v>
      </c>
      <c r="D3074" s="293">
        <v>422.04</v>
      </c>
      <c r="E3074" s="293">
        <v>-4.0848000000000004</v>
      </c>
      <c r="F3074" s="294" t="s">
        <v>364</v>
      </c>
    </row>
    <row r="3075" spans="1:6" hidden="1" outlineLevel="1" collapsed="1" x14ac:dyDescent="0.25">
      <c r="A3075" s="295" t="s">
        <v>282</v>
      </c>
      <c r="B3075" s="295" t="s">
        <v>390</v>
      </c>
      <c r="C3075" s="293">
        <v>0</v>
      </c>
      <c r="D3075" s="293">
        <v>15959.28</v>
      </c>
      <c r="E3075" s="293">
        <v>15959.28</v>
      </c>
      <c r="F3075" s="294" t="s">
        <v>298</v>
      </c>
    </row>
    <row r="3076" spans="1:6" hidden="1" outlineLevel="1" collapsed="1" x14ac:dyDescent="0.25">
      <c r="A3076" s="295" t="s">
        <v>282</v>
      </c>
      <c r="B3076" s="295" t="s">
        <v>392</v>
      </c>
      <c r="C3076" s="293">
        <v>233.53919999999999</v>
      </c>
      <c r="D3076" s="293">
        <v>182.88</v>
      </c>
      <c r="E3076" s="293">
        <v>-50.659199999999998</v>
      </c>
      <c r="F3076" s="294" t="s">
        <v>368</v>
      </c>
    </row>
    <row r="3077" spans="1:6" hidden="1" outlineLevel="1" collapsed="1" x14ac:dyDescent="0.25">
      <c r="A3077" s="295" t="s">
        <v>282</v>
      </c>
      <c r="B3077" s="295" t="s">
        <v>369</v>
      </c>
      <c r="C3077" s="293">
        <v>256.821732</v>
      </c>
      <c r="D3077" s="293">
        <v>263.37285400000002</v>
      </c>
      <c r="E3077" s="293">
        <v>6.5511220000000003</v>
      </c>
      <c r="F3077" s="294" t="s">
        <v>1354</v>
      </c>
    </row>
    <row r="3078" spans="1:6" hidden="1" outlineLevel="1" collapsed="1" x14ac:dyDescent="0.25">
      <c r="A3078" s="295" t="s">
        <v>282</v>
      </c>
      <c r="B3078" s="295" t="s">
        <v>393</v>
      </c>
      <c r="C3078" s="293">
        <v>22.524684000000001</v>
      </c>
      <c r="D3078" s="293">
        <v>24.34404</v>
      </c>
      <c r="E3078" s="293">
        <v>1.819356</v>
      </c>
      <c r="F3078" s="294" t="s">
        <v>1352</v>
      </c>
    </row>
    <row r="3079" spans="1:6" hidden="1" outlineLevel="1" collapsed="1" x14ac:dyDescent="0.25">
      <c r="A3079" s="295" t="s">
        <v>282</v>
      </c>
      <c r="B3079" s="295" t="s">
        <v>370</v>
      </c>
      <c r="C3079" s="293">
        <v>7500</v>
      </c>
      <c r="D3079" s="293">
        <v>7500</v>
      </c>
      <c r="E3079" s="293">
        <v>0</v>
      </c>
      <c r="F3079" s="294" t="s">
        <v>316</v>
      </c>
    </row>
    <row r="3080" spans="1:6" hidden="1" outlineLevel="1" collapsed="1" x14ac:dyDescent="0.25">
      <c r="A3080" s="295" t="s">
        <v>282</v>
      </c>
      <c r="B3080" s="295" t="s">
        <v>394</v>
      </c>
      <c r="C3080" s="293">
        <v>1500</v>
      </c>
      <c r="D3080" s="293">
        <v>0</v>
      </c>
      <c r="E3080" s="293">
        <v>-1500</v>
      </c>
      <c r="F3080" s="294" t="s">
        <v>286</v>
      </c>
    </row>
    <row r="3081" spans="1:6" hidden="1" outlineLevel="1" collapsed="1" x14ac:dyDescent="0.25">
      <c r="A3081" s="295" t="s">
        <v>282</v>
      </c>
      <c r="B3081" s="295" t="s">
        <v>395</v>
      </c>
      <c r="C3081" s="293">
        <v>0</v>
      </c>
      <c r="D3081" s="293">
        <v>1500</v>
      </c>
      <c r="E3081" s="293">
        <v>1500</v>
      </c>
      <c r="F3081" s="294" t="s">
        <v>298</v>
      </c>
    </row>
    <row r="3082" spans="1:6" hidden="1" outlineLevel="1" collapsed="1" x14ac:dyDescent="0.25">
      <c r="A3082" s="295" t="s">
        <v>282</v>
      </c>
      <c r="B3082" s="295" t="s">
        <v>371</v>
      </c>
      <c r="C3082" s="293">
        <v>248.4</v>
      </c>
      <c r="D3082" s="293">
        <v>242.4</v>
      </c>
      <c r="E3082" s="293">
        <v>-6</v>
      </c>
      <c r="F3082" s="294" t="s">
        <v>372</v>
      </c>
    </row>
    <row r="3083" spans="1:6" hidden="1" outlineLevel="1" collapsed="1" x14ac:dyDescent="0.25">
      <c r="A3083" s="295" t="s">
        <v>282</v>
      </c>
      <c r="B3083" s="295" t="s">
        <v>396</v>
      </c>
      <c r="C3083" s="293">
        <v>49.68</v>
      </c>
      <c r="D3083" s="293">
        <v>0</v>
      </c>
      <c r="E3083" s="293">
        <v>-49.68</v>
      </c>
      <c r="F3083" s="294" t="s">
        <v>286</v>
      </c>
    </row>
    <row r="3084" spans="1:6" hidden="1" outlineLevel="1" collapsed="1" x14ac:dyDescent="0.25">
      <c r="A3084" s="295" t="s">
        <v>282</v>
      </c>
      <c r="B3084" s="295" t="s">
        <v>397</v>
      </c>
      <c r="C3084" s="293">
        <v>0</v>
      </c>
      <c r="D3084" s="293">
        <v>48.48</v>
      </c>
      <c r="E3084" s="293">
        <v>48.48</v>
      </c>
      <c r="F3084" s="294" t="s">
        <v>298</v>
      </c>
    </row>
    <row r="3085" spans="1:6" hidden="1" outlineLevel="1" collapsed="1" x14ac:dyDescent="0.25">
      <c r="A3085" s="295" t="s">
        <v>282</v>
      </c>
      <c r="B3085" s="295" t="s">
        <v>373</v>
      </c>
      <c r="C3085" s="293">
        <v>120</v>
      </c>
      <c r="D3085" s="293">
        <v>55.2</v>
      </c>
      <c r="E3085" s="293">
        <v>-64.8</v>
      </c>
      <c r="F3085" s="294" t="s">
        <v>374</v>
      </c>
    </row>
    <row r="3086" spans="1:6" hidden="1" outlineLevel="1" collapsed="1" x14ac:dyDescent="0.25">
      <c r="A3086" s="295" t="s">
        <v>282</v>
      </c>
      <c r="B3086" s="295" t="s">
        <v>398</v>
      </c>
      <c r="C3086" s="293">
        <v>24</v>
      </c>
      <c r="D3086" s="293">
        <v>11.04</v>
      </c>
      <c r="E3086" s="293">
        <v>-12.96</v>
      </c>
      <c r="F3086" s="294" t="s">
        <v>374</v>
      </c>
    </row>
    <row r="3087" spans="1:6" hidden="1" outlineLevel="1" collapsed="1" x14ac:dyDescent="0.25">
      <c r="A3087" s="295" t="s">
        <v>282</v>
      </c>
      <c r="B3087" s="295" t="s">
        <v>522</v>
      </c>
      <c r="C3087" s="293">
        <v>3000</v>
      </c>
      <c r="D3087" s="293">
        <v>0</v>
      </c>
      <c r="E3087" s="293">
        <v>-3000</v>
      </c>
      <c r="F3087" s="294" t="s">
        <v>286</v>
      </c>
    </row>
    <row r="3088" spans="1:6" hidden="1" outlineLevel="1" collapsed="1" x14ac:dyDescent="0.25">
      <c r="A3088" s="295" t="s">
        <v>282</v>
      </c>
      <c r="B3088" s="295" t="s">
        <v>375</v>
      </c>
      <c r="C3088" s="293">
        <v>5983</v>
      </c>
      <c r="D3088" s="293">
        <v>5751</v>
      </c>
      <c r="E3088" s="293">
        <v>-232</v>
      </c>
      <c r="F3088" s="294" t="s">
        <v>1356</v>
      </c>
    </row>
    <row r="3089" spans="1:6" hidden="1" outlineLevel="1" collapsed="1" x14ac:dyDescent="0.25">
      <c r="A3089" s="295" t="s">
        <v>282</v>
      </c>
      <c r="B3089" s="295" t="s">
        <v>376</v>
      </c>
      <c r="C3089" s="293">
        <v>1013</v>
      </c>
      <c r="D3089" s="293">
        <v>800</v>
      </c>
      <c r="E3089" s="293">
        <v>-213</v>
      </c>
      <c r="F3089" s="294" t="s">
        <v>1357</v>
      </c>
    </row>
    <row r="3090" spans="1:6" hidden="1" outlineLevel="1" collapsed="1" x14ac:dyDescent="0.25">
      <c r="A3090" s="295" t="s">
        <v>282</v>
      </c>
      <c r="B3090" s="295" t="s">
        <v>482</v>
      </c>
      <c r="C3090" s="293">
        <v>1168</v>
      </c>
      <c r="D3090" s="293">
        <v>1200</v>
      </c>
      <c r="E3090" s="293">
        <v>32</v>
      </c>
      <c r="F3090" s="294" t="s">
        <v>1358</v>
      </c>
    </row>
    <row r="3091" spans="1:6" hidden="1" outlineLevel="1" collapsed="1" x14ac:dyDescent="0.25">
      <c r="A3091" s="295" t="s">
        <v>282</v>
      </c>
      <c r="B3091" s="295" t="s">
        <v>403</v>
      </c>
      <c r="C3091" s="293">
        <v>0</v>
      </c>
      <c r="D3091" s="293">
        <v>1010</v>
      </c>
      <c r="E3091" s="293">
        <v>1010</v>
      </c>
      <c r="F3091" s="294" t="s">
        <v>298</v>
      </c>
    </row>
    <row r="3092" spans="1:6" hidden="1" outlineLevel="1" collapsed="1" x14ac:dyDescent="0.25">
      <c r="A3092" s="295" t="s">
        <v>282</v>
      </c>
      <c r="B3092" s="295" t="s">
        <v>405</v>
      </c>
      <c r="C3092" s="293">
        <v>2800</v>
      </c>
      <c r="D3092" s="293">
        <v>2250</v>
      </c>
      <c r="E3092" s="293">
        <v>-550</v>
      </c>
      <c r="F3092" s="294" t="s">
        <v>1359</v>
      </c>
    </row>
    <row r="3093" spans="1:6" collapsed="1" x14ac:dyDescent="0.25">
      <c r="A3093" s="560" t="s">
        <v>1360</v>
      </c>
      <c r="B3093" s="561"/>
      <c r="C3093" s="292">
        <v>107123.605824</v>
      </c>
      <c r="D3093" s="293">
        <v>111045.02039200001</v>
      </c>
      <c r="E3093" s="293">
        <v>3921.4145680000001</v>
      </c>
      <c r="F3093" s="294" t="s">
        <v>414</v>
      </c>
    </row>
    <row r="3094" spans="1:6" hidden="1" outlineLevel="1" collapsed="1" x14ac:dyDescent="0.25">
      <c r="A3094" s="295" t="s">
        <v>282</v>
      </c>
      <c r="B3094" s="295" t="s">
        <v>358</v>
      </c>
      <c r="C3094" s="293">
        <v>76192.127999999997</v>
      </c>
      <c r="D3094" s="293">
        <v>78645.772800000006</v>
      </c>
      <c r="E3094" s="293">
        <v>2453.6448</v>
      </c>
      <c r="F3094" s="294" t="s">
        <v>647</v>
      </c>
    </row>
    <row r="3095" spans="1:6" hidden="1" outlineLevel="1" collapsed="1" x14ac:dyDescent="0.25">
      <c r="A3095" s="295" t="s">
        <v>282</v>
      </c>
      <c r="B3095" s="295" t="s">
        <v>412</v>
      </c>
      <c r="C3095" s="293">
        <v>4800</v>
      </c>
      <c r="D3095" s="293">
        <v>4800</v>
      </c>
      <c r="E3095" s="293">
        <v>0</v>
      </c>
      <c r="F3095" s="294" t="s">
        <v>316</v>
      </c>
    </row>
    <row r="3096" spans="1:6" hidden="1" outlineLevel="1" collapsed="1" x14ac:dyDescent="0.25">
      <c r="A3096" s="295" t="s">
        <v>282</v>
      </c>
      <c r="B3096" s="295" t="s">
        <v>360</v>
      </c>
      <c r="C3096" s="293">
        <v>9943.0727040000002</v>
      </c>
      <c r="D3096" s="293">
        <v>11348.585008</v>
      </c>
      <c r="E3096" s="293">
        <v>1405.5123040000001</v>
      </c>
      <c r="F3096" s="294" t="s">
        <v>1340</v>
      </c>
    </row>
    <row r="3097" spans="1:6" hidden="1" outlineLevel="1" collapsed="1" x14ac:dyDescent="0.25">
      <c r="A3097" s="295" t="s">
        <v>282</v>
      </c>
      <c r="B3097" s="295" t="s">
        <v>362</v>
      </c>
      <c r="C3097" s="293">
        <v>1174.3858560000001</v>
      </c>
      <c r="D3097" s="293">
        <v>1209.963704</v>
      </c>
      <c r="E3097" s="293">
        <v>35.577848000000003</v>
      </c>
      <c r="F3097" s="294" t="s">
        <v>702</v>
      </c>
    </row>
    <row r="3098" spans="1:6" hidden="1" outlineLevel="1" collapsed="1" x14ac:dyDescent="0.25">
      <c r="A3098" s="295" t="s">
        <v>282</v>
      </c>
      <c r="B3098" s="295" t="s">
        <v>363</v>
      </c>
      <c r="C3098" s="293">
        <v>340.89983999999998</v>
      </c>
      <c r="D3098" s="293">
        <v>337.63200000000001</v>
      </c>
      <c r="E3098" s="293">
        <v>-3.2678400000000001</v>
      </c>
      <c r="F3098" s="294" t="s">
        <v>364</v>
      </c>
    </row>
    <row r="3099" spans="1:6" hidden="1" outlineLevel="1" collapsed="1" x14ac:dyDescent="0.25">
      <c r="A3099" s="295" t="s">
        <v>282</v>
      </c>
      <c r="B3099" s="295" t="s">
        <v>365</v>
      </c>
      <c r="C3099" s="293">
        <v>12286.848</v>
      </c>
      <c r="D3099" s="293">
        <v>12767.424000000001</v>
      </c>
      <c r="E3099" s="293">
        <v>480.57600000000002</v>
      </c>
      <c r="F3099" s="294" t="s">
        <v>366</v>
      </c>
    </row>
    <row r="3100" spans="1:6" hidden="1" outlineLevel="1" collapsed="1" x14ac:dyDescent="0.25">
      <c r="A3100" s="295" t="s">
        <v>282</v>
      </c>
      <c r="B3100" s="295" t="s">
        <v>367</v>
      </c>
      <c r="C3100" s="293">
        <v>186.83135999999999</v>
      </c>
      <c r="D3100" s="293">
        <v>146.304</v>
      </c>
      <c r="E3100" s="293">
        <v>-40.527360000000002</v>
      </c>
      <c r="F3100" s="294" t="s">
        <v>368</v>
      </c>
    </row>
    <row r="3101" spans="1:6" hidden="1" outlineLevel="1" collapsed="1" x14ac:dyDescent="0.25">
      <c r="A3101" s="295" t="s">
        <v>282</v>
      </c>
      <c r="B3101" s="295" t="s">
        <v>369</v>
      </c>
      <c r="C3101" s="293">
        <v>40.496063999999997</v>
      </c>
      <c r="D3101" s="293">
        <v>41.722880000000004</v>
      </c>
      <c r="E3101" s="293">
        <v>1.2268159999999999</v>
      </c>
      <c r="F3101" s="294" t="s">
        <v>702</v>
      </c>
    </row>
    <row r="3102" spans="1:6" hidden="1" outlineLevel="1" collapsed="1" x14ac:dyDescent="0.25">
      <c r="A3102" s="295" t="s">
        <v>282</v>
      </c>
      <c r="B3102" s="295" t="s">
        <v>370</v>
      </c>
      <c r="C3102" s="293">
        <v>1200</v>
      </c>
      <c r="D3102" s="293">
        <v>1200</v>
      </c>
      <c r="E3102" s="293">
        <v>0</v>
      </c>
      <c r="F3102" s="294" t="s">
        <v>316</v>
      </c>
    </row>
    <row r="3103" spans="1:6" hidden="1" outlineLevel="1" collapsed="1" x14ac:dyDescent="0.25">
      <c r="A3103" s="295" t="s">
        <v>282</v>
      </c>
      <c r="B3103" s="295" t="s">
        <v>371</v>
      </c>
      <c r="C3103" s="293">
        <v>39.744</v>
      </c>
      <c r="D3103" s="293">
        <v>38.783999999999999</v>
      </c>
      <c r="E3103" s="293">
        <v>-0.96</v>
      </c>
      <c r="F3103" s="294" t="s">
        <v>372</v>
      </c>
    </row>
    <row r="3104" spans="1:6" hidden="1" outlineLevel="1" collapsed="1" x14ac:dyDescent="0.25">
      <c r="A3104" s="295" t="s">
        <v>282</v>
      </c>
      <c r="B3104" s="295" t="s">
        <v>373</v>
      </c>
      <c r="C3104" s="293">
        <v>19.2</v>
      </c>
      <c r="D3104" s="293">
        <v>8.8320000000000007</v>
      </c>
      <c r="E3104" s="293">
        <v>-10.368</v>
      </c>
      <c r="F3104" s="294" t="s">
        <v>374</v>
      </c>
    </row>
    <row r="3105" spans="1:6" hidden="1" outlineLevel="1" collapsed="1" x14ac:dyDescent="0.25">
      <c r="A3105" s="295" t="s">
        <v>282</v>
      </c>
      <c r="B3105" s="295" t="s">
        <v>375</v>
      </c>
      <c r="C3105" s="293">
        <v>300</v>
      </c>
      <c r="D3105" s="293">
        <v>0</v>
      </c>
      <c r="E3105" s="293">
        <v>-300</v>
      </c>
      <c r="F3105" s="294" t="s">
        <v>286</v>
      </c>
    </row>
    <row r="3106" spans="1:6" hidden="1" outlineLevel="1" collapsed="1" x14ac:dyDescent="0.25">
      <c r="A3106" s="295" t="s">
        <v>282</v>
      </c>
      <c r="B3106" s="295" t="s">
        <v>376</v>
      </c>
      <c r="C3106" s="293">
        <v>300</v>
      </c>
      <c r="D3106" s="293">
        <v>200</v>
      </c>
      <c r="E3106" s="293">
        <v>-100</v>
      </c>
      <c r="F3106" s="294" t="s">
        <v>858</v>
      </c>
    </row>
    <row r="3107" spans="1:6" hidden="1" outlineLevel="1" collapsed="1" x14ac:dyDescent="0.25">
      <c r="A3107" s="295" t="s">
        <v>282</v>
      </c>
      <c r="B3107" s="295" t="s">
        <v>482</v>
      </c>
      <c r="C3107" s="293">
        <v>300</v>
      </c>
      <c r="D3107" s="293">
        <v>300</v>
      </c>
      <c r="E3107" s="293">
        <v>0</v>
      </c>
      <c r="F3107" s="294" t="s">
        <v>316</v>
      </c>
    </row>
    <row r="3108" spans="1:6" collapsed="1" x14ac:dyDescent="0.25">
      <c r="A3108" s="560" t="s">
        <v>1361</v>
      </c>
      <c r="B3108" s="561"/>
      <c r="C3108" s="292">
        <v>675401.49291200005</v>
      </c>
      <c r="D3108" s="293">
        <v>821263.68868799997</v>
      </c>
      <c r="E3108" s="293">
        <v>145862.19577600001</v>
      </c>
      <c r="F3108" s="294" t="s">
        <v>1362</v>
      </c>
    </row>
    <row r="3109" spans="1:6" hidden="1" outlineLevel="1" collapsed="1" x14ac:dyDescent="0.25">
      <c r="A3109" s="295" t="s">
        <v>282</v>
      </c>
      <c r="B3109" s="295" t="s">
        <v>358</v>
      </c>
      <c r="C3109" s="293">
        <v>511464.864</v>
      </c>
      <c r="D3109" s="293">
        <v>611033.96256000001</v>
      </c>
      <c r="E3109" s="293">
        <v>99569.098559999999</v>
      </c>
      <c r="F3109" s="294" t="s">
        <v>1363</v>
      </c>
    </row>
    <row r="3110" spans="1:6" hidden="1" outlineLevel="1" collapsed="1" x14ac:dyDescent="0.25">
      <c r="A3110" s="295" t="s">
        <v>282</v>
      </c>
      <c r="B3110" s="295" t="s">
        <v>360</v>
      </c>
      <c r="C3110" s="293">
        <v>66746.164751999997</v>
      </c>
      <c r="D3110" s="293">
        <v>88172.200761999993</v>
      </c>
      <c r="E3110" s="293">
        <v>21426.03601</v>
      </c>
      <c r="F3110" s="294" t="s">
        <v>1364</v>
      </c>
    </row>
    <row r="3111" spans="1:6" hidden="1" outlineLevel="1" collapsed="1" x14ac:dyDescent="0.25">
      <c r="A3111" s="295" t="s">
        <v>282</v>
      </c>
      <c r="B3111" s="295" t="s">
        <v>362</v>
      </c>
      <c r="C3111" s="293">
        <v>7416.2405280000003</v>
      </c>
      <c r="D3111" s="293">
        <v>8859.9924140000003</v>
      </c>
      <c r="E3111" s="293">
        <v>1443.751886</v>
      </c>
      <c r="F3111" s="294" t="s">
        <v>1363</v>
      </c>
    </row>
    <row r="3112" spans="1:6" hidden="1" outlineLevel="1" collapsed="1" x14ac:dyDescent="0.25">
      <c r="A3112" s="295" t="s">
        <v>282</v>
      </c>
      <c r="B3112" s="295" t="s">
        <v>363</v>
      </c>
      <c r="C3112" s="293">
        <v>2436.0134400000002</v>
      </c>
      <c r="D3112" s="293">
        <v>2869.8719999999998</v>
      </c>
      <c r="E3112" s="293">
        <v>433.85856000000001</v>
      </c>
      <c r="F3112" s="294" t="s">
        <v>1365</v>
      </c>
    </row>
    <row r="3113" spans="1:6" hidden="1" outlineLevel="1" collapsed="1" x14ac:dyDescent="0.25">
      <c r="A3113" s="295" t="s">
        <v>282</v>
      </c>
      <c r="B3113" s="295" t="s">
        <v>365</v>
      </c>
      <c r="C3113" s="293">
        <v>72441.207999999999</v>
      </c>
      <c r="D3113" s="293">
        <v>92563.823999999993</v>
      </c>
      <c r="E3113" s="293">
        <v>20122.616000000002</v>
      </c>
      <c r="F3113" s="294" t="s">
        <v>1366</v>
      </c>
    </row>
    <row r="3114" spans="1:6" hidden="1" outlineLevel="1" collapsed="1" x14ac:dyDescent="0.25">
      <c r="A3114" s="295" t="s">
        <v>282</v>
      </c>
      <c r="B3114" s="295" t="s">
        <v>367</v>
      </c>
      <c r="C3114" s="293">
        <v>1335.06576</v>
      </c>
      <c r="D3114" s="293">
        <v>1243.5840000000001</v>
      </c>
      <c r="E3114" s="293">
        <v>-91.481759999999994</v>
      </c>
      <c r="F3114" s="294" t="s">
        <v>1367</v>
      </c>
    </row>
    <row r="3115" spans="1:6" hidden="1" outlineLevel="1" collapsed="1" x14ac:dyDescent="0.25">
      <c r="A3115" s="295" t="s">
        <v>282</v>
      </c>
      <c r="B3115" s="295" t="s">
        <v>369</v>
      </c>
      <c r="C3115" s="293">
        <v>255.73243199999999</v>
      </c>
      <c r="D3115" s="293">
        <v>305.516952</v>
      </c>
      <c r="E3115" s="293">
        <v>49.784520000000001</v>
      </c>
      <c r="F3115" s="294" t="s">
        <v>1363</v>
      </c>
    </row>
    <row r="3116" spans="1:6" hidden="1" outlineLevel="1" collapsed="1" x14ac:dyDescent="0.25">
      <c r="A3116" s="295" t="s">
        <v>282</v>
      </c>
      <c r="B3116" s="295" t="s">
        <v>370</v>
      </c>
      <c r="C3116" s="293">
        <v>8575</v>
      </c>
      <c r="D3116" s="293">
        <v>10200</v>
      </c>
      <c r="E3116" s="293">
        <v>1625</v>
      </c>
      <c r="F3116" s="294" t="s">
        <v>1368</v>
      </c>
    </row>
    <row r="3117" spans="1:6" hidden="1" outlineLevel="1" collapsed="1" x14ac:dyDescent="0.25">
      <c r="A3117" s="295" t="s">
        <v>282</v>
      </c>
      <c r="B3117" s="295" t="s">
        <v>371</v>
      </c>
      <c r="C3117" s="293">
        <v>284.00400000000002</v>
      </c>
      <c r="D3117" s="293">
        <v>329.66399999999999</v>
      </c>
      <c r="E3117" s="293">
        <v>45.66</v>
      </c>
      <c r="F3117" s="294" t="s">
        <v>1369</v>
      </c>
    </row>
    <row r="3118" spans="1:6" hidden="1" outlineLevel="1" collapsed="1" x14ac:dyDescent="0.25">
      <c r="A3118" s="295" t="s">
        <v>282</v>
      </c>
      <c r="B3118" s="295" t="s">
        <v>373</v>
      </c>
      <c r="C3118" s="293">
        <v>137.19999999999999</v>
      </c>
      <c r="D3118" s="293">
        <v>75.072000000000003</v>
      </c>
      <c r="E3118" s="293">
        <v>-62.128</v>
      </c>
      <c r="F3118" s="294" t="s">
        <v>1370</v>
      </c>
    </row>
    <row r="3119" spans="1:6" hidden="1" outlineLevel="1" collapsed="1" x14ac:dyDescent="0.25">
      <c r="A3119" s="295" t="s">
        <v>282</v>
      </c>
      <c r="B3119" s="295" t="s">
        <v>445</v>
      </c>
      <c r="C3119" s="293">
        <v>3000</v>
      </c>
      <c r="D3119" s="293">
        <v>3000</v>
      </c>
      <c r="E3119" s="293">
        <v>0</v>
      </c>
      <c r="F3119" s="294" t="s">
        <v>316</v>
      </c>
    </row>
    <row r="3120" spans="1:6" hidden="1" outlineLevel="1" collapsed="1" x14ac:dyDescent="0.25">
      <c r="A3120" s="295" t="s">
        <v>282</v>
      </c>
      <c r="B3120" s="295" t="s">
        <v>375</v>
      </c>
      <c r="C3120" s="293">
        <v>0</v>
      </c>
      <c r="D3120" s="293">
        <v>250</v>
      </c>
      <c r="E3120" s="293">
        <v>250</v>
      </c>
      <c r="F3120" s="294" t="s">
        <v>298</v>
      </c>
    </row>
    <row r="3121" spans="1:6" hidden="1" outlineLevel="1" collapsed="1" x14ac:dyDescent="0.25">
      <c r="A3121" s="295" t="s">
        <v>282</v>
      </c>
      <c r="B3121" s="295" t="s">
        <v>376</v>
      </c>
      <c r="C3121" s="293">
        <v>0</v>
      </c>
      <c r="D3121" s="293">
        <v>250</v>
      </c>
      <c r="E3121" s="293">
        <v>250</v>
      </c>
      <c r="F3121" s="294" t="s">
        <v>298</v>
      </c>
    </row>
    <row r="3122" spans="1:6" hidden="1" outlineLevel="1" collapsed="1" x14ac:dyDescent="0.25">
      <c r="A3122" s="295" t="s">
        <v>282</v>
      </c>
      <c r="B3122" s="295" t="s">
        <v>567</v>
      </c>
      <c r="C3122" s="293">
        <v>900</v>
      </c>
      <c r="D3122" s="293">
        <v>1500</v>
      </c>
      <c r="E3122" s="293">
        <v>600</v>
      </c>
      <c r="F3122" s="294" t="s">
        <v>829</v>
      </c>
    </row>
    <row r="3123" spans="1:6" hidden="1" outlineLevel="1" collapsed="1" x14ac:dyDescent="0.25">
      <c r="A3123" s="295" t="s">
        <v>282</v>
      </c>
      <c r="B3123" s="295" t="s">
        <v>426</v>
      </c>
      <c r="C3123" s="293">
        <v>300</v>
      </c>
      <c r="D3123" s="293">
        <v>500</v>
      </c>
      <c r="E3123" s="293">
        <v>200</v>
      </c>
      <c r="F3123" s="294" t="s">
        <v>829</v>
      </c>
    </row>
    <row r="3124" spans="1:6" hidden="1" outlineLevel="1" collapsed="1" x14ac:dyDescent="0.25">
      <c r="A3124" s="295" t="s">
        <v>282</v>
      </c>
      <c r="B3124" s="295" t="s">
        <v>597</v>
      </c>
      <c r="C3124" s="293">
        <v>110</v>
      </c>
      <c r="D3124" s="293">
        <v>110</v>
      </c>
      <c r="E3124" s="293">
        <v>0</v>
      </c>
      <c r="F3124" s="294" t="s">
        <v>316</v>
      </c>
    </row>
    <row r="3125" spans="1:6" collapsed="1" x14ac:dyDescent="0.25">
      <c r="A3125" s="560" t="s">
        <v>1371</v>
      </c>
      <c r="B3125" s="561"/>
      <c r="C3125" s="292">
        <v>246603.86748399999</v>
      </c>
      <c r="D3125" s="293">
        <v>256895.78118399999</v>
      </c>
      <c r="E3125" s="293">
        <v>10291.913699999999</v>
      </c>
      <c r="F3125" s="294" t="s">
        <v>733</v>
      </c>
    </row>
    <row r="3126" spans="1:6" hidden="1" outlineLevel="1" collapsed="1" x14ac:dyDescent="0.25">
      <c r="A3126" s="295" t="s">
        <v>282</v>
      </c>
      <c r="B3126" s="295" t="s">
        <v>358</v>
      </c>
      <c r="C3126" s="293">
        <v>181021.439988</v>
      </c>
      <c r="D3126" s="293">
        <v>186826.82758799999</v>
      </c>
      <c r="E3126" s="293">
        <v>5805.3876</v>
      </c>
      <c r="F3126" s="294" t="s">
        <v>359</v>
      </c>
    </row>
    <row r="3127" spans="1:6" hidden="1" outlineLevel="1" collapsed="1" x14ac:dyDescent="0.25">
      <c r="A3127" s="295" t="s">
        <v>282</v>
      </c>
      <c r="B3127" s="295" t="s">
        <v>412</v>
      </c>
      <c r="C3127" s="293">
        <v>4000</v>
      </c>
      <c r="D3127" s="293">
        <v>4000</v>
      </c>
      <c r="E3127" s="293">
        <v>0</v>
      </c>
      <c r="F3127" s="294" t="s">
        <v>316</v>
      </c>
    </row>
    <row r="3128" spans="1:6" hidden="1" outlineLevel="1" collapsed="1" x14ac:dyDescent="0.25">
      <c r="A3128" s="295" t="s">
        <v>282</v>
      </c>
      <c r="B3128" s="295" t="s">
        <v>360</v>
      </c>
      <c r="C3128" s="293">
        <v>23623.297908</v>
      </c>
      <c r="D3128" s="293">
        <v>26959.111214</v>
      </c>
      <c r="E3128" s="293">
        <v>3335.813306</v>
      </c>
      <c r="F3128" s="294" t="s">
        <v>701</v>
      </c>
    </row>
    <row r="3129" spans="1:6" hidden="1" outlineLevel="1" collapsed="1" x14ac:dyDescent="0.25">
      <c r="A3129" s="295" t="s">
        <v>282</v>
      </c>
      <c r="B3129" s="295" t="s">
        <v>362</v>
      </c>
      <c r="C3129" s="293">
        <v>2682.810876</v>
      </c>
      <c r="D3129" s="293">
        <v>2766.9889859999998</v>
      </c>
      <c r="E3129" s="293">
        <v>84.178110000000004</v>
      </c>
      <c r="F3129" s="294" t="s">
        <v>1372</v>
      </c>
    </row>
    <row r="3130" spans="1:6" hidden="1" outlineLevel="1" collapsed="1" x14ac:dyDescent="0.25">
      <c r="A3130" s="295" t="s">
        <v>282</v>
      </c>
      <c r="B3130" s="295" t="s">
        <v>363</v>
      </c>
      <c r="C3130" s="293">
        <v>852.24959999999999</v>
      </c>
      <c r="D3130" s="293">
        <v>844.08</v>
      </c>
      <c r="E3130" s="293">
        <v>-8.1696000000000009</v>
      </c>
      <c r="F3130" s="294" t="s">
        <v>364</v>
      </c>
    </row>
    <row r="3131" spans="1:6" hidden="1" outlineLevel="1" collapsed="1" x14ac:dyDescent="0.25">
      <c r="A3131" s="295" t="s">
        <v>282</v>
      </c>
      <c r="B3131" s="295" t="s">
        <v>365</v>
      </c>
      <c r="C3131" s="293">
        <v>30717.119999999999</v>
      </c>
      <c r="D3131" s="293">
        <v>31918.560000000001</v>
      </c>
      <c r="E3131" s="293">
        <v>1201.44</v>
      </c>
      <c r="F3131" s="294" t="s">
        <v>366</v>
      </c>
    </row>
    <row r="3132" spans="1:6" hidden="1" outlineLevel="1" collapsed="1" x14ac:dyDescent="0.25">
      <c r="A3132" s="295" t="s">
        <v>282</v>
      </c>
      <c r="B3132" s="295" t="s">
        <v>367</v>
      </c>
      <c r="C3132" s="293">
        <v>467.07839999999999</v>
      </c>
      <c r="D3132" s="293">
        <v>365.76</v>
      </c>
      <c r="E3132" s="293">
        <v>-101.3184</v>
      </c>
      <c r="F3132" s="294" t="s">
        <v>368</v>
      </c>
    </row>
    <row r="3133" spans="1:6" hidden="1" outlineLevel="1" collapsed="1" x14ac:dyDescent="0.25">
      <c r="A3133" s="295" t="s">
        <v>282</v>
      </c>
      <c r="B3133" s="295" t="s">
        <v>369</v>
      </c>
      <c r="C3133" s="293">
        <v>92.510711999999998</v>
      </c>
      <c r="D3133" s="293">
        <v>95.413396000000006</v>
      </c>
      <c r="E3133" s="293">
        <v>2.9026839999999998</v>
      </c>
      <c r="F3133" s="294" t="s">
        <v>1372</v>
      </c>
    </row>
    <row r="3134" spans="1:6" hidden="1" outlineLevel="1" collapsed="1" x14ac:dyDescent="0.25">
      <c r="A3134" s="295" t="s">
        <v>282</v>
      </c>
      <c r="B3134" s="295" t="s">
        <v>370</v>
      </c>
      <c r="C3134" s="293">
        <v>3000</v>
      </c>
      <c r="D3134" s="293">
        <v>3000</v>
      </c>
      <c r="E3134" s="293">
        <v>0</v>
      </c>
      <c r="F3134" s="294" t="s">
        <v>316</v>
      </c>
    </row>
    <row r="3135" spans="1:6" hidden="1" outlineLevel="1" collapsed="1" x14ac:dyDescent="0.25">
      <c r="A3135" s="295" t="s">
        <v>282</v>
      </c>
      <c r="B3135" s="295" t="s">
        <v>371</v>
      </c>
      <c r="C3135" s="293">
        <v>99.36</v>
      </c>
      <c r="D3135" s="293">
        <v>96.96</v>
      </c>
      <c r="E3135" s="293">
        <v>-2.4</v>
      </c>
      <c r="F3135" s="294" t="s">
        <v>372</v>
      </c>
    </row>
    <row r="3136" spans="1:6" hidden="1" outlineLevel="1" collapsed="1" x14ac:dyDescent="0.25">
      <c r="A3136" s="295" t="s">
        <v>282</v>
      </c>
      <c r="B3136" s="295" t="s">
        <v>373</v>
      </c>
      <c r="C3136" s="293">
        <v>48</v>
      </c>
      <c r="D3136" s="293">
        <v>22.08</v>
      </c>
      <c r="E3136" s="293">
        <v>-25.92</v>
      </c>
      <c r="F3136" s="294" t="s">
        <v>374</v>
      </c>
    </row>
    <row r="3137" spans="1:6" collapsed="1" x14ac:dyDescent="0.25">
      <c r="A3137" s="560" t="s">
        <v>1373</v>
      </c>
      <c r="B3137" s="561"/>
      <c r="C3137" s="292">
        <v>111231.58044000001</v>
      </c>
      <c r="D3137" s="293">
        <v>176083.636784</v>
      </c>
      <c r="E3137" s="293">
        <v>64852.056343999997</v>
      </c>
      <c r="F3137" s="294" t="s">
        <v>1374</v>
      </c>
    </row>
    <row r="3138" spans="1:6" hidden="1" outlineLevel="1" collapsed="1" x14ac:dyDescent="0.25">
      <c r="A3138" s="295" t="s">
        <v>282</v>
      </c>
      <c r="B3138" s="295" t="s">
        <v>358</v>
      </c>
      <c r="C3138" s="293">
        <v>81745.679999999993</v>
      </c>
      <c r="D3138" s="293">
        <v>130001.23248000001</v>
      </c>
      <c r="E3138" s="293">
        <v>48255.552479999998</v>
      </c>
      <c r="F3138" s="294" t="s">
        <v>1375</v>
      </c>
    </row>
    <row r="3139" spans="1:6" hidden="1" outlineLevel="1" collapsed="1" x14ac:dyDescent="0.25">
      <c r="A3139" s="295" t="s">
        <v>282</v>
      </c>
      <c r="B3139" s="295" t="s">
        <v>360</v>
      </c>
      <c r="C3139" s="293">
        <v>10667.811240000001</v>
      </c>
      <c r="D3139" s="293">
        <v>18759.177835999999</v>
      </c>
      <c r="E3139" s="293">
        <v>8091.3665959999998</v>
      </c>
      <c r="F3139" s="294" t="s">
        <v>1376</v>
      </c>
    </row>
    <row r="3140" spans="1:6" hidden="1" outlineLevel="1" collapsed="1" x14ac:dyDescent="0.25">
      <c r="A3140" s="295" t="s">
        <v>282</v>
      </c>
      <c r="B3140" s="295" t="s">
        <v>362</v>
      </c>
      <c r="C3140" s="293">
        <v>1185.3123599999999</v>
      </c>
      <c r="D3140" s="293">
        <v>1885.0178619999999</v>
      </c>
      <c r="E3140" s="293">
        <v>699.70550200000002</v>
      </c>
      <c r="F3140" s="294" t="s">
        <v>1375</v>
      </c>
    </row>
    <row r="3141" spans="1:6" hidden="1" outlineLevel="1" collapsed="1" x14ac:dyDescent="0.25">
      <c r="A3141" s="295" t="s">
        <v>282</v>
      </c>
      <c r="B3141" s="295" t="s">
        <v>363</v>
      </c>
      <c r="C3141" s="293">
        <v>426.12479999999999</v>
      </c>
      <c r="D3141" s="293">
        <v>590.85599999999999</v>
      </c>
      <c r="E3141" s="293">
        <v>164.7312</v>
      </c>
      <c r="F3141" s="294" t="s">
        <v>1377</v>
      </c>
    </row>
    <row r="3142" spans="1:6" hidden="1" outlineLevel="1" collapsed="1" x14ac:dyDescent="0.25">
      <c r="A3142" s="295" t="s">
        <v>282</v>
      </c>
      <c r="B3142" s="295" t="s">
        <v>365</v>
      </c>
      <c r="C3142" s="293">
        <v>15358.56</v>
      </c>
      <c r="D3142" s="293">
        <v>22342.991999999998</v>
      </c>
      <c r="E3142" s="293">
        <v>6984.4319999999998</v>
      </c>
      <c r="F3142" s="294" t="s">
        <v>1378</v>
      </c>
    </row>
    <row r="3143" spans="1:6" hidden="1" outlineLevel="1" collapsed="1" x14ac:dyDescent="0.25">
      <c r="A3143" s="295" t="s">
        <v>282</v>
      </c>
      <c r="B3143" s="295" t="s">
        <v>367</v>
      </c>
      <c r="C3143" s="293">
        <v>233.53919999999999</v>
      </c>
      <c r="D3143" s="293">
        <v>256.03199999999998</v>
      </c>
      <c r="E3143" s="293">
        <v>22.492799999999999</v>
      </c>
      <c r="F3143" s="294" t="s">
        <v>1379</v>
      </c>
    </row>
    <row r="3144" spans="1:6" hidden="1" outlineLevel="1" collapsed="1" x14ac:dyDescent="0.25">
      <c r="A3144" s="295" t="s">
        <v>282</v>
      </c>
      <c r="B3144" s="295" t="s">
        <v>369</v>
      </c>
      <c r="C3144" s="293">
        <v>40.872839999999997</v>
      </c>
      <c r="D3144" s="293">
        <v>65.000606000000005</v>
      </c>
      <c r="E3144" s="293">
        <v>24.127766000000001</v>
      </c>
      <c r="F3144" s="294" t="s">
        <v>1375</v>
      </c>
    </row>
    <row r="3145" spans="1:6" hidden="1" outlineLevel="1" collapsed="1" x14ac:dyDescent="0.25">
      <c r="A3145" s="295" t="s">
        <v>282</v>
      </c>
      <c r="B3145" s="295" t="s">
        <v>370</v>
      </c>
      <c r="C3145" s="293">
        <v>1500</v>
      </c>
      <c r="D3145" s="293">
        <v>2100</v>
      </c>
      <c r="E3145" s="293">
        <v>600</v>
      </c>
      <c r="F3145" s="294" t="s">
        <v>1380</v>
      </c>
    </row>
    <row r="3146" spans="1:6" hidden="1" outlineLevel="1" collapsed="1" x14ac:dyDescent="0.25">
      <c r="A3146" s="295" t="s">
        <v>282</v>
      </c>
      <c r="B3146" s="295" t="s">
        <v>371</v>
      </c>
      <c r="C3146" s="293">
        <v>49.68</v>
      </c>
      <c r="D3146" s="293">
        <v>67.872</v>
      </c>
      <c r="E3146" s="293">
        <v>18.192</v>
      </c>
      <c r="F3146" s="294" t="s">
        <v>1381</v>
      </c>
    </row>
    <row r="3147" spans="1:6" hidden="1" outlineLevel="1" collapsed="1" x14ac:dyDescent="0.25">
      <c r="A3147" s="295" t="s">
        <v>282</v>
      </c>
      <c r="B3147" s="295" t="s">
        <v>373</v>
      </c>
      <c r="C3147" s="293">
        <v>24</v>
      </c>
      <c r="D3147" s="293">
        <v>15.456</v>
      </c>
      <c r="E3147" s="293">
        <v>-8.5440000000000005</v>
      </c>
      <c r="F3147" s="294" t="s">
        <v>1382</v>
      </c>
    </row>
    <row r="3148" spans="1:6" collapsed="1" x14ac:dyDescent="0.25">
      <c r="A3148" s="560" t="s">
        <v>1383</v>
      </c>
      <c r="B3148" s="561"/>
      <c r="C3148" s="292">
        <v>815656.92107200006</v>
      </c>
      <c r="D3148" s="293">
        <v>906158.23489600001</v>
      </c>
      <c r="E3148" s="293">
        <v>90501.313823999997</v>
      </c>
      <c r="F3148" s="294" t="s">
        <v>1384</v>
      </c>
    </row>
    <row r="3149" spans="1:6" hidden="1" outlineLevel="1" collapsed="1" x14ac:dyDescent="0.25">
      <c r="A3149" s="295" t="s">
        <v>282</v>
      </c>
      <c r="B3149" s="295" t="s">
        <v>358</v>
      </c>
      <c r="C3149" s="293">
        <v>584758.63998800004</v>
      </c>
      <c r="D3149" s="293">
        <v>659951.86318800005</v>
      </c>
      <c r="E3149" s="293">
        <v>75193.223199999993</v>
      </c>
      <c r="F3149" s="294" t="s">
        <v>1385</v>
      </c>
    </row>
    <row r="3150" spans="1:6" hidden="1" outlineLevel="1" collapsed="1" x14ac:dyDescent="0.25">
      <c r="A3150" s="295" t="s">
        <v>282</v>
      </c>
      <c r="B3150" s="295" t="s">
        <v>412</v>
      </c>
      <c r="C3150" s="293">
        <v>14000</v>
      </c>
      <c r="D3150" s="293">
        <v>14000</v>
      </c>
      <c r="E3150" s="293">
        <v>0</v>
      </c>
      <c r="F3150" s="294" t="s">
        <v>316</v>
      </c>
    </row>
    <row r="3151" spans="1:6" hidden="1" outlineLevel="1" collapsed="1" x14ac:dyDescent="0.25">
      <c r="A3151" s="295" t="s">
        <v>282</v>
      </c>
      <c r="B3151" s="295" t="s">
        <v>360</v>
      </c>
      <c r="C3151" s="293">
        <v>83901.143507999994</v>
      </c>
      <c r="D3151" s="293">
        <v>95231.053830000004</v>
      </c>
      <c r="E3151" s="293">
        <v>11329.910322</v>
      </c>
      <c r="F3151" s="294" t="s">
        <v>1386</v>
      </c>
    </row>
    <row r="3152" spans="1:6" hidden="1" outlineLevel="1" collapsed="1" x14ac:dyDescent="0.25">
      <c r="A3152" s="295" t="s">
        <v>282</v>
      </c>
      <c r="B3152" s="295" t="s">
        <v>362</v>
      </c>
      <c r="C3152" s="293">
        <v>9525.3492679999999</v>
      </c>
      <c r="D3152" s="293">
        <v>9772.3019839999997</v>
      </c>
      <c r="E3152" s="293">
        <v>246.95271600000001</v>
      </c>
      <c r="F3152" s="294" t="s">
        <v>1351</v>
      </c>
    </row>
    <row r="3153" spans="1:6" hidden="1" outlineLevel="1" collapsed="1" x14ac:dyDescent="0.25">
      <c r="A3153" s="295" t="s">
        <v>282</v>
      </c>
      <c r="B3153" s="295" t="s">
        <v>363</v>
      </c>
      <c r="C3153" s="293">
        <v>2982.8735999999999</v>
      </c>
      <c r="D3153" s="293">
        <v>2954.28</v>
      </c>
      <c r="E3153" s="293">
        <v>-28.593599999999999</v>
      </c>
      <c r="F3153" s="294" t="s">
        <v>364</v>
      </c>
    </row>
    <row r="3154" spans="1:6" hidden="1" outlineLevel="1" collapsed="1" x14ac:dyDescent="0.25">
      <c r="A3154" s="295" t="s">
        <v>282</v>
      </c>
      <c r="B3154" s="295" t="s">
        <v>365</v>
      </c>
      <c r="C3154" s="293">
        <v>107509.92</v>
      </c>
      <c r="D3154" s="293">
        <v>111714.96</v>
      </c>
      <c r="E3154" s="293">
        <v>4205.04</v>
      </c>
      <c r="F3154" s="294" t="s">
        <v>366</v>
      </c>
    </row>
    <row r="3155" spans="1:6" hidden="1" outlineLevel="1" collapsed="1" x14ac:dyDescent="0.25">
      <c r="A3155" s="295" t="s">
        <v>282</v>
      </c>
      <c r="B3155" s="295" t="s">
        <v>367</v>
      </c>
      <c r="C3155" s="293">
        <v>1634.7744</v>
      </c>
      <c r="D3155" s="293">
        <v>1280.1600000000001</v>
      </c>
      <c r="E3155" s="293">
        <v>-354.61439999999999</v>
      </c>
      <c r="F3155" s="294" t="s">
        <v>368</v>
      </c>
    </row>
    <row r="3156" spans="1:6" hidden="1" outlineLevel="1" collapsed="1" x14ac:dyDescent="0.25">
      <c r="A3156" s="295" t="s">
        <v>282</v>
      </c>
      <c r="B3156" s="295" t="s">
        <v>369</v>
      </c>
      <c r="C3156" s="293">
        <v>328.460308</v>
      </c>
      <c r="D3156" s="293">
        <v>336.97589399999998</v>
      </c>
      <c r="E3156" s="293">
        <v>8.5155860000000008</v>
      </c>
      <c r="F3156" s="294" t="s">
        <v>1351</v>
      </c>
    </row>
    <row r="3157" spans="1:6" hidden="1" outlineLevel="1" collapsed="1" x14ac:dyDescent="0.25">
      <c r="A3157" s="295" t="s">
        <v>282</v>
      </c>
      <c r="B3157" s="295" t="s">
        <v>370</v>
      </c>
      <c r="C3157" s="293">
        <v>10500</v>
      </c>
      <c r="D3157" s="293">
        <v>10500</v>
      </c>
      <c r="E3157" s="293">
        <v>0</v>
      </c>
      <c r="F3157" s="294" t="s">
        <v>316</v>
      </c>
    </row>
    <row r="3158" spans="1:6" hidden="1" outlineLevel="1" collapsed="1" x14ac:dyDescent="0.25">
      <c r="A3158" s="295" t="s">
        <v>282</v>
      </c>
      <c r="B3158" s="295" t="s">
        <v>371</v>
      </c>
      <c r="C3158" s="293">
        <v>347.76</v>
      </c>
      <c r="D3158" s="293">
        <v>339.36</v>
      </c>
      <c r="E3158" s="293">
        <v>-8.4</v>
      </c>
      <c r="F3158" s="294" t="s">
        <v>372</v>
      </c>
    </row>
    <row r="3159" spans="1:6" hidden="1" outlineLevel="1" collapsed="1" x14ac:dyDescent="0.25">
      <c r="A3159" s="295" t="s">
        <v>282</v>
      </c>
      <c r="B3159" s="295" t="s">
        <v>373</v>
      </c>
      <c r="C3159" s="293">
        <v>168</v>
      </c>
      <c r="D3159" s="293">
        <v>77.28</v>
      </c>
      <c r="E3159" s="293">
        <v>-90.72</v>
      </c>
      <c r="F3159" s="294" t="s">
        <v>374</v>
      </c>
    </row>
    <row r="3160" spans="1:6" collapsed="1" x14ac:dyDescent="0.25">
      <c r="A3160" s="560" t="s">
        <v>1387</v>
      </c>
      <c r="B3160" s="561"/>
      <c r="C3160" s="292">
        <v>146908.78709900001</v>
      </c>
      <c r="D3160" s="293">
        <v>156783.28334699999</v>
      </c>
      <c r="E3160" s="293">
        <v>9874.4962479999995</v>
      </c>
      <c r="F3160" s="294" t="s">
        <v>1388</v>
      </c>
    </row>
    <row r="3161" spans="1:6" hidden="1" outlineLevel="1" collapsed="1" x14ac:dyDescent="0.25">
      <c r="A3161" s="295" t="s">
        <v>282</v>
      </c>
      <c r="B3161" s="295" t="s">
        <v>358</v>
      </c>
      <c r="C3161" s="293">
        <v>49991.88</v>
      </c>
      <c r="D3161" s="293">
        <v>51596.915999999997</v>
      </c>
      <c r="E3161" s="293">
        <v>1605.0360000000001</v>
      </c>
      <c r="F3161" s="294" t="s">
        <v>359</v>
      </c>
    </row>
    <row r="3162" spans="1:6" hidden="1" outlineLevel="1" collapsed="1" x14ac:dyDescent="0.25">
      <c r="A3162" s="295" t="s">
        <v>282</v>
      </c>
      <c r="B3162" s="295" t="s">
        <v>380</v>
      </c>
      <c r="C3162" s="293">
        <v>49948.888076000003</v>
      </c>
      <c r="D3162" s="293">
        <v>54033.521181999997</v>
      </c>
      <c r="E3162" s="293">
        <v>4084.6331060000002</v>
      </c>
      <c r="F3162" s="294" t="s">
        <v>1389</v>
      </c>
    </row>
    <row r="3163" spans="1:6" hidden="1" outlineLevel="1" collapsed="1" x14ac:dyDescent="0.25">
      <c r="A3163" s="295" t="s">
        <v>282</v>
      </c>
      <c r="B3163" s="295" t="s">
        <v>360</v>
      </c>
      <c r="C3163" s="293">
        <v>6523.9403400000001</v>
      </c>
      <c r="D3163" s="293">
        <v>7445.4349750000001</v>
      </c>
      <c r="E3163" s="293">
        <v>921.49463500000002</v>
      </c>
      <c r="F3163" s="294" t="s">
        <v>701</v>
      </c>
    </row>
    <row r="3164" spans="1:6" hidden="1" outlineLevel="1" collapsed="1" x14ac:dyDescent="0.25">
      <c r="A3164" s="295" t="s">
        <v>282</v>
      </c>
      <c r="B3164" s="295" t="s">
        <v>384</v>
      </c>
      <c r="C3164" s="293">
        <v>6283.5701159999999</v>
      </c>
      <c r="D3164" s="293">
        <v>0</v>
      </c>
      <c r="E3164" s="293">
        <v>-6283.5701159999999</v>
      </c>
      <c r="F3164" s="294" t="s">
        <v>286</v>
      </c>
    </row>
    <row r="3165" spans="1:6" hidden="1" outlineLevel="1" collapsed="1" x14ac:dyDescent="0.25">
      <c r="A3165" s="295" t="s">
        <v>282</v>
      </c>
      <c r="B3165" s="295" t="s">
        <v>385</v>
      </c>
      <c r="C3165" s="293">
        <v>0</v>
      </c>
      <c r="D3165" s="293">
        <v>8537.296343</v>
      </c>
      <c r="E3165" s="293">
        <v>8537.296343</v>
      </c>
      <c r="F3165" s="294" t="s">
        <v>298</v>
      </c>
    </row>
    <row r="3166" spans="1:6" hidden="1" outlineLevel="1" collapsed="1" x14ac:dyDescent="0.25">
      <c r="A3166" s="295" t="s">
        <v>282</v>
      </c>
      <c r="B3166" s="295" t="s">
        <v>386</v>
      </c>
      <c r="C3166" s="293">
        <v>3096.8310580000002</v>
      </c>
      <c r="D3166" s="293">
        <v>0</v>
      </c>
      <c r="E3166" s="293">
        <v>-3096.8310580000002</v>
      </c>
      <c r="F3166" s="294" t="s">
        <v>286</v>
      </c>
    </row>
    <row r="3167" spans="1:6" hidden="1" outlineLevel="1" collapsed="1" x14ac:dyDescent="0.25">
      <c r="A3167" s="295" t="s">
        <v>282</v>
      </c>
      <c r="B3167" s="295" t="s">
        <v>387</v>
      </c>
      <c r="C3167" s="293">
        <v>0</v>
      </c>
      <c r="D3167" s="293">
        <v>3350.0783110000002</v>
      </c>
      <c r="E3167" s="293">
        <v>3350.0783110000002</v>
      </c>
      <c r="F3167" s="294" t="s">
        <v>298</v>
      </c>
    </row>
    <row r="3168" spans="1:6" hidden="1" outlineLevel="1" collapsed="1" x14ac:dyDescent="0.25">
      <c r="A3168" s="295" t="s">
        <v>282</v>
      </c>
      <c r="B3168" s="295" t="s">
        <v>362</v>
      </c>
      <c r="C3168" s="293">
        <v>724.88225999999997</v>
      </c>
      <c r="D3168" s="293">
        <v>748.15527999999995</v>
      </c>
      <c r="E3168" s="293">
        <v>23.273019999999999</v>
      </c>
      <c r="F3168" s="294" t="s">
        <v>359</v>
      </c>
    </row>
    <row r="3169" spans="1:6" hidden="1" outlineLevel="1" collapsed="1" x14ac:dyDescent="0.25">
      <c r="A3169" s="295" t="s">
        <v>282</v>
      </c>
      <c r="B3169" s="295" t="s">
        <v>388</v>
      </c>
      <c r="C3169" s="293">
        <v>724.258872</v>
      </c>
      <c r="D3169" s="293">
        <v>783.48604799999998</v>
      </c>
      <c r="E3169" s="293">
        <v>59.227176</v>
      </c>
      <c r="F3169" s="294" t="s">
        <v>1389</v>
      </c>
    </row>
    <row r="3170" spans="1:6" hidden="1" outlineLevel="1" collapsed="1" x14ac:dyDescent="0.25">
      <c r="A3170" s="295" t="s">
        <v>282</v>
      </c>
      <c r="B3170" s="295" t="s">
        <v>363</v>
      </c>
      <c r="C3170" s="293">
        <v>213.0624</v>
      </c>
      <c r="D3170" s="293">
        <v>211.02</v>
      </c>
      <c r="E3170" s="293">
        <v>-2.0424000000000002</v>
      </c>
      <c r="F3170" s="294" t="s">
        <v>364</v>
      </c>
    </row>
    <row r="3171" spans="1:6" hidden="1" outlineLevel="1" collapsed="1" x14ac:dyDescent="0.25">
      <c r="A3171" s="295" t="s">
        <v>282</v>
      </c>
      <c r="B3171" s="295" t="s">
        <v>365</v>
      </c>
      <c r="C3171" s="293">
        <v>7679.28</v>
      </c>
      <c r="D3171" s="293">
        <v>7979.64</v>
      </c>
      <c r="E3171" s="293">
        <v>300.36</v>
      </c>
      <c r="F3171" s="294" t="s">
        <v>366</v>
      </c>
    </row>
    <row r="3172" spans="1:6" hidden="1" outlineLevel="1" collapsed="1" x14ac:dyDescent="0.25">
      <c r="A3172" s="295" t="s">
        <v>282</v>
      </c>
      <c r="B3172" s="295" t="s">
        <v>367</v>
      </c>
      <c r="C3172" s="293">
        <v>116.7696</v>
      </c>
      <c r="D3172" s="293">
        <v>91.44</v>
      </c>
      <c r="E3172" s="293">
        <v>-25.329599999999999</v>
      </c>
      <c r="F3172" s="294" t="s">
        <v>368</v>
      </c>
    </row>
    <row r="3173" spans="1:6" hidden="1" outlineLevel="1" collapsed="1" x14ac:dyDescent="0.25">
      <c r="A3173" s="295" t="s">
        <v>282</v>
      </c>
      <c r="B3173" s="295" t="s">
        <v>389</v>
      </c>
      <c r="C3173" s="293">
        <v>426.12479999999999</v>
      </c>
      <c r="D3173" s="293">
        <v>422.04</v>
      </c>
      <c r="E3173" s="293">
        <v>-4.0848000000000004</v>
      </c>
      <c r="F3173" s="294" t="s">
        <v>364</v>
      </c>
    </row>
    <row r="3174" spans="1:6" hidden="1" outlineLevel="1" collapsed="1" x14ac:dyDescent="0.25">
      <c r="A3174" s="295" t="s">
        <v>282</v>
      </c>
      <c r="B3174" s="295" t="s">
        <v>390</v>
      </c>
      <c r="C3174" s="293">
        <v>15485.27</v>
      </c>
      <c r="D3174" s="293">
        <v>15959.28</v>
      </c>
      <c r="E3174" s="293">
        <v>474.01</v>
      </c>
      <c r="F3174" s="294" t="s">
        <v>391</v>
      </c>
    </row>
    <row r="3175" spans="1:6" hidden="1" outlineLevel="1" collapsed="1" x14ac:dyDescent="0.25">
      <c r="A3175" s="295" t="s">
        <v>282</v>
      </c>
      <c r="B3175" s="295" t="s">
        <v>392</v>
      </c>
      <c r="C3175" s="293">
        <v>233.53919999999999</v>
      </c>
      <c r="D3175" s="293">
        <v>182.88</v>
      </c>
      <c r="E3175" s="293">
        <v>-50.659199999999998</v>
      </c>
      <c r="F3175" s="294" t="s">
        <v>368</v>
      </c>
    </row>
    <row r="3176" spans="1:6" hidden="1" outlineLevel="1" collapsed="1" x14ac:dyDescent="0.25">
      <c r="A3176" s="295" t="s">
        <v>282</v>
      </c>
      <c r="B3176" s="295" t="s">
        <v>369</v>
      </c>
      <c r="C3176" s="293">
        <v>24.995940000000001</v>
      </c>
      <c r="D3176" s="293">
        <v>25.798455000000001</v>
      </c>
      <c r="E3176" s="293">
        <v>0.80251499999999998</v>
      </c>
      <c r="F3176" s="294" t="s">
        <v>359</v>
      </c>
    </row>
    <row r="3177" spans="1:6" hidden="1" outlineLevel="1" collapsed="1" x14ac:dyDescent="0.25">
      <c r="A3177" s="295" t="s">
        <v>282</v>
      </c>
      <c r="B3177" s="295" t="s">
        <v>393</v>
      </c>
      <c r="C3177" s="293">
        <v>24.974437000000002</v>
      </c>
      <c r="D3177" s="293">
        <v>27.016753000000001</v>
      </c>
      <c r="E3177" s="293">
        <v>2.042316</v>
      </c>
      <c r="F3177" s="294" t="s">
        <v>1389</v>
      </c>
    </row>
    <row r="3178" spans="1:6" hidden="1" outlineLevel="1" collapsed="1" x14ac:dyDescent="0.25">
      <c r="A3178" s="295" t="s">
        <v>282</v>
      </c>
      <c r="B3178" s="295" t="s">
        <v>370</v>
      </c>
      <c r="C3178" s="293">
        <v>750</v>
      </c>
      <c r="D3178" s="293">
        <v>750</v>
      </c>
      <c r="E3178" s="293">
        <v>0</v>
      </c>
      <c r="F3178" s="294" t="s">
        <v>316</v>
      </c>
    </row>
    <row r="3179" spans="1:6" hidden="1" outlineLevel="1" collapsed="1" x14ac:dyDescent="0.25">
      <c r="A3179" s="295" t="s">
        <v>282</v>
      </c>
      <c r="B3179" s="295" t="s">
        <v>394</v>
      </c>
      <c r="C3179" s="293">
        <v>1500</v>
      </c>
      <c r="D3179" s="293">
        <v>0</v>
      </c>
      <c r="E3179" s="293">
        <v>-1500</v>
      </c>
      <c r="F3179" s="294" t="s">
        <v>286</v>
      </c>
    </row>
    <row r="3180" spans="1:6" hidden="1" outlineLevel="1" collapsed="1" x14ac:dyDescent="0.25">
      <c r="A3180" s="295" t="s">
        <v>282</v>
      </c>
      <c r="B3180" s="295" t="s">
        <v>395</v>
      </c>
      <c r="C3180" s="293">
        <v>0</v>
      </c>
      <c r="D3180" s="293">
        <v>1500</v>
      </c>
      <c r="E3180" s="293">
        <v>1500</v>
      </c>
      <c r="F3180" s="294" t="s">
        <v>298</v>
      </c>
    </row>
    <row r="3181" spans="1:6" hidden="1" outlineLevel="1" collapsed="1" x14ac:dyDescent="0.25">
      <c r="A3181" s="295" t="s">
        <v>282</v>
      </c>
      <c r="B3181" s="295" t="s">
        <v>371</v>
      </c>
      <c r="C3181" s="293">
        <v>24.84</v>
      </c>
      <c r="D3181" s="293">
        <v>24.24</v>
      </c>
      <c r="E3181" s="293">
        <v>-0.6</v>
      </c>
      <c r="F3181" s="294" t="s">
        <v>372</v>
      </c>
    </row>
    <row r="3182" spans="1:6" hidden="1" outlineLevel="1" collapsed="1" x14ac:dyDescent="0.25">
      <c r="A3182" s="295" t="s">
        <v>282</v>
      </c>
      <c r="B3182" s="295" t="s">
        <v>396</v>
      </c>
      <c r="C3182" s="293">
        <v>49.68</v>
      </c>
      <c r="D3182" s="293">
        <v>0</v>
      </c>
      <c r="E3182" s="293">
        <v>-49.68</v>
      </c>
      <c r="F3182" s="294" t="s">
        <v>286</v>
      </c>
    </row>
    <row r="3183" spans="1:6" hidden="1" outlineLevel="1" collapsed="1" x14ac:dyDescent="0.25">
      <c r="A3183" s="295" t="s">
        <v>282</v>
      </c>
      <c r="B3183" s="295" t="s">
        <v>397</v>
      </c>
      <c r="C3183" s="293">
        <v>0</v>
      </c>
      <c r="D3183" s="293">
        <v>48.48</v>
      </c>
      <c r="E3183" s="293">
        <v>48.48</v>
      </c>
      <c r="F3183" s="294" t="s">
        <v>298</v>
      </c>
    </row>
    <row r="3184" spans="1:6" hidden="1" outlineLevel="1" collapsed="1" x14ac:dyDescent="0.25">
      <c r="A3184" s="295" t="s">
        <v>282</v>
      </c>
      <c r="B3184" s="295" t="s">
        <v>373</v>
      </c>
      <c r="C3184" s="293">
        <v>12</v>
      </c>
      <c r="D3184" s="293">
        <v>5.52</v>
      </c>
      <c r="E3184" s="293">
        <v>-6.48</v>
      </c>
      <c r="F3184" s="294" t="s">
        <v>374</v>
      </c>
    </row>
    <row r="3185" spans="1:6" hidden="1" outlineLevel="1" collapsed="1" x14ac:dyDescent="0.25">
      <c r="A3185" s="295" t="s">
        <v>282</v>
      </c>
      <c r="B3185" s="295" t="s">
        <v>398</v>
      </c>
      <c r="C3185" s="293">
        <v>24</v>
      </c>
      <c r="D3185" s="293">
        <v>11.04</v>
      </c>
      <c r="E3185" s="293">
        <v>-12.96</v>
      </c>
      <c r="F3185" s="294" t="s">
        <v>374</v>
      </c>
    </row>
    <row r="3186" spans="1:6" hidden="1" outlineLevel="1" collapsed="1" x14ac:dyDescent="0.25">
      <c r="A3186" s="295" t="s">
        <v>282</v>
      </c>
      <c r="B3186" s="295" t="s">
        <v>375</v>
      </c>
      <c r="C3186" s="293">
        <v>3050</v>
      </c>
      <c r="D3186" s="293">
        <v>3050</v>
      </c>
      <c r="E3186" s="293">
        <v>0</v>
      </c>
      <c r="F3186" s="294" t="s">
        <v>316</v>
      </c>
    </row>
    <row r="3187" spans="1:6" collapsed="1" x14ac:dyDescent="0.25">
      <c r="A3187" s="560" t="s">
        <v>1390</v>
      </c>
      <c r="B3187" s="561"/>
      <c r="C3187" s="292">
        <v>457179.62013599998</v>
      </c>
      <c r="D3187" s="293">
        <v>476094.84243999998</v>
      </c>
      <c r="E3187" s="293">
        <v>18915.222303999999</v>
      </c>
      <c r="F3187" s="294" t="s">
        <v>1391</v>
      </c>
    </row>
    <row r="3188" spans="1:6" hidden="1" outlineLevel="1" collapsed="1" x14ac:dyDescent="0.25">
      <c r="A3188" s="295" t="s">
        <v>282</v>
      </c>
      <c r="B3188" s="295" t="s">
        <v>358</v>
      </c>
      <c r="C3188" s="293">
        <v>278654.64</v>
      </c>
      <c r="D3188" s="293">
        <v>286643.14559999999</v>
      </c>
      <c r="E3188" s="293">
        <v>7988.5056000000004</v>
      </c>
      <c r="F3188" s="294" t="s">
        <v>1392</v>
      </c>
    </row>
    <row r="3189" spans="1:6" hidden="1" outlineLevel="1" collapsed="1" x14ac:dyDescent="0.25">
      <c r="A3189" s="295" t="s">
        <v>282</v>
      </c>
      <c r="B3189" s="295" t="s">
        <v>380</v>
      </c>
      <c r="C3189" s="293">
        <v>52657.469268000001</v>
      </c>
      <c r="D3189" s="293">
        <v>54249.039515999997</v>
      </c>
      <c r="E3189" s="293">
        <v>1591.570248</v>
      </c>
      <c r="F3189" s="294" t="s">
        <v>520</v>
      </c>
    </row>
    <row r="3190" spans="1:6" hidden="1" outlineLevel="1" collapsed="1" x14ac:dyDescent="0.25">
      <c r="A3190" s="295" t="s">
        <v>282</v>
      </c>
      <c r="B3190" s="295" t="s">
        <v>360</v>
      </c>
      <c r="C3190" s="293">
        <v>36364.430520000002</v>
      </c>
      <c r="D3190" s="293">
        <v>41362.605900000002</v>
      </c>
      <c r="E3190" s="293">
        <v>4998.1753799999997</v>
      </c>
      <c r="F3190" s="294" t="s">
        <v>1393</v>
      </c>
    </row>
    <row r="3191" spans="1:6" hidden="1" outlineLevel="1" collapsed="1" x14ac:dyDescent="0.25">
      <c r="A3191" s="295" t="s">
        <v>282</v>
      </c>
      <c r="B3191" s="295" t="s">
        <v>384</v>
      </c>
      <c r="C3191" s="293">
        <v>6624.3096240000004</v>
      </c>
      <c r="D3191" s="293">
        <v>0</v>
      </c>
      <c r="E3191" s="293">
        <v>-6624.3096240000004</v>
      </c>
      <c r="F3191" s="294" t="s">
        <v>286</v>
      </c>
    </row>
    <row r="3192" spans="1:6" hidden="1" outlineLevel="1" collapsed="1" x14ac:dyDescent="0.25">
      <c r="A3192" s="295" t="s">
        <v>282</v>
      </c>
      <c r="B3192" s="295" t="s">
        <v>385</v>
      </c>
      <c r="C3192" s="293">
        <v>0</v>
      </c>
      <c r="D3192" s="293">
        <v>8571.3482399999994</v>
      </c>
      <c r="E3192" s="293">
        <v>8571.3482399999994</v>
      </c>
      <c r="F3192" s="294" t="s">
        <v>298</v>
      </c>
    </row>
    <row r="3193" spans="1:6" hidden="1" outlineLevel="1" collapsed="1" x14ac:dyDescent="0.25">
      <c r="A3193" s="295" t="s">
        <v>282</v>
      </c>
      <c r="B3193" s="295" t="s">
        <v>386</v>
      </c>
      <c r="C3193" s="293">
        <v>3264.7630920000001</v>
      </c>
      <c r="D3193" s="293">
        <v>0</v>
      </c>
      <c r="E3193" s="293">
        <v>-3264.7630920000001</v>
      </c>
      <c r="F3193" s="294" t="s">
        <v>286</v>
      </c>
    </row>
    <row r="3194" spans="1:6" hidden="1" outlineLevel="1" collapsed="1" x14ac:dyDescent="0.25">
      <c r="A3194" s="295" t="s">
        <v>282</v>
      </c>
      <c r="B3194" s="295" t="s">
        <v>387</v>
      </c>
      <c r="C3194" s="293">
        <v>0</v>
      </c>
      <c r="D3194" s="293">
        <v>3363.4404479999998</v>
      </c>
      <c r="E3194" s="293">
        <v>3363.4404479999998</v>
      </c>
      <c r="F3194" s="294" t="s">
        <v>298</v>
      </c>
    </row>
    <row r="3195" spans="1:6" hidden="1" outlineLevel="1" collapsed="1" x14ac:dyDescent="0.25">
      <c r="A3195" s="295" t="s">
        <v>282</v>
      </c>
      <c r="B3195" s="295" t="s">
        <v>362</v>
      </c>
      <c r="C3195" s="293">
        <v>4040.4922799999999</v>
      </c>
      <c r="D3195" s="293">
        <v>4156.3256000000001</v>
      </c>
      <c r="E3195" s="293">
        <v>115.83332</v>
      </c>
      <c r="F3195" s="294" t="s">
        <v>1392</v>
      </c>
    </row>
    <row r="3196" spans="1:6" hidden="1" outlineLevel="1" collapsed="1" x14ac:dyDescent="0.25">
      <c r="A3196" s="295" t="s">
        <v>282</v>
      </c>
      <c r="B3196" s="295" t="s">
        <v>388</v>
      </c>
      <c r="C3196" s="293">
        <v>763.53330000000005</v>
      </c>
      <c r="D3196" s="293">
        <v>786.61106400000006</v>
      </c>
      <c r="E3196" s="293">
        <v>23.077763999999998</v>
      </c>
      <c r="F3196" s="294" t="s">
        <v>520</v>
      </c>
    </row>
    <row r="3197" spans="1:6" hidden="1" outlineLevel="1" collapsed="1" x14ac:dyDescent="0.25">
      <c r="A3197" s="295" t="s">
        <v>282</v>
      </c>
      <c r="B3197" s="295" t="s">
        <v>363</v>
      </c>
      <c r="C3197" s="293">
        <v>1278.3743999999999</v>
      </c>
      <c r="D3197" s="293">
        <v>1266.1199999999999</v>
      </c>
      <c r="E3197" s="293">
        <v>-12.2544</v>
      </c>
      <c r="F3197" s="294" t="s">
        <v>364</v>
      </c>
    </row>
    <row r="3198" spans="1:6" hidden="1" outlineLevel="1" collapsed="1" x14ac:dyDescent="0.25">
      <c r="A3198" s="295" t="s">
        <v>282</v>
      </c>
      <c r="B3198" s="295" t="s">
        <v>365</v>
      </c>
      <c r="C3198" s="293">
        <v>46275.68</v>
      </c>
      <c r="D3198" s="293">
        <v>47877.84</v>
      </c>
      <c r="E3198" s="293">
        <v>1602.16</v>
      </c>
      <c r="F3198" s="294" t="s">
        <v>463</v>
      </c>
    </row>
    <row r="3199" spans="1:6" hidden="1" outlineLevel="1" collapsed="1" x14ac:dyDescent="0.25">
      <c r="A3199" s="295" t="s">
        <v>282</v>
      </c>
      <c r="B3199" s="295" t="s">
        <v>367</v>
      </c>
      <c r="C3199" s="293">
        <v>700.61760000000004</v>
      </c>
      <c r="D3199" s="293">
        <v>548.64</v>
      </c>
      <c r="E3199" s="293">
        <v>-151.9776</v>
      </c>
      <c r="F3199" s="294" t="s">
        <v>368</v>
      </c>
    </row>
    <row r="3200" spans="1:6" hidden="1" outlineLevel="1" collapsed="1" x14ac:dyDescent="0.25">
      <c r="A3200" s="295" t="s">
        <v>282</v>
      </c>
      <c r="B3200" s="295" t="s">
        <v>389</v>
      </c>
      <c r="C3200" s="293">
        <v>426.12479999999999</v>
      </c>
      <c r="D3200" s="293">
        <v>422.04</v>
      </c>
      <c r="E3200" s="293">
        <v>-4.0848000000000004</v>
      </c>
      <c r="F3200" s="294" t="s">
        <v>364</v>
      </c>
    </row>
    <row r="3201" spans="1:6" hidden="1" outlineLevel="1" collapsed="1" x14ac:dyDescent="0.25">
      <c r="A3201" s="295" t="s">
        <v>282</v>
      </c>
      <c r="B3201" s="295" t="s">
        <v>390</v>
      </c>
      <c r="C3201" s="293">
        <v>15485.27</v>
      </c>
      <c r="D3201" s="293">
        <v>15959.28</v>
      </c>
      <c r="E3201" s="293">
        <v>474.01</v>
      </c>
      <c r="F3201" s="294" t="s">
        <v>391</v>
      </c>
    </row>
    <row r="3202" spans="1:6" hidden="1" outlineLevel="1" collapsed="1" x14ac:dyDescent="0.25">
      <c r="A3202" s="295" t="s">
        <v>282</v>
      </c>
      <c r="B3202" s="295" t="s">
        <v>392</v>
      </c>
      <c r="C3202" s="293">
        <v>233.53919999999999</v>
      </c>
      <c r="D3202" s="293">
        <v>182.88</v>
      </c>
      <c r="E3202" s="293">
        <v>-50.659199999999998</v>
      </c>
      <c r="F3202" s="294" t="s">
        <v>368</v>
      </c>
    </row>
    <row r="3203" spans="1:6" hidden="1" outlineLevel="1" collapsed="1" x14ac:dyDescent="0.25">
      <c r="A3203" s="295" t="s">
        <v>282</v>
      </c>
      <c r="B3203" s="295" t="s">
        <v>369</v>
      </c>
      <c r="C3203" s="293">
        <v>139.32731999999999</v>
      </c>
      <c r="D3203" s="293">
        <v>143.32156000000001</v>
      </c>
      <c r="E3203" s="293">
        <v>3.99424</v>
      </c>
      <c r="F3203" s="294" t="s">
        <v>1392</v>
      </c>
    </row>
    <row r="3204" spans="1:6" hidden="1" outlineLevel="1" collapsed="1" x14ac:dyDescent="0.25">
      <c r="A3204" s="295" t="s">
        <v>282</v>
      </c>
      <c r="B3204" s="295" t="s">
        <v>393</v>
      </c>
      <c r="C3204" s="293">
        <v>26.328731999999999</v>
      </c>
      <c r="D3204" s="293">
        <v>27.124511999999999</v>
      </c>
      <c r="E3204" s="293">
        <v>0.79578000000000004</v>
      </c>
      <c r="F3204" s="294" t="s">
        <v>520</v>
      </c>
    </row>
    <row r="3205" spans="1:6" hidden="1" outlineLevel="1" collapsed="1" x14ac:dyDescent="0.25">
      <c r="A3205" s="295" t="s">
        <v>282</v>
      </c>
      <c r="B3205" s="295" t="s">
        <v>370</v>
      </c>
      <c r="C3205" s="293">
        <v>4500</v>
      </c>
      <c r="D3205" s="293">
        <v>4500</v>
      </c>
      <c r="E3205" s="293">
        <v>0</v>
      </c>
      <c r="F3205" s="294" t="s">
        <v>316</v>
      </c>
    </row>
    <row r="3206" spans="1:6" hidden="1" outlineLevel="1" collapsed="1" x14ac:dyDescent="0.25">
      <c r="A3206" s="295" t="s">
        <v>282</v>
      </c>
      <c r="B3206" s="295" t="s">
        <v>394</v>
      </c>
      <c r="C3206" s="293">
        <v>1500</v>
      </c>
      <c r="D3206" s="293">
        <v>0</v>
      </c>
      <c r="E3206" s="293">
        <v>-1500</v>
      </c>
      <c r="F3206" s="294" t="s">
        <v>286</v>
      </c>
    </row>
    <row r="3207" spans="1:6" hidden="1" outlineLevel="1" collapsed="1" x14ac:dyDescent="0.25">
      <c r="A3207" s="295" t="s">
        <v>282</v>
      </c>
      <c r="B3207" s="295" t="s">
        <v>395</v>
      </c>
      <c r="C3207" s="293">
        <v>0</v>
      </c>
      <c r="D3207" s="293">
        <v>1500</v>
      </c>
      <c r="E3207" s="293">
        <v>1500</v>
      </c>
      <c r="F3207" s="294" t="s">
        <v>298</v>
      </c>
    </row>
    <row r="3208" spans="1:6" hidden="1" outlineLevel="1" collapsed="1" x14ac:dyDescent="0.25">
      <c r="A3208" s="295" t="s">
        <v>282</v>
      </c>
      <c r="B3208" s="295" t="s">
        <v>371</v>
      </c>
      <c r="C3208" s="293">
        <v>149.04</v>
      </c>
      <c r="D3208" s="293">
        <v>145.44</v>
      </c>
      <c r="E3208" s="293">
        <v>-3.6</v>
      </c>
      <c r="F3208" s="294" t="s">
        <v>372</v>
      </c>
    </row>
    <row r="3209" spans="1:6" hidden="1" outlineLevel="1" collapsed="1" x14ac:dyDescent="0.25">
      <c r="A3209" s="295" t="s">
        <v>282</v>
      </c>
      <c r="B3209" s="295" t="s">
        <v>396</v>
      </c>
      <c r="C3209" s="293">
        <v>49.68</v>
      </c>
      <c r="D3209" s="293">
        <v>0</v>
      </c>
      <c r="E3209" s="293">
        <v>-49.68</v>
      </c>
      <c r="F3209" s="294" t="s">
        <v>286</v>
      </c>
    </row>
    <row r="3210" spans="1:6" hidden="1" outlineLevel="1" collapsed="1" x14ac:dyDescent="0.25">
      <c r="A3210" s="295" t="s">
        <v>282</v>
      </c>
      <c r="B3210" s="295" t="s">
        <v>397</v>
      </c>
      <c r="C3210" s="293">
        <v>0</v>
      </c>
      <c r="D3210" s="293">
        <v>48.48</v>
      </c>
      <c r="E3210" s="293">
        <v>48.48</v>
      </c>
      <c r="F3210" s="294" t="s">
        <v>298</v>
      </c>
    </row>
    <row r="3211" spans="1:6" hidden="1" outlineLevel="1" collapsed="1" x14ac:dyDescent="0.25">
      <c r="A3211" s="295" t="s">
        <v>282</v>
      </c>
      <c r="B3211" s="295" t="s">
        <v>373</v>
      </c>
      <c r="C3211" s="293">
        <v>72</v>
      </c>
      <c r="D3211" s="293">
        <v>33.119999999999997</v>
      </c>
      <c r="E3211" s="293">
        <v>-38.880000000000003</v>
      </c>
      <c r="F3211" s="294" t="s">
        <v>374</v>
      </c>
    </row>
    <row r="3212" spans="1:6" hidden="1" outlineLevel="1" collapsed="1" x14ac:dyDescent="0.25">
      <c r="A3212" s="295" t="s">
        <v>282</v>
      </c>
      <c r="B3212" s="295" t="s">
        <v>398</v>
      </c>
      <c r="C3212" s="293">
        <v>24</v>
      </c>
      <c r="D3212" s="293">
        <v>11.04</v>
      </c>
      <c r="E3212" s="293">
        <v>-12.96</v>
      </c>
      <c r="F3212" s="294" t="s">
        <v>374</v>
      </c>
    </row>
    <row r="3213" spans="1:6" hidden="1" outlineLevel="1" collapsed="1" x14ac:dyDescent="0.25">
      <c r="A3213" s="295" t="s">
        <v>282</v>
      </c>
      <c r="B3213" s="295" t="s">
        <v>375</v>
      </c>
      <c r="C3213" s="293">
        <v>3950</v>
      </c>
      <c r="D3213" s="293">
        <v>3950</v>
      </c>
      <c r="E3213" s="293">
        <v>0</v>
      </c>
      <c r="F3213" s="294" t="s">
        <v>316</v>
      </c>
    </row>
    <row r="3214" spans="1:6" hidden="1" outlineLevel="1" collapsed="1" x14ac:dyDescent="0.25">
      <c r="A3214" s="295" t="s">
        <v>282</v>
      </c>
      <c r="B3214" s="295" t="s">
        <v>415</v>
      </c>
      <c r="C3214" s="293">
        <v>0</v>
      </c>
      <c r="D3214" s="293">
        <v>347</v>
      </c>
      <c r="E3214" s="293">
        <v>347</v>
      </c>
      <c r="F3214" s="294" t="s">
        <v>298</v>
      </c>
    </row>
    <row r="3215" spans="1:6" collapsed="1" x14ac:dyDescent="0.25">
      <c r="A3215" s="560" t="s">
        <v>1394</v>
      </c>
      <c r="B3215" s="561"/>
      <c r="C3215" s="292">
        <v>66061.650540000002</v>
      </c>
      <c r="D3215" s="293">
        <v>68878.164709999997</v>
      </c>
      <c r="E3215" s="293">
        <v>2816.5141699999999</v>
      </c>
      <c r="F3215" s="294" t="s">
        <v>1158</v>
      </c>
    </row>
    <row r="3216" spans="1:6" hidden="1" outlineLevel="1" collapsed="1" x14ac:dyDescent="0.25">
      <c r="A3216" s="295" t="s">
        <v>282</v>
      </c>
      <c r="B3216" s="295" t="s">
        <v>358</v>
      </c>
      <c r="C3216" s="293">
        <v>49991.88</v>
      </c>
      <c r="D3216" s="293">
        <v>51596.915999999997</v>
      </c>
      <c r="E3216" s="293">
        <v>1605.0360000000001</v>
      </c>
      <c r="F3216" s="294" t="s">
        <v>359</v>
      </c>
    </row>
    <row r="3217" spans="1:6" hidden="1" outlineLevel="1" collapsed="1" x14ac:dyDescent="0.25">
      <c r="A3217" s="295" t="s">
        <v>282</v>
      </c>
      <c r="B3217" s="295" t="s">
        <v>360</v>
      </c>
      <c r="C3217" s="293">
        <v>6523.9403400000001</v>
      </c>
      <c r="D3217" s="293">
        <v>7445.4349750000001</v>
      </c>
      <c r="E3217" s="293">
        <v>921.49463500000002</v>
      </c>
      <c r="F3217" s="294" t="s">
        <v>701</v>
      </c>
    </row>
    <row r="3218" spans="1:6" hidden="1" outlineLevel="1" collapsed="1" x14ac:dyDescent="0.25">
      <c r="A3218" s="295" t="s">
        <v>282</v>
      </c>
      <c r="B3218" s="295" t="s">
        <v>362</v>
      </c>
      <c r="C3218" s="293">
        <v>724.88225999999997</v>
      </c>
      <c r="D3218" s="293">
        <v>748.15527999999995</v>
      </c>
      <c r="E3218" s="293">
        <v>23.273019999999999</v>
      </c>
      <c r="F3218" s="294" t="s">
        <v>359</v>
      </c>
    </row>
    <row r="3219" spans="1:6" hidden="1" outlineLevel="1" collapsed="1" x14ac:dyDescent="0.25">
      <c r="A3219" s="295" t="s">
        <v>282</v>
      </c>
      <c r="B3219" s="295" t="s">
        <v>363</v>
      </c>
      <c r="C3219" s="293">
        <v>213.0624</v>
      </c>
      <c r="D3219" s="293">
        <v>211.02</v>
      </c>
      <c r="E3219" s="293">
        <v>-2.0424000000000002</v>
      </c>
      <c r="F3219" s="294" t="s">
        <v>364</v>
      </c>
    </row>
    <row r="3220" spans="1:6" hidden="1" outlineLevel="1" collapsed="1" x14ac:dyDescent="0.25">
      <c r="A3220" s="295" t="s">
        <v>282</v>
      </c>
      <c r="B3220" s="295" t="s">
        <v>365</v>
      </c>
      <c r="C3220" s="293">
        <v>7679.28</v>
      </c>
      <c r="D3220" s="293">
        <v>7979.64</v>
      </c>
      <c r="E3220" s="293">
        <v>300.36</v>
      </c>
      <c r="F3220" s="294" t="s">
        <v>366</v>
      </c>
    </row>
    <row r="3221" spans="1:6" hidden="1" outlineLevel="1" collapsed="1" x14ac:dyDescent="0.25">
      <c r="A3221" s="295" t="s">
        <v>282</v>
      </c>
      <c r="B3221" s="295" t="s">
        <v>367</v>
      </c>
      <c r="C3221" s="293">
        <v>116.7696</v>
      </c>
      <c r="D3221" s="293">
        <v>91.44</v>
      </c>
      <c r="E3221" s="293">
        <v>-25.329599999999999</v>
      </c>
      <c r="F3221" s="294" t="s">
        <v>368</v>
      </c>
    </row>
    <row r="3222" spans="1:6" hidden="1" outlineLevel="1" collapsed="1" x14ac:dyDescent="0.25">
      <c r="A3222" s="295" t="s">
        <v>282</v>
      </c>
      <c r="B3222" s="295" t="s">
        <v>369</v>
      </c>
      <c r="C3222" s="293">
        <v>24.995940000000001</v>
      </c>
      <c r="D3222" s="293">
        <v>25.798455000000001</v>
      </c>
      <c r="E3222" s="293">
        <v>0.80251499999999998</v>
      </c>
      <c r="F3222" s="294" t="s">
        <v>359</v>
      </c>
    </row>
    <row r="3223" spans="1:6" hidden="1" outlineLevel="1" collapsed="1" x14ac:dyDescent="0.25">
      <c r="A3223" s="295" t="s">
        <v>282</v>
      </c>
      <c r="B3223" s="295" t="s">
        <v>370</v>
      </c>
      <c r="C3223" s="293">
        <v>750</v>
      </c>
      <c r="D3223" s="293">
        <v>750</v>
      </c>
      <c r="E3223" s="293">
        <v>0</v>
      </c>
      <c r="F3223" s="294" t="s">
        <v>316</v>
      </c>
    </row>
    <row r="3224" spans="1:6" hidden="1" outlineLevel="1" collapsed="1" x14ac:dyDescent="0.25">
      <c r="A3224" s="295" t="s">
        <v>282</v>
      </c>
      <c r="B3224" s="295" t="s">
        <v>371</v>
      </c>
      <c r="C3224" s="293">
        <v>24.84</v>
      </c>
      <c r="D3224" s="293">
        <v>24.24</v>
      </c>
      <c r="E3224" s="293">
        <v>-0.6</v>
      </c>
      <c r="F3224" s="294" t="s">
        <v>372</v>
      </c>
    </row>
    <row r="3225" spans="1:6" hidden="1" outlineLevel="1" collapsed="1" x14ac:dyDescent="0.25">
      <c r="A3225" s="295" t="s">
        <v>282</v>
      </c>
      <c r="B3225" s="295" t="s">
        <v>373</v>
      </c>
      <c r="C3225" s="293">
        <v>12</v>
      </c>
      <c r="D3225" s="293">
        <v>5.52</v>
      </c>
      <c r="E3225" s="293">
        <v>-6.48</v>
      </c>
      <c r="F3225" s="294" t="s">
        <v>374</v>
      </c>
    </row>
    <row r="3226" spans="1:6" collapsed="1" x14ac:dyDescent="0.25">
      <c r="A3226" s="560" t="s">
        <v>1395</v>
      </c>
      <c r="B3226" s="561"/>
      <c r="C3226" s="292">
        <v>96180.088428000003</v>
      </c>
      <c r="D3226" s="293">
        <v>95800.471445000003</v>
      </c>
      <c r="E3226" s="293">
        <v>-379.616983</v>
      </c>
      <c r="F3226" s="294" t="s">
        <v>1396</v>
      </c>
    </row>
    <row r="3227" spans="1:6" hidden="1" outlineLevel="1" collapsed="1" x14ac:dyDescent="0.25">
      <c r="A3227" s="295" t="s">
        <v>282</v>
      </c>
      <c r="B3227" s="295" t="s">
        <v>358</v>
      </c>
      <c r="C3227" s="293">
        <v>50076.84</v>
      </c>
      <c r="D3227" s="293">
        <v>51683.150399999999</v>
      </c>
      <c r="E3227" s="293">
        <v>1606.3104000000001</v>
      </c>
      <c r="F3227" s="294" t="s">
        <v>359</v>
      </c>
    </row>
    <row r="3228" spans="1:6" hidden="1" outlineLevel="1" collapsed="1" x14ac:dyDescent="0.25">
      <c r="A3228" s="295" t="s">
        <v>282</v>
      </c>
      <c r="B3228" s="295" t="s">
        <v>380</v>
      </c>
      <c r="C3228" s="293">
        <v>21793.913653</v>
      </c>
      <c r="D3228" s="293">
        <v>19561.775428000001</v>
      </c>
      <c r="E3228" s="293">
        <v>-2232.1382250000001</v>
      </c>
      <c r="F3228" s="294" t="s">
        <v>1397</v>
      </c>
    </row>
    <row r="3229" spans="1:6" hidden="1" outlineLevel="1" collapsed="1" x14ac:dyDescent="0.25">
      <c r="A3229" s="295" t="s">
        <v>282</v>
      </c>
      <c r="B3229" s="295" t="s">
        <v>360</v>
      </c>
      <c r="C3229" s="293">
        <v>6535.0276199999998</v>
      </c>
      <c r="D3229" s="293">
        <v>7457.8786</v>
      </c>
      <c r="E3229" s="293">
        <v>922.85098000000005</v>
      </c>
      <c r="F3229" s="294" t="s">
        <v>701</v>
      </c>
    </row>
    <row r="3230" spans="1:6" hidden="1" outlineLevel="1" collapsed="1" x14ac:dyDescent="0.25">
      <c r="A3230" s="295" t="s">
        <v>282</v>
      </c>
      <c r="B3230" s="295" t="s">
        <v>386</v>
      </c>
      <c r="C3230" s="293">
        <v>1120.961769</v>
      </c>
      <c r="D3230" s="293">
        <v>0</v>
      </c>
      <c r="E3230" s="293">
        <v>-1120.961769</v>
      </c>
      <c r="F3230" s="294" t="s">
        <v>286</v>
      </c>
    </row>
    <row r="3231" spans="1:6" hidden="1" outlineLevel="1" collapsed="1" x14ac:dyDescent="0.25">
      <c r="A3231" s="295" t="s">
        <v>282</v>
      </c>
      <c r="B3231" s="295" t="s">
        <v>387</v>
      </c>
      <c r="C3231" s="293">
        <v>0</v>
      </c>
      <c r="D3231" s="293">
        <v>1212.8300670000001</v>
      </c>
      <c r="E3231" s="293">
        <v>1212.8300670000001</v>
      </c>
      <c r="F3231" s="294" t="s">
        <v>298</v>
      </c>
    </row>
    <row r="3232" spans="1:6" hidden="1" outlineLevel="1" collapsed="1" x14ac:dyDescent="0.25">
      <c r="A3232" s="295" t="s">
        <v>282</v>
      </c>
      <c r="B3232" s="295" t="s">
        <v>362</v>
      </c>
      <c r="C3232" s="293">
        <v>726.11418000000003</v>
      </c>
      <c r="D3232" s="293">
        <v>749.40567999999996</v>
      </c>
      <c r="E3232" s="293">
        <v>23.291499999999999</v>
      </c>
      <c r="F3232" s="294" t="s">
        <v>359</v>
      </c>
    </row>
    <row r="3233" spans="1:6" hidden="1" outlineLevel="1" collapsed="1" x14ac:dyDescent="0.25">
      <c r="A3233" s="295" t="s">
        <v>282</v>
      </c>
      <c r="B3233" s="295" t="s">
        <v>388</v>
      </c>
      <c r="C3233" s="293">
        <v>262.16041100000001</v>
      </c>
      <c r="D3233" s="293">
        <v>283.64573899999999</v>
      </c>
      <c r="E3233" s="293">
        <v>21.485327999999999</v>
      </c>
      <c r="F3233" s="294" t="s">
        <v>1398</v>
      </c>
    </row>
    <row r="3234" spans="1:6" hidden="1" outlineLevel="1" collapsed="1" x14ac:dyDescent="0.25">
      <c r="A3234" s="295" t="s">
        <v>282</v>
      </c>
      <c r="B3234" s="295" t="s">
        <v>480</v>
      </c>
      <c r="C3234" s="293">
        <v>235.040369</v>
      </c>
      <c r="D3234" s="293">
        <v>254.30307400000001</v>
      </c>
      <c r="E3234" s="293">
        <v>19.262705</v>
      </c>
      <c r="F3234" s="294" t="s">
        <v>1398</v>
      </c>
    </row>
    <row r="3235" spans="1:6" hidden="1" outlineLevel="1" collapsed="1" x14ac:dyDescent="0.25">
      <c r="A3235" s="295" t="s">
        <v>282</v>
      </c>
      <c r="B3235" s="295" t="s">
        <v>363</v>
      </c>
      <c r="C3235" s="293">
        <v>213.0624</v>
      </c>
      <c r="D3235" s="293">
        <v>211.02</v>
      </c>
      <c r="E3235" s="293">
        <v>-2.0424000000000002</v>
      </c>
      <c r="F3235" s="294" t="s">
        <v>364</v>
      </c>
    </row>
    <row r="3236" spans="1:6" hidden="1" outlineLevel="1" collapsed="1" x14ac:dyDescent="0.25">
      <c r="A3236" s="295" t="s">
        <v>282</v>
      </c>
      <c r="B3236" s="295" t="s">
        <v>365</v>
      </c>
      <c r="C3236" s="293">
        <v>7679.28</v>
      </c>
      <c r="D3236" s="293">
        <v>7979.64</v>
      </c>
      <c r="E3236" s="293">
        <v>300.36</v>
      </c>
      <c r="F3236" s="294" t="s">
        <v>366</v>
      </c>
    </row>
    <row r="3237" spans="1:6" hidden="1" outlineLevel="1" collapsed="1" x14ac:dyDescent="0.25">
      <c r="A3237" s="295" t="s">
        <v>282</v>
      </c>
      <c r="B3237" s="295" t="s">
        <v>367</v>
      </c>
      <c r="C3237" s="293">
        <v>116.7696</v>
      </c>
      <c r="D3237" s="293">
        <v>91.44</v>
      </c>
      <c r="E3237" s="293">
        <v>-25.329599999999999</v>
      </c>
      <c r="F3237" s="294" t="s">
        <v>368</v>
      </c>
    </row>
    <row r="3238" spans="1:6" hidden="1" outlineLevel="1" collapsed="1" x14ac:dyDescent="0.25">
      <c r="A3238" s="295" t="s">
        <v>282</v>
      </c>
      <c r="B3238" s="295" t="s">
        <v>369</v>
      </c>
      <c r="C3238" s="293">
        <v>25.038419999999999</v>
      </c>
      <c r="D3238" s="293">
        <v>25.841574999999999</v>
      </c>
      <c r="E3238" s="293">
        <v>0.80315499999999995</v>
      </c>
      <c r="F3238" s="294" t="s">
        <v>359</v>
      </c>
    </row>
    <row r="3239" spans="1:6" hidden="1" outlineLevel="1" collapsed="1" x14ac:dyDescent="0.25">
      <c r="A3239" s="295" t="s">
        <v>282</v>
      </c>
      <c r="B3239" s="295" t="s">
        <v>393</v>
      </c>
      <c r="C3239" s="293">
        <v>9.040006</v>
      </c>
      <c r="D3239" s="293">
        <v>9.7808820000000001</v>
      </c>
      <c r="E3239" s="293">
        <v>0.74087599999999998</v>
      </c>
      <c r="F3239" s="294" t="s">
        <v>1398</v>
      </c>
    </row>
    <row r="3240" spans="1:6" hidden="1" outlineLevel="1" collapsed="1" x14ac:dyDescent="0.25">
      <c r="A3240" s="295" t="s">
        <v>282</v>
      </c>
      <c r="B3240" s="295" t="s">
        <v>370</v>
      </c>
      <c r="C3240" s="293">
        <v>750</v>
      </c>
      <c r="D3240" s="293">
        <v>750</v>
      </c>
      <c r="E3240" s="293">
        <v>0</v>
      </c>
      <c r="F3240" s="294" t="s">
        <v>316</v>
      </c>
    </row>
    <row r="3241" spans="1:6" hidden="1" outlineLevel="1" collapsed="1" x14ac:dyDescent="0.25">
      <c r="A3241" s="295" t="s">
        <v>282</v>
      </c>
      <c r="B3241" s="295" t="s">
        <v>371</v>
      </c>
      <c r="C3241" s="293">
        <v>24.84</v>
      </c>
      <c r="D3241" s="293">
        <v>24.24</v>
      </c>
      <c r="E3241" s="293">
        <v>-0.6</v>
      </c>
      <c r="F3241" s="294" t="s">
        <v>372</v>
      </c>
    </row>
    <row r="3242" spans="1:6" hidden="1" outlineLevel="1" collapsed="1" x14ac:dyDescent="0.25">
      <c r="A3242" s="295" t="s">
        <v>282</v>
      </c>
      <c r="B3242" s="295" t="s">
        <v>373</v>
      </c>
      <c r="C3242" s="293">
        <v>12</v>
      </c>
      <c r="D3242" s="293">
        <v>5.52</v>
      </c>
      <c r="E3242" s="293">
        <v>-6.48</v>
      </c>
      <c r="F3242" s="294" t="s">
        <v>374</v>
      </c>
    </row>
    <row r="3243" spans="1:6" hidden="1" outlineLevel="1" collapsed="1" x14ac:dyDescent="0.25">
      <c r="A3243" s="295" t="s">
        <v>282</v>
      </c>
      <c r="B3243" s="295" t="s">
        <v>375</v>
      </c>
      <c r="C3243" s="293">
        <v>400</v>
      </c>
      <c r="D3243" s="293">
        <v>400</v>
      </c>
      <c r="E3243" s="293">
        <v>0</v>
      </c>
      <c r="F3243" s="294" t="s">
        <v>316</v>
      </c>
    </row>
    <row r="3244" spans="1:6" hidden="1" outlineLevel="1" collapsed="1" x14ac:dyDescent="0.25">
      <c r="A3244" s="295" t="s">
        <v>282</v>
      </c>
      <c r="B3244" s="295" t="s">
        <v>482</v>
      </c>
      <c r="C3244" s="293">
        <v>1700</v>
      </c>
      <c r="D3244" s="293">
        <v>600</v>
      </c>
      <c r="E3244" s="293">
        <v>-1100</v>
      </c>
      <c r="F3244" s="294" t="s">
        <v>1399</v>
      </c>
    </row>
    <row r="3245" spans="1:6" hidden="1" outlineLevel="1" collapsed="1" x14ac:dyDescent="0.25">
      <c r="A3245" s="295" t="s">
        <v>282</v>
      </c>
      <c r="B3245" s="295" t="s">
        <v>401</v>
      </c>
      <c r="C3245" s="293">
        <v>2600</v>
      </c>
      <c r="D3245" s="293">
        <v>2800</v>
      </c>
      <c r="E3245" s="293">
        <v>200</v>
      </c>
      <c r="F3245" s="294" t="s">
        <v>1400</v>
      </c>
    </row>
    <row r="3246" spans="1:6" hidden="1" outlineLevel="1" collapsed="1" x14ac:dyDescent="0.25">
      <c r="A3246" s="295" t="s">
        <v>282</v>
      </c>
      <c r="B3246" s="295" t="s">
        <v>405</v>
      </c>
      <c r="C3246" s="293">
        <v>1900</v>
      </c>
      <c r="D3246" s="293">
        <v>1700</v>
      </c>
      <c r="E3246" s="293">
        <v>-200</v>
      </c>
      <c r="F3246" s="294" t="s">
        <v>1401</v>
      </c>
    </row>
    <row r="3247" spans="1:6" collapsed="1" x14ac:dyDescent="0.25">
      <c r="A3247" s="560" t="s">
        <v>1402</v>
      </c>
      <c r="B3247" s="561"/>
      <c r="C3247" s="292">
        <v>389008.60771200003</v>
      </c>
      <c r="D3247" s="293">
        <v>402171.87620399997</v>
      </c>
      <c r="E3247" s="293">
        <v>13163.268491999999</v>
      </c>
      <c r="F3247" s="294" t="s">
        <v>1403</v>
      </c>
    </row>
    <row r="3248" spans="1:6" hidden="1" outlineLevel="1" collapsed="1" x14ac:dyDescent="0.25">
      <c r="A3248" s="295" t="s">
        <v>282</v>
      </c>
      <c r="B3248" s="295" t="s">
        <v>358</v>
      </c>
      <c r="C3248" s="293">
        <v>299667.96799199999</v>
      </c>
      <c r="D3248" s="293">
        <v>306262.57591199997</v>
      </c>
      <c r="E3248" s="293">
        <v>6594.6079200000004</v>
      </c>
      <c r="F3248" s="294" t="s">
        <v>1404</v>
      </c>
    </row>
    <row r="3249" spans="1:6" hidden="1" outlineLevel="1" collapsed="1" x14ac:dyDescent="0.25">
      <c r="A3249" s="295" t="s">
        <v>282</v>
      </c>
      <c r="B3249" s="295" t="s">
        <v>360</v>
      </c>
      <c r="C3249" s="293">
        <v>39106.669812</v>
      </c>
      <c r="D3249" s="293">
        <v>44193.689687999999</v>
      </c>
      <c r="E3249" s="293">
        <v>5087.0198760000003</v>
      </c>
      <c r="F3249" s="294" t="s">
        <v>1405</v>
      </c>
    </row>
    <row r="3250" spans="1:6" hidden="1" outlineLevel="1" collapsed="1" x14ac:dyDescent="0.25">
      <c r="A3250" s="295" t="s">
        <v>282</v>
      </c>
      <c r="B3250" s="295" t="s">
        <v>362</v>
      </c>
      <c r="C3250" s="293">
        <v>4345.185528</v>
      </c>
      <c r="D3250" s="293">
        <v>4440.8073359999999</v>
      </c>
      <c r="E3250" s="293">
        <v>95.621808000000001</v>
      </c>
      <c r="F3250" s="294" t="s">
        <v>1404</v>
      </c>
    </row>
    <row r="3251" spans="1:6" hidden="1" outlineLevel="1" collapsed="1" x14ac:dyDescent="0.25">
      <c r="A3251" s="295" t="s">
        <v>282</v>
      </c>
      <c r="B3251" s="295" t="s">
        <v>363</v>
      </c>
      <c r="C3251" s="293">
        <v>1107.9244799999999</v>
      </c>
      <c r="D3251" s="293">
        <v>1097.3040000000001</v>
      </c>
      <c r="E3251" s="293">
        <v>-10.620480000000001</v>
      </c>
      <c r="F3251" s="294" t="s">
        <v>364</v>
      </c>
    </row>
    <row r="3252" spans="1:6" hidden="1" outlineLevel="1" collapsed="1" x14ac:dyDescent="0.25">
      <c r="A3252" s="295" t="s">
        <v>282</v>
      </c>
      <c r="B3252" s="295" t="s">
        <v>365</v>
      </c>
      <c r="C3252" s="293">
        <v>39932.256000000001</v>
      </c>
      <c r="D3252" s="293">
        <v>41494.127999999997</v>
      </c>
      <c r="E3252" s="293">
        <v>1561.8720000000001</v>
      </c>
      <c r="F3252" s="294" t="s">
        <v>366</v>
      </c>
    </row>
    <row r="3253" spans="1:6" hidden="1" outlineLevel="1" collapsed="1" x14ac:dyDescent="0.25">
      <c r="A3253" s="295" t="s">
        <v>282</v>
      </c>
      <c r="B3253" s="295" t="s">
        <v>367</v>
      </c>
      <c r="C3253" s="293">
        <v>607.20191999999997</v>
      </c>
      <c r="D3253" s="293">
        <v>475.488</v>
      </c>
      <c r="E3253" s="293">
        <v>-131.71392</v>
      </c>
      <c r="F3253" s="294" t="s">
        <v>368</v>
      </c>
    </row>
    <row r="3254" spans="1:6" hidden="1" outlineLevel="1" collapsed="1" x14ac:dyDescent="0.25">
      <c r="A3254" s="295" t="s">
        <v>282</v>
      </c>
      <c r="B3254" s="295" t="s">
        <v>369</v>
      </c>
      <c r="C3254" s="293">
        <v>149.83398</v>
      </c>
      <c r="D3254" s="293">
        <v>153.13126800000001</v>
      </c>
      <c r="E3254" s="293">
        <v>3.297288</v>
      </c>
      <c r="F3254" s="294" t="s">
        <v>1404</v>
      </c>
    </row>
    <row r="3255" spans="1:6" hidden="1" outlineLevel="1" collapsed="1" x14ac:dyDescent="0.25">
      <c r="A3255" s="295" t="s">
        <v>282</v>
      </c>
      <c r="B3255" s="295" t="s">
        <v>370</v>
      </c>
      <c r="C3255" s="293">
        <v>3900</v>
      </c>
      <c r="D3255" s="293">
        <v>3900</v>
      </c>
      <c r="E3255" s="293">
        <v>0</v>
      </c>
      <c r="F3255" s="294" t="s">
        <v>316</v>
      </c>
    </row>
    <row r="3256" spans="1:6" hidden="1" outlineLevel="1" collapsed="1" x14ac:dyDescent="0.25">
      <c r="A3256" s="295" t="s">
        <v>282</v>
      </c>
      <c r="B3256" s="295" t="s">
        <v>371</v>
      </c>
      <c r="C3256" s="293">
        <v>129.16800000000001</v>
      </c>
      <c r="D3256" s="293">
        <v>126.048</v>
      </c>
      <c r="E3256" s="293">
        <v>-3.12</v>
      </c>
      <c r="F3256" s="294" t="s">
        <v>372</v>
      </c>
    </row>
    <row r="3257" spans="1:6" hidden="1" outlineLevel="1" collapsed="1" x14ac:dyDescent="0.25">
      <c r="A3257" s="295" t="s">
        <v>282</v>
      </c>
      <c r="B3257" s="295" t="s">
        <v>373</v>
      </c>
      <c r="C3257" s="293">
        <v>62.4</v>
      </c>
      <c r="D3257" s="293">
        <v>28.704000000000001</v>
      </c>
      <c r="E3257" s="293">
        <v>-33.695999999999998</v>
      </c>
      <c r="F3257" s="294" t="s">
        <v>374</v>
      </c>
    </row>
    <row r="3258" spans="1:6" collapsed="1" x14ac:dyDescent="0.25">
      <c r="A3258" s="560" t="s">
        <v>325</v>
      </c>
      <c r="B3258" s="561"/>
      <c r="C3258" s="292">
        <v>346447.30712000001</v>
      </c>
      <c r="D3258" s="293">
        <v>363570.45624999999</v>
      </c>
      <c r="E3258" s="293">
        <v>17123.149130000002</v>
      </c>
      <c r="F3258" s="294" t="s">
        <v>1406</v>
      </c>
    </row>
    <row r="3259" spans="1:6" hidden="1" outlineLevel="1" collapsed="1" x14ac:dyDescent="0.25">
      <c r="A3259" s="295" t="s">
        <v>282</v>
      </c>
      <c r="B3259" s="295" t="s">
        <v>358</v>
      </c>
      <c r="C3259" s="293">
        <v>160772.64000000001</v>
      </c>
      <c r="D3259" s="293">
        <v>166762.9572</v>
      </c>
      <c r="E3259" s="293">
        <v>5990.3172000000004</v>
      </c>
      <c r="F3259" s="294" t="s">
        <v>1407</v>
      </c>
    </row>
    <row r="3260" spans="1:6" hidden="1" outlineLevel="1" collapsed="1" x14ac:dyDescent="0.25">
      <c r="A3260" s="295" t="s">
        <v>282</v>
      </c>
      <c r="B3260" s="295" t="s">
        <v>488</v>
      </c>
      <c r="C3260" s="293">
        <v>10500</v>
      </c>
      <c r="D3260" s="293">
        <v>10500</v>
      </c>
      <c r="E3260" s="293">
        <v>0</v>
      </c>
      <c r="F3260" s="294" t="s">
        <v>316</v>
      </c>
    </row>
    <row r="3261" spans="1:6" hidden="1" outlineLevel="1" collapsed="1" x14ac:dyDescent="0.25">
      <c r="A3261" s="295" t="s">
        <v>282</v>
      </c>
      <c r="B3261" s="295" t="s">
        <v>818</v>
      </c>
      <c r="C3261" s="293">
        <v>83295</v>
      </c>
      <c r="D3261" s="293">
        <v>83295</v>
      </c>
      <c r="E3261" s="293">
        <v>0</v>
      </c>
      <c r="F3261" s="294" t="s">
        <v>316</v>
      </c>
    </row>
    <row r="3262" spans="1:6" hidden="1" outlineLevel="1" collapsed="1" x14ac:dyDescent="0.25">
      <c r="A3262" s="295" t="s">
        <v>282</v>
      </c>
      <c r="B3262" s="295" t="s">
        <v>360</v>
      </c>
      <c r="C3262" s="293">
        <v>20980.829519999999</v>
      </c>
      <c r="D3262" s="293">
        <v>24063.89471</v>
      </c>
      <c r="E3262" s="293">
        <v>3083.0651899999998</v>
      </c>
      <c r="F3262" s="294" t="s">
        <v>1408</v>
      </c>
    </row>
    <row r="3263" spans="1:6" hidden="1" outlineLevel="1" collapsed="1" x14ac:dyDescent="0.25">
      <c r="A3263" s="295" t="s">
        <v>282</v>
      </c>
      <c r="B3263" s="295" t="s">
        <v>362</v>
      </c>
      <c r="C3263" s="293">
        <v>2331.2032800000002</v>
      </c>
      <c r="D3263" s="293">
        <v>2418.0628700000002</v>
      </c>
      <c r="E3263" s="293">
        <v>86.859589999999997</v>
      </c>
      <c r="F3263" s="294" t="s">
        <v>1407</v>
      </c>
    </row>
    <row r="3264" spans="1:6" hidden="1" outlineLevel="1" collapsed="1" x14ac:dyDescent="0.25">
      <c r="A3264" s="295" t="s">
        <v>282</v>
      </c>
      <c r="B3264" s="295" t="s">
        <v>363</v>
      </c>
      <c r="C3264" s="293">
        <v>852.24959999999999</v>
      </c>
      <c r="D3264" s="293">
        <v>844.08</v>
      </c>
      <c r="E3264" s="293">
        <v>-8.1696000000000009</v>
      </c>
      <c r="F3264" s="294" t="s">
        <v>364</v>
      </c>
    </row>
    <row r="3265" spans="1:6" hidden="1" outlineLevel="1" collapsed="1" x14ac:dyDescent="0.25">
      <c r="A3265" s="295" t="s">
        <v>282</v>
      </c>
      <c r="B3265" s="295" t="s">
        <v>365</v>
      </c>
      <c r="C3265" s="293">
        <v>15358.56</v>
      </c>
      <c r="D3265" s="293">
        <v>15959.28</v>
      </c>
      <c r="E3265" s="293">
        <v>600.72</v>
      </c>
      <c r="F3265" s="294" t="s">
        <v>366</v>
      </c>
    </row>
    <row r="3266" spans="1:6" hidden="1" outlineLevel="1" collapsed="1" x14ac:dyDescent="0.25">
      <c r="A3266" s="295" t="s">
        <v>282</v>
      </c>
      <c r="B3266" s="295" t="s">
        <v>367</v>
      </c>
      <c r="C3266" s="293">
        <v>467.07839999999999</v>
      </c>
      <c r="D3266" s="293">
        <v>365.76</v>
      </c>
      <c r="E3266" s="293">
        <v>-101.3184</v>
      </c>
      <c r="F3266" s="294" t="s">
        <v>368</v>
      </c>
    </row>
    <row r="3267" spans="1:6" hidden="1" outlineLevel="1" collapsed="1" x14ac:dyDescent="0.25">
      <c r="A3267" s="295" t="s">
        <v>282</v>
      </c>
      <c r="B3267" s="295" t="s">
        <v>444</v>
      </c>
      <c r="C3267" s="293">
        <v>945</v>
      </c>
      <c r="D3267" s="293">
        <v>8442</v>
      </c>
      <c r="E3267" s="293">
        <v>7497</v>
      </c>
      <c r="F3267" s="294" t="s">
        <v>1409</v>
      </c>
    </row>
    <row r="3268" spans="1:6" hidden="1" outlineLevel="1" collapsed="1" x14ac:dyDescent="0.25">
      <c r="A3268" s="295" t="s">
        <v>282</v>
      </c>
      <c r="B3268" s="295" t="s">
        <v>369</v>
      </c>
      <c r="C3268" s="293">
        <v>80.386319999999998</v>
      </c>
      <c r="D3268" s="293">
        <v>83.381469999999993</v>
      </c>
      <c r="E3268" s="293">
        <v>2.9951500000000002</v>
      </c>
      <c r="F3268" s="294" t="s">
        <v>1407</v>
      </c>
    </row>
    <row r="3269" spans="1:6" hidden="1" outlineLevel="1" collapsed="1" x14ac:dyDescent="0.25">
      <c r="A3269" s="295" t="s">
        <v>282</v>
      </c>
      <c r="B3269" s="295" t="s">
        <v>370</v>
      </c>
      <c r="C3269" s="293">
        <v>3000</v>
      </c>
      <c r="D3269" s="293">
        <v>3000</v>
      </c>
      <c r="E3269" s="293">
        <v>0</v>
      </c>
      <c r="F3269" s="294" t="s">
        <v>316</v>
      </c>
    </row>
    <row r="3270" spans="1:6" hidden="1" outlineLevel="1" collapsed="1" x14ac:dyDescent="0.25">
      <c r="A3270" s="295" t="s">
        <v>282</v>
      </c>
      <c r="B3270" s="295" t="s">
        <v>371</v>
      </c>
      <c r="C3270" s="293">
        <v>99.36</v>
      </c>
      <c r="D3270" s="293">
        <v>96.96</v>
      </c>
      <c r="E3270" s="293">
        <v>-2.4</v>
      </c>
      <c r="F3270" s="294" t="s">
        <v>372</v>
      </c>
    </row>
    <row r="3271" spans="1:6" hidden="1" outlineLevel="1" collapsed="1" x14ac:dyDescent="0.25">
      <c r="A3271" s="295" t="s">
        <v>282</v>
      </c>
      <c r="B3271" s="295" t="s">
        <v>373</v>
      </c>
      <c r="C3271" s="293">
        <v>48</v>
      </c>
      <c r="D3271" s="293">
        <v>22.08</v>
      </c>
      <c r="E3271" s="293">
        <v>-25.92</v>
      </c>
      <c r="F3271" s="294" t="s">
        <v>374</v>
      </c>
    </row>
    <row r="3272" spans="1:6" hidden="1" outlineLevel="1" collapsed="1" x14ac:dyDescent="0.25">
      <c r="A3272" s="295" t="s">
        <v>282</v>
      </c>
      <c r="B3272" s="295" t="s">
        <v>445</v>
      </c>
      <c r="C3272" s="293">
        <v>3000</v>
      </c>
      <c r="D3272" s="293">
        <v>3000</v>
      </c>
      <c r="E3272" s="293">
        <v>0</v>
      </c>
      <c r="F3272" s="294" t="s">
        <v>316</v>
      </c>
    </row>
    <row r="3273" spans="1:6" hidden="1" outlineLevel="1" collapsed="1" x14ac:dyDescent="0.25">
      <c r="A3273" s="295" t="s">
        <v>282</v>
      </c>
      <c r="B3273" s="295" t="s">
        <v>375</v>
      </c>
      <c r="C3273" s="293">
        <v>13040</v>
      </c>
      <c r="D3273" s="293">
        <v>10511</v>
      </c>
      <c r="E3273" s="293">
        <v>-2529</v>
      </c>
      <c r="F3273" s="294" t="s">
        <v>1410</v>
      </c>
    </row>
    <row r="3274" spans="1:6" hidden="1" outlineLevel="1" collapsed="1" x14ac:dyDescent="0.25">
      <c r="A3274" s="295" t="s">
        <v>282</v>
      </c>
      <c r="B3274" s="295" t="s">
        <v>376</v>
      </c>
      <c r="C3274" s="293">
        <v>1628</v>
      </c>
      <c r="D3274" s="293">
        <v>1172</v>
      </c>
      <c r="E3274" s="293">
        <v>-456</v>
      </c>
      <c r="F3274" s="294" t="s">
        <v>1411</v>
      </c>
    </row>
    <row r="3275" spans="1:6" hidden="1" outlineLevel="1" collapsed="1" x14ac:dyDescent="0.25">
      <c r="A3275" s="295" t="s">
        <v>282</v>
      </c>
      <c r="B3275" s="295" t="s">
        <v>482</v>
      </c>
      <c r="C3275" s="293">
        <v>269</v>
      </c>
      <c r="D3275" s="293">
        <v>1083</v>
      </c>
      <c r="E3275" s="293">
        <v>814</v>
      </c>
      <c r="F3275" s="294" t="s">
        <v>1412</v>
      </c>
    </row>
    <row r="3276" spans="1:6" hidden="1" outlineLevel="1" collapsed="1" x14ac:dyDescent="0.25">
      <c r="A3276" s="295" t="s">
        <v>282</v>
      </c>
      <c r="B3276" s="295" t="s">
        <v>597</v>
      </c>
      <c r="C3276" s="293">
        <v>150</v>
      </c>
      <c r="D3276" s="293">
        <v>151</v>
      </c>
      <c r="E3276" s="293">
        <v>1</v>
      </c>
      <c r="F3276" s="294" t="s">
        <v>1413</v>
      </c>
    </row>
    <row r="3277" spans="1:6" hidden="1" outlineLevel="1" collapsed="1" x14ac:dyDescent="0.25">
      <c r="A3277" s="295" t="s">
        <v>282</v>
      </c>
      <c r="B3277" s="295" t="s">
        <v>416</v>
      </c>
      <c r="C3277" s="293">
        <v>1</v>
      </c>
      <c r="D3277" s="293">
        <v>0</v>
      </c>
      <c r="E3277" s="293">
        <v>-1</v>
      </c>
      <c r="F3277" s="294" t="s">
        <v>286</v>
      </c>
    </row>
    <row r="3278" spans="1:6" hidden="1" outlineLevel="1" collapsed="1" x14ac:dyDescent="0.25">
      <c r="A3278" s="295" t="s">
        <v>282</v>
      </c>
      <c r="B3278" s="295" t="s">
        <v>403</v>
      </c>
      <c r="C3278" s="293">
        <v>4629</v>
      </c>
      <c r="D3278" s="293">
        <v>6800</v>
      </c>
      <c r="E3278" s="293">
        <v>2171</v>
      </c>
      <c r="F3278" s="294" t="s">
        <v>1414</v>
      </c>
    </row>
    <row r="3279" spans="1:6" hidden="1" outlineLevel="1" collapsed="1" x14ac:dyDescent="0.25">
      <c r="A3279" s="295" t="s">
        <v>282</v>
      </c>
      <c r="B3279" s="295" t="s">
        <v>422</v>
      </c>
      <c r="C3279" s="293">
        <v>25000</v>
      </c>
      <c r="D3279" s="293">
        <v>25000</v>
      </c>
      <c r="E3279" s="293">
        <v>0</v>
      </c>
      <c r="F3279" s="294" t="s">
        <v>316</v>
      </c>
    </row>
    <row r="3280" spans="1:6" collapsed="1" x14ac:dyDescent="0.25">
      <c r="A3280" s="560" t="s">
        <v>1415</v>
      </c>
      <c r="B3280" s="561"/>
      <c r="C3280" s="292">
        <v>2180</v>
      </c>
      <c r="D3280" s="293">
        <v>2180</v>
      </c>
      <c r="E3280" s="293">
        <v>0</v>
      </c>
      <c r="F3280" s="294" t="s">
        <v>316</v>
      </c>
    </row>
    <row r="3281" spans="1:6" hidden="1" outlineLevel="1" collapsed="1" x14ac:dyDescent="0.25">
      <c r="A3281" s="295" t="s">
        <v>282</v>
      </c>
      <c r="B3281" s="295" t="s">
        <v>818</v>
      </c>
      <c r="C3281" s="293">
        <v>2000</v>
      </c>
      <c r="D3281" s="293">
        <v>2000</v>
      </c>
      <c r="E3281" s="293">
        <v>0</v>
      </c>
      <c r="F3281" s="294" t="s">
        <v>316</v>
      </c>
    </row>
    <row r="3282" spans="1:6" hidden="1" outlineLevel="1" collapsed="1" x14ac:dyDescent="0.25">
      <c r="A3282" s="295" t="s">
        <v>282</v>
      </c>
      <c r="B3282" s="295" t="s">
        <v>444</v>
      </c>
      <c r="C3282" s="293">
        <v>180</v>
      </c>
      <c r="D3282" s="293">
        <v>180</v>
      </c>
      <c r="E3282" s="293">
        <v>0</v>
      </c>
      <c r="F3282" s="294" t="s">
        <v>316</v>
      </c>
    </row>
    <row r="3283" spans="1:6" collapsed="1" x14ac:dyDescent="0.25">
      <c r="A3283" s="560" t="s">
        <v>1416</v>
      </c>
      <c r="B3283" s="561"/>
      <c r="C3283" s="292">
        <v>136275.69276000001</v>
      </c>
      <c r="D3283" s="293">
        <v>140039.01292000001</v>
      </c>
      <c r="E3283" s="293">
        <v>3763.3201600000002</v>
      </c>
      <c r="F3283" s="294" t="s">
        <v>1417</v>
      </c>
    </row>
    <row r="3284" spans="1:6" hidden="1" outlineLevel="1" collapsed="1" x14ac:dyDescent="0.25">
      <c r="A3284" s="295" t="s">
        <v>282</v>
      </c>
      <c r="B3284" s="295" t="s">
        <v>358</v>
      </c>
      <c r="C3284" s="293">
        <v>103608.72</v>
      </c>
      <c r="D3284" s="293">
        <v>105162.8508</v>
      </c>
      <c r="E3284" s="293">
        <v>1554.1307999999999</v>
      </c>
      <c r="F3284" s="294" t="s">
        <v>510</v>
      </c>
    </row>
    <row r="3285" spans="1:6" hidden="1" outlineLevel="1" collapsed="1" x14ac:dyDescent="0.25">
      <c r="A3285" s="295" t="s">
        <v>282</v>
      </c>
      <c r="B3285" s="295" t="s">
        <v>360</v>
      </c>
      <c r="C3285" s="293">
        <v>13520.937959999999</v>
      </c>
      <c r="D3285" s="293">
        <v>15174.99937</v>
      </c>
      <c r="E3285" s="293">
        <v>1654.06141</v>
      </c>
      <c r="F3285" s="294" t="s">
        <v>511</v>
      </c>
    </row>
    <row r="3286" spans="1:6" hidden="1" outlineLevel="1" collapsed="1" x14ac:dyDescent="0.25">
      <c r="A3286" s="295" t="s">
        <v>282</v>
      </c>
      <c r="B3286" s="295" t="s">
        <v>362</v>
      </c>
      <c r="C3286" s="293">
        <v>1502.32644</v>
      </c>
      <c r="D3286" s="293">
        <v>1524.86133</v>
      </c>
      <c r="E3286" s="293">
        <v>22.534890000000001</v>
      </c>
      <c r="F3286" s="294" t="s">
        <v>510</v>
      </c>
    </row>
    <row r="3287" spans="1:6" hidden="1" outlineLevel="1" collapsed="1" x14ac:dyDescent="0.25">
      <c r="A3287" s="295" t="s">
        <v>282</v>
      </c>
      <c r="B3287" s="295" t="s">
        <v>363</v>
      </c>
      <c r="C3287" s="293">
        <v>426.12479999999999</v>
      </c>
      <c r="D3287" s="293">
        <v>422.04</v>
      </c>
      <c r="E3287" s="293">
        <v>-4.0848000000000004</v>
      </c>
      <c r="F3287" s="294" t="s">
        <v>364</v>
      </c>
    </row>
    <row r="3288" spans="1:6" hidden="1" outlineLevel="1" collapsed="1" x14ac:dyDescent="0.25">
      <c r="A3288" s="295" t="s">
        <v>282</v>
      </c>
      <c r="B3288" s="295" t="s">
        <v>365</v>
      </c>
      <c r="C3288" s="293">
        <v>15358.56</v>
      </c>
      <c r="D3288" s="293">
        <v>15959.28</v>
      </c>
      <c r="E3288" s="293">
        <v>600.72</v>
      </c>
      <c r="F3288" s="294" t="s">
        <v>366</v>
      </c>
    </row>
    <row r="3289" spans="1:6" hidden="1" outlineLevel="1" collapsed="1" x14ac:dyDescent="0.25">
      <c r="A3289" s="295" t="s">
        <v>282</v>
      </c>
      <c r="B3289" s="295" t="s">
        <v>367</v>
      </c>
      <c r="C3289" s="293">
        <v>233.53919999999999</v>
      </c>
      <c r="D3289" s="293">
        <v>182.88</v>
      </c>
      <c r="E3289" s="293">
        <v>-50.659199999999998</v>
      </c>
      <c r="F3289" s="294" t="s">
        <v>368</v>
      </c>
    </row>
    <row r="3290" spans="1:6" hidden="1" outlineLevel="1" collapsed="1" x14ac:dyDescent="0.25">
      <c r="A3290" s="295" t="s">
        <v>282</v>
      </c>
      <c r="B3290" s="295" t="s">
        <v>369</v>
      </c>
      <c r="C3290" s="293">
        <v>51.804360000000003</v>
      </c>
      <c r="D3290" s="293">
        <v>52.581420000000001</v>
      </c>
      <c r="E3290" s="293">
        <v>0.77705999999999997</v>
      </c>
      <c r="F3290" s="294" t="s">
        <v>510</v>
      </c>
    </row>
    <row r="3291" spans="1:6" hidden="1" outlineLevel="1" collapsed="1" x14ac:dyDescent="0.25">
      <c r="A3291" s="295" t="s">
        <v>282</v>
      </c>
      <c r="B3291" s="295" t="s">
        <v>370</v>
      </c>
      <c r="C3291" s="293">
        <v>1500</v>
      </c>
      <c r="D3291" s="293">
        <v>1500</v>
      </c>
      <c r="E3291" s="293">
        <v>0</v>
      </c>
      <c r="F3291" s="294" t="s">
        <v>316</v>
      </c>
    </row>
    <row r="3292" spans="1:6" hidden="1" outlineLevel="1" collapsed="1" x14ac:dyDescent="0.25">
      <c r="A3292" s="295" t="s">
        <v>282</v>
      </c>
      <c r="B3292" s="295" t="s">
        <v>371</v>
      </c>
      <c r="C3292" s="293">
        <v>49.68</v>
      </c>
      <c r="D3292" s="293">
        <v>48.48</v>
      </c>
      <c r="E3292" s="293">
        <v>-1.2</v>
      </c>
      <c r="F3292" s="294" t="s">
        <v>372</v>
      </c>
    </row>
    <row r="3293" spans="1:6" hidden="1" outlineLevel="1" collapsed="1" x14ac:dyDescent="0.25">
      <c r="A3293" s="295" t="s">
        <v>282</v>
      </c>
      <c r="B3293" s="295" t="s">
        <v>373</v>
      </c>
      <c r="C3293" s="293">
        <v>24</v>
      </c>
      <c r="D3293" s="293">
        <v>11.04</v>
      </c>
      <c r="E3293" s="293">
        <v>-12.96</v>
      </c>
      <c r="F3293" s="294" t="s">
        <v>374</v>
      </c>
    </row>
    <row r="3294" spans="1:6" collapsed="1" x14ac:dyDescent="0.25">
      <c r="A3294" s="560" t="s">
        <v>1418</v>
      </c>
      <c r="B3294" s="561"/>
      <c r="C3294" s="292">
        <v>38178.562528000002</v>
      </c>
      <c r="D3294" s="293">
        <v>93868.823399999994</v>
      </c>
      <c r="E3294" s="293">
        <v>55690.260871999999</v>
      </c>
      <c r="F3294" s="294" t="s">
        <v>1419</v>
      </c>
    </row>
    <row r="3295" spans="1:6" hidden="1" outlineLevel="1" collapsed="1" x14ac:dyDescent="0.25">
      <c r="A3295" s="295" t="s">
        <v>282</v>
      </c>
      <c r="B3295" s="295" t="s">
        <v>358</v>
      </c>
      <c r="C3295" s="293">
        <v>23948.416000000001</v>
      </c>
      <c r="D3295" s="293">
        <v>65336.930399999997</v>
      </c>
      <c r="E3295" s="293">
        <v>41388.5144</v>
      </c>
      <c r="F3295" s="294" t="s">
        <v>1420</v>
      </c>
    </row>
    <row r="3296" spans="1:6" hidden="1" outlineLevel="1" collapsed="1" x14ac:dyDescent="0.25">
      <c r="A3296" s="295" t="s">
        <v>282</v>
      </c>
      <c r="B3296" s="295" t="s">
        <v>360</v>
      </c>
      <c r="C3296" s="293">
        <v>4873.968288</v>
      </c>
      <c r="D3296" s="293">
        <v>9428.1190499999993</v>
      </c>
      <c r="E3296" s="293">
        <v>4554.1507620000002</v>
      </c>
      <c r="F3296" s="294" t="s">
        <v>1421</v>
      </c>
    </row>
    <row r="3297" spans="1:6" hidden="1" outlineLevel="1" collapsed="1" x14ac:dyDescent="0.25">
      <c r="A3297" s="295" t="s">
        <v>282</v>
      </c>
      <c r="B3297" s="295" t="s">
        <v>362</v>
      </c>
      <c r="C3297" s="293">
        <v>541.55203200000005</v>
      </c>
      <c r="D3297" s="293">
        <v>947.38549</v>
      </c>
      <c r="E3297" s="293">
        <v>405.83345800000001</v>
      </c>
      <c r="F3297" s="294" t="s">
        <v>1422</v>
      </c>
    </row>
    <row r="3298" spans="1:6" hidden="1" outlineLevel="1" collapsed="1" x14ac:dyDescent="0.25">
      <c r="A3298" s="295" t="s">
        <v>282</v>
      </c>
      <c r="B3298" s="295" t="s">
        <v>363</v>
      </c>
      <c r="C3298" s="293">
        <v>213.0624</v>
      </c>
      <c r="D3298" s="293">
        <v>422.04</v>
      </c>
      <c r="E3298" s="293">
        <v>208.9776</v>
      </c>
      <c r="F3298" s="294" t="s">
        <v>532</v>
      </c>
    </row>
    <row r="3299" spans="1:6" hidden="1" outlineLevel="1" collapsed="1" x14ac:dyDescent="0.25">
      <c r="A3299" s="295" t="s">
        <v>282</v>
      </c>
      <c r="B3299" s="295" t="s">
        <v>365</v>
      </c>
      <c r="C3299" s="293">
        <v>7679.28</v>
      </c>
      <c r="D3299" s="293">
        <v>15959.28</v>
      </c>
      <c r="E3299" s="293">
        <v>8280</v>
      </c>
      <c r="F3299" s="294" t="s">
        <v>533</v>
      </c>
    </row>
    <row r="3300" spans="1:6" hidden="1" outlineLevel="1" collapsed="1" x14ac:dyDescent="0.25">
      <c r="A3300" s="295" t="s">
        <v>282</v>
      </c>
      <c r="B3300" s="295" t="s">
        <v>367</v>
      </c>
      <c r="C3300" s="293">
        <v>116.7696</v>
      </c>
      <c r="D3300" s="293">
        <v>182.88</v>
      </c>
      <c r="E3300" s="293">
        <v>66.110399999999998</v>
      </c>
      <c r="F3300" s="294" t="s">
        <v>534</v>
      </c>
    </row>
    <row r="3301" spans="1:6" hidden="1" outlineLevel="1" collapsed="1" x14ac:dyDescent="0.25">
      <c r="A3301" s="295" t="s">
        <v>282</v>
      </c>
      <c r="B3301" s="295" t="s">
        <v>369</v>
      </c>
      <c r="C3301" s="293">
        <v>18.674208</v>
      </c>
      <c r="D3301" s="293">
        <v>32.668460000000003</v>
      </c>
      <c r="E3301" s="293">
        <v>13.994251999999999</v>
      </c>
      <c r="F3301" s="294" t="s">
        <v>1422</v>
      </c>
    </row>
    <row r="3302" spans="1:6" hidden="1" outlineLevel="1" collapsed="1" x14ac:dyDescent="0.25">
      <c r="A3302" s="295" t="s">
        <v>282</v>
      </c>
      <c r="B3302" s="295" t="s">
        <v>370</v>
      </c>
      <c r="C3302" s="293">
        <v>750</v>
      </c>
      <c r="D3302" s="293">
        <v>1500</v>
      </c>
      <c r="E3302" s="293">
        <v>750</v>
      </c>
      <c r="F3302" s="294" t="s">
        <v>298</v>
      </c>
    </row>
    <row r="3303" spans="1:6" hidden="1" outlineLevel="1" collapsed="1" x14ac:dyDescent="0.25">
      <c r="A3303" s="295" t="s">
        <v>282</v>
      </c>
      <c r="B3303" s="295" t="s">
        <v>371</v>
      </c>
      <c r="C3303" s="293">
        <v>24.84</v>
      </c>
      <c r="D3303" s="293">
        <v>48.48</v>
      </c>
      <c r="E3303" s="293">
        <v>23.64</v>
      </c>
      <c r="F3303" s="294" t="s">
        <v>535</v>
      </c>
    </row>
    <row r="3304" spans="1:6" hidden="1" outlineLevel="1" collapsed="1" x14ac:dyDescent="0.25">
      <c r="A3304" s="295" t="s">
        <v>282</v>
      </c>
      <c r="B3304" s="295" t="s">
        <v>373</v>
      </c>
      <c r="C3304" s="293">
        <v>12</v>
      </c>
      <c r="D3304" s="293">
        <v>11.04</v>
      </c>
      <c r="E3304" s="293">
        <v>-0.96</v>
      </c>
      <c r="F3304" s="294" t="s">
        <v>536</v>
      </c>
    </row>
    <row r="3305" spans="1:6" collapsed="1" x14ac:dyDescent="0.25">
      <c r="A3305" s="560" t="s">
        <v>1423</v>
      </c>
      <c r="B3305" s="561"/>
      <c r="C3305" s="292">
        <v>66158.972219999996</v>
      </c>
      <c r="D3305" s="293">
        <v>68978.136255000005</v>
      </c>
      <c r="E3305" s="293">
        <v>2819.1640349999998</v>
      </c>
      <c r="F3305" s="294" t="s">
        <v>1158</v>
      </c>
    </row>
    <row r="3306" spans="1:6" hidden="1" outlineLevel="1" collapsed="1" x14ac:dyDescent="0.25">
      <c r="A3306" s="295" t="s">
        <v>282</v>
      </c>
      <c r="B3306" s="295" t="s">
        <v>358</v>
      </c>
      <c r="C3306" s="293">
        <v>50076.84</v>
      </c>
      <c r="D3306" s="293">
        <v>51683.150399999999</v>
      </c>
      <c r="E3306" s="293">
        <v>1606.3104000000001</v>
      </c>
      <c r="F3306" s="294" t="s">
        <v>359</v>
      </c>
    </row>
    <row r="3307" spans="1:6" hidden="1" outlineLevel="1" collapsed="1" x14ac:dyDescent="0.25">
      <c r="A3307" s="295" t="s">
        <v>282</v>
      </c>
      <c r="B3307" s="295" t="s">
        <v>360</v>
      </c>
      <c r="C3307" s="293">
        <v>6535.0276199999998</v>
      </c>
      <c r="D3307" s="293">
        <v>7457.8786</v>
      </c>
      <c r="E3307" s="293">
        <v>922.85098000000005</v>
      </c>
      <c r="F3307" s="294" t="s">
        <v>701</v>
      </c>
    </row>
    <row r="3308" spans="1:6" hidden="1" outlineLevel="1" collapsed="1" x14ac:dyDescent="0.25">
      <c r="A3308" s="295" t="s">
        <v>282</v>
      </c>
      <c r="B3308" s="295" t="s">
        <v>362</v>
      </c>
      <c r="C3308" s="293">
        <v>726.11418000000003</v>
      </c>
      <c r="D3308" s="293">
        <v>749.40567999999996</v>
      </c>
      <c r="E3308" s="293">
        <v>23.291499999999999</v>
      </c>
      <c r="F3308" s="294" t="s">
        <v>359</v>
      </c>
    </row>
    <row r="3309" spans="1:6" hidden="1" outlineLevel="1" collapsed="1" x14ac:dyDescent="0.25">
      <c r="A3309" s="295" t="s">
        <v>282</v>
      </c>
      <c r="B3309" s="295" t="s">
        <v>363</v>
      </c>
      <c r="C3309" s="293">
        <v>213.0624</v>
      </c>
      <c r="D3309" s="293">
        <v>211.02</v>
      </c>
      <c r="E3309" s="293">
        <v>-2.0424000000000002</v>
      </c>
      <c r="F3309" s="294" t="s">
        <v>364</v>
      </c>
    </row>
    <row r="3310" spans="1:6" hidden="1" outlineLevel="1" collapsed="1" x14ac:dyDescent="0.25">
      <c r="A3310" s="295" t="s">
        <v>282</v>
      </c>
      <c r="B3310" s="295" t="s">
        <v>365</v>
      </c>
      <c r="C3310" s="293">
        <v>7679.28</v>
      </c>
      <c r="D3310" s="293">
        <v>7979.64</v>
      </c>
      <c r="E3310" s="293">
        <v>300.36</v>
      </c>
      <c r="F3310" s="294" t="s">
        <v>366</v>
      </c>
    </row>
    <row r="3311" spans="1:6" hidden="1" outlineLevel="1" collapsed="1" x14ac:dyDescent="0.25">
      <c r="A3311" s="295" t="s">
        <v>282</v>
      </c>
      <c r="B3311" s="295" t="s">
        <v>367</v>
      </c>
      <c r="C3311" s="293">
        <v>116.7696</v>
      </c>
      <c r="D3311" s="293">
        <v>91.44</v>
      </c>
      <c r="E3311" s="293">
        <v>-25.329599999999999</v>
      </c>
      <c r="F3311" s="294" t="s">
        <v>368</v>
      </c>
    </row>
    <row r="3312" spans="1:6" hidden="1" outlineLevel="1" collapsed="1" x14ac:dyDescent="0.25">
      <c r="A3312" s="295" t="s">
        <v>282</v>
      </c>
      <c r="B3312" s="295" t="s">
        <v>369</v>
      </c>
      <c r="C3312" s="293">
        <v>25.038419999999999</v>
      </c>
      <c r="D3312" s="293">
        <v>25.841574999999999</v>
      </c>
      <c r="E3312" s="293">
        <v>0.80315499999999995</v>
      </c>
      <c r="F3312" s="294" t="s">
        <v>359</v>
      </c>
    </row>
    <row r="3313" spans="1:6" hidden="1" outlineLevel="1" collapsed="1" x14ac:dyDescent="0.25">
      <c r="A3313" s="295" t="s">
        <v>282</v>
      </c>
      <c r="B3313" s="295" t="s">
        <v>370</v>
      </c>
      <c r="C3313" s="293">
        <v>750</v>
      </c>
      <c r="D3313" s="293">
        <v>750</v>
      </c>
      <c r="E3313" s="293">
        <v>0</v>
      </c>
      <c r="F3313" s="294" t="s">
        <v>316</v>
      </c>
    </row>
    <row r="3314" spans="1:6" hidden="1" outlineLevel="1" collapsed="1" x14ac:dyDescent="0.25">
      <c r="A3314" s="295" t="s">
        <v>282</v>
      </c>
      <c r="B3314" s="295" t="s">
        <v>371</v>
      </c>
      <c r="C3314" s="293">
        <v>24.84</v>
      </c>
      <c r="D3314" s="293">
        <v>24.24</v>
      </c>
      <c r="E3314" s="293">
        <v>-0.6</v>
      </c>
      <c r="F3314" s="294" t="s">
        <v>372</v>
      </c>
    </row>
    <row r="3315" spans="1:6" hidden="1" outlineLevel="1" collapsed="1" x14ac:dyDescent="0.25">
      <c r="A3315" s="295" t="s">
        <v>282</v>
      </c>
      <c r="B3315" s="295" t="s">
        <v>373</v>
      </c>
      <c r="C3315" s="293">
        <v>12</v>
      </c>
      <c r="D3315" s="293">
        <v>5.52</v>
      </c>
      <c r="E3315" s="293">
        <v>-6.48</v>
      </c>
      <c r="F3315" s="294" t="s">
        <v>374</v>
      </c>
    </row>
    <row r="3316" spans="1:6" collapsed="1" x14ac:dyDescent="0.25">
      <c r="A3316" s="560" t="s">
        <v>1424</v>
      </c>
      <c r="B3316" s="561"/>
      <c r="C3316" s="292">
        <v>113810.60496</v>
      </c>
      <c r="D3316" s="293">
        <v>119478.19954</v>
      </c>
      <c r="E3316" s="293">
        <v>5667.59458</v>
      </c>
      <c r="F3316" s="294" t="s">
        <v>1425</v>
      </c>
    </row>
    <row r="3317" spans="1:6" hidden="1" outlineLevel="1" collapsed="1" x14ac:dyDescent="0.25">
      <c r="A3317" s="295" t="s">
        <v>282</v>
      </c>
      <c r="B3317" s="295" t="s">
        <v>358</v>
      </c>
      <c r="C3317" s="293">
        <v>83997.119999999995</v>
      </c>
      <c r="D3317" s="293">
        <v>87427.309200000003</v>
      </c>
      <c r="E3317" s="293">
        <v>3430.1891999999998</v>
      </c>
      <c r="F3317" s="294" t="s">
        <v>1028</v>
      </c>
    </row>
    <row r="3318" spans="1:6" hidden="1" outlineLevel="1" collapsed="1" x14ac:dyDescent="0.25">
      <c r="A3318" s="295" t="s">
        <v>282</v>
      </c>
      <c r="B3318" s="295" t="s">
        <v>360</v>
      </c>
      <c r="C3318" s="293">
        <v>10961.624159999999</v>
      </c>
      <c r="D3318" s="293">
        <v>12615.76071</v>
      </c>
      <c r="E3318" s="293">
        <v>1654.1365499999999</v>
      </c>
      <c r="F3318" s="294" t="s">
        <v>1426</v>
      </c>
    </row>
    <row r="3319" spans="1:6" hidden="1" outlineLevel="1" collapsed="1" x14ac:dyDescent="0.25">
      <c r="A3319" s="295" t="s">
        <v>282</v>
      </c>
      <c r="B3319" s="295" t="s">
        <v>362</v>
      </c>
      <c r="C3319" s="293">
        <v>1217.9582399999999</v>
      </c>
      <c r="D3319" s="293">
        <v>1267.69598</v>
      </c>
      <c r="E3319" s="293">
        <v>49.737740000000002</v>
      </c>
      <c r="F3319" s="294" t="s">
        <v>1028</v>
      </c>
    </row>
    <row r="3320" spans="1:6" hidden="1" outlineLevel="1" collapsed="1" x14ac:dyDescent="0.25">
      <c r="A3320" s="295" t="s">
        <v>282</v>
      </c>
      <c r="B3320" s="295" t="s">
        <v>363</v>
      </c>
      <c r="C3320" s="293">
        <v>426.12479999999999</v>
      </c>
      <c r="D3320" s="293">
        <v>422.04</v>
      </c>
      <c r="E3320" s="293">
        <v>-4.0848000000000004</v>
      </c>
      <c r="F3320" s="294" t="s">
        <v>364</v>
      </c>
    </row>
    <row r="3321" spans="1:6" hidden="1" outlineLevel="1" collapsed="1" x14ac:dyDescent="0.25">
      <c r="A3321" s="295" t="s">
        <v>282</v>
      </c>
      <c r="B3321" s="295" t="s">
        <v>365</v>
      </c>
      <c r="C3321" s="293">
        <v>15358.56</v>
      </c>
      <c r="D3321" s="293">
        <v>15959.28</v>
      </c>
      <c r="E3321" s="293">
        <v>600.72</v>
      </c>
      <c r="F3321" s="294" t="s">
        <v>366</v>
      </c>
    </row>
    <row r="3322" spans="1:6" hidden="1" outlineLevel="1" collapsed="1" x14ac:dyDescent="0.25">
      <c r="A3322" s="295" t="s">
        <v>282</v>
      </c>
      <c r="B3322" s="295" t="s">
        <v>367</v>
      </c>
      <c r="C3322" s="293">
        <v>233.53919999999999</v>
      </c>
      <c r="D3322" s="293">
        <v>182.88</v>
      </c>
      <c r="E3322" s="293">
        <v>-50.659199999999998</v>
      </c>
      <c r="F3322" s="294" t="s">
        <v>368</v>
      </c>
    </row>
    <row r="3323" spans="1:6" hidden="1" outlineLevel="1" collapsed="1" x14ac:dyDescent="0.25">
      <c r="A3323" s="295" t="s">
        <v>282</v>
      </c>
      <c r="B3323" s="295" t="s">
        <v>369</v>
      </c>
      <c r="C3323" s="293">
        <v>41.998559999999998</v>
      </c>
      <c r="D3323" s="293">
        <v>43.713650000000001</v>
      </c>
      <c r="E3323" s="293">
        <v>1.71509</v>
      </c>
      <c r="F3323" s="294" t="s">
        <v>1028</v>
      </c>
    </row>
    <row r="3324" spans="1:6" hidden="1" outlineLevel="1" collapsed="1" x14ac:dyDescent="0.25">
      <c r="A3324" s="295" t="s">
        <v>282</v>
      </c>
      <c r="B3324" s="295" t="s">
        <v>370</v>
      </c>
      <c r="C3324" s="293">
        <v>1500</v>
      </c>
      <c r="D3324" s="293">
        <v>1500</v>
      </c>
      <c r="E3324" s="293">
        <v>0</v>
      </c>
      <c r="F3324" s="294" t="s">
        <v>316</v>
      </c>
    </row>
    <row r="3325" spans="1:6" hidden="1" outlineLevel="1" collapsed="1" x14ac:dyDescent="0.25">
      <c r="A3325" s="295" t="s">
        <v>282</v>
      </c>
      <c r="B3325" s="295" t="s">
        <v>371</v>
      </c>
      <c r="C3325" s="293">
        <v>49.68</v>
      </c>
      <c r="D3325" s="293">
        <v>48.48</v>
      </c>
      <c r="E3325" s="293">
        <v>-1.2</v>
      </c>
      <c r="F3325" s="294" t="s">
        <v>372</v>
      </c>
    </row>
    <row r="3326" spans="1:6" hidden="1" outlineLevel="1" collapsed="1" x14ac:dyDescent="0.25">
      <c r="A3326" s="295" t="s">
        <v>282</v>
      </c>
      <c r="B3326" s="295" t="s">
        <v>373</v>
      </c>
      <c r="C3326" s="293">
        <v>24</v>
      </c>
      <c r="D3326" s="293">
        <v>11.04</v>
      </c>
      <c r="E3326" s="293">
        <v>-12.96</v>
      </c>
      <c r="F3326" s="294" t="s">
        <v>374</v>
      </c>
    </row>
    <row r="3327" spans="1:6" collapsed="1" x14ac:dyDescent="0.25">
      <c r="A3327" s="560" t="s">
        <v>1427</v>
      </c>
      <c r="B3327" s="561"/>
      <c r="C3327" s="292">
        <v>140437.94443999999</v>
      </c>
      <c r="D3327" s="293">
        <v>146076.27251000001</v>
      </c>
      <c r="E3327" s="293">
        <v>5638.3280699999996</v>
      </c>
      <c r="F3327" s="294" t="s">
        <v>1428</v>
      </c>
    </row>
    <row r="3328" spans="1:6" hidden="1" outlineLevel="1" collapsed="1" x14ac:dyDescent="0.25">
      <c r="A3328" s="295" t="s">
        <v>282</v>
      </c>
      <c r="B3328" s="295" t="s">
        <v>358</v>
      </c>
      <c r="C3328" s="293">
        <v>100153.68</v>
      </c>
      <c r="D3328" s="293">
        <v>103366.3008</v>
      </c>
      <c r="E3328" s="293">
        <v>3212.6208000000001</v>
      </c>
      <c r="F3328" s="294" t="s">
        <v>359</v>
      </c>
    </row>
    <row r="3329" spans="1:6" hidden="1" outlineLevel="1" collapsed="1" x14ac:dyDescent="0.25">
      <c r="A3329" s="295" t="s">
        <v>282</v>
      </c>
      <c r="B3329" s="295" t="s">
        <v>412</v>
      </c>
      <c r="C3329" s="293">
        <v>8000</v>
      </c>
      <c r="D3329" s="293">
        <v>8000</v>
      </c>
      <c r="E3329" s="293">
        <v>0</v>
      </c>
      <c r="F3329" s="294" t="s">
        <v>316</v>
      </c>
    </row>
    <row r="3330" spans="1:6" hidden="1" outlineLevel="1" collapsed="1" x14ac:dyDescent="0.25">
      <c r="A3330" s="295" t="s">
        <v>282</v>
      </c>
      <c r="B3330" s="295" t="s">
        <v>360</v>
      </c>
      <c r="C3330" s="293">
        <v>13070.05524</v>
      </c>
      <c r="D3330" s="293">
        <v>14915.7572</v>
      </c>
      <c r="E3330" s="293">
        <v>1845.7019600000001</v>
      </c>
      <c r="F3330" s="294" t="s">
        <v>701</v>
      </c>
    </row>
    <row r="3331" spans="1:6" hidden="1" outlineLevel="1" collapsed="1" x14ac:dyDescent="0.25">
      <c r="A3331" s="295" t="s">
        <v>282</v>
      </c>
      <c r="B3331" s="295" t="s">
        <v>362</v>
      </c>
      <c r="C3331" s="293">
        <v>1568.2283600000001</v>
      </c>
      <c r="D3331" s="293">
        <v>1614.8113599999999</v>
      </c>
      <c r="E3331" s="293">
        <v>46.582999999999998</v>
      </c>
      <c r="F3331" s="294" t="s">
        <v>553</v>
      </c>
    </row>
    <row r="3332" spans="1:6" hidden="1" outlineLevel="1" collapsed="1" x14ac:dyDescent="0.25">
      <c r="A3332" s="295" t="s">
        <v>282</v>
      </c>
      <c r="B3332" s="295" t="s">
        <v>363</v>
      </c>
      <c r="C3332" s="293">
        <v>426.12479999999999</v>
      </c>
      <c r="D3332" s="293">
        <v>422.04</v>
      </c>
      <c r="E3332" s="293">
        <v>-4.0848000000000004</v>
      </c>
      <c r="F3332" s="294" t="s">
        <v>364</v>
      </c>
    </row>
    <row r="3333" spans="1:6" hidden="1" outlineLevel="1" collapsed="1" x14ac:dyDescent="0.25">
      <c r="A3333" s="295" t="s">
        <v>282</v>
      </c>
      <c r="B3333" s="295" t="s">
        <v>365</v>
      </c>
      <c r="C3333" s="293">
        <v>15358.56</v>
      </c>
      <c r="D3333" s="293">
        <v>15959.28</v>
      </c>
      <c r="E3333" s="293">
        <v>600.72</v>
      </c>
      <c r="F3333" s="294" t="s">
        <v>366</v>
      </c>
    </row>
    <row r="3334" spans="1:6" hidden="1" outlineLevel="1" collapsed="1" x14ac:dyDescent="0.25">
      <c r="A3334" s="295" t="s">
        <v>282</v>
      </c>
      <c r="B3334" s="295" t="s">
        <v>367</v>
      </c>
      <c r="C3334" s="293">
        <v>233.53919999999999</v>
      </c>
      <c r="D3334" s="293">
        <v>182.88</v>
      </c>
      <c r="E3334" s="293">
        <v>-50.659199999999998</v>
      </c>
      <c r="F3334" s="294" t="s">
        <v>368</v>
      </c>
    </row>
    <row r="3335" spans="1:6" hidden="1" outlineLevel="1" collapsed="1" x14ac:dyDescent="0.25">
      <c r="A3335" s="295" t="s">
        <v>282</v>
      </c>
      <c r="B3335" s="295" t="s">
        <v>369</v>
      </c>
      <c r="C3335" s="293">
        <v>54.076839999999997</v>
      </c>
      <c r="D3335" s="293">
        <v>55.683149999999998</v>
      </c>
      <c r="E3335" s="293">
        <v>1.6063099999999999</v>
      </c>
      <c r="F3335" s="294" t="s">
        <v>553</v>
      </c>
    </row>
    <row r="3336" spans="1:6" hidden="1" outlineLevel="1" collapsed="1" x14ac:dyDescent="0.25">
      <c r="A3336" s="295" t="s">
        <v>282</v>
      </c>
      <c r="B3336" s="295" t="s">
        <v>370</v>
      </c>
      <c r="C3336" s="293">
        <v>1500</v>
      </c>
      <c r="D3336" s="293">
        <v>1500</v>
      </c>
      <c r="E3336" s="293">
        <v>0</v>
      </c>
      <c r="F3336" s="294" t="s">
        <v>316</v>
      </c>
    </row>
    <row r="3337" spans="1:6" hidden="1" outlineLevel="1" collapsed="1" x14ac:dyDescent="0.25">
      <c r="A3337" s="295" t="s">
        <v>282</v>
      </c>
      <c r="B3337" s="295" t="s">
        <v>371</v>
      </c>
      <c r="C3337" s="293">
        <v>49.68</v>
      </c>
      <c r="D3337" s="293">
        <v>48.48</v>
      </c>
      <c r="E3337" s="293">
        <v>-1.2</v>
      </c>
      <c r="F3337" s="294" t="s">
        <v>372</v>
      </c>
    </row>
    <row r="3338" spans="1:6" hidden="1" outlineLevel="1" collapsed="1" x14ac:dyDescent="0.25">
      <c r="A3338" s="295" t="s">
        <v>282</v>
      </c>
      <c r="B3338" s="295" t="s">
        <v>373</v>
      </c>
      <c r="C3338" s="293">
        <v>24</v>
      </c>
      <c r="D3338" s="293">
        <v>11.04</v>
      </c>
      <c r="E3338" s="293">
        <v>-12.96</v>
      </c>
      <c r="F3338" s="294" t="s">
        <v>374</v>
      </c>
    </row>
    <row r="3339" spans="1:6" collapsed="1" x14ac:dyDescent="0.25">
      <c r="A3339" s="560" t="s">
        <v>1429</v>
      </c>
      <c r="B3339" s="561"/>
      <c r="C3339" s="292">
        <v>4288374.8</v>
      </c>
      <c r="D3339" s="293">
        <v>4829302.08</v>
      </c>
      <c r="E3339" s="293">
        <v>540927.28</v>
      </c>
      <c r="F3339" s="294" t="s">
        <v>1430</v>
      </c>
    </row>
    <row r="3340" spans="1:6" hidden="1" outlineLevel="1" collapsed="1" x14ac:dyDescent="0.25">
      <c r="A3340" s="295" t="s">
        <v>282</v>
      </c>
      <c r="B3340" s="295" t="s">
        <v>735</v>
      </c>
      <c r="C3340" s="293">
        <v>3154831</v>
      </c>
      <c r="D3340" s="293">
        <v>3560082</v>
      </c>
      <c r="E3340" s="293">
        <v>405251</v>
      </c>
      <c r="F3340" s="294" t="s">
        <v>1431</v>
      </c>
    </row>
    <row r="3341" spans="1:6" hidden="1" outlineLevel="1" collapsed="1" x14ac:dyDescent="0.25">
      <c r="A3341" s="295" t="s">
        <v>282</v>
      </c>
      <c r="B3341" s="295" t="s">
        <v>834</v>
      </c>
      <c r="C3341" s="293">
        <v>12000</v>
      </c>
      <c r="D3341" s="293">
        <v>12000</v>
      </c>
      <c r="E3341" s="293">
        <v>0</v>
      </c>
      <c r="F3341" s="294" t="s">
        <v>316</v>
      </c>
    </row>
    <row r="3342" spans="1:6" hidden="1" outlineLevel="1" collapsed="1" x14ac:dyDescent="0.25">
      <c r="A3342" s="295" t="s">
        <v>282</v>
      </c>
      <c r="B3342" s="295" t="s">
        <v>737</v>
      </c>
      <c r="C3342" s="293">
        <v>445000</v>
      </c>
      <c r="D3342" s="293">
        <v>480000</v>
      </c>
      <c r="E3342" s="293">
        <v>35000</v>
      </c>
      <c r="F3342" s="294" t="s">
        <v>1432</v>
      </c>
    </row>
    <row r="3343" spans="1:6" hidden="1" outlineLevel="1" collapsed="1" x14ac:dyDescent="0.25">
      <c r="A3343" s="295" t="s">
        <v>282</v>
      </c>
      <c r="B3343" s="295" t="s">
        <v>739</v>
      </c>
      <c r="C3343" s="293">
        <v>140000</v>
      </c>
      <c r="D3343" s="293">
        <v>140000</v>
      </c>
      <c r="E3343" s="293">
        <v>0</v>
      </c>
      <c r="F3343" s="294" t="s">
        <v>316</v>
      </c>
    </row>
    <row r="3344" spans="1:6" hidden="1" outlineLevel="1" collapsed="1" x14ac:dyDescent="0.25">
      <c r="A3344" s="295" t="s">
        <v>282</v>
      </c>
      <c r="B3344" s="295" t="s">
        <v>360</v>
      </c>
      <c r="C3344" s="293">
        <v>439210.8</v>
      </c>
      <c r="D3344" s="293">
        <v>485656.08</v>
      </c>
      <c r="E3344" s="293">
        <v>46445.279999999999</v>
      </c>
      <c r="F3344" s="294" t="s">
        <v>740</v>
      </c>
    </row>
    <row r="3345" spans="1:6" hidden="1" outlineLevel="1" collapsed="1" x14ac:dyDescent="0.25">
      <c r="A3345" s="295" t="s">
        <v>282</v>
      </c>
      <c r="B3345" s="295" t="s">
        <v>362</v>
      </c>
      <c r="C3345" s="293">
        <v>48801.2</v>
      </c>
      <c r="D3345" s="293">
        <v>48801.2</v>
      </c>
      <c r="E3345" s="293">
        <v>0</v>
      </c>
      <c r="F3345" s="294" t="s">
        <v>316</v>
      </c>
    </row>
    <row r="3346" spans="1:6" hidden="1" outlineLevel="1" collapsed="1" x14ac:dyDescent="0.25">
      <c r="A3346" s="295" t="s">
        <v>282</v>
      </c>
      <c r="B3346" s="295" t="s">
        <v>444</v>
      </c>
      <c r="C3346" s="293">
        <v>46849</v>
      </c>
      <c r="D3346" s="293">
        <v>101080</v>
      </c>
      <c r="E3346" s="293">
        <v>54231</v>
      </c>
      <c r="F3346" s="294" t="s">
        <v>1433</v>
      </c>
    </row>
    <row r="3347" spans="1:6" hidden="1" outlineLevel="1" collapsed="1" x14ac:dyDescent="0.25">
      <c r="A3347" s="295" t="s">
        <v>282</v>
      </c>
      <c r="B3347" s="295" t="s">
        <v>369</v>
      </c>
      <c r="C3347" s="293">
        <v>1682.8</v>
      </c>
      <c r="D3347" s="293">
        <v>1682.8</v>
      </c>
      <c r="E3347" s="293">
        <v>0</v>
      </c>
      <c r="F3347" s="294" t="s">
        <v>316</v>
      </c>
    </row>
    <row r="3348" spans="1:6" collapsed="1" x14ac:dyDescent="0.25">
      <c r="A3348" s="560" t="s">
        <v>1434</v>
      </c>
      <c r="B3348" s="561"/>
      <c r="C3348" s="292">
        <v>114151.23084</v>
      </c>
      <c r="D3348" s="293">
        <v>119478.34183</v>
      </c>
      <c r="E3348" s="293">
        <v>5327.1109900000001</v>
      </c>
      <c r="F3348" s="294" t="s">
        <v>1435</v>
      </c>
    </row>
    <row r="3349" spans="1:6" hidden="1" outlineLevel="1" collapsed="1" x14ac:dyDescent="0.25">
      <c r="A3349" s="295" t="s">
        <v>282</v>
      </c>
      <c r="B3349" s="295" t="s">
        <v>358</v>
      </c>
      <c r="C3349" s="293">
        <v>84294.48</v>
      </c>
      <c r="D3349" s="293">
        <v>86996.137199999997</v>
      </c>
      <c r="E3349" s="293">
        <v>2701.6572000000001</v>
      </c>
      <c r="F3349" s="294" t="s">
        <v>359</v>
      </c>
    </row>
    <row r="3350" spans="1:6" hidden="1" outlineLevel="1" collapsed="1" x14ac:dyDescent="0.25">
      <c r="A3350" s="295" t="s">
        <v>282</v>
      </c>
      <c r="B3350" s="295" t="s">
        <v>360</v>
      </c>
      <c r="C3350" s="293">
        <v>11000.42964</v>
      </c>
      <c r="D3350" s="293">
        <v>12553.542589999999</v>
      </c>
      <c r="E3350" s="293">
        <v>1553.11295</v>
      </c>
      <c r="F3350" s="294" t="s">
        <v>701</v>
      </c>
    </row>
    <row r="3351" spans="1:6" hidden="1" outlineLevel="1" collapsed="1" x14ac:dyDescent="0.25">
      <c r="A3351" s="295" t="s">
        <v>282</v>
      </c>
      <c r="B3351" s="295" t="s">
        <v>362</v>
      </c>
      <c r="C3351" s="293">
        <v>1222.2699600000001</v>
      </c>
      <c r="D3351" s="293">
        <v>1261.44398</v>
      </c>
      <c r="E3351" s="293">
        <v>39.174019999999999</v>
      </c>
      <c r="F3351" s="294" t="s">
        <v>359</v>
      </c>
    </row>
    <row r="3352" spans="1:6" hidden="1" outlineLevel="1" collapsed="1" x14ac:dyDescent="0.25">
      <c r="A3352" s="295" t="s">
        <v>282</v>
      </c>
      <c r="B3352" s="295" t="s">
        <v>363</v>
      </c>
      <c r="C3352" s="293">
        <v>426.12479999999999</v>
      </c>
      <c r="D3352" s="293">
        <v>422.04</v>
      </c>
      <c r="E3352" s="293">
        <v>-4.0848000000000004</v>
      </c>
      <c r="F3352" s="294" t="s">
        <v>364</v>
      </c>
    </row>
    <row r="3353" spans="1:6" hidden="1" outlineLevel="1" collapsed="1" x14ac:dyDescent="0.25">
      <c r="A3353" s="295" t="s">
        <v>282</v>
      </c>
      <c r="B3353" s="295" t="s">
        <v>365</v>
      </c>
      <c r="C3353" s="293">
        <v>15358.56</v>
      </c>
      <c r="D3353" s="293">
        <v>15959.28</v>
      </c>
      <c r="E3353" s="293">
        <v>600.72</v>
      </c>
      <c r="F3353" s="294" t="s">
        <v>366</v>
      </c>
    </row>
    <row r="3354" spans="1:6" hidden="1" outlineLevel="1" collapsed="1" x14ac:dyDescent="0.25">
      <c r="A3354" s="295" t="s">
        <v>282</v>
      </c>
      <c r="B3354" s="295" t="s">
        <v>367</v>
      </c>
      <c r="C3354" s="293">
        <v>233.53919999999999</v>
      </c>
      <c r="D3354" s="293">
        <v>182.88</v>
      </c>
      <c r="E3354" s="293">
        <v>-50.659199999999998</v>
      </c>
      <c r="F3354" s="294" t="s">
        <v>368</v>
      </c>
    </row>
    <row r="3355" spans="1:6" hidden="1" outlineLevel="1" collapsed="1" x14ac:dyDescent="0.25">
      <c r="A3355" s="295" t="s">
        <v>282</v>
      </c>
      <c r="B3355" s="295" t="s">
        <v>369</v>
      </c>
      <c r="C3355" s="293">
        <v>42.147239999999996</v>
      </c>
      <c r="D3355" s="293">
        <v>43.498060000000002</v>
      </c>
      <c r="E3355" s="293">
        <v>1.3508199999999999</v>
      </c>
      <c r="F3355" s="294" t="s">
        <v>359</v>
      </c>
    </row>
    <row r="3356" spans="1:6" hidden="1" outlineLevel="1" collapsed="1" x14ac:dyDescent="0.25">
      <c r="A3356" s="295" t="s">
        <v>282</v>
      </c>
      <c r="B3356" s="295" t="s">
        <v>370</v>
      </c>
      <c r="C3356" s="293">
        <v>1500</v>
      </c>
      <c r="D3356" s="293">
        <v>1500</v>
      </c>
      <c r="E3356" s="293">
        <v>0</v>
      </c>
      <c r="F3356" s="294" t="s">
        <v>316</v>
      </c>
    </row>
    <row r="3357" spans="1:6" hidden="1" outlineLevel="1" collapsed="1" x14ac:dyDescent="0.25">
      <c r="A3357" s="295" t="s">
        <v>282</v>
      </c>
      <c r="B3357" s="295" t="s">
        <v>371</v>
      </c>
      <c r="C3357" s="293">
        <v>49.68</v>
      </c>
      <c r="D3357" s="293">
        <v>48.48</v>
      </c>
      <c r="E3357" s="293">
        <v>-1.2</v>
      </c>
      <c r="F3357" s="294" t="s">
        <v>372</v>
      </c>
    </row>
    <row r="3358" spans="1:6" hidden="1" outlineLevel="1" collapsed="1" x14ac:dyDescent="0.25">
      <c r="A3358" s="295" t="s">
        <v>282</v>
      </c>
      <c r="B3358" s="295" t="s">
        <v>373</v>
      </c>
      <c r="C3358" s="293">
        <v>24</v>
      </c>
      <c r="D3358" s="293">
        <v>11.04</v>
      </c>
      <c r="E3358" s="293">
        <v>-12.96</v>
      </c>
      <c r="F3358" s="294" t="s">
        <v>374</v>
      </c>
    </row>
    <row r="3359" spans="1:6" hidden="1" outlineLevel="1" collapsed="1" x14ac:dyDescent="0.25">
      <c r="A3359" s="295" t="s">
        <v>282</v>
      </c>
      <c r="B3359" s="295" t="s">
        <v>375</v>
      </c>
      <c r="C3359" s="293">
        <v>0</v>
      </c>
      <c r="D3359" s="293">
        <v>500</v>
      </c>
      <c r="E3359" s="293">
        <v>500</v>
      </c>
      <c r="F3359" s="294" t="s">
        <v>298</v>
      </c>
    </row>
    <row r="3360" spans="1:6" collapsed="1" x14ac:dyDescent="0.25">
      <c r="A3360" s="560" t="s">
        <v>1436</v>
      </c>
      <c r="B3360" s="561"/>
      <c r="C3360" s="292">
        <v>573975</v>
      </c>
      <c r="D3360" s="293">
        <v>0</v>
      </c>
      <c r="E3360" s="293">
        <v>-573975</v>
      </c>
      <c r="F3360" s="294" t="s">
        <v>286</v>
      </c>
    </row>
    <row r="3361" spans="1:6" hidden="1" outlineLevel="1" collapsed="1" x14ac:dyDescent="0.25">
      <c r="A3361" s="295" t="s">
        <v>282</v>
      </c>
      <c r="B3361" s="295" t="s">
        <v>735</v>
      </c>
      <c r="C3361" s="293">
        <v>189000</v>
      </c>
      <c r="D3361" s="293">
        <v>0</v>
      </c>
      <c r="E3361" s="293">
        <v>-189000</v>
      </c>
      <c r="F3361" s="294" t="s">
        <v>286</v>
      </c>
    </row>
    <row r="3362" spans="1:6" hidden="1" outlineLevel="1" collapsed="1" x14ac:dyDescent="0.25">
      <c r="A3362" s="295" t="s">
        <v>282</v>
      </c>
      <c r="B3362" s="295" t="s">
        <v>737</v>
      </c>
      <c r="C3362" s="293">
        <v>189000</v>
      </c>
      <c r="D3362" s="293">
        <v>0</v>
      </c>
      <c r="E3362" s="293">
        <v>-189000</v>
      </c>
      <c r="F3362" s="294" t="s">
        <v>286</v>
      </c>
    </row>
    <row r="3363" spans="1:6" hidden="1" outlineLevel="1" collapsed="1" x14ac:dyDescent="0.25">
      <c r="A3363" s="295" t="s">
        <v>282</v>
      </c>
      <c r="B3363" s="295" t="s">
        <v>739</v>
      </c>
      <c r="C3363" s="293">
        <v>15000</v>
      </c>
      <c r="D3363" s="293">
        <v>0</v>
      </c>
      <c r="E3363" s="293">
        <v>-15000</v>
      </c>
      <c r="F3363" s="294" t="s">
        <v>286</v>
      </c>
    </row>
    <row r="3364" spans="1:6" hidden="1" outlineLevel="1" collapsed="1" x14ac:dyDescent="0.25">
      <c r="A3364" s="295" t="s">
        <v>282</v>
      </c>
      <c r="B3364" s="295" t="s">
        <v>441</v>
      </c>
      <c r="C3364" s="293">
        <v>3000</v>
      </c>
      <c r="D3364" s="293">
        <v>0</v>
      </c>
      <c r="E3364" s="293">
        <v>-3000</v>
      </c>
      <c r="F3364" s="294" t="s">
        <v>286</v>
      </c>
    </row>
    <row r="3365" spans="1:6" hidden="1" outlineLevel="1" collapsed="1" x14ac:dyDescent="0.25">
      <c r="A3365" s="295" t="s">
        <v>282</v>
      </c>
      <c r="B3365" s="295" t="s">
        <v>444</v>
      </c>
      <c r="C3365" s="293">
        <v>48431</v>
      </c>
      <c r="D3365" s="293">
        <v>0</v>
      </c>
      <c r="E3365" s="293">
        <v>-48431</v>
      </c>
      <c r="F3365" s="294" t="s">
        <v>286</v>
      </c>
    </row>
    <row r="3366" spans="1:6" hidden="1" outlineLevel="1" collapsed="1" x14ac:dyDescent="0.25">
      <c r="A3366" s="295" t="s">
        <v>282</v>
      </c>
      <c r="B3366" s="295" t="s">
        <v>1026</v>
      </c>
      <c r="C3366" s="293">
        <v>129544</v>
      </c>
      <c r="D3366" s="293">
        <v>0</v>
      </c>
      <c r="E3366" s="293">
        <v>-129544</v>
      </c>
      <c r="F3366" s="294" t="s">
        <v>286</v>
      </c>
    </row>
    <row r="3367" spans="1:6" collapsed="1" x14ac:dyDescent="0.25">
      <c r="A3367" s="560" t="s">
        <v>1437</v>
      </c>
      <c r="B3367" s="561"/>
      <c r="C3367" s="292">
        <v>136051.99497599999</v>
      </c>
      <c r="D3367" s="293">
        <v>146285.74074000001</v>
      </c>
      <c r="E3367" s="293">
        <v>10233.745763999999</v>
      </c>
      <c r="F3367" s="294" t="s">
        <v>1438</v>
      </c>
    </row>
    <row r="3368" spans="1:6" hidden="1" outlineLevel="1" collapsed="1" x14ac:dyDescent="0.25">
      <c r="A3368" s="295" t="s">
        <v>282</v>
      </c>
      <c r="B3368" s="295" t="s">
        <v>780</v>
      </c>
      <c r="C3368" s="293">
        <v>115666.358076</v>
      </c>
      <c r="D3368" s="293">
        <v>123271.576476</v>
      </c>
      <c r="E3368" s="293">
        <v>7605.2183999999997</v>
      </c>
      <c r="F3368" s="294" t="s">
        <v>790</v>
      </c>
    </row>
    <row r="3369" spans="1:6" hidden="1" outlineLevel="1" collapsed="1" x14ac:dyDescent="0.25">
      <c r="A3369" s="295" t="s">
        <v>282</v>
      </c>
      <c r="B3369" s="295" t="s">
        <v>751</v>
      </c>
      <c r="C3369" s="293">
        <v>15094.459728</v>
      </c>
      <c r="D3369" s="293">
        <v>0</v>
      </c>
      <c r="E3369" s="293">
        <v>-15094.459728</v>
      </c>
      <c r="F3369" s="294" t="s">
        <v>286</v>
      </c>
    </row>
    <row r="3370" spans="1:6" hidden="1" outlineLevel="1" collapsed="1" x14ac:dyDescent="0.25">
      <c r="A3370" s="295" t="s">
        <v>282</v>
      </c>
      <c r="B3370" s="295" t="s">
        <v>752</v>
      </c>
      <c r="C3370" s="293">
        <v>0</v>
      </c>
      <c r="D3370" s="293">
        <v>17788.088484</v>
      </c>
      <c r="E3370" s="293">
        <v>17788.088484</v>
      </c>
      <c r="F3370" s="294" t="s">
        <v>298</v>
      </c>
    </row>
    <row r="3371" spans="1:6" hidden="1" outlineLevel="1" collapsed="1" x14ac:dyDescent="0.25">
      <c r="A3371" s="295" t="s">
        <v>282</v>
      </c>
      <c r="B3371" s="295" t="s">
        <v>755</v>
      </c>
      <c r="C3371" s="293">
        <v>426.12479999999999</v>
      </c>
      <c r="D3371" s="293">
        <v>422.04</v>
      </c>
      <c r="E3371" s="293">
        <v>-4.0848000000000004</v>
      </c>
      <c r="F3371" s="294" t="s">
        <v>364</v>
      </c>
    </row>
    <row r="3372" spans="1:6" hidden="1" outlineLevel="1" collapsed="1" x14ac:dyDescent="0.25">
      <c r="A3372" s="295" t="s">
        <v>282</v>
      </c>
      <c r="B3372" s="295" t="s">
        <v>756</v>
      </c>
      <c r="C3372" s="293">
        <v>233.53919999999999</v>
      </c>
      <c r="D3372" s="293">
        <v>182.88</v>
      </c>
      <c r="E3372" s="293">
        <v>-50.659199999999998</v>
      </c>
      <c r="F3372" s="294" t="s">
        <v>368</v>
      </c>
    </row>
    <row r="3373" spans="1:6" hidden="1" outlineLevel="1" collapsed="1" x14ac:dyDescent="0.25">
      <c r="A3373" s="295" t="s">
        <v>282</v>
      </c>
      <c r="B3373" s="295" t="s">
        <v>757</v>
      </c>
      <c r="C3373" s="293">
        <v>57.833171999999998</v>
      </c>
      <c r="D3373" s="293">
        <v>0</v>
      </c>
      <c r="E3373" s="293">
        <v>-57.833171999999998</v>
      </c>
      <c r="F3373" s="294" t="s">
        <v>286</v>
      </c>
    </row>
    <row r="3374" spans="1:6" hidden="1" outlineLevel="1" collapsed="1" x14ac:dyDescent="0.25">
      <c r="A3374" s="295" t="s">
        <v>282</v>
      </c>
      <c r="B3374" s="295" t="s">
        <v>758</v>
      </c>
      <c r="C3374" s="293">
        <v>0</v>
      </c>
      <c r="D3374" s="293">
        <v>61.635779999999997</v>
      </c>
      <c r="E3374" s="293">
        <v>61.635779999999997</v>
      </c>
      <c r="F3374" s="294" t="s">
        <v>298</v>
      </c>
    </row>
    <row r="3375" spans="1:6" hidden="1" outlineLevel="1" collapsed="1" x14ac:dyDescent="0.25">
      <c r="A3375" s="295" t="s">
        <v>282</v>
      </c>
      <c r="B3375" s="295" t="s">
        <v>759</v>
      </c>
      <c r="C3375" s="293">
        <v>1500</v>
      </c>
      <c r="D3375" s="293">
        <v>0</v>
      </c>
      <c r="E3375" s="293">
        <v>-1500</v>
      </c>
      <c r="F3375" s="294" t="s">
        <v>286</v>
      </c>
    </row>
    <row r="3376" spans="1:6" hidden="1" outlineLevel="1" collapsed="1" x14ac:dyDescent="0.25">
      <c r="A3376" s="295" t="s">
        <v>282</v>
      </c>
      <c r="B3376" s="295" t="s">
        <v>760</v>
      </c>
      <c r="C3376" s="293">
        <v>0</v>
      </c>
      <c r="D3376" s="293">
        <v>1500</v>
      </c>
      <c r="E3376" s="293">
        <v>1500</v>
      </c>
      <c r="F3376" s="294" t="s">
        <v>298</v>
      </c>
    </row>
    <row r="3377" spans="1:6" hidden="1" outlineLevel="1" collapsed="1" x14ac:dyDescent="0.25">
      <c r="A3377" s="295" t="s">
        <v>282</v>
      </c>
      <c r="B3377" s="295" t="s">
        <v>761</v>
      </c>
      <c r="C3377" s="293">
        <v>49.68</v>
      </c>
      <c r="D3377" s="293">
        <v>0</v>
      </c>
      <c r="E3377" s="293">
        <v>-49.68</v>
      </c>
      <c r="F3377" s="294" t="s">
        <v>286</v>
      </c>
    </row>
    <row r="3378" spans="1:6" hidden="1" outlineLevel="1" collapsed="1" x14ac:dyDescent="0.25">
      <c r="A3378" s="295" t="s">
        <v>282</v>
      </c>
      <c r="B3378" s="295" t="s">
        <v>762</v>
      </c>
      <c r="C3378" s="293">
        <v>0</v>
      </c>
      <c r="D3378" s="293">
        <v>48.48</v>
      </c>
      <c r="E3378" s="293">
        <v>48.48</v>
      </c>
      <c r="F3378" s="294" t="s">
        <v>298</v>
      </c>
    </row>
    <row r="3379" spans="1:6" hidden="1" outlineLevel="1" collapsed="1" x14ac:dyDescent="0.25">
      <c r="A3379" s="295" t="s">
        <v>282</v>
      </c>
      <c r="B3379" s="295" t="s">
        <v>763</v>
      </c>
      <c r="C3379" s="293">
        <v>24</v>
      </c>
      <c r="D3379" s="293">
        <v>11.04</v>
      </c>
      <c r="E3379" s="293">
        <v>-12.96</v>
      </c>
      <c r="F3379" s="294" t="s">
        <v>374</v>
      </c>
    </row>
    <row r="3380" spans="1:6" hidden="1" outlineLevel="1" collapsed="1" x14ac:dyDescent="0.25">
      <c r="A3380" s="295" t="s">
        <v>282</v>
      </c>
      <c r="B3380" s="295" t="s">
        <v>522</v>
      </c>
      <c r="C3380" s="293">
        <v>3000</v>
      </c>
      <c r="D3380" s="293">
        <v>3000</v>
      </c>
      <c r="E3380" s="293">
        <v>0</v>
      </c>
      <c r="F3380" s="294" t="s">
        <v>316</v>
      </c>
    </row>
    <row r="3381" spans="1:6" collapsed="1" x14ac:dyDescent="0.25">
      <c r="A3381" s="560" t="s">
        <v>1439</v>
      </c>
      <c r="B3381" s="561"/>
      <c r="C3381" s="292">
        <v>599345.90544200002</v>
      </c>
      <c r="D3381" s="293">
        <v>621509.98921799997</v>
      </c>
      <c r="E3381" s="293">
        <v>22164.083775999999</v>
      </c>
      <c r="F3381" s="294" t="s">
        <v>833</v>
      </c>
    </row>
    <row r="3382" spans="1:6" hidden="1" outlineLevel="1" collapsed="1" x14ac:dyDescent="0.25">
      <c r="A3382" s="295" t="s">
        <v>282</v>
      </c>
      <c r="B3382" s="295" t="s">
        <v>780</v>
      </c>
      <c r="C3382" s="293">
        <v>133899.819036</v>
      </c>
      <c r="D3382" s="293">
        <v>135908.31487199999</v>
      </c>
      <c r="E3382" s="293">
        <v>2008.4958360000001</v>
      </c>
      <c r="F3382" s="294" t="s">
        <v>510</v>
      </c>
    </row>
    <row r="3383" spans="1:6" hidden="1" outlineLevel="1" collapsed="1" x14ac:dyDescent="0.25">
      <c r="A3383" s="295" t="s">
        <v>282</v>
      </c>
      <c r="B3383" s="295" t="s">
        <v>834</v>
      </c>
      <c r="C3383" s="293">
        <v>14700</v>
      </c>
      <c r="D3383" s="293">
        <v>12000</v>
      </c>
      <c r="E3383" s="293">
        <v>-2700</v>
      </c>
      <c r="F3383" s="294" t="s">
        <v>1440</v>
      </c>
    </row>
    <row r="3384" spans="1:6" hidden="1" outlineLevel="1" collapsed="1" x14ac:dyDescent="0.25">
      <c r="A3384" s="295" t="s">
        <v>282</v>
      </c>
      <c r="B3384" s="295" t="s">
        <v>441</v>
      </c>
      <c r="C3384" s="293">
        <v>16970</v>
      </c>
      <c r="D3384" s="293">
        <v>16970</v>
      </c>
      <c r="E3384" s="293">
        <v>0</v>
      </c>
      <c r="F3384" s="294" t="s">
        <v>316</v>
      </c>
    </row>
    <row r="3385" spans="1:6" hidden="1" outlineLevel="1" collapsed="1" x14ac:dyDescent="0.25">
      <c r="A3385" s="295" t="s">
        <v>282</v>
      </c>
      <c r="B3385" s="295" t="s">
        <v>464</v>
      </c>
      <c r="C3385" s="293">
        <v>200914.71611400001</v>
      </c>
      <c r="D3385" s="293">
        <v>248369.94776099999</v>
      </c>
      <c r="E3385" s="293">
        <v>47455.231647000001</v>
      </c>
      <c r="F3385" s="294" t="s">
        <v>1441</v>
      </c>
    </row>
    <row r="3386" spans="1:6" hidden="1" outlineLevel="1" collapsed="1" x14ac:dyDescent="0.25">
      <c r="A3386" s="295" t="s">
        <v>282</v>
      </c>
      <c r="B3386" s="295" t="s">
        <v>424</v>
      </c>
      <c r="C3386" s="293">
        <v>2000</v>
      </c>
      <c r="D3386" s="293">
        <v>0</v>
      </c>
      <c r="E3386" s="293">
        <v>-2000</v>
      </c>
      <c r="F3386" s="294" t="s">
        <v>286</v>
      </c>
    </row>
    <row r="3387" spans="1:6" hidden="1" outlineLevel="1" collapsed="1" x14ac:dyDescent="0.25">
      <c r="A3387" s="295" t="s">
        <v>282</v>
      </c>
      <c r="B3387" s="295" t="s">
        <v>475</v>
      </c>
      <c r="C3387" s="293">
        <v>6000</v>
      </c>
      <c r="D3387" s="293">
        <v>3000</v>
      </c>
      <c r="E3387" s="293">
        <v>-3000</v>
      </c>
      <c r="F3387" s="294" t="s">
        <v>722</v>
      </c>
    </row>
    <row r="3388" spans="1:6" hidden="1" outlineLevel="1" collapsed="1" x14ac:dyDescent="0.25">
      <c r="A3388" s="295" t="s">
        <v>282</v>
      </c>
      <c r="B3388" s="295" t="s">
        <v>799</v>
      </c>
      <c r="C3388" s="293">
        <v>30490.6</v>
      </c>
      <c r="D3388" s="293">
        <v>7958</v>
      </c>
      <c r="E3388" s="293">
        <v>-22532.6</v>
      </c>
      <c r="F3388" s="294" t="s">
        <v>1442</v>
      </c>
    </row>
    <row r="3389" spans="1:6" hidden="1" outlineLevel="1" collapsed="1" x14ac:dyDescent="0.25">
      <c r="A3389" s="295" t="s">
        <v>282</v>
      </c>
      <c r="B3389" s="295" t="s">
        <v>751</v>
      </c>
      <c r="C3389" s="293">
        <v>17473.926383999999</v>
      </c>
      <c r="D3389" s="293">
        <v>0</v>
      </c>
      <c r="E3389" s="293">
        <v>-17473.926383999999</v>
      </c>
      <c r="F3389" s="294" t="s">
        <v>286</v>
      </c>
    </row>
    <row r="3390" spans="1:6" hidden="1" outlineLevel="1" collapsed="1" x14ac:dyDescent="0.25">
      <c r="A3390" s="295" t="s">
        <v>282</v>
      </c>
      <c r="B3390" s="295" t="s">
        <v>752</v>
      </c>
      <c r="C3390" s="293">
        <v>0</v>
      </c>
      <c r="D3390" s="293">
        <v>19611.569832000001</v>
      </c>
      <c r="E3390" s="293">
        <v>19611.569832000001</v>
      </c>
      <c r="F3390" s="294" t="s">
        <v>298</v>
      </c>
    </row>
    <row r="3391" spans="1:6" hidden="1" outlineLevel="1" collapsed="1" x14ac:dyDescent="0.25">
      <c r="A3391" s="295" t="s">
        <v>282</v>
      </c>
      <c r="B3391" s="295" t="s">
        <v>384</v>
      </c>
      <c r="C3391" s="293">
        <v>30403.025215000001</v>
      </c>
      <c r="D3391" s="293">
        <v>0</v>
      </c>
      <c r="E3391" s="293">
        <v>-30403.025215000001</v>
      </c>
      <c r="F3391" s="294" t="s">
        <v>286</v>
      </c>
    </row>
    <row r="3392" spans="1:6" hidden="1" outlineLevel="1" collapsed="1" x14ac:dyDescent="0.25">
      <c r="A3392" s="295" t="s">
        <v>282</v>
      </c>
      <c r="B3392" s="295" t="s">
        <v>385</v>
      </c>
      <c r="C3392" s="293">
        <v>0</v>
      </c>
      <c r="D3392" s="293">
        <v>40115.401704999997</v>
      </c>
      <c r="E3392" s="293">
        <v>40115.401704999997</v>
      </c>
      <c r="F3392" s="294" t="s">
        <v>298</v>
      </c>
    </row>
    <row r="3393" spans="1:6" hidden="1" outlineLevel="1" collapsed="1" x14ac:dyDescent="0.25">
      <c r="A3393" s="295" t="s">
        <v>282</v>
      </c>
      <c r="B3393" s="295" t="s">
        <v>386</v>
      </c>
      <c r="C3393" s="293">
        <v>15179.302867</v>
      </c>
      <c r="D3393" s="293">
        <v>0</v>
      </c>
      <c r="E3393" s="293">
        <v>-15179.302867</v>
      </c>
      <c r="F3393" s="294" t="s">
        <v>286</v>
      </c>
    </row>
    <row r="3394" spans="1:6" hidden="1" outlineLevel="1" collapsed="1" x14ac:dyDescent="0.25">
      <c r="A3394" s="295" t="s">
        <v>282</v>
      </c>
      <c r="B3394" s="295" t="s">
        <v>387</v>
      </c>
      <c r="C3394" s="293">
        <v>0</v>
      </c>
      <c r="D3394" s="293">
        <v>15936.786738999999</v>
      </c>
      <c r="E3394" s="293">
        <v>15936.786738999999</v>
      </c>
      <c r="F3394" s="294" t="s">
        <v>298</v>
      </c>
    </row>
    <row r="3395" spans="1:6" hidden="1" outlineLevel="1" collapsed="1" x14ac:dyDescent="0.25">
      <c r="A3395" s="295" t="s">
        <v>282</v>
      </c>
      <c r="B3395" s="295" t="s">
        <v>388</v>
      </c>
      <c r="C3395" s="293">
        <v>3549.9982190000001</v>
      </c>
      <c r="D3395" s="293">
        <v>3727.1517050000002</v>
      </c>
      <c r="E3395" s="293">
        <v>177.15348599999999</v>
      </c>
      <c r="F3395" s="294" t="s">
        <v>1443</v>
      </c>
    </row>
    <row r="3396" spans="1:6" hidden="1" outlineLevel="1" collapsed="1" x14ac:dyDescent="0.25">
      <c r="A3396" s="295" t="s">
        <v>282</v>
      </c>
      <c r="B3396" s="295" t="s">
        <v>1444</v>
      </c>
      <c r="C3396" s="293">
        <v>330</v>
      </c>
      <c r="D3396" s="293">
        <v>0</v>
      </c>
      <c r="E3396" s="293">
        <v>-330</v>
      </c>
      <c r="F3396" s="294" t="s">
        <v>286</v>
      </c>
    </row>
    <row r="3397" spans="1:6" hidden="1" outlineLevel="1" collapsed="1" x14ac:dyDescent="0.25">
      <c r="A3397" s="295" t="s">
        <v>282</v>
      </c>
      <c r="B3397" s="295" t="s">
        <v>444</v>
      </c>
      <c r="C3397" s="293">
        <v>5825.15</v>
      </c>
      <c r="D3397" s="293">
        <v>3433</v>
      </c>
      <c r="E3397" s="293">
        <v>-2392.15</v>
      </c>
      <c r="F3397" s="294" t="s">
        <v>1445</v>
      </c>
    </row>
    <row r="3398" spans="1:6" hidden="1" outlineLevel="1" collapsed="1" x14ac:dyDescent="0.25">
      <c r="A3398" s="295" t="s">
        <v>282</v>
      </c>
      <c r="B3398" s="295" t="s">
        <v>389</v>
      </c>
      <c r="C3398" s="293">
        <v>2130.6239999999998</v>
      </c>
      <c r="D3398" s="293">
        <v>2110.1999999999998</v>
      </c>
      <c r="E3398" s="293">
        <v>-20.423999999999999</v>
      </c>
      <c r="F3398" s="294" t="s">
        <v>364</v>
      </c>
    </row>
    <row r="3399" spans="1:6" hidden="1" outlineLevel="1" collapsed="1" x14ac:dyDescent="0.25">
      <c r="A3399" s="295" t="s">
        <v>282</v>
      </c>
      <c r="B3399" s="295" t="s">
        <v>390</v>
      </c>
      <c r="C3399" s="293">
        <v>61941.08</v>
      </c>
      <c r="D3399" s="293">
        <v>63837.120000000003</v>
      </c>
      <c r="E3399" s="293">
        <v>1896.04</v>
      </c>
      <c r="F3399" s="294" t="s">
        <v>391</v>
      </c>
    </row>
    <row r="3400" spans="1:6" hidden="1" outlineLevel="1" collapsed="1" x14ac:dyDescent="0.25">
      <c r="A3400" s="295" t="s">
        <v>282</v>
      </c>
      <c r="B3400" s="295" t="s">
        <v>392</v>
      </c>
      <c r="C3400" s="293">
        <v>1167.6959999999999</v>
      </c>
      <c r="D3400" s="293">
        <v>914.4</v>
      </c>
      <c r="E3400" s="293">
        <v>-253.29599999999999</v>
      </c>
      <c r="F3400" s="294" t="s">
        <v>368</v>
      </c>
    </row>
    <row r="3401" spans="1:6" hidden="1" outlineLevel="1" collapsed="1" x14ac:dyDescent="0.25">
      <c r="A3401" s="295" t="s">
        <v>282</v>
      </c>
      <c r="B3401" s="295" t="s">
        <v>754</v>
      </c>
      <c r="C3401" s="293">
        <v>15358.56</v>
      </c>
      <c r="D3401" s="293">
        <v>15959.28</v>
      </c>
      <c r="E3401" s="293">
        <v>600.72</v>
      </c>
      <c r="F3401" s="294" t="s">
        <v>366</v>
      </c>
    </row>
    <row r="3402" spans="1:6" hidden="1" outlineLevel="1" collapsed="1" x14ac:dyDescent="0.25">
      <c r="A3402" s="295" t="s">
        <v>282</v>
      </c>
      <c r="B3402" s="295" t="s">
        <v>755</v>
      </c>
      <c r="C3402" s="293">
        <v>426.12479999999999</v>
      </c>
      <c r="D3402" s="293">
        <v>422.04</v>
      </c>
      <c r="E3402" s="293">
        <v>-4.0848000000000004</v>
      </c>
      <c r="F3402" s="294" t="s">
        <v>364</v>
      </c>
    </row>
    <row r="3403" spans="1:6" hidden="1" outlineLevel="1" collapsed="1" x14ac:dyDescent="0.25">
      <c r="A3403" s="295" t="s">
        <v>282</v>
      </c>
      <c r="B3403" s="295" t="s">
        <v>756</v>
      </c>
      <c r="C3403" s="293">
        <v>233.53919999999999</v>
      </c>
      <c r="D3403" s="293">
        <v>182.88</v>
      </c>
      <c r="E3403" s="293">
        <v>-50.659199999999998</v>
      </c>
      <c r="F3403" s="294" t="s">
        <v>368</v>
      </c>
    </row>
    <row r="3404" spans="1:6" hidden="1" outlineLevel="1" collapsed="1" x14ac:dyDescent="0.25">
      <c r="A3404" s="295" t="s">
        <v>282</v>
      </c>
      <c r="B3404" s="295" t="s">
        <v>393</v>
      </c>
      <c r="C3404" s="293">
        <v>122.41369899999999</v>
      </c>
      <c r="D3404" s="293">
        <v>128.52245199999999</v>
      </c>
      <c r="E3404" s="293">
        <v>6.1087530000000001</v>
      </c>
      <c r="F3404" s="294" t="s">
        <v>1443</v>
      </c>
    </row>
    <row r="3405" spans="1:6" hidden="1" outlineLevel="1" collapsed="1" x14ac:dyDescent="0.25">
      <c r="A3405" s="295" t="s">
        <v>282</v>
      </c>
      <c r="B3405" s="295" t="s">
        <v>757</v>
      </c>
      <c r="C3405" s="293">
        <v>67.249908000000005</v>
      </c>
      <c r="D3405" s="293">
        <v>0</v>
      </c>
      <c r="E3405" s="293">
        <v>-67.249908000000005</v>
      </c>
      <c r="F3405" s="294" t="s">
        <v>286</v>
      </c>
    </row>
    <row r="3406" spans="1:6" hidden="1" outlineLevel="1" collapsed="1" x14ac:dyDescent="0.25">
      <c r="A3406" s="295" t="s">
        <v>282</v>
      </c>
      <c r="B3406" s="295" t="s">
        <v>758</v>
      </c>
      <c r="C3406" s="293">
        <v>0</v>
      </c>
      <c r="D3406" s="293">
        <v>68.254152000000005</v>
      </c>
      <c r="E3406" s="293">
        <v>68.254152000000005</v>
      </c>
      <c r="F3406" s="294" t="s">
        <v>298</v>
      </c>
    </row>
    <row r="3407" spans="1:6" hidden="1" outlineLevel="1" collapsed="1" x14ac:dyDescent="0.25">
      <c r="A3407" s="295" t="s">
        <v>282</v>
      </c>
      <c r="B3407" s="295" t="s">
        <v>394</v>
      </c>
      <c r="C3407" s="293">
        <v>7500</v>
      </c>
      <c r="D3407" s="293">
        <v>0</v>
      </c>
      <c r="E3407" s="293">
        <v>-7500</v>
      </c>
      <c r="F3407" s="294" t="s">
        <v>286</v>
      </c>
    </row>
    <row r="3408" spans="1:6" hidden="1" outlineLevel="1" collapsed="1" x14ac:dyDescent="0.25">
      <c r="A3408" s="295" t="s">
        <v>282</v>
      </c>
      <c r="B3408" s="295" t="s">
        <v>395</v>
      </c>
      <c r="C3408" s="293">
        <v>0</v>
      </c>
      <c r="D3408" s="293">
        <v>7500</v>
      </c>
      <c r="E3408" s="293">
        <v>7500</v>
      </c>
      <c r="F3408" s="294" t="s">
        <v>298</v>
      </c>
    </row>
    <row r="3409" spans="1:6" hidden="1" outlineLevel="1" collapsed="1" x14ac:dyDescent="0.25">
      <c r="A3409" s="295" t="s">
        <v>282</v>
      </c>
      <c r="B3409" s="295" t="s">
        <v>759</v>
      </c>
      <c r="C3409" s="293">
        <v>1500</v>
      </c>
      <c r="D3409" s="293">
        <v>0</v>
      </c>
      <c r="E3409" s="293">
        <v>-1500</v>
      </c>
      <c r="F3409" s="294" t="s">
        <v>286</v>
      </c>
    </row>
    <row r="3410" spans="1:6" hidden="1" outlineLevel="1" collapsed="1" x14ac:dyDescent="0.25">
      <c r="A3410" s="295" t="s">
        <v>282</v>
      </c>
      <c r="B3410" s="295" t="s">
        <v>760</v>
      </c>
      <c r="C3410" s="293">
        <v>0</v>
      </c>
      <c r="D3410" s="293">
        <v>1500</v>
      </c>
      <c r="E3410" s="293">
        <v>1500</v>
      </c>
      <c r="F3410" s="294" t="s">
        <v>298</v>
      </c>
    </row>
    <row r="3411" spans="1:6" hidden="1" outlineLevel="1" collapsed="1" x14ac:dyDescent="0.25">
      <c r="A3411" s="295" t="s">
        <v>282</v>
      </c>
      <c r="B3411" s="295" t="s">
        <v>396</v>
      </c>
      <c r="C3411" s="293">
        <v>248.4</v>
      </c>
      <c r="D3411" s="293">
        <v>0</v>
      </c>
      <c r="E3411" s="293">
        <v>-248.4</v>
      </c>
      <c r="F3411" s="294" t="s">
        <v>286</v>
      </c>
    </row>
    <row r="3412" spans="1:6" hidden="1" outlineLevel="1" collapsed="1" x14ac:dyDescent="0.25">
      <c r="A3412" s="295" t="s">
        <v>282</v>
      </c>
      <c r="B3412" s="295" t="s">
        <v>397</v>
      </c>
      <c r="C3412" s="293">
        <v>0</v>
      </c>
      <c r="D3412" s="293">
        <v>242.4</v>
      </c>
      <c r="E3412" s="293">
        <v>242.4</v>
      </c>
      <c r="F3412" s="294" t="s">
        <v>298</v>
      </c>
    </row>
    <row r="3413" spans="1:6" hidden="1" outlineLevel="1" collapsed="1" x14ac:dyDescent="0.25">
      <c r="A3413" s="295" t="s">
        <v>282</v>
      </c>
      <c r="B3413" s="295" t="s">
        <v>761</v>
      </c>
      <c r="C3413" s="293">
        <v>49.68</v>
      </c>
      <c r="D3413" s="293">
        <v>0</v>
      </c>
      <c r="E3413" s="293">
        <v>-49.68</v>
      </c>
      <c r="F3413" s="294" t="s">
        <v>286</v>
      </c>
    </row>
    <row r="3414" spans="1:6" hidden="1" outlineLevel="1" collapsed="1" x14ac:dyDescent="0.25">
      <c r="A3414" s="295" t="s">
        <v>282</v>
      </c>
      <c r="B3414" s="295" t="s">
        <v>762</v>
      </c>
      <c r="C3414" s="293">
        <v>0</v>
      </c>
      <c r="D3414" s="293">
        <v>48.48</v>
      </c>
      <c r="E3414" s="293">
        <v>48.48</v>
      </c>
      <c r="F3414" s="294" t="s">
        <v>298</v>
      </c>
    </row>
    <row r="3415" spans="1:6" hidden="1" outlineLevel="1" collapsed="1" x14ac:dyDescent="0.25">
      <c r="A3415" s="295" t="s">
        <v>282</v>
      </c>
      <c r="B3415" s="295" t="s">
        <v>398</v>
      </c>
      <c r="C3415" s="293">
        <v>120</v>
      </c>
      <c r="D3415" s="293">
        <v>55.2</v>
      </c>
      <c r="E3415" s="293">
        <v>-64.8</v>
      </c>
      <c r="F3415" s="294" t="s">
        <v>374</v>
      </c>
    </row>
    <row r="3416" spans="1:6" hidden="1" outlineLevel="1" collapsed="1" x14ac:dyDescent="0.25">
      <c r="A3416" s="295" t="s">
        <v>282</v>
      </c>
      <c r="B3416" s="295" t="s">
        <v>763</v>
      </c>
      <c r="C3416" s="293">
        <v>24</v>
      </c>
      <c r="D3416" s="293">
        <v>11.04</v>
      </c>
      <c r="E3416" s="293">
        <v>-12.96</v>
      </c>
      <c r="F3416" s="294" t="s">
        <v>374</v>
      </c>
    </row>
    <row r="3417" spans="1:6" hidden="1" outlineLevel="1" collapsed="1" x14ac:dyDescent="0.25">
      <c r="A3417" s="295" t="s">
        <v>282</v>
      </c>
      <c r="B3417" s="295" t="s">
        <v>522</v>
      </c>
      <c r="C3417" s="293">
        <v>3000</v>
      </c>
      <c r="D3417" s="293">
        <v>3000</v>
      </c>
      <c r="E3417" s="293">
        <v>0</v>
      </c>
      <c r="F3417" s="294" t="s">
        <v>316</v>
      </c>
    </row>
    <row r="3418" spans="1:6" hidden="1" outlineLevel="1" collapsed="1" x14ac:dyDescent="0.25">
      <c r="A3418" s="295" t="s">
        <v>282</v>
      </c>
      <c r="B3418" s="295" t="s">
        <v>399</v>
      </c>
      <c r="C3418" s="293">
        <v>0</v>
      </c>
      <c r="D3418" s="293">
        <v>250</v>
      </c>
      <c r="E3418" s="293">
        <v>250</v>
      </c>
      <c r="F3418" s="294" t="s">
        <v>298</v>
      </c>
    </row>
    <row r="3419" spans="1:6" hidden="1" outlineLevel="1" collapsed="1" x14ac:dyDescent="0.25">
      <c r="A3419" s="295" t="s">
        <v>282</v>
      </c>
      <c r="B3419" s="295" t="s">
        <v>375</v>
      </c>
      <c r="C3419" s="293">
        <v>96.48</v>
      </c>
      <c r="D3419" s="293">
        <v>0</v>
      </c>
      <c r="E3419" s="293">
        <v>-96.48</v>
      </c>
      <c r="F3419" s="294" t="s">
        <v>286</v>
      </c>
    </row>
    <row r="3420" spans="1:6" hidden="1" outlineLevel="1" collapsed="1" x14ac:dyDescent="0.25">
      <c r="A3420" s="295" t="s">
        <v>282</v>
      </c>
      <c r="B3420" s="295" t="s">
        <v>376</v>
      </c>
      <c r="C3420" s="293">
        <v>1225</v>
      </c>
      <c r="D3420" s="293">
        <v>1150</v>
      </c>
      <c r="E3420" s="293">
        <v>-75</v>
      </c>
      <c r="F3420" s="294" t="s">
        <v>1446</v>
      </c>
    </row>
    <row r="3421" spans="1:6" hidden="1" outlineLevel="1" collapsed="1" x14ac:dyDescent="0.25">
      <c r="A3421" s="295" t="s">
        <v>282</v>
      </c>
      <c r="B3421" s="295" t="s">
        <v>662</v>
      </c>
      <c r="C3421" s="293">
        <v>105</v>
      </c>
      <c r="D3421" s="293">
        <v>150</v>
      </c>
      <c r="E3421" s="293">
        <v>45</v>
      </c>
      <c r="F3421" s="294" t="s">
        <v>1447</v>
      </c>
    </row>
    <row r="3422" spans="1:6" hidden="1" outlineLevel="1" collapsed="1" x14ac:dyDescent="0.25">
      <c r="A3422" s="295" t="s">
        <v>282</v>
      </c>
      <c r="B3422" s="295" t="s">
        <v>567</v>
      </c>
      <c r="C3422" s="293">
        <v>0</v>
      </c>
      <c r="D3422" s="293">
        <v>0</v>
      </c>
      <c r="E3422" s="293">
        <v>0</v>
      </c>
      <c r="F3422" s="294" t="s">
        <v>316</v>
      </c>
    </row>
    <row r="3423" spans="1:6" hidden="1" outlineLevel="1" collapsed="1" x14ac:dyDescent="0.25">
      <c r="A3423" s="295" t="s">
        <v>282</v>
      </c>
      <c r="B3423" s="295" t="s">
        <v>426</v>
      </c>
      <c r="C3423" s="293">
        <v>18718.52</v>
      </c>
      <c r="D3423" s="293">
        <v>16000</v>
      </c>
      <c r="E3423" s="293">
        <v>-2718.52</v>
      </c>
      <c r="F3423" s="294" t="s">
        <v>1448</v>
      </c>
    </row>
    <row r="3424" spans="1:6" hidden="1" outlineLevel="1" collapsed="1" x14ac:dyDescent="0.25">
      <c r="A3424" s="295" t="s">
        <v>282</v>
      </c>
      <c r="B3424" s="295" t="s">
        <v>707</v>
      </c>
      <c r="C3424" s="293">
        <v>600</v>
      </c>
      <c r="D3424" s="293">
        <v>600</v>
      </c>
      <c r="E3424" s="293">
        <v>0</v>
      </c>
      <c r="F3424" s="294" t="s">
        <v>316</v>
      </c>
    </row>
    <row r="3425" spans="1:6" hidden="1" outlineLevel="1" collapsed="1" x14ac:dyDescent="0.25">
      <c r="A3425" s="295" t="s">
        <v>282</v>
      </c>
      <c r="B3425" s="295" t="s">
        <v>597</v>
      </c>
      <c r="C3425" s="293">
        <v>300</v>
      </c>
      <c r="D3425" s="293">
        <v>350</v>
      </c>
      <c r="E3425" s="293">
        <v>50</v>
      </c>
      <c r="F3425" s="294" t="s">
        <v>1449</v>
      </c>
    </row>
    <row r="3426" spans="1:6" hidden="1" outlineLevel="1" collapsed="1" x14ac:dyDescent="0.25">
      <c r="A3426" s="295" t="s">
        <v>282</v>
      </c>
      <c r="B3426" s="295" t="s">
        <v>448</v>
      </c>
      <c r="C3426" s="293">
        <v>6500</v>
      </c>
      <c r="D3426" s="293">
        <v>0</v>
      </c>
      <c r="E3426" s="293">
        <v>-6500</v>
      </c>
      <c r="F3426" s="294" t="s">
        <v>286</v>
      </c>
    </row>
    <row r="3427" spans="1:6" hidden="1" outlineLevel="1" collapsed="1" x14ac:dyDescent="0.25">
      <c r="A3427" s="295" t="s">
        <v>282</v>
      </c>
      <c r="B3427" s="295" t="s">
        <v>770</v>
      </c>
      <c r="C3427" s="293">
        <v>175</v>
      </c>
      <c r="D3427" s="293">
        <v>0</v>
      </c>
      <c r="E3427" s="293">
        <v>-175</v>
      </c>
      <c r="F3427" s="294" t="s">
        <v>286</v>
      </c>
    </row>
    <row r="3428" spans="1:6" collapsed="1" x14ac:dyDescent="0.25">
      <c r="A3428" s="560" t="s">
        <v>1450</v>
      </c>
      <c r="B3428" s="561"/>
      <c r="C3428" s="292">
        <v>64485</v>
      </c>
      <c r="D3428" s="293">
        <v>72029</v>
      </c>
      <c r="E3428" s="293">
        <v>7544</v>
      </c>
      <c r="F3428" s="294" t="s">
        <v>1451</v>
      </c>
    </row>
    <row r="3429" spans="1:6" hidden="1" outlineLevel="1" collapsed="1" x14ac:dyDescent="0.25">
      <c r="A3429" s="295" t="s">
        <v>282</v>
      </c>
      <c r="B3429" s="295" t="s">
        <v>441</v>
      </c>
      <c r="C3429" s="293">
        <v>51220</v>
      </c>
      <c r="D3429" s="293">
        <v>57140</v>
      </c>
      <c r="E3429" s="293">
        <v>5920</v>
      </c>
      <c r="F3429" s="294" t="s">
        <v>1452</v>
      </c>
    </row>
    <row r="3430" spans="1:6" hidden="1" outlineLevel="1" collapsed="1" x14ac:dyDescent="0.25">
      <c r="A3430" s="295" t="s">
        <v>282</v>
      </c>
      <c r="B3430" s="295" t="s">
        <v>444</v>
      </c>
      <c r="C3430" s="293">
        <v>5175.1499999999996</v>
      </c>
      <c r="D3430" s="293">
        <v>6989</v>
      </c>
      <c r="E3430" s="293">
        <v>1813.85</v>
      </c>
      <c r="F3430" s="294" t="s">
        <v>1453</v>
      </c>
    </row>
    <row r="3431" spans="1:6" hidden="1" outlineLevel="1" collapsed="1" x14ac:dyDescent="0.25">
      <c r="A3431" s="295" t="s">
        <v>282</v>
      </c>
      <c r="B3431" s="295" t="s">
        <v>376</v>
      </c>
      <c r="C3431" s="293">
        <v>490</v>
      </c>
      <c r="D3431" s="293">
        <v>400</v>
      </c>
      <c r="E3431" s="293">
        <v>-90</v>
      </c>
      <c r="F3431" s="294" t="s">
        <v>1440</v>
      </c>
    </row>
    <row r="3432" spans="1:6" hidden="1" outlineLevel="1" collapsed="1" x14ac:dyDescent="0.25">
      <c r="A3432" s="295" t="s">
        <v>282</v>
      </c>
      <c r="B3432" s="295" t="s">
        <v>662</v>
      </c>
      <c r="C3432" s="293">
        <v>215</v>
      </c>
      <c r="D3432" s="293">
        <v>300</v>
      </c>
      <c r="E3432" s="293">
        <v>85</v>
      </c>
      <c r="F3432" s="294" t="s">
        <v>1454</v>
      </c>
    </row>
    <row r="3433" spans="1:6" hidden="1" outlineLevel="1" collapsed="1" x14ac:dyDescent="0.25">
      <c r="A3433" s="295" t="s">
        <v>282</v>
      </c>
      <c r="B3433" s="295" t="s">
        <v>506</v>
      </c>
      <c r="C3433" s="293">
        <v>0</v>
      </c>
      <c r="D3433" s="293">
        <v>1100</v>
      </c>
      <c r="E3433" s="293">
        <v>1100</v>
      </c>
      <c r="F3433" s="294" t="s">
        <v>298</v>
      </c>
    </row>
    <row r="3434" spans="1:6" hidden="1" outlineLevel="1" collapsed="1" x14ac:dyDescent="0.25">
      <c r="A3434" s="295" t="s">
        <v>282</v>
      </c>
      <c r="B3434" s="295" t="s">
        <v>426</v>
      </c>
      <c r="C3434" s="293">
        <v>5109.8500000000004</v>
      </c>
      <c r="D3434" s="293">
        <v>4400</v>
      </c>
      <c r="E3434" s="293">
        <v>-709.85</v>
      </c>
      <c r="F3434" s="294" t="s">
        <v>1455</v>
      </c>
    </row>
    <row r="3435" spans="1:6" hidden="1" outlineLevel="1" collapsed="1" x14ac:dyDescent="0.25">
      <c r="A3435" s="295" t="s">
        <v>282</v>
      </c>
      <c r="B3435" s="295" t="s">
        <v>482</v>
      </c>
      <c r="C3435" s="293">
        <v>700</v>
      </c>
      <c r="D3435" s="293">
        <v>700</v>
      </c>
      <c r="E3435" s="293">
        <v>0</v>
      </c>
      <c r="F3435" s="294" t="s">
        <v>316</v>
      </c>
    </row>
    <row r="3436" spans="1:6" hidden="1" outlineLevel="1" collapsed="1" x14ac:dyDescent="0.25">
      <c r="A3436" s="295" t="s">
        <v>282</v>
      </c>
      <c r="B3436" s="295" t="s">
        <v>597</v>
      </c>
      <c r="C3436" s="293">
        <v>845</v>
      </c>
      <c r="D3436" s="293">
        <v>500</v>
      </c>
      <c r="E3436" s="293">
        <v>-345</v>
      </c>
      <c r="F3436" s="294" t="s">
        <v>1456</v>
      </c>
    </row>
    <row r="3437" spans="1:6" hidden="1" outlineLevel="1" collapsed="1" x14ac:dyDescent="0.25">
      <c r="A3437" s="295" t="s">
        <v>282</v>
      </c>
      <c r="B3437" s="295" t="s">
        <v>401</v>
      </c>
      <c r="C3437" s="293">
        <v>300</v>
      </c>
      <c r="D3437" s="293">
        <v>0</v>
      </c>
      <c r="E3437" s="293">
        <v>-300</v>
      </c>
      <c r="F3437" s="294" t="s">
        <v>286</v>
      </c>
    </row>
    <row r="3438" spans="1:6" hidden="1" outlineLevel="1" collapsed="1" x14ac:dyDescent="0.25">
      <c r="A3438" s="295" t="s">
        <v>282</v>
      </c>
      <c r="B3438" s="295" t="s">
        <v>405</v>
      </c>
      <c r="C3438" s="293">
        <v>430</v>
      </c>
      <c r="D3438" s="293">
        <v>0</v>
      </c>
      <c r="E3438" s="293">
        <v>-430</v>
      </c>
      <c r="F3438" s="294" t="s">
        <v>286</v>
      </c>
    </row>
    <row r="3439" spans="1:6" hidden="1" outlineLevel="1" collapsed="1" x14ac:dyDescent="0.25">
      <c r="A3439" s="295" t="s">
        <v>282</v>
      </c>
      <c r="B3439" s="295" t="s">
        <v>557</v>
      </c>
      <c r="C3439" s="293">
        <v>0</v>
      </c>
      <c r="D3439" s="293">
        <v>500</v>
      </c>
      <c r="E3439" s="293">
        <v>500</v>
      </c>
      <c r="F3439" s="294" t="s">
        <v>298</v>
      </c>
    </row>
    <row r="3440" spans="1:6" collapsed="1" x14ac:dyDescent="0.25">
      <c r="A3440" s="560" t="s">
        <v>1457</v>
      </c>
      <c r="B3440" s="561"/>
      <c r="C3440" s="292">
        <v>63826.952863999999</v>
      </c>
      <c r="D3440" s="293">
        <v>83858.844047999999</v>
      </c>
      <c r="E3440" s="293">
        <v>20031.891184</v>
      </c>
      <c r="F3440" s="294" t="s">
        <v>1458</v>
      </c>
    </row>
    <row r="3441" spans="1:6" hidden="1" outlineLevel="1" collapsed="1" x14ac:dyDescent="0.25">
      <c r="A3441" s="295" t="s">
        <v>282</v>
      </c>
      <c r="B3441" s="295" t="s">
        <v>464</v>
      </c>
      <c r="C3441" s="293">
        <v>16650.057271999998</v>
      </c>
      <c r="D3441" s="293">
        <v>47931.274548000001</v>
      </c>
      <c r="E3441" s="293">
        <v>31281.217275999999</v>
      </c>
      <c r="F3441" s="294" t="s">
        <v>1459</v>
      </c>
    </row>
    <row r="3442" spans="1:6" hidden="1" outlineLevel="1" collapsed="1" x14ac:dyDescent="0.25">
      <c r="A3442" s="295" t="s">
        <v>282</v>
      </c>
      <c r="B3442" s="295" t="s">
        <v>945</v>
      </c>
      <c r="C3442" s="293">
        <v>6000</v>
      </c>
      <c r="D3442" s="293">
        <v>6000</v>
      </c>
      <c r="E3442" s="293">
        <v>0</v>
      </c>
      <c r="F3442" s="294" t="s">
        <v>316</v>
      </c>
    </row>
    <row r="3443" spans="1:6" hidden="1" outlineLevel="1" collapsed="1" x14ac:dyDescent="0.25">
      <c r="A3443" s="295" t="s">
        <v>282</v>
      </c>
      <c r="B3443" s="295" t="s">
        <v>799</v>
      </c>
      <c r="C3443" s="293">
        <v>13483</v>
      </c>
      <c r="D3443" s="293">
        <v>0</v>
      </c>
      <c r="E3443" s="293">
        <v>-13483</v>
      </c>
      <c r="F3443" s="294" t="s">
        <v>286</v>
      </c>
    </row>
    <row r="3444" spans="1:6" hidden="1" outlineLevel="1" collapsed="1" x14ac:dyDescent="0.25">
      <c r="A3444" s="295" t="s">
        <v>282</v>
      </c>
      <c r="B3444" s="295" t="s">
        <v>384</v>
      </c>
      <c r="C3444" s="293">
        <v>5852.8521959999998</v>
      </c>
      <c r="D3444" s="293">
        <v>0</v>
      </c>
      <c r="E3444" s="293">
        <v>-5852.8521959999998</v>
      </c>
      <c r="F3444" s="294" t="s">
        <v>286</v>
      </c>
    </row>
    <row r="3445" spans="1:6" hidden="1" outlineLevel="1" collapsed="1" x14ac:dyDescent="0.25">
      <c r="A3445" s="295" t="s">
        <v>282</v>
      </c>
      <c r="B3445" s="295" t="s">
        <v>385</v>
      </c>
      <c r="C3445" s="293">
        <v>0</v>
      </c>
      <c r="D3445" s="293">
        <v>7573.14138</v>
      </c>
      <c r="E3445" s="293">
        <v>7573.14138</v>
      </c>
      <c r="F3445" s="294" t="s">
        <v>298</v>
      </c>
    </row>
    <row r="3446" spans="1:6" hidden="1" outlineLevel="1" collapsed="1" x14ac:dyDescent="0.25">
      <c r="A3446" s="295" t="s">
        <v>282</v>
      </c>
      <c r="B3446" s="295" t="s">
        <v>386</v>
      </c>
      <c r="C3446" s="293">
        <v>2884.5535439999999</v>
      </c>
      <c r="D3446" s="293">
        <v>0</v>
      </c>
      <c r="E3446" s="293">
        <v>-2884.5535439999999</v>
      </c>
      <c r="F3446" s="294" t="s">
        <v>286</v>
      </c>
    </row>
    <row r="3447" spans="1:6" hidden="1" outlineLevel="1" collapsed="1" x14ac:dyDescent="0.25">
      <c r="A3447" s="295" t="s">
        <v>282</v>
      </c>
      <c r="B3447" s="295" t="s">
        <v>387</v>
      </c>
      <c r="C3447" s="293">
        <v>0</v>
      </c>
      <c r="D3447" s="293">
        <v>2971.739016</v>
      </c>
      <c r="E3447" s="293">
        <v>2971.739016</v>
      </c>
      <c r="F3447" s="294" t="s">
        <v>298</v>
      </c>
    </row>
    <row r="3448" spans="1:6" hidden="1" outlineLevel="1" collapsed="1" x14ac:dyDescent="0.25">
      <c r="A3448" s="295" t="s">
        <v>282</v>
      </c>
      <c r="B3448" s="295" t="s">
        <v>388</v>
      </c>
      <c r="C3448" s="293">
        <v>674.61332400000003</v>
      </c>
      <c r="D3448" s="293">
        <v>695.00347199999999</v>
      </c>
      <c r="E3448" s="293">
        <v>20.390148</v>
      </c>
      <c r="F3448" s="294" t="s">
        <v>520</v>
      </c>
    </row>
    <row r="3449" spans="1:6" hidden="1" outlineLevel="1" collapsed="1" x14ac:dyDescent="0.25">
      <c r="A3449" s="295" t="s">
        <v>282</v>
      </c>
      <c r="B3449" s="295" t="s">
        <v>444</v>
      </c>
      <c r="C3449" s="293">
        <v>540</v>
      </c>
      <c r="D3449" s="293">
        <v>540</v>
      </c>
      <c r="E3449" s="293">
        <v>0</v>
      </c>
      <c r="F3449" s="294" t="s">
        <v>316</v>
      </c>
    </row>
    <row r="3450" spans="1:6" hidden="1" outlineLevel="1" collapsed="1" x14ac:dyDescent="0.25">
      <c r="A3450" s="295" t="s">
        <v>282</v>
      </c>
      <c r="B3450" s="295" t="s">
        <v>389</v>
      </c>
      <c r="C3450" s="293">
        <v>426.12479999999999</v>
      </c>
      <c r="D3450" s="293">
        <v>422.04</v>
      </c>
      <c r="E3450" s="293">
        <v>-4.0848000000000004</v>
      </c>
      <c r="F3450" s="294" t="s">
        <v>364</v>
      </c>
    </row>
    <row r="3451" spans="1:6" hidden="1" outlineLevel="1" collapsed="1" x14ac:dyDescent="0.25">
      <c r="A3451" s="295" t="s">
        <v>282</v>
      </c>
      <c r="B3451" s="295" t="s">
        <v>390</v>
      </c>
      <c r="C3451" s="293">
        <v>15485.27</v>
      </c>
      <c r="D3451" s="293">
        <v>15959.28</v>
      </c>
      <c r="E3451" s="293">
        <v>474.01</v>
      </c>
      <c r="F3451" s="294" t="s">
        <v>391</v>
      </c>
    </row>
    <row r="3452" spans="1:6" hidden="1" outlineLevel="1" collapsed="1" x14ac:dyDescent="0.25">
      <c r="A3452" s="295" t="s">
        <v>282</v>
      </c>
      <c r="B3452" s="295" t="s">
        <v>392</v>
      </c>
      <c r="C3452" s="293">
        <v>233.53919999999999</v>
      </c>
      <c r="D3452" s="293">
        <v>182.88</v>
      </c>
      <c r="E3452" s="293">
        <v>-50.659199999999998</v>
      </c>
      <c r="F3452" s="294" t="s">
        <v>368</v>
      </c>
    </row>
    <row r="3453" spans="1:6" hidden="1" outlineLevel="1" collapsed="1" x14ac:dyDescent="0.25">
      <c r="A3453" s="295" t="s">
        <v>282</v>
      </c>
      <c r="B3453" s="295" t="s">
        <v>393</v>
      </c>
      <c r="C3453" s="293">
        <v>23.262528</v>
      </c>
      <c r="D3453" s="293">
        <v>23.965631999999999</v>
      </c>
      <c r="E3453" s="293">
        <v>0.70310399999999995</v>
      </c>
      <c r="F3453" s="294" t="s">
        <v>520</v>
      </c>
    </row>
    <row r="3454" spans="1:6" hidden="1" outlineLevel="1" collapsed="1" x14ac:dyDescent="0.25">
      <c r="A3454" s="295" t="s">
        <v>282</v>
      </c>
      <c r="B3454" s="295" t="s">
        <v>394</v>
      </c>
      <c r="C3454" s="293">
        <v>1500</v>
      </c>
      <c r="D3454" s="293">
        <v>0</v>
      </c>
      <c r="E3454" s="293">
        <v>-1500</v>
      </c>
      <c r="F3454" s="294" t="s">
        <v>286</v>
      </c>
    </row>
    <row r="3455" spans="1:6" hidden="1" outlineLevel="1" collapsed="1" x14ac:dyDescent="0.25">
      <c r="A3455" s="295" t="s">
        <v>282</v>
      </c>
      <c r="B3455" s="295" t="s">
        <v>395</v>
      </c>
      <c r="C3455" s="293">
        <v>0</v>
      </c>
      <c r="D3455" s="293">
        <v>1500</v>
      </c>
      <c r="E3455" s="293">
        <v>1500</v>
      </c>
      <c r="F3455" s="294" t="s">
        <v>298</v>
      </c>
    </row>
    <row r="3456" spans="1:6" hidden="1" outlineLevel="1" collapsed="1" x14ac:dyDescent="0.25">
      <c r="A3456" s="295" t="s">
        <v>282</v>
      </c>
      <c r="B3456" s="295" t="s">
        <v>396</v>
      </c>
      <c r="C3456" s="293">
        <v>49.68</v>
      </c>
      <c r="D3456" s="293">
        <v>0</v>
      </c>
      <c r="E3456" s="293">
        <v>-49.68</v>
      </c>
      <c r="F3456" s="294" t="s">
        <v>286</v>
      </c>
    </row>
    <row r="3457" spans="1:6" hidden="1" outlineLevel="1" collapsed="1" x14ac:dyDescent="0.25">
      <c r="A3457" s="295" t="s">
        <v>282</v>
      </c>
      <c r="B3457" s="295" t="s">
        <v>397</v>
      </c>
      <c r="C3457" s="293">
        <v>0</v>
      </c>
      <c r="D3457" s="293">
        <v>48.48</v>
      </c>
      <c r="E3457" s="293">
        <v>48.48</v>
      </c>
      <c r="F3457" s="294" t="s">
        <v>298</v>
      </c>
    </row>
    <row r="3458" spans="1:6" hidden="1" outlineLevel="1" collapsed="1" x14ac:dyDescent="0.25">
      <c r="A3458" s="295" t="s">
        <v>282</v>
      </c>
      <c r="B3458" s="295" t="s">
        <v>398</v>
      </c>
      <c r="C3458" s="293">
        <v>24</v>
      </c>
      <c r="D3458" s="293">
        <v>11.04</v>
      </c>
      <c r="E3458" s="293">
        <v>-12.96</v>
      </c>
      <c r="F3458" s="294" t="s">
        <v>374</v>
      </c>
    </row>
    <row r="3459" spans="1:6" collapsed="1" x14ac:dyDescent="0.25">
      <c r="A3459" s="560" t="s">
        <v>1460</v>
      </c>
      <c r="B3459" s="561"/>
      <c r="C3459" s="292">
        <v>66233.850636999996</v>
      </c>
      <c r="D3459" s="293">
        <v>69999.619032999995</v>
      </c>
      <c r="E3459" s="293">
        <v>3765.7683959999999</v>
      </c>
      <c r="F3459" s="294" t="s">
        <v>1461</v>
      </c>
    </row>
    <row r="3460" spans="1:6" hidden="1" outlineLevel="1" collapsed="1" x14ac:dyDescent="0.25">
      <c r="A3460" s="295" t="s">
        <v>282</v>
      </c>
      <c r="B3460" s="295" t="s">
        <v>464</v>
      </c>
      <c r="C3460" s="293">
        <v>26482.941676999999</v>
      </c>
      <c r="D3460" s="293">
        <v>28644.847808999999</v>
      </c>
      <c r="E3460" s="293">
        <v>2161.9061320000001</v>
      </c>
      <c r="F3460" s="294" t="s">
        <v>408</v>
      </c>
    </row>
    <row r="3461" spans="1:6" hidden="1" outlineLevel="1" collapsed="1" x14ac:dyDescent="0.25">
      <c r="A3461" s="295" t="s">
        <v>282</v>
      </c>
      <c r="B3461" s="295" t="s">
        <v>935</v>
      </c>
      <c r="C3461" s="293">
        <v>14788</v>
      </c>
      <c r="D3461" s="293">
        <v>14788</v>
      </c>
      <c r="E3461" s="293">
        <v>0</v>
      </c>
      <c r="F3461" s="294" t="s">
        <v>316</v>
      </c>
    </row>
    <row r="3462" spans="1:6" hidden="1" outlineLevel="1" collapsed="1" x14ac:dyDescent="0.25">
      <c r="A3462" s="295" t="s">
        <v>282</v>
      </c>
      <c r="B3462" s="295" t="s">
        <v>945</v>
      </c>
      <c r="C3462" s="293">
        <v>7000</v>
      </c>
      <c r="D3462" s="293">
        <v>7000</v>
      </c>
      <c r="E3462" s="293">
        <v>0</v>
      </c>
      <c r="F3462" s="294" t="s">
        <v>316</v>
      </c>
    </row>
    <row r="3463" spans="1:6" hidden="1" outlineLevel="1" collapsed="1" x14ac:dyDescent="0.25">
      <c r="A3463" s="295" t="s">
        <v>282</v>
      </c>
      <c r="B3463" s="295" t="s">
        <v>384</v>
      </c>
      <c r="C3463" s="293">
        <v>3331.5540620000002</v>
      </c>
      <c r="D3463" s="293">
        <v>0</v>
      </c>
      <c r="E3463" s="293">
        <v>-3331.5540620000002</v>
      </c>
      <c r="F3463" s="294" t="s">
        <v>286</v>
      </c>
    </row>
    <row r="3464" spans="1:6" hidden="1" outlineLevel="1" collapsed="1" x14ac:dyDescent="0.25">
      <c r="A3464" s="295" t="s">
        <v>282</v>
      </c>
      <c r="B3464" s="295" t="s">
        <v>385</v>
      </c>
      <c r="C3464" s="293">
        <v>0</v>
      </c>
      <c r="D3464" s="293">
        <v>4525.8859540000003</v>
      </c>
      <c r="E3464" s="293">
        <v>4525.8859540000003</v>
      </c>
      <c r="F3464" s="294" t="s">
        <v>298</v>
      </c>
    </row>
    <row r="3465" spans="1:6" hidden="1" outlineLevel="1" collapsed="1" x14ac:dyDescent="0.25">
      <c r="A3465" s="295" t="s">
        <v>282</v>
      </c>
      <c r="B3465" s="295" t="s">
        <v>386</v>
      </c>
      <c r="C3465" s="293">
        <v>1641.9423810000001</v>
      </c>
      <c r="D3465" s="293">
        <v>0</v>
      </c>
      <c r="E3465" s="293">
        <v>-1641.9423810000001</v>
      </c>
      <c r="F3465" s="294" t="s">
        <v>286</v>
      </c>
    </row>
    <row r="3466" spans="1:6" hidden="1" outlineLevel="1" collapsed="1" x14ac:dyDescent="0.25">
      <c r="A3466" s="295" t="s">
        <v>282</v>
      </c>
      <c r="B3466" s="295" t="s">
        <v>387</v>
      </c>
      <c r="C3466" s="293">
        <v>0</v>
      </c>
      <c r="D3466" s="293">
        <v>1775.9805610000001</v>
      </c>
      <c r="E3466" s="293">
        <v>1775.9805610000001</v>
      </c>
      <c r="F3466" s="294" t="s">
        <v>298</v>
      </c>
    </row>
    <row r="3467" spans="1:6" hidden="1" outlineLevel="1" collapsed="1" x14ac:dyDescent="0.25">
      <c r="A3467" s="295" t="s">
        <v>282</v>
      </c>
      <c r="B3467" s="295" t="s">
        <v>388</v>
      </c>
      <c r="C3467" s="293">
        <v>384.00264900000002</v>
      </c>
      <c r="D3467" s="293">
        <v>415.35028799999998</v>
      </c>
      <c r="E3467" s="293">
        <v>31.347639000000001</v>
      </c>
      <c r="F3467" s="294" t="s">
        <v>408</v>
      </c>
    </row>
    <row r="3468" spans="1:6" hidden="1" outlineLevel="1" collapsed="1" x14ac:dyDescent="0.25">
      <c r="A3468" s="295" t="s">
        <v>282</v>
      </c>
      <c r="B3468" s="295" t="s">
        <v>444</v>
      </c>
      <c r="C3468" s="293">
        <v>1961</v>
      </c>
      <c r="D3468" s="293">
        <v>1961</v>
      </c>
      <c r="E3468" s="293">
        <v>0</v>
      </c>
      <c r="F3468" s="294" t="s">
        <v>316</v>
      </c>
    </row>
    <row r="3469" spans="1:6" hidden="1" outlineLevel="1" collapsed="1" x14ac:dyDescent="0.25">
      <c r="A3469" s="295" t="s">
        <v>282</v>
      </c>
      <c r="B3469" s="295" t="s">
        <v>389</v>
      </c>
      <c r="C3469" s="293">
        <v>255.67488</v>
      </c>
      <c r="D3469" s="293">
        <v>253.22399999999999</v>
      </c>
      <c r="E3469" s="293">
        <v>-2.4508800000000002</v>
      </c>
      <c r="F3469" s="294" t="s">
        <v>364</v>
      </c>
    </row>
    <row r="3470" spans="1:6" hidden="1" outlineLevel="1" collapsed="1" x14ac:dyDescent="0.25">
      <c r="A3470" s="295" t="s">
        <v>282</v>
      </c>
      <c r="B3470" s="295" t="s">
        <v>390</v>
      </c>
      <c r="C3470" s="293">
        <v>9291.1620000000003</v>
      </c>
      <c r="D3470" s="293">
        <v>9575.5679999999993</v>
      </c>
      <c r="E3470" s="293">
        <v>284.40600000000001</v>
      </c>
      <c r="F3470" s="294" t="s">
        <v>391</v>
      </c>
    </row>
    <row r="3471" spans="1:6" hidden="1" outlineLevel="1" collapsed="1" x14ac:dyDescent="0.25">
      <c r="A3471" s="295" t="s">
        <v>282</v>
      </c>
      <c r="B3471" s="295" t="s">
        <v>392</v>
      </c>
      <c r="C3471" s="293">
        <v>140.12352000000001</v>
      </c>
      <c r="D3471" s="293">
        <v>109.72799999999999</v>
      </c>
      <c r="E3471" s="293">
        <v>-30.395520000000001</v>
      </c>
      <c r="F3471" s="294" t="s">
        <v>368</v>
      </c>
    </row>
    <row r="3472" spans="1:6" hidden="1" outlineLevel="1" collapsed="1" x14ac:dyDescent="0.25">
      <c r="A3472" s="295" t="s">
        <v>282</v>
      </c>
      <c r="B3472" s="295" t="s">
        <v>393</v>
      </c>
      <c r="C3472" s="293">
        <v>13.241467999999999</v>
      </c>
      <c r="D3472" s="293">
        <v>14.322421</v>
      </c>
      <c r="E3472" s="293">
        <v>1.0809530000000001</v>
      </c>
      <c r="F3472" s="294" t="s">
        <v>408</v>
      </c>
    </row>
    <row r="3473" spans="1:6" hidden="1" outlineLevel="1" collapsed="1" x14ac:dyDescent="0.25">
      <c r="A3473" s="295" t="s">
        <v>282</v>
      </c>
      <c r="B3473" s="295" t="s">
        <v>394</v>
      </c>
      <c r="C3473" s="293">
        <v>900</v>
      </c>
      <c r="D3473" s="293">
        <v>0</v>
      </c>
      <c r="E3473" s="293">
        <v>-900</v>
      </c>
      <c r="F3473" s="294" t="s">
        <v>286</v>
      </c>
    </row>
    <row r="3474" spans="1:6" hidden="1" outlineLevel="1" collapsed="1" x14ac:dyDescent="0.25">
      <c r="A3474" s="295" t="s">
        <v>282</v>
      </c>
      <c r="B3474" s="295" t="s">
        <v>395</v>
      </c>
      <c r="C3474" s="293">
        <v>0</v>
      </c>
      <c r="D3474" s="293">
        <v>900</v>
      </c>
      <c r="E3474" s="293">
        <v>900</v>
      </c>
      <c r="F3474" s="294" t="s">
        <v>298</v>
      </c>
    </row>
    <row r="3475" spans="1:6" hidden="1" outlineLevel="1" collapsed="1" x14ac:dyDescent="0.25">
      <c r="A3475" s="295" t="s">
        <v>282</v>
      </c>
      <c r="B3475" s="295" t="s">
        <v>396</v>
      </c>
      <c r="C3475" s="293">
        <v>29.808</v>
      </c>
      <c r="D3475" s="293">
        <v>0</v>
      </c>
      <c r="E3475" s="293">
        <v>-29.808</v>
      </c>
      <c r="F3475" s="294" t="s">
        <v>286</v>
      </c>
    </row>
    <row r="3476" spans="1:6" hidden="1" outlineLevel="1" collapsed="1" x14ac:dyDescent="0.25">
      <c r="A3476" s="295" t="s">
        <v>282</v>
      </c>
      <c r="B3476" s="295" t="s">
        <v>397</v>
      </c>
      <c r="C3476" s="293">
        <v>0</v>
      </c>
      <c r="D3476" s="293">
        <v>29.088000000000001</v>
      </c>
      <c r="E3476" s="293">
        <v>29.088000000000001</v>
      </c>
      <c r="F3476" s="294" t="s">
        <v>298</v>
      </c>
    </row>
    <row r="3477" spans="1:6" hidden="1" outlineLevel="1" collapsed="1" x14ac:dyDescent="0.25">
      <c r="A3477" s="295" t="s">
        <v>282</v>
      </c>
      <c r="B3477" s="295" t="s">
        <v>398</v>
      </c>
      <c r="C3477" s="293">
        <v>14.4</v>
      </c>
      <c r="D3477" s="293">
        <v>6.6239999999999997</v>
      </c>
      <c r="E3477" s="293">
        <v>-7.7759999999999998</v>
      </c>
      <c r="F3477" s="294" t="s">
        <v>374</v>
      </c>
    </row>
    <row r="3478" spans="1:6" collapsed="1" x14ac:dyDescent="0.25">
      <c r="A3478" s="560" t="s">
        <v>1462</v>
      </c>
      <c r="B3478" s="561"/>
      <c r="C3478" s="292">
        <v>5037</v>
      </c>
      <c r="D3478" s="293">
        <v>5037</v>
      </c>
      <c r="E3478" s="293">
        <v>0</v>
      </c>
      <c r="F3478" s="294" t="s">
        <v>316</v>
      </c>
    </row>
    <row r="3479" spans="1:6" hidden="1" outlineLevel="1" collapsed="1" x14ac:dyDescent="0.25">
      <c r="A3479" s="295" t="s">
        <v>282</v>
      </c>
      <c r="B3479" s="295" t="s">
        <v>441</v>
      </c>
      <c r="C3479" s="293">
        <v>2254</v>
      </c>
      <c r="D3479" s="293">
        <v>2254</v>
      </c>
      <c r="E3479" s="293">
        <v>0</v>
      </c>
      <c r="F3479" s="294" t="s">
        <v>316</v>
      </c>
    </row>
    <row r="3480" spans="1:6" hidden="1" outlineLevel="1" collapsed="1" x14ac:dyDescent="0.25">
      <c r="A3480" s="295" t="s">
        <v>282</v>
      </c>
      <c r="B3480" s="295" t="s">
        <v>818</v>
      </c>
      <c r="C3480" s="293">
        <v>2300</v>
      </c>
      <c r="D3480" s="293">
        <v>2300</v>
      </c>
      <c r="E3480" s="293">
        <v>0</v>
      </c>
      <c r="F3480" s="294" t="s">
        <v>316</v>
      </c>
    </row>
    <row r="3481" spans="1:6" hidden="1" outlineLevel="1" collapsed="1" x14ac:dyDescent="0.25">
      <c r="A3481" s="295" t="s">
        <v>282</v>
      </c>
      <c r="B3481" s="295" t="s">
        <v>444</v>
      </c>
      <c r="C3481" s="293">
        <v>483</v>
      </c>
      <c r="D3481" s="293">
        <v>483</v>
      </c>
      <c r="E3481" s="293">
        <v>0</v>
      </c>
      <c r="F3481" s="294" t="s">
        <v>316</v>
      </c>
    </row>
    <row r="3482" spans="1:6" collapsed="1" x14ac:dyDescent="0.25">
      <c r="A3482" s="560" t="s">
        <v>1463</v>
      </c>
      <c r="B3482" s="561"/>
      <c r="C3482" s="292">
        <v>31823.233758999999</v>
      </c>
      <c r="D3482" s="293">
        <v>30833.746020999999</v>
      </c>
      <c r="E3482" s="293">
        <v>-989.48773800000004</v>
      </c>
      <c r="F3482" s="294" t="s">
        <v>1464</v>
      </c>
    </row>
    <row r="3483" spans="1:6" hidden="1" outlineLevel="1" collapsed="1" x14ac:dyDescent="0.25">
      <c r="A3483" s="295" t="s">
        <v>282</v>
      </c>
      <c r="B3483" s="295" t="s">
        <v>464</v>
      </c>
      <c r="C3483" s="293">
        <v>17655.294451999998</v>
      </c>
      <c r="D3483" s="293">
        <v>19096.565205999999</v>
      </c>
      <c r="E3483" s="293">
        <v>1441.2707539999999</v>
      </c>
      <c r="F3483" s="294" t="s">
        <v>408</v>
      </c>
    </row>
    <row r="3484" spans="1:6" hidden="1" outlineLevel="1" collapsed="1" x14ac:dyDescent="0.25">
      <c r="A3484" s="295" t="s">
        <v>282</v>
      </c>
      <c r="B3484" s="295" t="s">
        <v>476</v>
      </c>
      <c r="C3484" s="293">
        <v>3203</v>
      </c>
      <c r="D3484" s="293">
        <v>0</v>
      </c>
      <c r="E3484" s="293">
        <v>-3203</v>
      </c>
      <c r="F3484" s="294" t="s">
        <v>286</v>
      </c>
    </row>
    <row r="3485" spans="1:6" hidden="1" outlineLevel="1" collapsed="1" x14ac:dyDescent="0.25">
      <c r="A3485" s="295" t="s">
        <v>282</v>
      </c>
      <c r="B3485" s="295" t="s">
        <v>384</v>
      </c>
      <c r="C3485" s="293">
        <v>2221.0360420000002</v>
      </c>
      <c r="D3485" s="293">
        <v>0</v>
      </c>
      <c r="E3485" s="293">
        <v>-2221.0360420000002</v>
      </c>
      <c r="F3485" s="294" t="s">
        <v>286</v>
      </c>
    </row>
    <row r="3486" spans="1:6" hidden="1" outlineLevel="1" collapsed="1" x14ac:dyDescent="0.25">
      <c r="A3486" s="295" t="s">
        <v>282</v>
      </c>
      <c r="B3486" s="295" t="s">
        <v>385</v>
      </c>
      <c r="C3486" s="293">
        <v>0</v>
      </c>
      <c r="D3486" s="293">
        <v>3017.2573029999999</v>
      </c>
      <c r="E3486" s="293">
        <v>3017.2573029999999</v>
      </c>
      <c r="F3486" s="294" t="s">
        <v>298</v>
      </c>
    </row>
    <row r="3487" spans="1:6" hidden="1" outlineLevel="1" collapsed="1" x14ac:dyDescent="0.25">
      <c r="A3487" s="295" t="s">
        <v>282</v>
      </c>
      <c r="B3487" s="295" t="s">
        <v>386</v>
      </c>
      <c r="C3487" s="293">
        <v>1094.628254</v>
      </c>
      <c r="D3487" s="293">
        <v>0</v>
      </c>
      <c r="E3487" s="293">
        <v>-1094.628254</v>
      </c>
      <c r="F3487" s="294" t="s">
        <v>286</v>
      </c>
    </row>
    <row r="3488" spans="1:6" hidden="1" outlineLevel="1" collapsed="1" x14ac:dyDescent="0.25">
      <c r="A3488" s="295" t="s">
        <v>282</v>
      </c>
      <c r="B3488" s="295" t="s">
        <v>387</v>
      </c>
      <c r="C3488" s="293">
        <v>0</v>
      </c>
      <c r="D3488" s="293">
        <v>1183.98704</v>
      </c>
      <c r="E3488" s="293">
        <v>1183.98704</v>
      </c>
      <c r="F3488" s="294" t="s">
        <v>298</v>
      </c>
    </row>
    <row r="3489" spans="1:6" hidden="1" outlineLevel="1" collapsed="1" x14ac:dyDescent="0.25">
      <c r="A3489" s="295" t="s">
        <v>282</v>
      </c>
      <c r="B3489" s="295" t="s">
        <v>388</v>
      </c>
      <c r="C3489" s="293">
        <v>256.00176599999998</v>
      </c>
      <c r="D3489" s="293">
        <v>276.900192</v>
      </c>
      <c r="E3489" s="293">
        <v>20.898426000000001</v>
      </c>
      <c r="F3489" s="294" t="s">
        <v>408</v>
      </c>
    </row>
    <row r="3490" spans="1:6" hidden="1" outlineLevel="1" collapsed="1" x14ac:dyDescent="0.25">
      <c r="A3490" s="295" t="s">
        <v>282</v>
      </c>
      <c r="B3490" s="295" t="s">
        <v>444</v>
      </c>
      <c r="C3490" s="293">
        <v>297</v>
      </c>
      <c r="D3490" s="293">
        <v>0</v>
      </c>
      <c r="E3490" s="293">
        <v>-297</v>
      </c>
      <c r="F3490" s="294" t="s">
        <v>286</v>
      </c>
    </row>
    <row r="3491" spans="1:6" hidden="1" outlineLevel="1" collapsed="1" x14ac:dyDescent="0.25">
      <c r="A3491" s="295" t="s">
        <v>282</v>
      </c>
      <c r="B3491" s="295" t="s">
        <v>389</v>
      </c>
      <c r="C3491" s="293">
        <v>170.44991999999999</v>
      </c>
      <c r="D3491" s="293">
        <v>168.816</v>
      </c>
      <c r="E3491" s="293">
        <v>-1.63392</v>
      </c>
      <c r="F3491" s="294" t="s">
        <v>364</v>
      </c>
    </row>
    <row r="3492" spans="1:6" hidden="1" outlineLevel="1" collapsed="1" x14ac:dyDescent="0.25">
      <c r="A3492" s="295" t="s">
        <v>282</v>
      </c>
      <c r="B3492" s="295" t="s">
        <v>390</v>
      </c>
      <c r="C3492" s="293">
        <v>6194.1080000000002</v>
      </c>
      <c r="D3492" s="293">
        <v>6383.7120000000004</v>
      </c>
      <c r="E3492" s="293">
        <v>189.60400000000001</v>
      </c>
      <c r="F3492" s="294" t="s">
        <v>391</v>
      </c>
    </row>
    <row r="3493" spans="1:6" hidden="1" outlineLevel="1" collapsed="1" x14ac:dyDescent="0.25">
      <c r="A3493" s="295" t="s">
        <v>282</v>
      </c>
      <c r="B3493" s="295" t="s">
        <v>392</v>
      </c>
      <c r="C3493" s="293">
        <v>93.415679999999995</v>
      </c>
      <c r="D3493" s="293">
        <v>73.152000000000001</v>
      </c>
      <c r="E3493" s="293">
        <v>-20.263680000000001</v>
      </c>
      <c r="F3493" s="294" t="s">
        <v>368</v>
      </c>
    </row>
    <row r="3494" spans="1:6" hidden="1" outlineLevel="1" collapsed="1" x14ac:dyDescent="0.25">
      <c r="A3494" s="295" t="s">
        <v>282</v>
      </c>
      <c r="B3494" s="295" t="s">
        <v>393</v>
      </c>
      <c r="C3494" s="293">
        <v>8.8276450000000004</v>
      </c>
      <c r="D3494" s="293">
        <v>9.5482800000000001</v>
      </c>
      <c r="E3494" s="293">
        <v>0.72063500000000003</v>
      </c>
      <c r="F3494" s="294" t="s">
        <v>408</v>
      </c>
    </row>
    <row r="3495" spans="1:6" hidden="1" outlineLevel="1" collapsed="1" x14ac:dyDescent="0.25">
      <c r="A3495" s="295" t="s">
        <v>282</v>
      </c>
      <c r="B3495" s="295" t="s">
        <v>394</v>
      </c>
      <c r="C3495" s="293">
        <v>600</v>
      </c>
      <c r="D3495" s="293">
        <v>0</v>
      </c>
      <c r="E3495" s="293">
        <v>-600</v>
      </c>
      <c r="F3495" s="294" t="s">
        <v>286</v>
      </c>
    </row>
    <row r="3496" spans="1:6" hidden="1" outlineLevel="1" collapsed="1" x14ac:dyDescent="0.25">
      <c r="A3496" s="295" t="s">
        <v>282</v>
      </c>
      <c r="B3496" s="295" t="s">
        <v>395</v>
      </c>
      <c r="C3496" s="293">
        <v>0</v>
      </c>
      <c r="D3496" s="293">
        <v>600</v>
      </c>
      <c r="E3496" s="293">
        <v>600</v>
      </c>
      <c r="F3496" s="294" t="s">
        <v>298</v>
      </c>
    </row>
    <row r="3497" spans="1:6" hidden="1" outlineLevel="1" collapsed="1" x14ac:dyDescent="0.25">
      <c r="A3497" s="295" t="s">
        <v>282</v>
      </c>
      <c r="B3497" s="295" t="s">
        <v>396</v>
      </c>
      <c r="C3497" s="293">
        <v>19.872</v>
      </c>
      <c r="D3497" s="293">
        <v>0</v>
      </c>
      <c r="E3497" s="293">
        <v>-19.872</v>
      </c>
      <c r="F3497" s="294" t="s">
        <v>286</v>
      </c>
    </row>
    <row r="3498" spans="1:6" hidden="1" outlineLevel="1" collapsed="1" x14ac:dyDescent="0.25">
      <c r="A3498" s="295" t="s">
        <v>282</v>
      </c>
      <c r="B3498" s="295" t="s">
        <v>397</v>
      </c>
      <c r="C3498" s="293">
        <v>0</v>
      </c>
      <c r="D3498" s="293">
        <v>19.391999999999999</v>
      </c>
      <c r="E3498" s="293">
        <v>19.391999999999999</v>
      </c>
      <c r="F3498" s="294" t="s">
        <v>298</v>
      </c>
    </row>
    <row r="3499" spans="1:6" hidden="1" outlineLevel="1" collapsed="1" x14ac:dyDescent="0.25">
      <c r="A3499" s="295" t="s">
        <v>282</v>
      </c>
      <c r="B3499" s="295" t="s">
        <v>398</v>
      </c>
      <c r="C3499" s="293">
        <v>9.6</v>
      </c>
      <c r="D3499" s="293">
        <v>4.4160000000000004</v>
      </c>
      <c r="E3499" s="293">
        <v>-5.1840000000000002</v>
      </c>
      <c r="F3499" s="294" t="s">
        <v>374</v>
      </c>
    </row>
    <row r="3500" spans="1:6" collapsed="1" x14ac:dyDescent="0.25">
      <c r="A3500" s="560" t="s">
        <v>1465</v>
      </c>
      <c r="B3500" s="561"/>
      <c r="C3500" s="292">
        <v>250396.66270399999</v>
      </c>
      <c r="D3500" s="293">
        <v>258852.12604</v>
      </c>
      <c r="E3500" s="293">
        <v>8455.4633360000007</v>
      </c>
      <c r="F3500" s="294" t="s">
        <v>1403</v>
      </c>
    </row>
    <row r="3501" spans="1:6" hidden="1" outlineLevel="1" collapsed="1" x14ac:dyDescent="0.25">
      <c r="A3501" s="295" t="s">
        <v>282</v>
      </c>
      <c r="B3501" s="295" t="s">
        <v>780</v>
      </c>
      <c r="C3501" s="293">
        <v>133899.819036</v>
      </c>
      <c r="D3501" s="293">
        <v>135908.31487199999</v>
      </c>
      <c r="E3501" s="293">
        <v>2008.4958360000001</v>
      </c>
      <c r="F3501" s="294" t="s">
        <v>510</v>
      </c>
    </row>
    <row r="3502" spans="1:6" hidden="1" outlineLevel="1" collapsed="1" x14ac:dyDescent="0.25">
      <c r="A3502" s="295" t="s">
        <v>282</v>
      </c>
      <c r="B3502" s="295" t="s">
        <v>464</v>
      </c>
      <c r="C3502" s="293">
        <v>52166.436152000002</v>
      </c>
      <c r="D3502" s="293">
        <v>53718.985591999997</v>
      </c>
      <c r="E3502" s="293">
        <v>1552.54944</v>
      </c>
      <c r="F3502" s="294" t="s">
        <v>381</v>
      </c>
    </row>
    <row r="3503" spans="1:6" hidden="1" outlineLevel="1" collapsed="1" x14ac:dyDescent="0.25">
      <c r="A3503" s="295" t="s">
        <v>282</v>
      </c>
      <c r="B3503" s="295" t="s">
        <v>751</v>
      </c>
      <c r="C3503" s="293">
        <v>17473.926383999999</v>
      </c>
      <c r="D3503" s="293">
        <v>0</v>
      </c>
      <c r="E3503" s="293">
        <v>-17473.926383999999</v>
      </c>
      <c r="F3503" s="294" t="s">
        <v>286</v>
      </c>
    </row>
    <row r="3504" spans="1:6" hidden="1" outlineLevel="1" collapsed="1" x14ac:dyDescent="0.25">
      <c r="A3504" s="295" t="s">
        <v>282</v>
      </c>
      <c r="B3504" s="295" t="s">
        <v>752</v>
      </c>
      <c r="C3504" s="293">
        <v>0</v>
      </c>
      <c r="D3504" s="293">
        <v>19611.569832000001</v>
      </c>
      <c r="E3504" s="293">
        <v>19611.569832000001</v>
      </c>
      <c r="F3504" s="294" t="s">
        <v>298</v>
      </c>
    </row>
    <row r="3505" spans="1:6" hidden="1" outlineLevel="1" collapsed="1" x14ac:dyDescent="0.25">
      <c r="A3505" s="295" t="s">
        <v>282</v>
      </c>
      <c r="B3505" s="295" t="s">
        <v>384</v>
      </c>
      <c r="C3505" s="293">
        <v>6461.8976640000001</v>
      </c>
      <c r="D3505" s="293">
        <v>0</v>
      </c>
      <c r="E3505" s="293">
        <v>-6461.8976640000001</v>
      </c>
      <c r="F3505" s="294" t="s">
        <v>286</v>
      </c>
    </row>
    <row r="3506" spans="1:6" hidden="1" outlineLevel="1" collapsed="1" x14ac:dyDescent="0.25">
      <c r="A3506" s="295" t="s">
        <v>282</v>
      </c>
      <c r="B3506" s="295" t="s">
        <v>385</v>
      </c>
      <c r="C3506" s="293">
        <v>0</v>
      </c>
      <c r="D3506" s="293">
        <v>8361.1997159999992</v>
      </c>
      <c r="E3506" s="293">
        <v>8361.1997159999992</v>
      </c>
      <c r="F3506" s="294" t="s">
        <v>298</v>
      </c>
    </row>
    <row r="3507" spans="1:6" hidden="1" outlineLevel="1" collapsed="1" x14ac:dyDescent="0.25">
      <c r="A3507" s="295" t="s">
        <v>282</v>
      </c>
      <c r="B3507" s="295" t="s">
        <v>386</v>
      </c>
      <c r="C3507" s="293">
        <v>3234.3190319999999</v>
      </c>
      <c r="D3507" s="293">
        <v>0</v>
      </c>
      <c r="E3507" s="293">
        <v>-3234.3190319999999</v>
      </c>
      <c r="F3507" s="294" t="s">
        <v>286</v>
      </c>
    </row>
    <row r="3508" spans="1:6" hidden="1" outlineLevel="1" collapsed="1" x14ac:dyDescent="0.25">
      <c r="A3508" s="295" t="s">
        <v>282</v>
      </c>
      <c r="B3508" s="295" t="s">
        <v>387</v>
      </c>
      <c r="C3508" s="293">
        <v>0</v>
      </c>
      <c r="D3508" s="293">
        <v>3330.577104</v>
      </c>
      <c r="E3508" s="293">
        <v>3330.577104</v>
      </c>
      <c r="F3508" s="294" t="s">
        <v>298</v>
      </c>
    </row>
    <row r="3509" spans="1:6" hidden="1" outlineLevel="1" collapsed="1" x14ac:dyDescent="0.25">
      <c r="A3509" s="295" t="s">
        <v>282</v>
      </c>
      <c r="B3509" s="295" t="s">
        <v>388</v>
      </c>
      <c r="C3509" s="293">
        <v>756.41331600000001</v>
      </c>
      <c r="D3509" s="293">
        <v>778.92528000000004</v>
      </c>
      <c r="E3509" s="293">
        <v>22.511963999999999</v>
      </c>
      <c r="F3509" s="294" t="s">
        <v>381</v>
      </c>
    </row>
    <row r="3510" spans="1:6" hidden="1" outlineLevel="1" collapsed="1" x14ac:dyDescent="0.25">
      <c r="A3510" s="295" t="s">
        <v>282</v>
      </c>
      <c r="B3510" s="295" t="s">
        <v>389</v>
      </c>
      <c r="C3510" s="293">
        <v>426.12479999999999</v>
      </c>
      <c r="D3510" s="293">
        <v>422.04</v>
      </c>
      <c r="E3510" s="293">
        <v>-4.0848000000000004</v>
      </c>
      <c r="F3510" s="294" t="s">
        <v>364</v>
      </c>
    </row>
    <row r="3511" spans="1:6" hidden="1" outlineLevel="1" collapsed="1" x14ac:dyDescent="0.25">
      <c r="A3511" s="295" t="s">
        <v>282</v>
      </c>
      <c r="B3511" s="295" t="s">
        <v>390</v>
      </c>
      <c r="C3511" s="293">
        <v>15485.27</v>
      </c>
      <c r="D3511" s="293">
        <v>15959.28</v>
      </c>
      <c r="E3511" s="293">
        <v>474.01</v>
      </c>
      <c r="F3511" s="294" t="s">
        <v>391</v>
      </c>
    </row>
    <row r="3512" spans="1:6" hidden="1" outlineLevel="1" collapsed="1" x14ac:dyDescent="0.25">
      <c r="A3512" s="295" t="s">
        <v>282</v>
      </c>
      <c r="B3512" s="295" t="s">
        <v>392</v>
      </c>
      <c r="C3512" s="293">
        <v>233.53919999999999</v>
      </c>
      <c r="D3512" s="293">
        <v>182.88</v>
      </c>
      <c r="E3512" s="293">
        <v>-50.659199999999998</v>
      </c>
      <c r="F3512" s="294" t="s">
        <v>368</v>
      </c>
    </row>
    <row r="3513" spans="1:6" hidden="1" outlineLevel="1" collapsed="1" x14ac:dyDescent="0.25">
      <c r="A3513" s="295" t="s">
        <v>282</v>
      </c>
      <c r="B3513" s="295" t="s">
        <v>754</v>
      </c>
      <c r="C3513" s="293">
        <v>15358.56</v>
      </c>
      <c r="D3513" s="293">
        <v>15959.28</v>
      </c>
      <c r="E3513" s="293">
        <v>600.72</v>
      </c>
      <c r="F3513" s="294" t="s">
        <v>366</v>
      </c>
    </row>
    <row r="3514" spans="1:6" hidden="1" outlineLevel="1" collapsed="1" x14ac:dyDescent="0.25">
      <c r="A3514" s="295" t="s">
        <v>282</v>
      </c>
      <c r="B3514" s="295" t="s">
        <v>755</v>
      </c>
      <c r="C3514" s="293">
        <v>426.12479999999999</v>
      </c>
      <c r="D3514" s="293">
        <v>422.04</v>
      </c>
      <c r="E3514" s="293">
        <v>-4.0848000000000004</v>
      </c>
      <c r="F3514" s="294" t="s">
        <v>364</v>
      </c>
    </row>
    <row r="3515" spans="1:6" hidden="1" outlineLevel="1" collapsed="1" x14ac:dyDescent="0.25">
      <c r="A3515" s="295" t="s">
        <v>282</v>
      </c>
      <c r="B3515" s="295" t="s">
        <v>756</v>
      </c>
      <c r="C3515" s="293">
        <v>233.53919999999999</v>
      </c>
      <c r="D3515" s="293">
        <v>182.88</v>
      </c>
      <c r="E3515" s="293">
        <v>-50.659199999999998</v>
      </c>
      <c r="F3515" s="294" t="s">
        <v>368</v>
      </c>
    </row>
    <row r="3516" spans="1:6" hidden="1" outlineLevel="1" collapsed="1" x14ac:dyDescent="0.25">
      <c r="A3516" s="295" t="s">
        <v>282</v>
      </c>
      <c r="B3516" s="295" t="s">
        <v>393</v>
      </c>
      <c r="C3516" s="293">
        <v>26.083212</v>
      </c>
      <c r="D3516" s="293">
        <v>26.859491999999999</v>
      </c>
      <c r="E3516" s="293">
        <v>0.77627999999999997</v>
      </c>
      <c r="F3516" s="294" t="s">
        <v>381</v>
      </c>
    </row>
    <row r="3517" spans="1:6" hidden="1" outlineLevel="1" collapsed="1" x14ac:dyDescent="0.25">
      <c r="A3517" s="295" t="s">
        <v>282</v>
      </c>
      <c r="B3517" s="295" t="s">
        <v>757</v>
      </c>
      <c r="C3517" s="293">
        <v>67.249908000000005</v>
      </c>
      <c r="D3517" s="293">
        <v>0</v>
      </c>
      <c r="E3517" s="293">
        <v>-67.249908000000005</v>
      </c>
      <c r="F3517" s="294" t="s">
        <v>286</v>
      </c>
    </row>
    <row r="3518" spans="1:6" hidden="1" outlineLevel="1" collapsed="1" x14ac:dyDescent="0.25">
      <c r="A3518" s="295" t="s">
        <v>282</v>
      </c>
      <c r="B3518" s="295" t="s">
        <v>758</v>
      </c>
      <c r="C3518" s="293">
        <v>0</v>
      </c>
      <c r="D3518" s="293">
        <v>68.254152000000005</v>
      </c>
      <c r="E3518" s="293">
        <v>68.254152000000005</v>
      </c>
      <c r="F3518" s="294" t="s">
        <v>298</v>
      </c>
    </row>
    <row r="3519" spans="1:6" hidden="1" outlineLevel="1" collapsed="1" x14ac:dyDescent="0.25">
      <c r="A3519" s="295" t="s">
        <v>282</v>
      </c>
      <c r="B3519" s="295" t="s">
        <v>394</v>
      </c>
      <c r="C3519" s="293">
        <v>1500</v>
      </c>
      <c r="D3519" s="293">
        <v>0</v>
      </c>
      <c r="E3519" s="293">
        <v>-1500</v>
      </c>
      <c r="F3519" s="294" t="s">
        <v>286</v>
      </c>
    </row>
    <row r="3520" spans="1:6" hidden="1" outlineLevel="1" collapsed="1" x14ac:dyDescent="0.25">
      <c r="A3520" s="295" t="s">
        <v>282</v>
      </c>
      <c r="B3520" s="295" t="s">
        <v>395</v>
      </c>
      <c r="C3520" s="293">
        <v>0</v>
      </c>
      <c r="D3520" s="293">
        <v>1500</v>
      </c>
      <c r="E3520" s="293">
        <v>1500</v>
      </c>
      <c r="F3520" s="294" t="s">
        <v>298</v>
      </c>
    </row>
    <row r="3521" spans="1:6" hidden="1" outlineLevel="1" collapsed="1" x14ac:dyDescent="0.25">
      <c r="A3521" s="295" t="s">
        <v>282</v>
      </c>
      <c r="B3521" s="295" t="s">
        <v>759</v>
      </c>
      <c r="C3521" s="293">
        <v>1500</v>
      </c>
      <c r="D3521" s="293">
        <v>0</v>
      </c>
      <c r="E3521" s="293">
        <v>-1500</v>
      </c>
      <c r="F3521" s="294" t="s">
        <v>286</v>
      </c>
    </row>
    <row r="3522" spans="1:6" hidden="1" outlineLevel="1" collapsed="1" x14ac:dyDescent="0.25">
      <c r="A3522" s="295" t="s">
        <v>282</v>
      </c>
      <c r="B3522" s="295" t="s">
        <v>760</v>
      </c>
      <c r="C3522" s="293">
        <v>0</v>
      </c>
      <c r="D3522" s="293">
        <v>1500</v>
      </c>
      <c r="E3522" s="293">
        <v>1500</v>
      </c>
      <c r="F3522" s="294" t="s">
        <v>298</v>
      </c>
    </row>
    <row r="3523" spans="1:6" hidden="1" outlineLevel="1" collapsed="1" x14ac:dyDescent="0.25">
      <c r="A3523" s="295" t="s">
        <v>282</v>
      </c>
      <c r="B3523" s="295" t="s">
        <v>396</v>
      </c>
      <c r="C3523" s="293">
        <v>49.68</v>
      </c>
      <c r="D3523" s="293">
        <v>0</v>
      </c>
      <c r="E3523" s="293">
        <v>-49.68</v>
      </c>
      <c r="F3523" s="294" t="s">
        <v>286</v>
      </c>
    </row>
    <row r="3524" spans="1:6" hidden="1" outlineLevel="1" collapsed="1" x14ac:dyDescent="0.25">
      <c r="A3524" s="295" t="s">
        <v>282</v>
      </c>
      <c r="B3524" s="295" t="s">
        <v>397</v>
      </c>
      <c r="C3524" s="293">
        <v>0</v>
      </c>
      <c r="D3524" s="293">
        <v>48.48</v>
      </c>
      <c r="E3524" s="293">
        <v>48.48</v>
      </c>
      <c r="F3524" s="294" t="s">
        <v>298</v>
      </c>
    </row>
    <row r="3525" spans="1:6" hidden="1" outlineLevel="1" collapsed="1" x14ac:dyDescent="0.25">
      <c r="A3525" s="295" t="s">
        <v>282</v>
      </c>
      <c r="B3525" s="295" t="s">
        <v>761</v>
      </c>
      <c r="C3525" s="293">
        <v>49.68</v>
      </c>
      <c r="D3525" s="293">
        <v>0</v>
      </c>
      <c r="E3525" s="293">
        <v>-49.68</v>
      </c>
      <c r="F3525" s="294" t="s">
        <v>286</v>
      </c>
    </row>
    <row r="3526" spans="1:6" hidden="1" outlineLevel="1" collapsed="1" x14ac:dyDescent="0.25">
      <c r="A3526" s="295" t="s">
        <v>282</v>
      </c>
      <c r="B3526" s="295" t="s">
        <v>762</v>
      </c>
      <c r="C3526" s="293">
        <v>0</v>
      </c>
      <c r="D3526" s="293">
        <v>48.48</v>
      </c>
      <c r="E3526" s="293">
        <v>48.48</v>
      </c>
      <c r="F3526" s="294" t="s">
        <v>298</v>
      </c>
    </row>
    <row r="3527" spans="1:6" hidden="1" outlineLevel="1" collapsed="1" x14ac:dyDescent="0.25">
      <c r="A3527" s="295" t="s">
        <v>282</v>
      </c>
      <c r="B3527" s="295" t="s">
        <v>398</v>
      </c>
      <c r="C3527" s="293">
        <v>24</v>
      </c>
      <c r="D3527" s="293">
        <v>11.04</v>
      </c>
      <c r="E3527" s="293">
        <v>-12.96</v>
      </c>
      <c r="F3527" s="294" t="s">
        <v>374</v>
      </c>
    </row>
    <row r="3528" spans="1:6" hidden="1" outlineLevel="1" collapsed="1" x14ac:dyDescent="0.25">
      <c r="A3528" s="295" t="s">
        <v>282</v>
      </c>
      <c r="B3528" s="295" t="s">
        <v>763</v>
      </c>
      <c r="C3528" s="293">
        <v>24</v>
      </c>
      <c r="D3528" s="293">
        <v>11.04</v>
      </c>
      <c r="E3528" s="293">
        <v>-12.96</v>
      </c>
      <c r="F3528" s="294" t="s">
        <v>374</v>
      </c>
    </row>
    <row r="3529" spans="1:6" hidden="1" outlineLevel="1" collapsed="1" x14ac:dyDescent="0.25">
      <c r="A3529" s="295" t="s">
        <v>282</v>
      </c>
      <c r="B3529" s="295" t="s">
        <v>376</v>
      </c>
      <c r="C3529" s="293">
        <v>400</v>
      </c>
      <c r="D3529" s="293">
        <v>200</v>
      </c>
      <c r="E3529" s="293">
        <v>-200</v>
      </c>
      <c r="F3529" s="294" t="s">
        <v>722</v>
      </c>
    </row>
    <row r="3530" spans="1:6" hidden="1" outlineLevel="1" collapsed="1" x14ac:dyDescent="0.25">
      <c r="A3530" s="295" t="s">
        <v>282</v>
      </c>
      <c r="B3530" s="295" t="s">
        <v>707</v>
      </c>
      <c r="C3530" s="293">
        <v>600</v>
      </c>
      <c r="D3530" s="293">
        <v>600</v>
      </c>
      <c r="E3530" s="293">
        <v>0</v>
      </c>
      <c r="F3530" s="294" t="s">
        <v>316</v>
      </c>
    </row>
    <row r="3531" spans="1:6" collapsed="1" x14ac:dyDescent="0.25">
      <c r="A3531" s="560" t="s">
        <v>1466</v>
      </c>
      <c r="B3531" s="561"/>
      <c r="C3531" s="292">
        <v>30410.244160999999</v>
      </c>
      <c r="D3531" s="293">
        <v>114413.743038</v>
      </c>
      <c r="E3531" s="293">
        <v>84003.498877000005</v>
      </c>
      <c r="F3531" s="294" t="s">
        <v>1467</v>
      </c>
    </row>
    <row r="3532" spans="1:6" hidden="1" outlineLevel="1" collapsed="1" x14ac:dyDescent="0.25">
      <c r="A3532" s="295" t="s">
        <v>282</v>
      </c>
      <c r="B3532" s="295" t="s">
        <v>1143</v>
      </c>
      <c r="C3532" s="293">
        <v>2.6661000000000001E-2</v>
      </c>
      <c r="D3532" s="293">
        <v>78842.236187999995</v>
      </c>
      <c r="E3532" s="293">
        <v>78842.209526999999</v>
      </c>
      <c r="F3532" s="294" t="s">
        <v>1468</v>
      </c>
    </row>
    <row r="3533" spans="1:6" hidden="1" outlineLevel="1" collapsed="1" x14ac:dyDescent="0.25">
      <c r="A3533" s="295" t="s">
        <v>282</v>
      </c>
      <c r="B3533" s="295" t="s">
        <v>751</v>
      </c>
      <c r="C3533" s="293">
        <v>8983.6234690000001</v>
      </c>
      <c r="D3533" s="293">
        <v>0</v>
      </c>
      <c r="E3533" s="293">
        <v>-8983.6234690000001</v>
      </c>
      <c r="F3533" s="294" t="s">
        <v>286</v>
      </c>
    </row>
    <row r="3534" spans="1:6" hidden="1" outlineLevel="1" collapsed="1" x14ac:dyDescent="0.25">
      <c r="A3534" s="295" t="s">
        <v>282</v>
      </c>
      <c r="B3534" s="295" t="s">
        <v>752</v>
      </c>
      <c r="C3534" s="293">
        <v>0</v>
      </c>
      <c r="D3534" s="293">
        <v>11376.934676999999</v>
      </c>
      <c r="E3534" s="293">
        <v>11376.934676999999</v>
      </c>
      <c r="F3534" s="294" t="s">
        <v>298</v>
      </c>
    </row>
    <row r="3535" spans="1:6" hidden="1" outlineLevel="1" collapsed="1" x14ac:dyDescent="0.25">
      <c r="A3535" s="295" t="s">
        <v>282</v>
      </c>
      <c r="B3535" s="295" t="s">
        <v>753</v>
      </c>
      <c r="C3535" s="293">
        <v>4268.0816450000002</v>
      </c>
      <c r="D3535" s="293">
        <v>4888.2186419999998</v>
      </c>
      <c r="E3535" s="293">
        <v>620.13699699999995</v>
      </c>
      <c r="F3535" s="294" t="s">
        <v>1469</v>
      </c>
    </row>
    <row r="3536" spans="1:6" hidden="1" outlineLevel="1" collapsed="1" x14ac:dyDescent="0.25">
      <c r="A3536" s="295" t="s">
        <v>282</v>
      </c>
      <c r="B3536" s="295" t="s">
        <v>388</v>
      </c>
      <c r="C3536" s="293">
        <v>998.18038100000001</v>
      </c>
      <c r="D3536" s="293">
        <v>1143.2124209999999</v>
      </c>
      <c r="E3536" s="293">
        <v>145.03203999999999</v>
      </c>
      <c r="F3536" s="294" t="s">
        <v>1469</v>
      </c>
    </row>
    <row r="3537" spans="1:6" hidden="1" outlineLevel="1" collapsed="1" x14ac:dyDescent="0.25">
      <c r="A3537" s="295" t="s">
        <v>282</v>
      </c>
      <c r="B3537" s="295" t="s">
        <v>754</v>
      </c>
      <c r="C3537" s="293">
        <v>14078.68</v>
      </c>
      <c r="D3537" s="293">
        <v>15959.28</v>
      </c>
      <c r="E3537" s="293">
        <v>1880.6</v>
      </c>
      <c r="F3537" s="294" t="s">
        <v>1470</v>
      </c>
    </row>
    <row r="3538" spans="1:6" hidden="1" outlineLevel="1" collapsed="1" x14ac:dyDescent="0.25">
      <c r="A3538" s="295" t="s">
        <v>282</v>
      </c>
      <c r="B3538" s="295" t="s">
        <v>755</v>
      </c>
      <c r="C3538" s="293">
        <v>390.61439999999999</v>
      </c>
      <c r="D3538" s="293">
        <v>422.04</v>
      </c>
      <c r="E3538" s="293">
        <v>31.425599999999999</v>
      </c>
      <c r="F3538" s="294" t="s">
        <v>691</v>
      </c>
    </row>
    <row r="3539" spans="1:6" hidden="1" outlineLevel="1" collapsed="1" x14ac:dyDescent="0.25">
      <c r="A3539" s="295" t="s">
        <v>282</v>
      </c>
      <c r="B3539" s="295" t="s">
        <v>756</v>
      </c>
      <c r="C3539" s="293">
        <v>214.07759999999999</v>
      </c>
      <c r="D3539" s="293">
        <v>182.88</v>
      </c>
      <c r="E3539" s="293">
        <v>-31.197600000000001</v>
      </c>
      <c r="F3539" s="294" t="s">
        <v>692</v>
      </c>
    </row>
    <row r="3540" spans="1:6" hidden="1" outlineLevel="1" collapsed="1" x14ac:dyDescent="0.25">
      <c r="A3540" s="295" t="s">
        <v>282</v>
      </c>
      <c r="B3540" s="295" t="s">
        <v>757</v>
      </c>
      <c r="C3540" s="293">
        <v>34.420005000000003</v>
      </c>
      <c r="D3540" s="293">
        <v>0</v>
      </c>
      <c r="E3540" s="293">
        <v>-34.420005000000003</v>
      </c>
      <c r="F3540" s="294" t="s">
        <v>286</v>
      </c>
    </row>
    <row r="3541" spans="1:6" hidden="1" outlineLevel="1" collapsed="1" x14ac:dyDescent="0.25">
      <c r="A3541" s="295" t="s">
        <v>282</v>
      </c>
      <c r="B3541" s="295" t="s">
        <v>758</v>
      </c>
      <c r="C3541" s="293">
        <v>0</v>
      </c>
      <c r="D3541" s="293">
        <v>39.421109999999999</v>
      </c>
      <c r="E3541" s="293">
        <v>39.421109999999999</v>
      </c>
      <c r="F3541" s="294" t="s">
        <v>298</v>
      </c>
    </row>
    <row r="3542" spans="1:6" hidden="1" outlineLevel="1" collapsed="1" x14ac:dyDescent="0.25">
      <c r="A3542" s="295" t="s">
        <v>282</v>
      </c>
      <c r="B3542" s="295" t="s">
        <v>759</v>
      </c>
      <c r="C3542" s="293">
        <v>1375</v>
      </c>
      <c r="D3542" s="293">
        <v>0</v>
      </c>
      <c r="E3542" s="293">
        <v>-1375</v>
      </c>
      <c r="F3542" s="294" t="s">
        <v>286</v>
      </c>
    </row>
    <row r="3543" spans="1:6" hidden="1" outlineLevel="1" collapsed="1" x14ac:dyDescent="0.25">
      <c r="A3543" s="295" t="s">
        <v>282</v>
      </c>
      <c r="B3543" s="295" t="s">
        <v>760</v>
      </c>
      <c r="C3543" s="293">
        <v>0</v>
      </c>
      <c r="D3543" s="293">
        <v>1500</v>
      </c>
      <c r="E3543" s="293">
        <v>1500</v>
      </c>
      <c r="F3543" s="294" t="s">
        <v>298</v>
      </c>
    </row>
    <row r="3544" spans="1:6" hidden="1" outlineLevel="1" collapsed="1" x14ac:dyDescent="0.25">
      <c r="A3544" s="295" t="s">
        <v>282</v>
      </c>
      <c r="B3544" s="295" t="s">
        <v>761</v>
      </c>
      <c r="C3544" s="293">
        <v>45.54</v>
      </c>
      <c r="D3544" s="293">
        <v>0</v>
      </c>
      <c r="E3544" s="293">
        <v>-45.54</v>
      </c>
      <c r="F3544" s="294" t="s">
        <v>286</v>
      </c>
    </row>
    <row r="3545" spans="1:6" hidden="1" outlineLevel="1" collapsed="1" x14ac:dyDescent="0.25">
      <c r="A3545" s="295" t="s">
        <v>282</v>
      </c>
      <c r="B3545" s="295" t="s">
        <v>762</v>
      </c>
      <c r="C3545" s="293">
        <v>0</v>
      </c>
      <c r="D3545" s="293">
        <v>48.48</v>
      </c>
      <c r="E3545" s="293">
        <v>48.48</v>
      </c>
      <c r="F3545" s="294" t="s">
        <v>298</v>
      </c>
    </row>
    <row r="3546" spans="1:6" hidden="1" outlineLevel="1" collapsed="1" x14ac:dyDescent="0.25">
      <c r="A3546" s="295" t="s">
        <v>282</v>
      </c>
      <c r="B3546" s="295" t="s">
        <v>763</v>
      </c>
      <c r="C3546" s="293">
        <v>22</v>
      </c>
      <c r="D3546" s="293">
        <v>11.04</v>
      </c>
      <c r="E3546" s="293">
        <v>-10.96</v>
      </c>
      <c r="F3546" s="294" t="s">
        <v>695</v>
      </c>
    </row>
    <row r="3547" spans="1:6" collapsed="1" x14ac:dyDescent="0.25">
      <c r="A3547" s="560" t="s">
        <v>1471</v>
      </c>
      <c r="B3547" s="561"/>
      <c r="C3547" s="292">
        <v>468398.605744</v>
      </c>
      <c r="D3547" s="293">
        <v>476304.49155999999</v>
      </c>
      <c r="E3547" s="293">
        <v>7905.885816</v>
      </c>
      <c r="F3547" s="294" t="s">
        <v>1472</v>
      </c>
    </row>
    <row r="3548" spans="1:6" hidden="1" outlineLevel="1" collapsed="1" x14ac:dyDescent="0.25">
      <c r="A3548" s="295" t="s">
        <v>282</v>
      </c>
      <c r="B3548" s="295" t="s">
        <v>1143</v>
      </c>
      <c r="C3548" s="293">
        <v>85641.919991999996</v>
      </c>
      <c r="D3548" s="293">
        <v>89600.383596</v>
      </c>
      <c r="E3548" s="293">
        <v>3958.463604</v>
      </c>
      <c r="F3548" s="294" t="s">
        <v>1473</v>
      </c>
    </row>
    <row r="3549" spans="1:6" hidden="1" outlineLevel="1" collapsed="1" x14ac:dyDescent="0.25">
      <c r="A3549" s="295" t="s">
        <v>282</v>
      </c>
      <c r="B3549" s="295" t="s">
        <v>441</v>
      </c>
      <c r="C3549" s="293">
        <v>0</v>
      </c>
      <c r="D3549" s="293">
        <v>92519</v>
      </c>
      <c r="E3549" s="293">
        <v>92519</v>
      </c>
      <c r="F3549" s="294" t="s">
        <v>298</v>
      </c>
    </row>
    <row r="3550" spans="1:6" hidden="1" outlineLevel="1" collapsed="1" x14ac:dyDescent="0.25">
      <c r="A3550" s="295" t="s">
        <v>282</v>
      </c>
      <c r="B3550" s="295" t="s">
        <v>822</v>
      </c>
      <c r="C3550" s="293">
        <v>92519</v>
      </c>
      <c r="D3550" s="293">
        <v>0</v>
      </c>
      <c r="E3550" s="293">
        <v>-92519</v>
      </c>
      <c r="F3550" s="294" t="s">
        <v>286</v>
      </c>
    </row>
    <row r="3551" spans="1:6" hidden="1" outlineLevel="1" collapsed="1" x14ac:dyDescent="0.25">
      <c r="A3551" s="295" t="s">
        <v>282</v>
      </c>
      <c r="B3551" s="295" t="s">
        <v>380</v>
      </c>
      <c r="C3551" s="293">
        <v>85713.806272000002</v>
      </c>
      <c r="D3551" s="293">
        <v>88221.919636000006</v>
      </c>
      <c r="E3551" s="293">
        <v>2508.1133639999998</v>
      </c>
      <c r="F3551" s="294" t="s">
        <v>805</v>
      </c>
    </row>
    <row r="3552" spans="1:6" hidden="1" outlineLevel="1" collapsed="1" x14ac:dyDescent="0.25">
      <c r="A3552" s="295" t="s">
        <v>282</v>
      </c>
      <c r="B3552" s="295" t="s">
        <v>935</v>
      </c>
      <c r="C3552" s="293">
        <v>5000</v>
      </c>
      <c r="D3552" s="293">
        <v>5000</v>
      </c>
      <c r="E3552" s="293">
        <v>0</v>
      </c>
      <c r="F3552" s="294" t="s">
        <v>316</v>
      </c>
    </row>
    <row r="3553" spans="1:6" hidden="1" outlineLevel="1" collapsed="1" x14ac:dyDescent="0.25">
      <c r="A3553" s="295" t="s">
        <v>282</v>
      </c>
      <c r="B3553" s="295" t="s">
        <v>452</v>
      </c>
      <c r="C3553" s="293">
        <v>58000</v>
      </c>
      <c r="D3553" s="293">
        <v>58000</v>
      </c>
      <c r="E3553" s="293">
        <v>0</v>
      </c>
      <c r="F3553" s="294" t="s">
        <v>316</v>
      </c>
    </row>
    <row r="3554" spans="1:6" hidden="1" outlineLevel="1" collapsed="1" x14ac:dyDescent="0.25">
      <c r="A3554" s="295" t="s">
        <v>282</v>
      </c>
      <c r="B3554" s="295" t="s">
        <v>453</v>
      </c>
      <c r="C3554" s="293">
        <v>38000</v>
      </c>
      <c r="D3554" s="293">
        <v>38000</v>
      </c>
      <c r="E3554" s="293">
        <v>0</v>
      </c>
      <c r="F3554" s="294" t="s">
        <v>316</v>
      </c>
    </row>
    <row r="3555" spans="1:6" hidden="1" outlineLevel="1" collapsed="1" x14ac:dyDescent="0.25">
      <c r="A3555" s="295" t="s">
        <v>282</v>
      </c>
      <c r="B3555" s="295" t="s">
        <v>751</v>
      </c>
      <c r="C3555" s="293">
        <v>11176.270548</v>
      </c>
      <c r="D3555" s="293">
        <v>0</v>
      </c>
      <c r="E3555" s="293">
        <v>-11176.270548</v>
      </c>
      <c r="F3555" s="294" t="s">
        <v>286</v>
      </c>
    </row>
    <row r="3556" spans="1:6" hidden="1" outlineLevel="1" collapsed="1" x14ac:dyDescent="0.25">
      <c r="A3556" s="295" t="s">
        <v>282</v>
      </c>
      <c r="B3556" s="295" t="s">
        <v>752</v>
      </c>
      <c r="C3556" s="293">
        <v>0</v>
      </c>
      <c r="D3556" s="293">
        <v>12929.335343999999</v>
      </c>
      <c r="E3556" s="293">
        <v>12929.335343999999</v>
      </c>
      <c r="F3556" s="294" t="s">
        <v>298</v>
      </c>
    </row>
    <row r="3557" spans="1:6" hidden="1" outlineLevel="1" collapsed="1" x14ac:dyDescent="0.25">
      <c r="A3557" s="295" t="s">
        <v>282</v>
      </c>
      <c r="B3557" s="295" t="s">
        <v>384</v>
      </c>
      <c r="C3557" s="293">
        <v>10439.086056</v>
      </c>
      <c r="D3557" s="293">
        <v>0</v>
      </c>
      <c r="E3557" s="293">
        <v>-10439.086056</v>
      </c>
      <c r="F3557" s="294" t="s">
        <v>286</v>
      </c>
    </row>
    <row r="3558" spans="1:6" hidden="1" outlineLevel="1" collapsed="1" x14ac:dyDescent="0.25">
      <c r="A3558" s="295" t="s">
        <v>282</v>
      </c>
      <c r="B3558" s="295" t="s">
        <v>385</v>
      </c>
      <c r="C3558" s="293">
        <v>0</v>
      </c>
      <c r="D3558" s="293">
        <v>13507.375692</v>
      </c>
      <c r="E3558" s="293">
        <v>13507.375692</v>
      </c>
      <c r="F3558" s="294" t="s">
        <v>298</v>
      </c>
    </row>
    <row r="3559" spans="1:6" hidden="1" outlineLevel="1" collapsed="1" x14ac:dyDescent="0.25">
      <c r="A3559" s="295" t="s">
        <v>282</v>
      </c>
      <c r="B3559" s="295" t="s">
        <v>386</v>
      </c>
      <c r="C3559" s="293">
        <v>5314.2559799999999</v>
      </c>
      <c r="D3559" s="293">
        <v>0</v>
      </c>
      <c r="E3559" s="293">
        <v>-5314.2559799999999</v>
      </c>
      <c r="F3559" s="294" t="s">
        <v>286</v>
      </c>
    </row>
    <row r="3560" spans="1:6" hidden="1" outlineLevel="1" collapsed="1" x14ac:dyDescent="0.25">
      <c r="A3560" s="295" t="s">
        <v>282</v>
      </c>
      <c r="B3560" s="295" t="s">
        <v>387</v>
      </c>
      <c r="C3560" s="293">
        <v>0</v>
      </c>
      <c r="D3560" s="293">
        <v>5469.759</v>
      </c>
      <c r="E3560" s="293">
        <v>5469.759</v>
      </c>
      <c r="F3560" s="294" t="s">
        <v>298</v>
      </c>
    </row>
    <row r="3561" spans="1:6" hidden="1" outlineLevel="1" collapsed="1" x14ac:dyDescent="0.25">
      <c r="A3561" s="295" t="s">
        <v>282</v>
      </c>
      <c r="B3561" s="295" t="s">
        <v>753</v>
      </c>
      <c r="C3561" s="293">
        <v>5309.7990360000003</v>
      </c>
      <c r="D3561" s="293">
        <v>5555.2237800000003</v>
      </c>
      <c r="E3561" s="293">
        <v>245.424744</v>
      </c>
      <c r="F3561" s="294" t="s">
        <v>1473</v>
      </c>
    </row>
    <row r="3562" spans="1:6" hidden="1" outlineLevel="1" collapsed="1" x14ac:dyDescent="0.25">
      <c r="A3562" s="295" t="s">
        <v>282</v>
      </c>
      <c r="B3562" s="295" t="s">
        <v>388</v>
      </c>
      <c r="C3562" s="293">
        <v>2484.6580079999999</v>
      </c>
      <c r="D3562" s="293">
        <v>2578.4233800000002</v>
      </c>
      <c r="E3562" s="293">
        <v>93.765371999999999</v>
      </c>
      <c r="F3562" s="294" t="s">
        <v>1329</v>
      </c>
    </row>
    <row r="3563" spans="1:6" hidden="1" outlineLevel="1" collapsed="1" x14ac:dyDescent="0.25">
      <c r="A3563" s="295" t="s">
        <v>282</v>
      </c>
      <c r="B3563" s="295" t="s">
        <v>444</v>
      </c>
      <c r="C3563" s="293">
        <v>15185</v>
      </c>
      <c r="D3563" s="293">
        <v>9963</v>
      </c>
      <c r="E3563" s="293">
        <v>-5222</v>
      </c>
      <c r="F3563" s="294" t="s">
        <v>1474</v>
      </c>
    </row>
    <row r="3564" spans="1:6" hidden="1" outlineLevel="1" collapsed="1" x14ac:dyDescent="0.25">
      <c r="A3564" s="295" t="s">
        <v>282</v>
      </c>
      <c r="B3564" s="295" t="s">
        <v>389</v>
      </c>
      <c r="C3564" s="293">
        <v>852.24959999999999</v>
      </c>
      <c r="D3564" s="293">
        <v>844.08</v>
      </c>
      <c r="E3564" s="293">
        <v>-8.1696000000000009</v>
      </c>
      <c r="F3564" s="294" t="s">
        <v>364</v>
      </c>
    </row>
    <row r="3565" spans="1:6" hidden="1" outlineLevel="1" collapsed="1" x14ac:dyDescent="0.25">
      <c r="A3565" s="295" t="s">
        <v>282</v>
      </c>
      <c r="B3565" s="295" t="s">
        <v>390</v>
      </c>
      <c r="C3565" s="293">
        <v>30970.54</v>
      </c>
      <c r="D3565" s="293">
        <v>31918.560000000001</v>
      </c>
      <c r="E3565" s="293">
        <v>948.02</v>
      </c>
      <c r="F3565" s="294" t="s">
        <v>391</v>
      </c>
    </row>
    <row r="3566" spans="1:6" hidden="1" outlineLevel="1" collapsed="1" x14ac:dyDescent="0.25">
      <c r="A3566" s="295" t="s">
        <v>282</v>
      </c>
      <c r="B3566" s="295" t="s">
        <v>392</v>
      </c>
      <c r="C3566" s="293">
        <v>467.07839999999999</v>
      </c>
      <c r="D3566" s="293">
        <v>365.76</v>
      </c>
      <c r="E3566" s="293">
        <v>-101.3184</v>
      </c>
      <c r="F3566" s="294" t="s">
        <v>368</v>
      </c>
    </row>
    <row r="3567" spans="1:6" hidden="1" outlineLevel="1" collapsed="1" x14ac:dyDescent="0.25">
      <c r="A3567" s="295" t="s">
        <v>282</v>
      </c>
      <c r="B3567" s="295" t="s">
        <v>754</v>
      </c>
      <c r="C3567" s="293">
        <v>15358.56</v>
      </c>
      <c r="D3567" s="293">
        <v>15959.28</v>
      </c>
      <c r="E3567" s="293">
        <v>600.72</v>
      </c>
      <c r="F3567" s="294" t="s">
        <v>366</v>
      </c>
    </row>
    <row r="3568" spans="1:6" hidden="1" outlineLevel="1" collapsed="1" x14ac:dyDescent="0.25">
      <c r="A3568" s="295" t="s">
        <v>282</v>
      </c>
      <c r="B3568" s="295" t="s">
        <v>755</v>
      </c>
      <c r="C3568" s="293">
        <v>426.12479999999999</v>
      </c>
      <c r="D3568" s="293">
        <v>422.04</v>
      </c>
      <c r="E3568" s="293">
        <v>-4.0848000000000004</v>
      </c>
      <c r="F3568" s="294" t="s">
        <v>364</v>
      </c>
    </row>
    <row r="3569" spans="1:6" hidden="1" outlineLevel="1" collapsed="1" x14ac:dyDescent="0.25">
      <c r="A3569" s="295" t="s">
        <v>282</v>
      </c>
      <c r="B3569" s="295" t="s">
        <v>756</v>
      </c>
      <c r="C3569" s="293">
        <v>233.53919999999999</v>
      </c>
      <c r="D3569" s="293">
        <v>182.88</v>
      </c>
      <c r="E3569" s="293">
        <v>-50.659199999999998</v>
      </c>
      <c r="F3569" s="294" t="s">
        <v>368</v>
      </c>
    </row>
    <row r="3570" spans="1:6" hidden="1" outlineLevel="1" collapsed="1" x14ac:dyDescent="0.25">
      <c r="A3570" s="295" t="s">
        <v>282</v>
      </c>
      <c r="B3570" s="295" t="s">
        <v>393</v>
      </c>
      <c r="C3570" s="293">
        <v>42.856895999999999</v>
      </c>
      <c r="D3570" s="293">
        <v>44.110944000000003</v>
      </c>
      <c r="E3570" s="293">
        <v>1.2540480000000001</v>
      </c>
      <c r="F3570" s="294" t="s">
        <v>805</v>
      </c>
    </row>
    <row r="3571" spans="1:6" hidden="1" outlineLevel="1" collapsed="1" x14ac:dyDescent="0.25">
      <c r="A3571" s="295" t="s">
        <v>282</v>
      </c>
      <c r="B3571" s="295" t="s">
        <v>757</v>
      </c>
      <c r="C3571" s="293">
        <v>42.820956000000002</v>
      </c>
      <c r="D3571" s="293">
        <v>0</v>
      </c>
      <c r="E3571" s="293">
        <v>-42.820956000000002</v>
      </c>
      <c r="F3571" s="294" t="s">
        <v>286</v>
      </c>
    </row>
    <row r="3572" spans="1:6" hidden="1" outlineLevel="1" collapsed="1" x14ac:dyDescent="0.25">
      <c r="A3572" s="295" t="s">
        <v>282</v>
      </c>
      <c r="B3572" s="295" t="s">
        <v>758</v>
      </c>
      <c r="C3572" s="293">
        <v>0</v>
      </c>
      <c r="D3572" s="293">
        <v>44.800187999999999</v>
      </c>
      <c r="E3572" s="293">
        <v>44.800187999999999</v>
      </c>
      <c r="F3572" s="294" t="s">
        <v>298</v>
      </c>
    </row>
    <row r="3573" spans="1:6" hidden="1" outlineLevel="1" collapsed="1" x14ac:dyDescent="0.25">
      <c r="A3573" s="295" t="s">
        <v>282</v>
      </c>
      <c r="B3573" s="295" t="s">
        <v>394</v>
      </c>
      <c r="C3573" s="293">
        <v>3000</v>
      </c>
      <c r="D3573" s="293">
        <v>0</v>
      </c>
      <c r="E3573" s="293">
        <v>-3000</v>
      </c>
      <c r="F3573" s="294" t="s">
        <v>286</v>
      </c>
    </row>
    <row r="3574" spans="1:6" hidden="1" outlineLevel="1" collapsed="1" x14ac:dyDescent="0.25">
      <c r="A3574" s="295" t="s">
        <v>282</v>
      </c>
      <c r="B3574" s="295" t="s">
        <v>395</v>
      </c>
      <c r="C3574" s="293">
        <v>0</v>
      </c>
      <c r="D3574" s="293">
        <v>3000</v>
      </c>
      <c r="E3574" s="293">
        <v>3000</v>
      </c>
      <c r="F3574" s="294" t="s">
        <v>298</v>
      </c>
    </row>
    <row r="3575" spans="1:6" hidden="1" outlineLevel="1" collapsed="1" x14ac:dyDescent="0.25">
      <c r="A3575" s="295" t="s">
        <v>282</v>
      </c>
      <c r="B3575" s="295" t="s">
        <v>759</v>
      </c>
      <c r="C3575" s="293">
        <v>1500</v>
      </c>
      <c r="D3575" s="293">
        <v>0</v>
      </c>
      <c r="E3575" s="293">
        <v>-1500</v>
      </c>
      <c r="F3575" s="294" t="s">
        <v>286</v>
      </c>
    </row>
    <row r="3576" spans="1:6" hidden="1" outlineLevel="1" collapsed="1" x14ac:dyDescent="0.25">
      <c r="A3576" s="295" t="s">
        <v>282</v>
      </c>
      <c r="B3576" s="295" t="s">
        <v>760</v>
      </c>
      <c r="C3576" s="293">
        <v>0</v>
      </c>
      <c r="D3576" s="293">
        <v>1500</v>
      </c>
      <c r="E3576" s="293">
        <v>1500</v>
      </c>
      <c r="F3576" s="294" t="s">
        <v>298</v>
      </c>
    </row>
    <row r="3577" spans="1:6" hidden="1" outlineLevel="1" collapsed="1" x14ac:dyDescent="0.25">
      <c r="A3577" s="295" t="s">
        <v>282</v>
      </c>
      <c r="B3577" s="295" t="s">
        <v>396</v>
      </c>
      <c r="C3577" s="293">
        <v>99.36</v>
      </c>
      <c r="D3577" s="293">
        <v>0</v>
      </c>
      <c r="E3577" s="293">
        <v>-99.36</v>
      </c>
      <c r="F3577" s="294" t="s">
        <v>286</v>
      </c>
    </row>
    <row r="3578" spans="1:6" hidden="1" outlineLevel="1" collapsed="1" x14ac:dyDescent="0.25">
      <c r="A3578" s="295" t="s">
        <v>282</v>
      </c>
      <c r="B3578" s="295" t="s">
        <v>397</v>
      </c>
      <c r="C3578" s="293">
        <v>0</v>
      </c>
      <c r="D3578" s="293">
        <v>96.96</v>
      </c>
      <c r="E3578" s="293">
        <v>96.96</v>
      </c>
      <c r="F3578" s="294" t="s">
        <v>298</v>
      </c>
    </row>
    <row r="3579" spans="1:6" hidden="1" outlineLevel="1" collapsed="1" x14ac:dyDescent="0.25">
      <c r="A3579" s="295" t="s">
        <v>282</v>
      </c>
      <c r="B3579" s="295" t="s">
        <v>761</v>
      </c>
      <c r="C3579" s="293">
        <v>49.68</v>
      </c>
      <c r="D3579" s="293">
        <v>0</v>
      </c>
      <c r="E3579" s="293">
        <v>-49.68</v>
      </c>
      <c r="F3579" s="294" t="s">
        <v>286</v>
      </c>
    </row>
    <row r="3580" spans="1:6" hidden="1" outlineLevel="1" collapsed="1" x14ac:dyDescent="0.25">
      <c r="A3580" s="295" t="s">
        <v>282</v>
      </c>
      <c r="B3580" s="295" t="s">
        <v>762</v>
      </c>
      <c r="C3580" s="293">
        <v>0</v>
      </c>
      <c r="D3580" s="293">
        <v>48.48</v>
      </c>
      <c r="E3580" s="293">
        <v>48.48</v>
      </c>
      <c r="F3580" s="294" t="s">
        <v>298</v>
      </c>
    </row>
    <row r="3581" spans="1:6" hidden="1" outlineLevel="1" collapsed="1" x14ac:dyDescent="0.25">
      <c r="A3581" s="295" t="s">
        <v>282</v>
      </c>
      <c r="B3581" s="295" t="s">
        <v>398</v>
      </c>
      <c r="C3581" s="293">
        <v>48</v>
      </c>
      <c r="D3581" s="293">
        <v>22.08</v>
      </c>
      <c r="E3581" s="293">
        <v>-25.92</v>
      </c>
      <c r="F3581" s="294" t="s">
        <v>374</v>
      </c>
    </row>
    <row r="3582" spans="1:6" hidden="1" outlineLevel="1" collapsed="1" x14ac:dyDescent="0.25">
      <c r="A3582" s="295" t="s">
        <v>282</v>
      </c>
      <c r="B3582" s="295" t="s">
        <v>763</v>
      </c>
      <c r="C3582" s="293">
        <v>24</v>
      </c>
      <c r="D3582" s="293">
        <v>11.04</v>
      </c>
      <c r="E3582" s="293">
        <v>-12.96</v>
      </c>
      <c r="F3582" s="294" t="s">
        <v>374</v>
      </c>
    </row>
    <row r="3583" spans="1:6" hidden="1" outlineLevel="1" collapsed="1" x14ac:dyDescent="0.25">
      <c r="A3583" s="295" t="s">
        <v>282</v>
      </c>
      <c r="B3583" s="295" t="s">
        <v>399</v>
      </c>
      <c r="C3583" s="293">
        <v>250</v>
      </c>
      <c r="D3583" s="293">
        <v>250</v>
      </c>
      <c r="E3583" s="293">
        <v>0</v>
      </c>
      <c r="F3583" s="294" t="s">
        <v>316</v>
      </c>
    </row>
    <row r="3584" spans="1:6" hidden="1" outlineLevel="1" collapsed="1" x14ac:dyDescent="0.25">
      <c r="A3584" s="295" t="s">
        <v>282</v>
      </c>
      <c r="B3584" s="295" t="s">
        <v>376</v>
      </c>
      <c r="C3584" s="293">
        <v>250</v>
      </c>
      <c r="D3584" s="293">
        <v>250</v>
      </c>
      <c r="E3584" s="293">
        <v>0</v>
      </c>
      <c r="F3584" s="294" t="s">
        <v>316</v>
      </c>
    </row>
    <row r="3585" spans="1:6" collapsed="1" x14ac:dyDescent="0.25">
      <c r="A3585" s="560" t="s">
        <v>1475</v>
      </c>
      <c r="B3585" s="561"/>
      <c r="C3585" s="292">
        <v>534956.46081299998</v>
      </c>
      <c r="D3585" s="293">
        <v>545102.37163199997</v>
      </c>
      <c r="E3585" s="293">
        <v>10145.910819000001</v>
      </c>
      <c r="F3585" s="294" t="s">
        <v>1476</v>
      </c>
    </row>
    <row r="3586" spans="1:6" hidden="1" outlineLevel="1" collapsed="1" x14ac:dyDescent="0.25">
      <c r="A3586" s="295" t="s">
        <v>282</v>
      </c>
      <c r="B3586" s="295" t="s">
        <v>1143</v>
      </c>
      <c r="C3586" s="293">
        <v>46427.679995999999</v>
      </c>
      <c r="D3586" s="293">
        <v>96922.025196000002</v>
      </c>
      <c r="E3586" s="293">
        <v>50494.345200000003</v>
      </c>
      <c r="F3586" s="294" t="s">
        <v>1477</v>
      </c>
    </row>
    <row r="3587" spans="1:6" hidden="1" outlineLevel="1" collapsed="1" x14ac:dyDescent="0.25">
      <c r="A3587" s="295" t="s">
        <v>282</v>
      </c>
      <c r="B3587" s="295" t="s">
        <v>750</v>
      </c>
      <c r="C3587" s="293">
        <v>126942.39999599999</v>
      </c>
      <c r="D3587" s="293">
        <v>131035.85038800001</v>
      </c>
      <c r="E3587" s="293">
        <v>4093.4503920000002</v>
      </c>
      <c r="F3587" s="294" t="s">
        <v>647</v>
      </c>
    </row>
    <row r="3588" spans="1:6" hidden="1" outlineLevel="1" collapsed="1" x14ac:dyDescent="0.25">
      <c r="A3588" s="295" t="s">
        <v>282</v>
      </c>
      <c r="B3588" s="295" t="s">
        <v>441</v>
      </c>
      <c r="C3588" s="293">
        <v>66000</v>
      </c>
      <c r="D3588" s="293">
        <v>0</v>
      </c>
      <c r="E3588" s="293">
        <v>-66000</v>
      </c>
      <c r="F3588" s="294" t="s">
        <v>286</v>
      </c>
    </row>
    <row r="3589" spans="1:6" hidden="1" outlineLevel="1" collapsed="1" x14ac:dyDescent="0.25">
      <c r="A3589" s="295" t="s">
        <v>282</v>
      </c>
      <c r="B3589" s="295" t="s">
        <v>464</v>
      </c>
      <c r="C3589" s="293">
        <v>135017.28024399999</v>
      </c>
      <c r="D3589" s="293">
        <v>141295.97725200001</v>
      </c>
      <c r="E3589" s="293">
        <v>6278.6970080000001</v>
      </c>
      <c r="F3589" s="294" t="s">
        <v>1478</v>
      </c>
    </row>
    <row r="3590" spans="1:6" hidden="1" outlineLevel="1" collapsed="1" x14ac:dyDescent="0.25">
      <c r="A3590" s="295" t="s">
        <v>282</v>
      </c>
      <c r="B3590" s="295" t="s">
        <v>424</v>
      </c>
      <c r="C3590" s="293">
        <v>6500</v>
      </c>
      <c r="D3590" s="293">
        <v>0</v>
      </c>
      <c r="E3590" s="293">
        <v>-6500</v>
      </c>
      <c r="F3590" s="294" t="s">
        <v>286</v>
      </c>
    </row>
    <row r="3591" spans="1:6" hidden="1" outlineLevel="1" collapsed="1" x14ac:dyDescent="0.25">
      <c r="A3591" s="295" t="s">
        <v>282</v>
      </c>
      <c r="B3591" s="295" t="s">
        <v>935</v>
      </c>
      <c r="C3591" s="293">
        <v>6072</v>
      </c>
      <c r="D3591" s="293">
        <v>0</v>
      </c>
      <c r="E3591" s="293">
        <v>-6072</v>
      </c>
      <c r="F3591" s="294" t="s">
        <v>286</v>
      </c>
    </row>
    <row r="3592" spans="1:6" hidden="1" outlineLevel="1" collapsed="1" x14ac:dyDescent="0.25">
      <c r="A3592" s="295" t="s">
        <v>282</v>
      </c>
      <c r="B3592" s="295" t="s">
        <v>751</v>
      </c>
      <c r="C3592" s="293">
        <v>22624.795421999999</v>
      </c>
      <c r="D3592" s="293">
        <v>0</v>
      </c>
      <c r="E3592" s="293">
        <v>-22624.795421999999</v>
      </c>
      <c r="F3592" s="294" t="s">
        <v>286</v>
      </c>
    </row>
    <row r="3593" spans="1:6" hidden="1" outlineLevel="1" collapsed="1" x14ac:dyDescent="0.25">
      <c r="A3593" s="295" t="s">
        <v>282</v>
      </c>
      <c r="B3593" s="295" t="s">
        <v>752</v>
      </c>
      <c r="C3593" s="293">
        <v>0</v>
      </c>
      <c r="D3593" s="293">
        <v>32894.321448000002</v>
      </c>
      <c r="E3593" s="293">
        <v>32894.321448000002</v>
      </c>
      <c r="F3593" s="294" t="s">
        <v>298</v>
      </c>
    </row>
    <row r="3594" spans="1:6" hidden="1" outlineLevel="1" collapsed="1" x14ac:dyDescent="0.25">
      <c r="A3594" s="295" t="s">
        <v>282</v>
      </c>
      <c r="B3594" s="295" t="s">
        <v>384</v>
      </c>
      <c r="C3594" s="293">
        <v>16547.490492000001</v>
      </c>
      <c r="D3594" s="293">
        <v>0</v>
      </c>
      <c r="E3594" s="293">
        <v>-16547.490492000001</v>
      </c>
      <c r="F3594" s="294" t="s">
        <v>286</v>
      </c>
    </row>
    <row r="3595" spans="1:6" hidden="1" outlineLevel="1" collapsed="1" x14ac:dyDescent="0.25">
      <c r="A3595" s="295" t="s">
        <v>282</v>
      </c>
      <c r="B3595" s="295" t="s">
        <v>385</v>
      </c>
      <c r="C3595" s="293">
        <v>0</v>
      </c>
      <c r="D3595" s="293">
        <v>21775.050788</v>
      </c>
      <c r="E3595" s="293">
        <v>21775.050788</v>
      </c>
      <c r="F3595" s="294" t="s">
        <v>298</v>
      </c>
    </row>
    <row r="3596" spans="1:6" hidden="1" outlineLevel="1" collapsed="1" x14ac:dyDescent="0.25">
      <c r="A3596" s="295" t="s">
        <v>282</v>
      </c>
      <c r="B3596" s="295" t="s">
        <v>386</v>
      </c>
      <c r="C3596" s="293">
        <v>8371.0713670000005</v>
      </c>
      <c r="D3596" s="293">
        <v>0</v>
      </c>
      <c r="E3596" s="293">
        <v>-8371.0713670000005</v>
      </c>
      <c r="F3596" s="294" t="s">
        <v>286</v>
      </c>
    </row>
    <row r="3597" spans="1:6" hidden="1" outlineLevel="1" collapsed="1" x14ac:dyDescent="0.25">
      <c r="A3597" s="295" t="s">
        <v>282</v>
      </c>
      <c r="B3597" s="295" t="s">
        <v>387</v>
      </c>
      <c r="C3597" s="293">
        <v>0</v>
      </c>
      <c r="D3597" s="293">
        <v>8760.3505719999994</v>
      </c>
      <c r="E3597" s="293">
        <v>8760.3505719999994</v>
      </c>
      <c r="F3597" s="294" t="s">
        <v>298</v>
      </c>
    </row>
    <row r="3598" spans="1:6" hidden="1" outlineLevel="1" collapsed="1" x14ac:dyDescent="0.25">
      <c r="A3598" s="295" t="s">
        <v>282</v>
      </c>
      <c r="B3598" s="295" t="s">
        <v>753</v>
      </c>
      <c r="C3598" s="293">
        <v>10748.944949999999</v>
      </c>
      <c r="D3598" s="293">
        <v>14133.388272</v>
      </c>
      <c r="E3598" s="293">
        <v>3384.4433220000001</v>
      </c>
      <c r="F3598" s="294" t="s">
        <v>1479</v>
      </c>
    </row>
    <row r="3599" spans="1:6" hidden="1" outlineLevel="1" collapsed="1" x14ac:dyDescent="0.25">
      <c r="A3599" s="295" t="s">
        <v>282</v>
      </c>
      <c r="B3599" s="295" t="s">
        <v>388</v>
      </c>
      <c r="C3599" s="293">
        <v>4471.6166919999996</v>
      </c>
      <c r="D3599" s="293">
        <v>5354.180824</v>
      </c>
      <c r="E3599" s="293">
        <v>882.56413199999997</v>
      </c>
      <c r="F3599" s="294" t="s">
        <v>1480</v>
      </c>
    </row>
    <row r="3600" spans="1:6" hidden="1" outlineLevel="1" collapsed="1" x14ac:dyDescent="0.25">
      <c r="A3600" s="295" t="s">
        <v>282</v>
      </c>
      <c r="B3600" s="295" t="s">
        <v>444</v>
      </c>
      <c r="C3600" s="293">
        <v>2000</v>
      </c>
      <c r="D3600" s="293">
        <v>0</v>
      </c>
      <c r="E3600" s="293">
        <v>-2000</v>
      </c>
      <c r="F3600" s="294" t="s">
        <v>286</v>
      </c>
    </row>
    <row r="3601" spans="1:6" hidden="1" outlineLevel="1" collapsed="1" x14ac:dyDescent="0.25">
      <c r="A3601" s="295" t="s">
        <v>282</v>
      </c>
      <c r="B3601" s="295" t="s">
        <v>389</v>
      </c>
      <c r="C3601" s="293">
        <v>1278.3743999999999</v>
      </c>
      <c r="D3601" s="293">
        <v>1266.1199999999999</v>
      </c>
      <c r="E3601" s="293">
        <v>-12.2544</v>
      </c>
      <c r="F3601" s="294" t="s">
        <v>364</v>
      </c>
    </row>
    <row r="3602" spans="1:6" hidden="1" outlineLevel="1" collapsed="1" x14ac:dyDescent="0.25">
      <c r="A3602" s="295" t="s">
        <v>282</v>
      </c>
      <c r="B3602" s="295" t="s">
        <v>390</v>
      </c>
      <c r="C3602" s="293">
        <v>46455.81</v>
      </c>
      <c r="D3602" s="293">
        <v>47877.84</v>
      </c>
      <c r="E3602" s="293">
        <v>1422.03</v>
      </c>
      <c r="F3602" s="294" t="s">
        <v>391</v>
      </c>
    </row>
    <row r="3603" spans="1:6" hidden="1" outlineLevel="1" collapsed="1" x14ac:dyDescent="0.25">
      <c r="A3603" s="295" t="s">
        <v>282</v>
      </c>
      <c r="B3603" s="295" t="s">
        <v>392</v>
      </c>
      <c r="C3603" s="293">
        <v>700.61760000000004</v>
      </c>
      <c r="D3603" s="293">
        <v>548.64</v>
      </c>
      <c r="E3603" s="293">
        <v>-151.9776</v>
      </c>
      <c r="F3603" s="294" t="s">
        <v>368</v>
      </c>
    </row>
    <row r="3604" spans="1:6" hidden="1" outlineLevel="1" collapsed="1" x14ac:dyDescent="0.25">
      <c r="A3604" s="295" t="s">
        <v>282</v>
      </c>
      <c r="B3604" s="295" t="s">
        <v>754</v>
      </c>
      <c r="C3604" s="293">
        <v>23037.84</v>
      </c>
      <c r="D3604" s="293">
        <v>31918.560000000001</v>
      </c>
      <c r="E3604" s="293">
        <v>8880.7199999999993</v>
      </c>
      <c r="F3604" s="294" t="s">
        <v>915</v>
      </c>
    </row>
    <row r="3605" spans="1:6" hidden="1" outlineLevel="1" collapsed="1" x14ac:dyDescent="0.25">
      <c r="A3605" s="295" t="s">
        <v>282</v>
      </c>
      <c r="B3605" s="295" t="s">
        <v>755</v>
      </c>
      <c r="C3605" s="293">
        <v>639.18719999999996</v>
      </c>
      <c r="D3605" s="293">
        <v>844.08</v>
      </c>
      <c r="E3605" s="293">
        <v>204.89279999999999</v>
      </c>
      <c r="F3605" s="294" t="s">
        <v>914</v>
      </c>
    </row>
    <row r="3606" spans="1:6" hidden="1" outlineLevel="1" collapsed="1" x14ac:dyDescent="0.25">
      <c r="A3606" s="295" t="s">
        <v>282</v>
      </c>
      <c r="B3606" s="295" t="s">
        <v>756</v>
      </c>
      <c r="C3606" s="293">
        <v>350.30880000000002</v>
      </c>
      <c r="D3606" s="293">
        <v>365.76</v>
      </c>
      <c r="E3606" s="293">
        <v>15.4512</v>
      </c>
      <c r="F3606" s="294" t="s">
        <v>916</v>
      </c>
    </row>
    <row r="3607" spans="1:6" hidden="1" outlineLevel="1" collapsed="1" x14ac:dyDescent="0.25">
      <c r="A3607" s="295" t="s">
        <v>282</v>
      </c>
      <c r="B3607" s="295" t="s">
        <v>393</v>
      </c>
      <c r="C3607" s="293">
        <v>67.508623999999998</v>
      </c>
      <c r="D3607" s="293">
        <v>70.647964000000002</v>
      </c>
      <c r="E3607" s="293">
        <v>3.1393399999999998</v>
      </c>
      <c r="F3607" s="294" t="s">
        <v>1478</v>
      </c>
    </row>
    <row r="3608" spans="1:6" hidden="1" outlineLevel="1" collapsed="1" x14ac:dyDescent="0.25">
      <c r="A3608" s="295" t="s">
        <v>282</v>
      </c>
      <c r="B3608" s="295" t="s">
        <v>757</v>
      </c>
      <c r="C3608" s="293">
        <v>86.685029999999998</v>
      </c>
      <c r="D3608" s="293">
        <v>0</v>
      </c>
      <c r="E3608" s="293">
        <v>-86.685029999999998</v>
      </c>
      <c r="F3608" s="294" t="s">
        <v>286</v>
      </c>
    </row>
    <row r="3609" spans="1:6" hidden="1" outlineLevel="1" collapsed="1" x14ac:dyDescent="0.25">
      <c r="A3609" s="295" t="s">
        <v>282</v>
      </c>
      <c r="B3609" s="295" t="s">
        <v>758</v>
      </c>
      <c r="C3609" s="293">
        <v>0</v>
      </c>
      <c r="D3609" s="293">
        <v>113.978928</v>
      </c>
      <c r="E3609" s="293">
        <v>113.978928</v>
      </c>
      <c r="F3609" s="294" t="s">
        <v>298</v>
      </c>
    </row>
    <row r="3610" spans="1:6" hidden="1" outlineLevel="1" collapsed="1" x14ac:dyDescent="0.25">
      <c r="A3610" s="295" t="s">
        <v>282</v>
      </c>
      <c r="B3610" s="295" t="s">
        <v>394</v>
      </c>
      <c r="C3610" s="293">
        <v>4500</v>
      </c>
      <c r="D3610" s="293">
        <v>0</v>
      </c>
      <c r="E3610" s="293">
        <v>-4500</v>
      </c>
      <c r="F3610" s="294" t="s">
        <v>286</v>
      </c>
    </row>
    <row r="3611" spans="1:6" hidden="1" outlineLevel="1" collapsed="1" x14ac:dyDescent="0.25">
      <c r="A3611" s="295" t="s">
        <v>282</v>
      </c>
      <c r="B3611" s="295" t="s">
        <v>395</v>
      </c>
      <c r="C3611" s="293">
        <v>0</v>
      </c>
      <c r="D3611" s="293">
        <v>4500</v>
      </c>
      <c r="E3611" s="293">
        <v>4500</v>
      </c>
      <c r="F3611" s="294" t="s">
        <v>298</v>
      </c>
    </row>
    <row r="3612" spans="1:6" hidden="1" outlineLevel="1" collapsed="1" x14ac:dyDescent="0.25">
      <c r="A3612" s="295" t="s">
        <v>282</v>
      </c>
      <c r="B3612" s="295" t="s">
        <v>759</v>
      </c>
      <c r="C3612" s="293">
        <v>2250</v>
      </c>
      <c r="D3612" s="293">
        <v>0</v>
      </c>
      <c r="E3612" s="293">
        <v>-2250</v>
      </c>
      <c r="F3612" s="294" t="s">
        <v>286</v>
      </c>
    </row>
    <row r="3613" spans="1:6" hidden="1" outlineLevel="1" collapsed="1" x14ac:dyDescent="0.25">
      <c r="A3613" s="295" t="s">
        <v>282</v>
      </c>
      <c r="B3613" s="295" t="s">
        <v>760</v>
      </c>
      <c r="C3613" s="293">
        <v>0</v>
      </c>
      <c r="D3613" s="293">
        <v>3000</v>
      </c>
      <c r="E3613" s="293">
        <v>3000</v>
      </c>
      <c r="F3613" s="294" t="s">
        <v>298</v>
      </c>
    </row>
    <row r="3614" spans="1:6" hidden="1" outlineLevel="1" collapsed="1" x14ac:dyDescent="0.25">
      <c r="A3614" s="295" t="s">
        <v>282</v>
      </c>
      <c r="B3614" s="295" t="s">
        <v>396</v>
      </c>
      <c r="C3614" s="293">
        <v>149.04</v>
      </c>
      <c r="D3614" s="293">
        <v>0</v>
      </c>
      <c r="E3614" s="293">
        <v>-149.04</v>
      </c>
      <c r="F3614" s="294" t="s">
        <v>286</v>
      </c>
    </row>
    <row r="3615" spans="1:6" hidden="1" outlineLevel="1" collapsed="1" x14ac:dyDescent="0.25">
      <c r="A3615" s="295" t="s">
        <v>282</v>
      </c>
      <c r="B3615" s="295" t="s">
        <v>397</v>
      </c>
      <c r="C3615" s="293">
        <v>0</v>
      </c>
      <c r="D3615" s="293">
        <v>145.44</v>
      </c>
      <c r="E3615" s="293">
        <v>145.44</v>
      </c>
      <c r="F3615" s="294" t="s">
        <v>298</v>
      </c>
    </row>
    <row r="3616" spans="1:6" hidden="1" outlineLevel="1" collapsed="1" x14ac:dyDescent="0.25">
      <c r="A3616" s="295" t="s">
        <v>282</v>
      </c>
      <c r="B3616" s="295" t="s">
        <v>761</v>
      </c>
      <c r="C3616" s="293">
        <v>74.52</v>
      </c>
      <c r="D3616" s="293">
        <v>0</v>
      </c>
      <c r="E3616" s="293">
        <v>-74.52</v>
      </c>
      <c r="F3616" s="294" t="s">
        <v>286</v>
      </c>
    </row>
    <row r="3617" spans="1:6" hidden="1" outlineLevel="1" collapsed="1" x14ac:dyDescent="0.25">
      <c r="A3617" s="295" t="s">
        <v>282</v>
      </c>
      <c r="B3617" s="295" t="s">
        <v>762</v>
      </c>
      <c r="C3617" s="293">
        <v>0</v>
      </c>
      <c r="D3617" s="293">
        <v>96.96</v>
      </c>
      <c r="E3617" s="293">
        <v>96.96</v>
      </c>
      <c r="F3617" s="294" t="s">
        <v>298</v>
      </c>
    </row>
    <row r="3618" spans="1:6" hidden="1" outlineLevel="1" collapsed="1" x14ac:dyDescent="0.25">
      <c r="A3618" s="295" t="s">
        <v>282</v>
      </c>
      <c r="B3618" s="295" t="s">
        <v>398</v>
      </c>
      <c r="C3618" s="293">
        <v>72</v>
      </c>
      <c r="D3618" s="293">
        <v>33.119999999999997</v>
      </c>
      <c r="E3618" s="293">
        <v>-38.880000000000003</v>
      </c>
      <c r="F3618" s="294" t="s">
        <v>374</v>
      </c>
    </row>
    <row r="3619" spans="1:6" hidden="1" outlineLevel="1" collapsed="1" x14ac:dyDescent="0.25">
      <c r="A3619" s="295" t="s">
        <v>282</v>
      </c>
      <c r="B3619" s="295" t="s">
        <v>763</v>
      </c>
      <c r="C3619" s="293">
        <v>36</v>
      </c>
      <c r="D3619" s="293">
        <v>22.08</v>
      </c>
      <c r="E3619" s="293">
        <v>-13.92</v>
      </c>
      <c r="F3619" s="294" t="s">
        <v>921</v>
      </c>
    </row>
    <row r="3620" spans="1:6" hidden="1" outlineLevel="1" collapsed="1" x14ac:dyDescent="0.25">
      <c r="A3620" s="295" t="s">
        <v>282</v>
      </c>
      <c r="B3620" s="295" t="s">
        <v>523</v>
      </c>
      <c r="C3620" s="293">
        <v>1853.29</v>
      </c>
      <c r="D3620" s="293">
        <v>1853</v>
      </c>
      <c r="E3620" s="293">
        <v>-0.28999999999999998</v>
      </c>
      <c r="F3620" s="294" t="s">
        <v>1481</v>
      </c>
    </row>
    <row r="3621" spans="1:6" hidden="1" outlineLevel="1" collapsed="1" x14ac:dyDescent="0.25">
      <c r="A3621" s="295" t="s">
        <v>282</v>
      </c>
      <c r="B3621" s="295" t="s">
        <v>496</v>
      </c>
      <c r="C3621" s="293">
        <v>125</v>
      </c>
      <c r="D3621" s="293">
        <v>125</v>
      </c>
      <c r="E3621" s="293">
        <v>0</v>
      </c>
      <c r="F3621" s="294" t="s">
        <v>316</v>
      </c>
    </row>
    <row r="3622" spans="1:6" hidden="1" outlineLevel="1" collapsed="1" x14ac:dyDescent="0.25">
      <c r="A3622" s="295" t="s">
        <v>282</v>
      </c>
      <c r="B3622" s="295" t="s">
        <v>376</v>
      </c>
      <c r="C3622" s="293">
        <v>1407</v>
      </c>
      <c r="D3622" s="293">
        <v>0</v>
      </c>
      <c r="E3622" s="293">
        <v>-1407</v>
      </c>
      <c r="F3622" s="294" t="s">
        <v>286</v>
      </c>
    </row>
    <row r="3623" spans="1:6" hidden="1" outlineLevel="1" collapsed="1" x14ac:dyDescent="0.25">
      <c r="A3623" s="295" t="s">
        <v>282</v>
      </c>
      <c r="B3623" s="295" t="s">
        <v>662</v>
      </c>
      <c r="C3623" s="293">
        <v>0</v>
      </c>
      <c r="D3623" s="293">
        <v>0</v>
      </c>
      <c r="E3623" s="293">
        <v>0</v>
      </c>
      <c r="F3623" s="294" t="s">
        <v>316</v>
      </c>
    </row>
    <row r="3624" spans="1:6" hidden="1" outlineLevel="1" collapsed="1" x14ac:dyDescent="0.25">
      <c r="A3624" s="295" t="s">
        <v>282</v>
      </c>
      <c r="B3624" s="295" t="s">
        <v>426</v>
      </c>
      <c r="C3624" s="293">
        <v>0</v>
      </c>
      <c r="D3624" s="293">
        <v>0</v>
      </c>
      <c r="E3624" s="293">
        <v>0</v>
      </c>
      <c r="F3624" s="294" t="s">
        <v>316</v>
      </c>
    </row>
    <row r="3625" spans="1:6" hidden="1" outlineLevel="1" collapsed="1" x14ac:dyDescent="0.25">
      <c r="A3625" s="295" t="s">
        <v>282</v>
      </c>
      <c r="B3625" s="295" t="s">
        <v>597</v>
      </c>
      <c r="C3625" s="293">
        <v>150</v>
      </c>
      <c r="D3625" s="293">
        <v>150</v>
      </c>
      <c r="E3625" s="293">
        <v>0</v>
      </c>
      <c r="F3625" s="294" t="s">
        <v>316</v>
      </c>
    </row>
    <row r="3626" spans="1:6" hidden="1" outlineLevel="1" collapsed="1" x14ac:dyDescent="0.25">
      <c r="A3626" s="295" t="s">
        <v>282</v>
      </c>
      <c r="B3626" s="295" t="s">
        <v>403</v>
      </c>
      <c r="C3626" s="293">
        <v>0</v>
      </c>
      <c r="D3626" s="293">
        <v>0</v>
      </c>
      <c r="E3626" s="293">
        <v>0</v>
      </c>
      <c r="F3626" s="294" t="s">
        <v>316</v>
      </c>
    </row>
    <row r="3627" spans="1:6" collapsed="1" x14ac:dyDescent="0.25">
      <c r="A3627" s="560" t="s">
        <v>1482</v>
      </c>
      <c r="B3627" s="561"/>
      <c r="C3627" s="292">
        <v>36363.276374000001</v>
      </c>
      <c r="D3627" s="293">
        <v>30641.983757999998</v>
      </c>
      <c r="E3627" s="293">
        <v>-5721.2926159999997</v>
      </c>
      <c r="F3627" s="294" t="s">
        <v>1483</v>
      </c>
    </row>
    <row r="3628" spans="1:6" hidden="1" outlineLevel="1" collapsed="1" x14ac:dyDescent="0.25">
      <c r="A3628" s="295" t="s">
        <v>282</v>
      </c>
      <c r="B3628" s="295" t="s">
        <v>942</v>
      </c>
      <c r="C3628" s="293">
        <v>8220.4848949999996</v>
      </c>
      <c r="D3628" s="293">
        <v>8343.7920790000007</v>
      </c>
      <c r="E3628" s="293">
        <v>123.30718400000001</v>
      </c>
      <c r="F3628" s="294" t="s">
        <v>510</v>
      </c>
    </row>
    <row r="3629" spans="1:6" hidden="1" outlineLevel="1" collapsed="1" x14ac:dyDescent="0.25">
      <c r="A3629" s="295" t="s">
        <v>282</v>
      </c>
      <c r="B3629" s="295" t="s">
        <v>464</v>
      </c>
      <c r="C3629" s="293">
        <v>6164.0511660000002</v>
      </c>
      <c r="D3629" s="293">
        <v>16400.943641999998</v>
      </c>
      <c r="E3629" s="293">
        <v>10236.892476000001</v>
      </c>
      <c r="F3629" s="294" t="s">
        <v>1484</v>
      </c>
    </row>
    <row r="3630" spans="1:6" hidden="1" outlineLevel="1" collapsed="1" x14ac:dyDescent="0.25">
      <c r="A3630" s="295" t="s">
        <v>282</v>
      </c>
      <c r="B3630" s="295" t="s">
        <v>935</v>
      </c>
      <c r="C3630" s="293">
        <v>7500</v>
      </c>
      <c r="D3630" s="293">
        <v>0</v>
      </c>
      <c r="E3630" s="293">
        <v>-7500</v>
      </c>
      <c r="F3630" s="294" t="s">
        <v>286</v>
      </c>
    </row>
    <row r="3631" spans="1:6" hidden="1" outlineLevel="1" collapsed="1" x14ac:dyDescent="0.25">
      <c r="A3631" s="295" t="s">
        <v>282</v>
      </c>
      <c r="B3631" s="295" t="s">
        <v>799</v>
      </c>
      <c r="C3631" s="293">
        <v>9000</v>
      </c>
      <c r="D3631" s="293">
        <v>0</v>
      </c>
      <c r="E3631" s="293">
        <v>-9000</v>
      </c>
      <c r="F3631" s="294" t="s">
        <v>286</v>
      </c>
    </row>
    <row r="3632" spans="1:6" hidden="1" outlineLevel="1" collapsed="1" x14ac:dyDescent="0.25">
      <c r="A3632" s="295" t="s">
        <v>282</v>
      </c>
      <c r="B3632" s="295" t="s">
        <v>384</v>
      </c>
      <c r="C3632" s="293">
        <v>1034.1369999999999</v>
      </c>
      <c r="D3632" s="293">
        <v>0</v>
      </c>
      <c r="E3632" s="293">
        <v>-1034.1369999999999</v>
      </c>
      <c r="F3632" s="294" t="s">
        <v>286</v>
      </c>
    </row>
    <row r="3633" spans="1:6" hidden="1" outlineLevel="1" collapsed="1" x14ac:dyDescent="0.25">
      <c r="A3633" s="295" t="s">
        <v>282</v>
      </c>
      <c r="B3633" s="295" t="s">
        <v>385</v>
      </c>
      <c r="C3633" s="293">
        <v>0</v>
      </c>
      <c r="D3633" s="293">
        <v>1318.319148</v>
      </c>
      <c r="E3633" s="293">
        <v>1318.319148</v>
      </c>
      <c r="F3633" s="294" t="s">
        <v>298</v>
      </c>
    </row>
    <row r="3634" spans="1:6" hidden="1" outlineLevel="1" collapsed="1" x14ac:dyDescent="0.25">
      <c r="A3634" s="295" t="s">
        <v>282</v>
      </c>
      <c r="B3634" s="295" t="s">
        <v>386</v>
      </c>
      <c r="C3634" s="293">
        <v>1449.841226</v>
      </c>
      <c r="D3634" s="293">
        <v>0</v>
      </c>
      <c r="E3634" s="293">
        <v>-1449.841226</v>
      </c>
      <c r="F3634" s="294" t="s">
        <v>286</v>
      </c>
    </row>
    <row r="3635" spans="1:6" hidden="1" outlineLevel="1" collapsed="1" x14ac:dyDescent="0.25">
      <c r="A3635" s="295" t="s">
        <v>282</v>
      </c>
      <c r="B3635" s="295" t="s">
        <v>387</v>
      </c>
      <c r="C3635" s="293">
        <v>0</v>
      </c>
      <c r="D3635" s="293">
        <v>1534.1736109999999</v>
      </c>
      <c r="E3635" s="293">
        <v>1534.1736109999999</v>
      </c>
      <c r="F3635" s="294" t="s">
        <v>298</v>
      </c>
    </row>
    <row r="3636" spans="1:6" hidden="1" outlineLevel="1" collapsed="1" x14ac:dyDescent="0.25">
      <c r="A3636" s="295" t="s">
        <v>282</v>
      </c>
      <c r="B3636" s="295" t="s">
        <v>388</v>
      </c>
      <c r="C3636" s="293">
        <v>339.07576699999998</v>
      </c>
      <c r="D3636" s="293">
        <v>358.79866199999998</v>
      </c>
      <c r="E3636" s="293">
        <v>19.722895000000001</v>
      </c>
      <c r="F3636" s="294" t="s">
        <v>1485</v>
      </c>
    </row>
    <row r="3637" spans="1:6" hidden="1" outlineLevel="1" collapsed="1" x14ac:dyDescent="0.25">
      <c r="A3637" s="295" t="s">
        <v>282</v>
      </c>
      <c r="B3637" s="295" t="s">
        <v>480</v>
      </c>
      <c r="C3637" s="293">
        <v>197.13265799999999</v>
      </c>
      <c r="D3637" s="293">
        <v>213.212256</v>
      </c>
      <c r="E3637" s="293">
        <v>16.079598000000001</v>
      </c>
      <c r="F3637" s="294" t="s">
        <v>408</v>
      </c>
    </row>
    <row r="3638" spans="1:6" hidden="1" outlineLevel="1" collapsed="1" x14ac:dyDescent="0.25">
      <c r="A3638" s="295" t="s">
        <v>282</v>
      </c>
      <c r="B3638" s="295" t="s">
        <v>444</v>
      </c>
      <c r="C3638" s="293">
        <v>675</v>
      </c>
      <c r="D3638" s="293">
        <v>648</v>
      </c>
      <c r="E3638" s="293">
        <v>-27</v>
      </c>
      <c r="F3638" s="294" t="s">
        <v>938</v>
      </c>
    </row>
    <row r="3639" spans="1:6" hidden="1" outlineLevel="1" collapsed="1" x14ac:dyDescent="0.25">
      <c r="A3639" s="295" t="s">
        <v>282</v>
      </c>
      <c r="B3639" s="295" t="s">
        <v>389</v>
      </c>
      <c r="C3639" s="293">
        <v>42.612479999999998</v>
      </c>
      <c r="D3639" s="293">
        <v>42.204000000000001</v>
      </c>
      <c r="E3639" s="293">
        <v>-0.40848000000000001</v>
      </c>
      <c r="F3639" s="294" t="s">
        <v>364</v>
      </c>
    </row>
    <row r="3640" spans="1:6" hidden="1" outlineLevel="1" collapsed="1" x14ac:dyDescent="0.25">
      <c r="A3640" s="295" t="s">
        <v>282</v>
      </c>
      <c r="B3640" s="295" t="s">
        <v>390</v>
      </c>
      <c r="C3640" s="293">
        <v>1548.527</v>
      </c>
      <c r="D3640" s="293">
        <v>1595.9280000000001</v>
      </c>
      <c r="E3640" s="293">
        <v>47.401000000000003</v>
      </c>
      <c r="F3640" s="294" t="s">
        <v>391</v>
      </c>
    </row>
    <row r="3641" spans="1:6" hidden="1" outlineLevel="1" collapsed="1" x14ac:dyDescent="0.25">
      <c r="A3641" s="295" t="s">
        <v>282</v>
      </c>
      <c r="B3641" s="295" t="s">
        <v>392</v>
      </c>
      <c r="C3641" s="293">
        <v>23.353919999999999</v>
      </c>
      <c r="D3641" s="293">
        <v>18.288</v>
      </c>
      <c r="E3641" s="293">
        <v>-5.0659200000000002</v>
      </c>
      <c r="F3641" s="294" t="s">
        <v>368</v>
      </c>
    </row>
    <row r="3642" spans="1:6" hidden="1" outlineLevel="1" collapsed="1" x14ac:dyDescent="0.25">
      <c r="A3642" s="295" t="s">
        <v>282</v>
      </c>
      <c r="B3642" s="295" t="s">
        <v>393</v>
      </c>
      <c r="C3642" s="293">
        <v>11.692261999999999</v>
      </c>
      <c r="D3642" s="293">
        <v>12.37236</v>
      </c>
      <c r="E3642" s="293">
        <v>0.68009799999999998</v>
      </c>
      <c r="F3642" s="294" t="s">
        <v>1485</v>
      </c>
    </row>
    <row r="3643" spans="1:6" hidden="1" outlineLevel="1" collapsed="1" x14ac:dyDescent="0.25">
      <c r="A3643" s="295" t="s">
        <v>282</v>
      </c>
      <c r="B3643" s="295" t="s">
        <v>394</v>
      </c>
      <c r="C3643" s="293">
        <v>150</v>
      </c>
      <c r="D3643" s="293">
        <v>0</v>
      </c>
      <c r="E3643" s="293">
        <v>-150</v>
      </c>
      <c r="F3643" s="294" t="s">
        <v>286</v>
      </c>
    </row>
    <row r="3644" spans="1:6" hidden="1" outlineLevel="1" collapsed="1" x14ac:dyDescent="0.25">
      <c r="A3644" s="295" t="s">
        <v>282</v>
      </c>
      <c r="B3644" s="295" t="s">
        <v>395</v>
      </c>
      <c r="C3644" s="293">
        <v>0</v>
      </c>
      <c r="D3644" s="293">
        <v>150</v>
      </c>
      <c r="E3644" s="293">
        <v>150</v>
      </c>
      <c r="F3644" s="294" t="s">
        <v>298</v>
      </c>
    </row>
    <row r="3645" spans="1:6" hidden="1" outlineLevel="1" collapsed="1" x14ac:dyDescent="0.25">
      <c r="A3645" s="295" t="s">
        <v>282</v>
      </c>
      <c r="B3645" s="295" t="s">
        <v>396</v>
      </c>
      <c r="C3645" s="293">
        <v>4.968</v>
      </c>
      <c r="D3645" s="293">
        <v>0</v>
      </c>
      <c r="E3645" s="293">
        <v>-4.968</v>
      </c>
      <c r="F3645" s="294" t="s">
        <v>286</v>
      </c>
    </row>
    <row r="3646" spans="1:6" hidden="1" outlineLevel="1" collapsed="1" x14ac:dyDescent="0.25">
      <c r="A3646" s="295" t="s">
        <v>282</v>
      </c>
      <c r="B3646" s="295" t="s">
        <v>397</v>
      </c>
      <c r="C3646" s="293">
        <v>0</v>
      </c>
      <c r="D3646" s="293">
        <v>4.8479999999999999</v>
      </c>
      <c r="E3646" s="293">
        <v>4.8479999999999999</v>
      </c>
      <c r="F3646" s="294" t="s">
        <v>298</v>
      </c>
    </row>
    <row r="3647" spans="1:6" hidden="1" outlineLevel="1" collapsed="1" x14ac:dyDescent="0.25">
      <c r="A3647" s="295" t="s">
        <v>282</v>
      </c>
      <c r="B3647" s="295" t="s">
        <v>398</v>
      </c>
      <c r="C3647" s="293">
        <v>2.4</v>
      </c>
      <c r="D3647" s="293">
        <v>1.1040000000000001</v>
      </c>
      <c r="E3647" s="293">
        <v>-1.296</v>
      </c>
      <c r="F3647" s="294" t="s">
        <v>374</v>
      </c>
    </row>
    <row r="3648" spans="1:6" collapsed="1" x14ac:dyDescent="0.25">
      <c r="A3648" s="560" t="s">
        <v>1486</v>
      </c>
      <c r="B3648" s="561"/>
      <c r="C3648" s="292">
        <v>17383</v>
      </c>
      <c r="D3648" s="293">
        <v>10208</v>
      </c>
      <c r="E3648" s="293">
        <v>-7175</v>
      </c>
      <c r="F3648" s="294" t="s">
        <v>1487</v>
      </c>
    </row>
    <row r="3649" spans="1:6" hidden="1" outlineLevel="1" collapsed="1" x14ac:dyDescent="0.25">
      <c r="A3649" s="295" t="s">
        <v>282</v>
      </c>
      <c r="B3649" s="295" t="s">
        <v>376</v>
      </c>
      <c r="C3649" s="293">
        <v>0</v>
      </c>
      <c r="D3649" s="293">
        <v>250</v>
      </c>
      <c r="E3649" s="293">
        <v>250</v>
      </c>
      <c r="F3649" s="294" t="s">
        <v>298</v>
      </c>
    </row>
    <row r="3650" spans="1:6" hidden="1" outlineLevel="1" collapsed="1" x14ac:dyDescent="0.25">
      <c r="A3650" s="295" t="s">
        <v>282</v>
      </c>
      <c r="B3650" s="295" t="s">
        <v>567</v>
      </c>
      <c r="C3650" s="293">
        <v>8000</v>
      </c>
      <c r="D3650" s="293">
        <v>8000</v>
      </c>
      <c r="E3650" s="293">
        <v>0</v>
      </c>
      <c r="F3650" s="294" t="s">
        <v>316</v>
      </c>
    </row>
    <row r="3651" spans="1:6" hidden="1" outlineLevel="1" collapsed="1" x14ac:dyDescent="0.25">
      <c r="A3651" s="295" t="s">
        <v>282</v>
      </c>
      <c r="B3651" s="295" t="s">
        <v>426</v>
      </c>
      <c r="C3651" s="293">
        <v>0</v>
      </c>
      <c r="D3651" s="293">
        <v>1500</v>
      </c>
      <c r="E3651" s="293">
        <v>1500</v>
      </c>
      <c r="F3651" s="294" t="s">
        <v>298</v>
      </c>
    </row>
    <row r="3652" spans="1:6" hidden="1" outlineLevel="1" collapsed="1" x14ac:dyDescent="0.25">
      <c r="A3652" s="295" t="s">
        <v>282</v>
      </c>
      <c r="B3652" s="295" t="s">
        <v>482</v>
      </c>
      <c r="C3652" s="293">
        <v>0</v>
      </c>
      <c r="D3652" s="293">
        <v>100</v>
      </c>
      <c r="E3652" s="293">
        <v>100</v>
      </c>
      <c r="F3652" s="294" t="s">
        <v>298</v>
      </c>
    </row>
    <row r="3653" spans="1:6" hidden="1" outlineLevel="1" collapsed="1" x14ac:dyDescent="0.25">
      <c r="A3653" s="295" t="s">
        <v>282</v>
      </c>
      <c r="B3653" s="295" t="s">
        <v>597</v>
      </c>
      <c r="C3653" s="293">
        <v>7854</v>
      </c>
      <c r="D3653" s="293">
        <v>209</v>
      </c>
      <c r="E3653" s="293">
        <v>-7645</v>
      </c>
      <c r="F3653" s="294" t="s">
        <v>1488</v>
      </c>
    </row>
    <row r="3654" spans="1:6" hidden="1" outlineLevel="1" collapsed="1" x14ac:dyDescent="0.25">
      <c r="A3654" s="295" t="s">
        <v>282</v>
      </c>
      <c r="B3654" s="295" t="s">
        <v>448</v>
      </c>
      <c r="C3654" s="293">
        <v>1529</v>
      </c>
      <c r="D3654" s="293">
        <v>149</v>
      </c>
      <c r="E3654" s="293">
        <v>-1380</v>
      </c>
      <c r="F3654" s="294" t="s">
        <v>1489</v>
      </c>
    </row>
    <row r="3655" spans="1:6" collapsed="1" x14ac:dyDescent="0.25">
      <c r="A3655" s="560" t="s">
        <v>1490</v>
      </c>
      <c r="B3655" s="561"/>
      <c r="C3655" s="292">
        <v>112331.629831</v>
      </c>
      <c r="D3655" s="293">
        <v>235225.59432800001</v>
      </c>
      <c r="E3655" s="293">
        <v>122893.96449699999</v>
      </c>
      <c r="F3655" s="294" t="s">
        <v>1491</v>
      </c>
    </row>
    <row r="3656" spans="1:6" hidden="1" outlineLevel="1" collapsed="1" x14ac:dyDescent="0.25">
      <c r="A3656" s="295" t="s">
        <v>282</v>
      </c>
      <c r="B3656" s="295" t="s">
        <v>750</v>
      </c>
      <c r="C3656" s="293">
        <v>42324.613324999998</v>
      </c>
      <c r="D3656" s="293">
        <v>97959.679992000005</v>
      </c>
      <c r="E3656" s="293">
        <v>55635.066666999999</v>
      </c>
      <c r="F3656" s="294" t="s">
        <v>1492</v>
      </c>
    </row>
    <row r="3657" spans="1:6" hidden="1" outlineLevel="1" collapsed="1" x14ac:dyDescent="0.25">
      <c r="A3657" s="295" t="s">
        <v>282</v>
      </c>
      <c r="B3657" s="295" t="s">
        <v>412</v>
      </c>
      <c r="C3657" s="293">
        <v>4687.5</v>
      </c>
      <c r="D3657" s="293">
        <v>5000</v>
      </c>
      <c r="E3657" s="293">
        <v>312.5</v>
      </c>
      <c r="F3657" s="294" t="s">
        <v>1156</v>
      </c>
    </row>
    <row r="3658" spans="1:6" hidden="1" outlineLevel="1" collapsed="1" x14ac:dyDescent="0.25">
      <c r="A3658" s="295" t="s">
        <v>282</v>
      </c>
      <c r="B3658" s="295" t="s">
        <v>464</v>
      </c>
      <c r="C3658" s="293">
        <v>0.43615199999999998</v>
      </c>
      <c r="D3658" s="293">
        <v>53568.985591999997</v>
      </c>
      <c r="E3658" s="293">
        <v>53568.549440000003</v>
      </c>
      <c r="F3658" s="294" t="s">
        <v>1493</v>
      </c>
    </row>
    <row r="3659" spans="1:6" hidden="1" outlineLevel="1" collapsed="1" x14ac:dyDescent="0.25">
      <c r="A3659" s="295" t="s">
        <v>282</v>
      </c>
      <c r="B3659" s="295" t="s">
        <v>751</v>
      </c>
      <c r="C3659" s="293">
        <v>6358.5629859999999</v>
      </c>
      <c r="D3659" s="293">
        <v>0</v>
      </c>
      <c r="E3659" s="293">
        <v>-6358.5629859999999</v>
      </c>
      <c r="F3659" s="294" t="s">
        <v>286</v>
      </c>
    </row>
    <row r="3660" spans="1:6" hidden="1" outlineLevel="1" collapsed="1" x14ac:dyDescent="0.25">
      <c r="A3660" s="295" t="s">
        <v>282</v>
      </c>
      <c r="B3660" s="295" t="s">
        <v>752</v>
      </c>
      <c r="C3660" s="293">
        <v>0</v>
      </c>
      <c r="D3660" s="293">
        <v>14135.581812</v>
      </c>
      <c r="E3660" s="293">
        <v>14135.581812</v>
      </c>
      <c r="F3660" s="294" t="s">
        <v>298</v>
      </c>
    </row>
    <row r="3661" spans="1:6" hidden="1" outlineLevel="1" collapsed="1" x14ac:dyDescent="0.25">
      <c r="A3661" s="295" t="s">
        <v>282</v>
      </c>
      <c r="B3661" s="295" t="s">
        <v>384</v>
      </c>
      <c r="C3661" s="293">
        <v>6461.8976640000001</v>
      </c>
      <c r="D3661" s="293">
        <v>0</v>
      </c>
      <c r="E3661" s="293">
        <v>-6461.8976640000001</v>
      </c>
      <c r="F3661" s="294" t="s">
        <v>286</v>
      </c>
    </row>
    <row r="3662" spans="1:6" hidden="1" outlineLevel="1" collapsed="1" x14ac:dyDescent="0.25">
      <c r="A3662" s="295" t="s">
        <v>282</v>
      </c>
      <c r="B3662" s="295" t="s">
        <v>385</v>
      </c>
      <c r="C3662" s="293">
        <v>0</v>
      </c>
      <c r="D3662" s="293">
        <v>8361.1997159999992</v>
      </c>
      <c r="E3662" s="293">
        <v>8361.1997159999992</v>
      </c>
      <c r="F3662" s="294" t="s">
        <v>298</v>
      </c>
    </row>
    <row r="3663" spans="1:6" hidden="1" outlineLevel="1" collapsed="1" x14ac:dyDescent="0.25">
      <c r="A3663" s="295" t="s">
        <v>282</v>
      </c>
      <c r="B3663" s="295" t="s">
        <v>386</v>
      </c>
      <c r="C3663" s="293">
        <v>3225.0190320000002</v>
      </c>
      <c r="D3663" s="293">
        <v>0</v>
      </c>
      <c r="E3663" s="293">
        <v>-3225.0190320000002</v>
      </c>
      <c r="F3663" s="294" t="s">
        <v>286</v>
      </c>
    </row>
    <row r="3664" spans="1:6" hidden="1" outlineLevel="1" collapsed="1" x14ac:dyDescent="0.25">
      <c r="A3664" s="295" t="s">
        <v>282</v>
      </c>
      <c r="B3664" s="295" t="s">
        <v>387</v>
      </c>
      <c r="C3664" s="293">
        <v>0</v>
      </c>
      <c r="D3664" s="293">
        <v>3321.2771039999998</v>
      </c>
      <c r="E3664" s="293">
        <v>3321.2771039999998</v>
      </c>
      <c r="F3664" s="294" t="s">
        <v>298</v>
      </c>
    </row>
    <row r="3665" spans="1:6" hidden="1" outlineLevel="1" collapsed="1" x14ac:dyDescent="0.25">
      <c r="A3665" s="295" t="s">
        <v>282</v>
      </c>
      <c r="B3665" s="295" t="s">
        <v>753</v>
      </c>
      <c r="C3665" s="293">
        <v>6941.9436580000001</v>
      </c>
      <c r="D3665" s="293">
        <v>6383.5001519999996</v>
      </c>
      <c r="E3665" s="293">
        <v>-558.44350599999996</v>
      </c>
      <c r="F3665" s="294" t="s">
        <v>1494</v>
      </c>
    </row>
    <row r="3666" spans="1:6" hidden="1" outlineLevel="1" collapsed="1" x14ac:dyDescent="0.25">
      <c r="A3666" s="295" t="s">
        <v>282</v>
      </c>
      <c r="B3666" s="295" t="s">
        <v>388</v>
      </c>
      <c r="C3666" s="293">
        <v>1528.717394</v>
      </c>
      <c r="D3666" s="293">
        <v>2269.6656360000002</v>
      </c>
      <c r="E3666" s="293">
        <v>740.94824200000005</v>
      </c>
      <c r="F3666" s="294" t="s">
        <v>1495</v>
      </c>
    </row>
    <row r="3667" spans="1:6" hidden="1" outlineLevel="1" collapsed="1" x14ac:dyDescent="0.25">
      <c r="A3667" s="295" t="s">
        <v>282</v>
      </c>
      <c r="B3667" s="295" t="s">
        <v>389</v>
      </c>
      <c r="C3667" s="293">
        <v>426.12479999999999</v>
      </c>
      <c r="D3667" s="293">
        <v>422.04</v>
      </c>
      <c r="E3667" s="293">
        <v>-4.0848000000000004</v>
      </c>
      <c r="F3667" s="294" t="s">
        <v>364</v>
      </c>
    </row>
    <row r="3668" spans="1:6" hidden="1" outlineLevel="1" collapsed="1" x14ac:dyDescent="0.25">
      <c r="A3668" s="295" t="s">
        <v>282</v>
      </c>
      <c r="B3668" s="295" t="s">
        <v>390</v>
      </c>
      <c r="C3668" s="293">
        <v>15485.27</v>
      </c>
      <c r="D3668" s="293">
        <v>15959.28</v>
      </c>
      <c r="E3668" s="293">
        <v>474.01</v>
      </c>
      <c r="F3668" s="294" t="s">
        <v>391</v>
      </c>
    </row>
    <row r="3669" spans="1:6" hidden="1" outlineLevel="1" collapsed="1" x14ac:dyDescent="0.25">
      <c r="A3669" s="295" t="s">
        <v>282</v>
      </c>
      <c r="B3669" s="295" t="s">
        <v>392</v>
      </c>
      <c r="C3669" s="293">
        <v>233.53919999999999</v>
      </c>
      <c r="D3669" s="293">
        <v>182.88</v>
      </c>
      <c r="E3669" s="293">
        <v>-50.659199999999998</v>
      </c>
      <c r="F3669" s="294" t="s">
        <v>368</v>
      </c>
    </row>
    <row r="3670" spans="1:6" hidden="1" outlineLevel="1" collapsed="1" x14ac:dyDescent="0.25">
      <c r="A3670" s="295" t="s">
        <v>282</v>
      </c>
      <c r="B3670" s="295" t="s">
        <v>754</v>
      </c>
      <c r="C3670" s="293">
        <v>5772.26</v>
      </c>
      <c r="D3670" s="293">
        <v>15959.28</v>
      </c>
      <c r="E3670" s="293">
        <v>10187.02</v>
      </c>
      <c r="F3670" s="294" t="s">
        <v>1496</v>
      </c>
    </row>
    <row r="3671" spans="1:6" hidden="1" outlineLevel="1" collapsed="1" x14ac:dyDescent="0.25">
      <c r="A3671" s="295" t="s">
        <v>282</v>
      </c>
      <c r="B3671" s="295" t="s">
        <v>755</v>
      </c>
      <c r="C3671" s="293">
        <v>160.16079999999999</v>
      </c>
      <c r="D3671" s="293">
        <v>422.04</v>
      </c>
      <c r="E3671" s="293">
        <v>261.87920000000003</v>
      </c>
      <c r="F3671" s="294" t="s">
        <v>1497</v>
      </c>
    </row>
    <row r="3672" spans="1:6" hidden="1" outlineLevel="1" collapsed="1" x14ac:dyDescent="0.25">
      <c r="A3672" s="295" t="s">
        <v>282</v>
      </c>
      <c r="B3672" s="295" t="s">
        <v>756</v>
      </c>
      <c r="C3672" s="293">
        <v>87.773200000000003</v>
      </c>
      <c r="D3672" s="293">
        <v>182.88</v>
      </c>
      <c r="E3672" s="293">
        <v>95.106800000000007</v>
      </c>
      <c r="F3672" s="294" t="s">
        <v>1498</v>
      </c>
    </row>
    <row r="3673" spans="1:6" hidden="1" outlineLevel="1" collapsed="1" x14ac:dyDescent="0.25">
      <c r="A3673" s="295" t="s">
        <v>282</v>
      </c>
      <c r="B3673" s="295" t="s">
        <v>393</v>
      </c>
      <c r="C3673" s="293">
        <v>26.008212</v>
      </c>
      <c r="D3673" s="293">
        <v>26.784492</v>
      </c>
      <c r="E3673" s="293">
        <v>0.77627999999999997</v>
      </c>
      <c r="F3673" s="294" t="s">
        <v>381</v>
      </c>
    </row>
    <row r="3674" spans="1:6" hidden="1" outlineLevel="1" collapsed="1" x14ac:dyDescent="0.25">
      <c r="A3674" s="295" t="s">
        <v>282</v>
      </c>
      <c r="B3674" s="295" t="s">
        <v>757</v>
      </c>
      <c r="C3674" s="293">
        <v>26.703408</v>
      </c>
      <c r="D3674" s="293">
        <v>0</v>
      </c>
      <c r="E3674" s="293">
        <v>-26.703408</v>
      </c>
      <c r="F3674" s="294" t="s">
        <v>286</v>
      </c>
    </row>
    <row r="3675" spans="1:6" hidden="1" outlineLevel="1" collapsed="1" x14ac:dyDescent="0.25">
      <c r="A3675" s="295" t="s">
        <v>282</v>
      </c>
      <c r="B3675" s="295" t="s">
        <v>758</v>
      </c>
      <c r="C3675" s="293">
        <v>0</v>
      </c>
      <c r="D3675" s="293">
        <v>51.479832000000002</v>
      </c>
      <c r="E3675" s="293">
        <v>51.479832000000002</v>
      </c>
      <c r="F3675" s="294" t="s">
        <v>298</v>
      </c>
    </row>
    <row r="3676" spans="1:6" hidden="1" outlineLevel="1" collapsed="1" x14ac:dyDescent="0.25">
      <c r="A3676" s="295" t="s">
        <v>282</v>
      </c>
      <c r="B3676" s="295" t="s">
        <v>394</v>
      </c>
      <c r="C3676" s="293">
        <v>1500</v>
      </c>
      <c r="D3676" s="293">
        <v>0</v>
      </c>
      <c r="E3676" s="293">
        <v>-1500</v>
      </c>
      <c r="F3676" s="294" t="s">
        <v>286</v>
      </c>
    </row>
    <row r="3677" spans="1:6" hidden="1" outlineLevel="1" collapsed="1" x14ac:dyDescent="0.25">
      <c r="A3677" s="295" t="s">
        <v>282</v>
      </c>
      <c r="B3677" s="295" t="s">
        <v>395</v>
      </c>
      <c r="C3677" s="293">
        <v>0</v>
      </c>
      <c r="D3677" s="293">
        <v>1500</v>
      </c>
      <c r="E3677" s="293">
        <v>1500</v>
      </c>
      <c r="F3677" s="294" t="s">
        <v>298</v>
      </c>
    </row>
    <row r="3678" spans="1:6" hidden="1" outlineLevel="1" collapsed="1" x14ac:dyDescent="0.25">
      <c r="A3678" s="295" t="s">
        <v>282</v>
      </c>
      <c r="B3678" s="295" t="s">
        <v>759</v>
      </c>
      <c r="C3678" s="293">
        <v>563.75</v>
      </c>
      <c r="D3678" s="293">
        <v>0</v>
      </c>
      <c r="E3678" s="293">
        <v>-563.75</v>
      </c>
      <c r="F3678" s="294" t="s">
        <v>286</v>
      </c>
    </row>
    <row r="3679" spans="1:6" hidden="1" outlineLevel="1" collapsed="1" x14ac:dyDescent="0.25">
      <c r="A3679" s="295" t="s">
        <v>282</v>
      </c>
      <c r="B3679" s="295" t="s">
        <v>760</v>
      </c>
      <c r="C3679" s="293">
        <v>0</v>
      </c>
      <c r="D3679" s="293">
        <v>1500</v>
      </c>
      <c r="E3679" s="293">
        <v>1500</v>
      </c>
      <c r="F3679" s="294" t="s">
        <v>298</v>
      </c>
    </row>
    <row r="3680" spans="1:6" hidden="1" outlineLevel="1" collapsed="1" x14ac:dyDescent="0.25">
      <c r="A3680" s="295" t="s">
        <v>282</v>
      </c>
      <c r="B3680" s="295" t="s">
        <v>396</v>
      </c>
      <c r="C3680" s="293">
        <v>49.68</v>
      </c>
      <c r="D3680" s="293">
        <v>0</v>
      </c>
      <c r="E3680" s="293">
        <v>-49.68</v>
      </c>
      <c r="F3680" s="294" t="s">
        <v>286</v>
      </c>
    </row>
    <row r="3681" spans="1:6" hidden="1" outlineLevel="1" collapsed="1" x14ac:dyDescent="0.25">
      <c r="A3681" s="295" t="s">
        <v>282</v>
      </c>
      <c r="B3681" s="295" t="s">
        <v>397</v>
      </c>
      <c r="C3681" s="293">
        <v>0</v>
      </c>
      <c r="D3681" s="293">
        <v>48.48</v>
      </c>
      <c r="E3681" s="293">
        <v>48.48</v>
      </c>
      <c r="F3681" s="294" t="s">
        <v>298</v>
      </c>
    </row>
    <row r="3682" spans="1:6" hidden="1" outlineLevel="1" collapsed="1" x14ac:dyDescent="0.25">
      <c r="A3682" s="295" t="s">
        <v>282</v>
      </c>
      <c r="B3682" s="295" t="s">
        <v>761</v>
      </c>
      <c r="C3682" s="293">
        <v>18.670000000000002</v>
      </c>
      <c r="D3682" s="293">
        <v>0</v>
      </c>
      <c r="E3682" s="293">
        <v>-18.670000000000002</v>
      </c>
      <c r="F3682" s="294" t="s">
        <v>286</v>
      </c>
    </row>
    <row r="3683" spans="1:6" hidden="1" outlineLevel="1" collapsed="1" x14ac:dyDescent="0.25">
      <c r="A3683" s="295" t="s">
        <v>282</v>
      </c>
      <c r="B3683" s="295" t="s">
        <v>762</v>
      </c>
      <c r="C3683" s="293">
        <v>0</v>
      </c>
      <c r="D3683" s="293">
        <v>48.48</v>
      </c>
      <c r="E3683" s="293">
        <v>48.48</v>
      </c>
      <c r="F3683" s="294" t="s">
        <v>298</v>
      </c>
    </row>
    <row r="3684" spans="1:6" hidden="1" outlineLevel="1" collapsed="1" x14ac:dyDescent="0.25">
      <c r="A3684" s="295" t="s">
        <v>282</v>
      </c>
      <c r="B3684" s="295" t="s">
        <v>398</v>
      </c>
      <c r="C3684" s="293">
        <v>24</v>
      </c>
      <c r="D3684" s="293">
        <v>11.04</v>
      </c>
      <c r="E3684" s="293">
        <v>-12.96</v>
      </c>
      <c r="F3684" s="294" t="s">
        <v>374</v>
      </c>
    </row>
    <row r="3685" spans="1:6" hidden="1" outlineLevel="1" collapsed="1" x14ac:dyDescent="0.25">
      <c r="A3685" s="295" t="s">
        <v>282</v>
      </c>
      <c r="B3685" s="295" t="s">
        <v>763</v>
      </c>
      <c r="C3685" s="293">
        <v>29</v>
      </c>
      <c r="D3685" s="293">
        <v>11.04</v>
      </c>
      <c r="E3685" s="293">
        <v>-17.96</v>
      </c>
      <c r="F3685" s="294" t="s">
        <v>1499</v>
      </c>
    </row>
    <row r="3686" spans="1:6" hidden="1" outlineLevel="1" collapsed="1" x14ac:dyDescent="0.25">
      <c r="A3686" s="295" t="s">
        <v>282</v>
      </c>
      <c r="B3686" s="295" t="s">
        <v>506</v>
      </c>
      <c r="C3686" s="293">
        <v>550</v>
      </c>
      <c r="D3686" s="293">
        <v>550</v>
      </c>
      <c r="E3686" s="293">
        <v>0</v>
      </c>
      <c r="F3686" s="294" t="s">
        <v>316</v>
      </c>
    </row>
    <row r="3687" spans="1:6" hidden="1" outlineLevel="1" collapsed="1" x14ac:dyDescent="0.25">
      <c r="A3687" s="295" t="s">
        <v>282</v>
      </c>
      <c r="B3687" s="295" t="s">
        <v>567</v>
      </c>
      <c r="C3687" s="293">
        <v>9900</v>
      </c>
      <c r="D3687" s="293">
        <v>3000</v>
      </c>
      <c r="E3687" s="293">
        <v>-6900</v>
      </c>
      <c r="F3687" s="294" t="s">
        <v>1500</v>
      </c>
    </row>
    <row r="3688" spans="1:6" hidden="1" outlineLevel="1" collapsed="1" x14ac:dyDescent="0.25">
      <c r="A3688" s="295" t="s">
        <v>282</v>
      </c>
      <c r="B3688" s="295" t="s">
        <v>597</v>
      </c>
      <c r="C3688" s="293">
        <v>1000</v>
      </c>
      <c r="D3688" s="293">
        <v>1000</v>
      </c>
      <c r="E3688" s="293">
        <v>0</v>
      </c>
      <c r="F3688" s="294" t="s">
        <v>316</v>
      </c>
    </row>
    <row r="3689" spans="1:6" hidden="1" outlineLevel="1" collapsed="1" x14ac:dyDescent="0.25">
      <c r="A3689" s="295" t="s">
        <v>282</v>
      </c>
      <c r="B3689" s="295" t="s">
        <v>405</v>
      </c>
      <c r="C3689" s="293">
        <v>4600</v>
      </c>
      <c r="D3689" s="293">
        <v>3000</v>
      </c>
      <c r="E3689" s="293">
        <v>-1600</v>
      </c>
      <c r="F3689" s="294" t="s">
        <v>1501</v>
      </c>
    </row>
    <row r="3690" spans="1:6" hidden="1" outlineLevel="1" collapsed="1" x14ac:dyDescent="0.25">
      <c r="A3690" s="295" t="s">
        <v>282</v>
      </c>
      <c r="B3690" s="295" t="s">
        <v>557</v>
      </c>
      <c r="C3690" s="293">
        <v>350</v>
      </c>
      <c r="D3690" s="293">
        <v>350</v>
      </c>
      <c r="E3690" s="293">
        <v>0</v>
      </c>
      <c r="F3690" s="294" t="s">
        <v>316</v>
      </c>
    </row>
    <row r="3691" spans="1:6" collapsed="1" x14ac:dyDescent="0.25">
      <c r="A3691" s="560" t="s">
        <v>1502</v>
      </c>
      <c r="B3691" s="561"/>
      <c r="C3691" s="292">
        <v>187014.04324500001</v>
      </c>
      <c r="D3691" s="293">
        <v>159509.03848799999</v>
      </c>
      <c r="E3691" s="293">
        <v>-27505.004756999999</v>
      </c>
      <c r="F3691" s="294" t="s">
        <v>1137</v>
      </c>
    </row>
    <row r="3692" spans="1:6" hidden="1" outlineLevel="1" collapsed="1" x14ac:dyDescent="0.25">
      <c r="A3692" s="295" t="s">
        <v>282</v>
      </c>
      <c r="B3692" s="295" t="s">
        <v>780</v>
      </c>
      <c r="C3692" s="293">
        <v>96389.980953000006</v>
      </c>
      <c r="D3692" s="293">
        <v>117401.352636</v>
      </c>
      <c r="E3692" s="293">
        <v>21011.371683000001</v>
      </c>
      <c r="F3692" s="294" t="s">
        <v>1503</v>
      </c>
    </row>
    <row r="3693" spans="1:6" hidden="1" outlineLevel="1" collapsed="1" x14ac:dyDescent="0.25">
      <c r="A3693" s="295" t="s">
        <v>282</v>
      </c>
      <c r="B3693" s="295" t="s">
        <v>441</v>
      </c>
      <c r="C3693" s="293">
        <v>1500</v>
      </c>
      <c r="D3693" s="293">
        <v>1500</v>
      </c>
      <c r="E3693" s="293">
        <v>0</v>
      </c>
      <c r="F3693" s="294" t="s">
        <v>316</v>
      </c>
    </row>
    <row r="3694" spans="1:6" hidden="1" outlineLevel="1" collapsed="1" x14ac:dyDescent="0.25">
      <c r="A3694" s="295" t="s">
        <v>282</v>
      </c>
      <c r="B3694" s="295" t="s">
        <v>464</v>
      </c>
      <c r="C3694" s="293">
        <v>31851.867114000001</v>
      </c>
      <c r="D3694" s="293">
        <v>0</v>
      </c>
      <c r="E3694" s="293">
        <v>-31851.867114000001</v>
      </c>
      <c r="F3694" s="294" t="s">
        <v>286</v>
      </c>
    </row>
    <row r="3695" spans="1:6" hidden="1" outlineLevel="1" collapsed="1" x14ac:dyDescent="0.25">
      <c r="A3695" s="295" t="s">
        <v>282</v>
      </c>
      <c r="B3695" s="295" t="s">
        <v>453</v>
      </c>
      <c r="C3695" s="293">
        <v>1500</v>
      </c>
      <c r="D3695" s="293">
        <v>0</v>
      </c>
      <c r="E3695" s="293">
        <v>-1500</v>
      </c>
      <c r="F3695" s="294" t="s">
        <v>286</v>
      </c>
    </row>
    <row r="3696" spans="1:6" hidden="1" outlineLevel="1" collapsed="1" x14ac:dyDescent="0.25">
      <c r="A3696" s="295" t="s">
        <v>282</v>
      </c>
      <c r="B3696" s="295" t="s">
        <v>751</v>
      </c>
      <c r="C3696" s="293">
        <v>12578.892512</v>
      </c>
      <c r="D3696" s="293">
        <v>0</v>
      </c>
      <c r="E3696" s="293">
        <v>-12578.892512</v>
      </c>
      <c r="F3696" s="294" t="s">
        <v>286</v>
      </c>
    </row>
    <row r="3697" spans="1:6" hidden="1" outlineLevel="1" collapsed="1" x14ac:dyDescent="0.25">
      <c r="A3697" s="295" t="s">
        <v>282</v>
      </c>
      <c r="B3697" s="295" t="s">
        <v>752</v>
      </c>
      <c r="C3697" s="293">
        <v>0</v>
      </c>
      <c r="D3697" s="293">
        <v>16941.015179999999</v>
      </c>
      <c r="E3697" s="293">
        <v>16941.015179999999</v>
      </c>
      <c r="F3697" s="294" t="s">
        <v>298</v>
      </c>
    </row>
    <row r="3698" spans="1:6" hidden="1" outlineLevel="1" collapsed="1" x14ac:dyDescent="0.25">
      <c r="A3698" s="295" t="s">
        <v>282</v>
      </c>
      <c r="B3698" s="295" t="s">
        <v>384</v>
      </c>
      <c r="C3698" s="293">
        <v>4846.4232480000001</v>
      </c>
      <c r="D3698" s="293">
        <v>0</v>
      </c>
      <c r="E3698" s="293">
        <v>-4846.4232480000001</v>
      </c>
      <c r="F3698" s="294" t="s">
        <v>286</v>
      </c>
    </row>
    <row r="3699" spans="1:6" hidden="1" outlineLevel="1" collapsed="1" x14ac:dyDescent="0.25">
      <c r="A3699" s="295" t="s">
        <v>282</v>
      </c>
      <c r="B3699" s="295" t="s">
        <v>386</v>
      </c>
      <c r="C3699" s="293">
        <v>2388.5392769999999</v>
      </c>
      <c r="D3699" s="293">
        <v>0</v>
      </c>
      <c r="E3699" s="293">
        <v>-2388.5392769999999</v>
      </c>
      <c r="F3699" s="294" t="s">
        <v>286</v>
      </c>
    </row>
    <row r="3700" spans="1:6" hidden="1" outlineLevel="1" collapsed="1" x14ac:dyDescent="0.25">
      <c r="A3700" s="295" t="s">
        <v>282</v>
      </c>
      <c r="B3700" s="295" t="s">
        <v>388</v>
      </c>
      <c r="C3700" s="293">
        <v>558.60999300000003</v>
      </c>
      <c r="D3700" s="293">
        <v>0</v>
      </c>
      <c r="E3700" s="293">
        <v>-558.60999300000003</v>
      </c>
      <c r="F3700" s="294" t="s">
        <v>286</v>
      </c>
    </row>
    <row r="3701" spans="1:6" hidden="1" outlineLevel="1" collapsed="1" x14ac:dyDescent="0.25">
      <c r="A3701" s="295" t="s">
        <v>282</v>
      </c>
      <c r="B3701" s="295" t="s">
        <v>444</v>
      </c>
      <c r="C3701" s="293">
        <v>319</v>
      </c>
      <c r="D3701" s="293">
        <v>184</v>
      </c>
      <c r="E3701" s="293">
        <v>-135</v>
      </c>
      <c r="F3701" s="294" t="s">
        <v>1504</v>
      </c>
    </row>
    <row r="3702" spans="1:6" hidden="1" outlineLevel="1" collapsed="1" x14ac:dyDescent="0.25">
      <c r="A3702" s="295" t="s">
        <v>282</v>
      </c>
      <c r="B3702" s="295" t="s">
        <v>389</v>
      </c>
      <c r="C3702" s="293">
        <v>319.59359999999998</v>
      </c>
      <c r="D3702" s="293">
        <v>0</v>
      </c>
      <c r="E3702" s="293">
        <v>-319.59359999999998</v>
      </c>
      <c r="F3702" s="294" t="s">
        <v>286</v>
      </c>
    </row>
    <row r="3703" spans="1:6" hidden="1" outlineLevel="1" collapsed="1" x14ac:dyDescent="0.25">
      <c r="A3703" s="295" t="s">
        <v>282</v>
      </c>
      <c r="B3703" s="295" t="s">
        <v>390</v>
      </c>
      <c r="C3703" s="293">
        <v>11645.63</v>
      </c>
      <c r="D3703" s="293">
        <v>0</v>
      </c>
      <c r="E3703" s="293">
        <v>-11645.63</v>
      </c>
      <c r="F3703" s="294" t="s">
        <v>286</v>
      </c>
    </row>
    <row r="3704" spans="1:6" hidden="1" outlineLevel="1" collapsed="1" x14ac:dyDescent="0.25">
      <c r="A3704" s="295" t="s">
        <v>282</v>
      </c>
      <c r="B3704" s="295" t="s">
        <v>392</v>
      </c>
      <c r="C3704" s="293">
        <v>175.15440000000001</v>
      </c>
      <c r="D3704" s="293">
        <v>0</v>
      </c>
      <c r="E3704" s="293">
        <v>-175.15440000000001</v>
      </c>
      <c r="F3704" s="294" t="s">
        <v>286</v>
      </c>
    </row>
    <row r="3705" spans="1:6" hidden="1" outlineLevel="1" collapsed="1" x14ac:dyDescent="0.25">
      <c r="A3705" s="295" t="s">
        <v>282</v>
      </c>
      <c r="B3705" s="295" t="s">
        <v>754</v>
      </c>
      <c r="C3705" s="293">
        <v>13438.74</v>
      </c>
      <c r="D3705" s="293">
        <v>15959.28</v>
      </c>
      <c r="E3705" s="293">
        <v>2520.54</v>
      </c>
      <c r="F3705" s="294" t="s">
        <v>1505</v>
      </c>
    </row>
    <row r="3706" spans="1:6" hidden="1" outlineLevel="1" collapsed="1" x14ac:dyDescent="0.25">
      <c r="A3706" s="295" t="s">
        <v>282</v>
      </c>
      <c r="B3706" s="295" t="s">
        <v>755</v>
      </c>
      <c r="C3706" s="293">
        <v>372.85919999999999</v>
      </c>
      <c r="D3706" s="293">
        <v>422.04</v>
      </c>
      <c r="E3706" s="293">
        <v>49.180799999999998</v>
      </c>
      <c r="F3706" s="294" t="s">
        <v>1506</v>
      </c>
    </row>
    <row r="3707" spans="1:6" hidden="1" outlineLevel="1" collapsed="1" x14ac:dyDescent="0.25">
      <c r="A3707" s="295" t="s">
        <v>282</v>
      </c>
      <c r="B3707" s="295" t="s">
        <v>756</v>
      </c>
      <c r="C3707" s="293">
        <v>204.3468</v>
      </c>
      <c r="D3707" s="293">
        <v>182.88</v>
      </c>
      <c r="E3707" s="293">
        <v>-21.466799999999999</v>
      </c>
      <c r="F3707" s="294" t="s">
        <v>1507</v>
      </c>
    </row>
    <row r="3708" spans="1:6" hidden="1" outlineLevel="1" collapsed="1" x14ac:dyDescent="0.25">
      <c r="A3708" s="295" t="s">
        <v>282</v>
      </c>
      <c r="B3708" s="295" t="s">
        <v>393</v>
      </c>
      <c r="C3708" s="293">
        <v>19.262412000000001</v>
      </c>
      <c r="D3708" s="293">
        <v>0</v>
      </c>
      <c r="E3708" s="293">
        <v>-19.262412000000001</v>
      </c>
      <c r="F3708" s="294" t="s">
        <v>286</v>
      </c>
    </row>
    <row r="3709" spans="1:6" hidden="1" outlineLevel="1" collapsed="1" x14ac:dyDescent="0.25">
      <c r="A3709" s="295" t="s">
        <v>282</v>
      </c>
      <c r="B3709" s="295" t="s">
        <v>757</v>
      </c>
      <c r="C3709" s="293">
        <v>48.413736</v>
      </c>
      <c r="D3709" s="293">
        <v>0</v>
      </c>
      <c r="E3709" s="293">
        <v>-48.413736</v>
      </c>
      <c r="F3709" s="294" t="s">
        <v>286</v>
      </c>
    </row>
    <row r="3710" spans="1:6" hidden="1" outlineLevel="1" collapsed="1" x14ac:dyDescent="0.25">
      <c r="A3710" s="295" t="s">
        <v>282</v>
      </c>
      <c r="B3710" s="295" t="s">
        <v>758</v>
      </c>
      <c r="C3710" s="293">
        <v>0</v>
      </c>
      <c r="D3710" s="293">
        <v>58.950671999999997</v>
      </c>
      <c r="E3710" s="293">
        <v>58.950671999999997</v>
      </c>
      <c r="F3710" s="294" t="s">
        <v>298</v>
      </c>
    </row>
    <row r="3711" spans="1:6" hidden="1" outlineLevel="1" collapsed="1" x14ac:dyDescent="0.25">
      <c r="A3711" s="295" t="s">
        <v>282</v>
      </c>
      <c r="B3711" s="295" t="s">
        <v>394</v>
      </c>
      <c r="C3711" s="293">
        <v>1125</v>
      </c>
      <c r="D3711" s="293">
        <v>0</v>
      </c>
      <c r="E3711" s="293">
        <v>-1125</v>
      </c>
      <c r="F3711" s="294" t="s">
        <v>286</v>
      </c>
    </row>
    <row r="3712" spans="1:6" hidden="1" outlineLevel="1" collapsed="1" x14ac:dyDescent="0.25">
      <c r="A3712" s="295" t="s">
        <v>282</v>
      </c>
      <c r="B3712" s="295" t="s">
        <v>759</v>
      </c>
      <c r="C3712" s="293">
        <v>1312.5</v>
      </c>
      <c r="D3712" s="293">
        <v>0</v>
      </c>
      <c r="E3712" s="293">
        <v>-1312.5</v>
      </c>
      <c r="F3712" s="294" t="s">
        <v>286</v>
      </c>
    </row>
    <row r="3713" spans="1:6" hidden="1" outlineLevel="1" collapsed="1" x14ac:dyDescent="0.25">
      <c r="A3713" s="295" t="s">
        <v>282</v>
      </c>
      <c r="B3713" s="295" t="s">
        <v>760</v>
      </c>
      <c r="C3713" s="293">
        <v>0</v>
      </c>
      <c r="D3713" s="293">
        <v>1500</v>
      </c>
      <c r="E3713" s="293">
        <v>1500</v>
      </c>
      <c r="F3713" s="294" t="s">
        <v>298</v>
      </c>
    </row>
    <row r="3714" spans="1:6" hidden="1" outlineLevel="1" collapsed="1" x14ac:dyDescent="0.25">
      <c r="A3714" s="295" t="s">
        <v>282</v>
      </c>
      <c r="B3714" s="295" t="s">
        <v>396</v>
      </c>
      <c r="C3714" s="293">
        <v>37.26</v>
      </c>
      <c r="D3714" s="293">
        <v>0</v>
      </c>
      <c r="E3714" s="293">
        <v>-37.26</v>
      </c>
      <c r="F3714" s="294" t="s">
        <v>286</v>
      </c>
    </row>
    <row r="3715" spans="1:6" hidden="1" outlineLevel="1" collapsed="1" x14ac:dyDescent="0.25">
      <c r="A3715" s="295" t="s">
        <v>282</v>
      </c>
      <c r="B3715" s="295" t="s">
        <v>761</v>
      </c>
      <c r="C3715" s="293">
        <v>43.47</v>
      </c>
      <c r="D3715" s="293">
        <v>0</v>
      </c>
      <c r="E3715" s="293">
        <v>-43.47</v>
      </c>
      <c r="F3715" s="294" t="s">
        <v>286</v>
      </c>
    </row>
    <row r="3716" spans="1:6" hidden="1" outlineLevel="1" collapsed="1" x14ac:dyDescent="0.25">
      <c r="A3716" s="295" t="s">
        <v>282</v>
      </c>
      <c r="B3716" s="295" t="s">
        <v>762</v>
      </c>
      <c r="C3716" s="293">
        <v>0</v>
      </c>
      <c r="D3716" s="293">
        <v>48.48</v>
      </c>
      <c r="E3716" s="293">
        <v>48.48</v>
      </c>
      <c r="F3716" s="294" t="s">
        <v>298</v>
      </c>
    </row>
    <row r="3717" spans="1:6" hidden="1" outlineLevel="1" collapsed="1" x14ac:dyDescent="0.25">
      <c r="A3717" s="295" t="s">
        <v>282</v>
      </c>
      <c r="B3717" s="295" t="s">
        <v>398</v>
      </c>
      <c r="C3717" s="293">
        <v>18</v>
      </c>
      <c r="D3717" s="293">
        <v>0</v>
      </c>
      <c r="E3717" s="293">
        <v>-18</v>
      </c>
      <c r="F3717" s="294" t="s">
        <v>286</v>
      </c>
    </row>
    <row r="3718" spans="1:6" hidden="1" outlineLevel="1" collapsed="1" x14ac:dyDescent="0.25">
      <c r="A3718" s="295" t="s">
        <v>282</v>
      </c>
      <c r="B3718" s="295" t="s">
        <v>763</v>
      </c>
      <c r="C3718" s="293">
        <v>21</v>
      </c>
      <c r="D3718" s="293">
        <v>11.04</v>
      </c>
      <c r="E3718" s="293">
        <v>-9.9600000000000009</v>
      </c>
      <c r="F3718" s="294" t="s">
        <v>1508</v>
      </c>
    </row>
    <row r="3719" spans="1:6" hidden="1" outlineLevel="1" collapsed="1" x14ac:dyDescent="0.25">
      <c r="A3719" s="295" t="s">
        <v>282</v>
      </c>
      <c r="B3719" s="295" t="s">
        <v>399</v>
      </c>
      <c r="C3719" s="293">
        <v>200</v>
      </c>
      <c r="D3719" s="293">
        <v>200</v>
      </c>
      <c r="E3719" s="293">
        <v>0</v>
      </c>
      <c r="F3719" s="294" t="s">
        <v>316</v>
      </c>
    </row>
    <row r="3720" spans="1:6" hidden="1" outlineLevel="1" collapsed="1" x14ac:dyDescent="0.25">
      <c r="A3720" s="295" t="s">
        <v>282</v>
      </c>
      <c r="B3720" s="295" t="s">
        <v>375</v>
      </c>
      <c r="C3720" s="293">
        <v>1800</v>
      </c>
      <c r="D3720" s="293">
        <v>1800</v>
      </c>
      <c r="E3720" s="293">
        <v>0</v>
      </c>
      <c r="F3720" s="294" t="s">
        <v>316</v>
      </c>
    </row>
    <row r="3721" spans="1:6" hidden="1" outlineLevel="1" collapsed="1" x14ac:dyDescent="0.25">
      <c r="A3721" s="295" t="s">
        <v>282</v>
      </c>
      <c r="B3721" s="295" t="s">
        <v>376</v>
      </c>
      <c r="C3721" s="293">
        <v>1750</v>
      </c>
      <c r="D3721" s="293">
        <v>1800</v>
      </c>
      <c r="E3721" s="293">
        <v>50</v>
      </c>
      <c r="F3721" s="294" t="s">
        <v>1509</v>
      </c>
    </row>
    <row r="3722" spans="1:6" hidden="1" outlineLevel="1" collapsed="1" x14ac:dyDescent="0.25">
      <c r="A3722" s="295" t="s">
        <v>282</v>
      </c>
      <c r="B3722" s="295" t="s">
        <v>707</v>
      </c>
      <c r="C3722" s="293">
        <v>499.5</v>
      </c>
      <c r="D3722" s="293">
        <v>500</v>
      </c>
      <c r="E3722" s="293">
        <v>0.5</v>
      </c>
      <c r="F3722" s="294" t="s">
        <v>1510</v>
      </c>
    </row>
    <row r="3723" spans="1:6" hidden="1" outlineLevel="1" collapsed="1" x14ac:dyDescent="0.25">
      <c r="A3723" s="295" t="s">
        <v>282</v>
      </c>
      <c r="B3723" s="295" t="s">
        <v>482</v>
      </c>
      <c r="C3723" s="293">
        <v>50</v>
      </c>
      <c r="D3723" s="293">
        <v>0</v>
      </c>
      <c r="E3723" s="293">
        <v>-50</v>
      </c>
      <c r="F3723" s="294" t="s">
        <v>286</v>
      </c>
    </row>
    <row r="3724" spans="1:6" hidden="1" outlineLevel="1" collapsed="1" x14ac:dyDescent="0.25">
      <c r="A3724" s="295" t="s">
        <v>282</v>
      </c>
      <c r="B3724" s="295" t="s">
        <v>403</v>
      </c>
      <c r="C3724" s="293">
        <v>1000</v>
      </c>
      <c r="D3724" s="293">
        <v>1000</v>
      </c>
      <c r="E3724" s="293">
        <v>0</v>
      </c>
      <c r="F3724" s="294" t="s">
        <v>316</v>
      </c>
    </row>
    <row r="3725" spans="1:6" hidden="1" outlineLevel="1" collapsed="1" x14ac:dyDescent="0.25">
      <c r="A3725" s="295" t="s">
        <v>282</v>
      </c>
      <c r="B3725" s="295" t="s">
        <v>422</v>
      </c>
      <c r="C3725" s="293">
        <v>1000</v>
      </c>
      <c r="D3725" s="293">
        <v>0</v>
      </c>
      <c r="E3725" s="293">
        <v>-1000</v>
      </c>
      <c r="F3725" s="294" t="s">
        <v>286</v>
      </c>
    </row>
    <row r="3726" spans="1:6" collapsed="1" x14ac:dyDescent="0.25">
      <c r="A3726" s="560" t="s">
        <v>1511</v>
      </c>
      <c r="B3726" s="561"/>
      <c r="C3726" s="292">
        <v>265850.48051199998</v>
      </c>
      <c r="D3726" s="293">
        <v>271602.63782800001</v>
      </c>
      <c r="E3726" s="293">
        <v>5752.1573159999998</v>
      </c>
      <c r="F3726" s="294" t="s">
        <v>1512</v>
      </c>
    </row>
    <row r="3727" spans="1:6" hidden="1" outlineLevel="1" collapsed="1" x14ac:dyDescent="0.25">
      <c r="A3727" s="295" t="s">
        <v>282</v>
      </c>
      <c r="B3727" s="295" t="s">
        <v>942</v>
      </c>
      <c r="C3727" s="293">
        <v>104917.50879599999</v>
      </c>
      <c r="D3727" s="293">
        <v>106491.270072</v>
      </c>
      <c r="E3727" s="293">
        <v>1573.761276</v>
      </c>
      <c r="F3727" s="294" t="s">
        <v>510</v>
      </c>
    </row>
    <row r="3728" spans="1:6" hidden="1" outlineLevel="1" collapsed="1" x14ac:dyDescent="0.25">
      <c r="A3728" s="295" t="s">
        <v>282</v>
      </c>
      <c r="B3728" s="295" t="s">
        <v>464</v>
      </c>
      <c r="C3728" s="293">
        <v>58024.328022000002</v>
      </c>
      <c r="D3728" s="293">
        <v>65818.573711999998</v>
      </c>
      <c r="E3728" s="293">
        <v>7794.2456899999997</v>
      </c>
      <c r="F3728" s="294" t="s">
        <v>1353</v>
      </c>
    </row>
    <row r="3729" spans="1:6" hidden="1" outlineLevel="1" collapsed="1" x14ac:dyDescent="0.25">
      <c r="A3729" s="295" t="s">
        <v>282</v>
      </c>
      <c r="B3729" s="295" t="s">
        <v>945</v>
      </c>
      <c r="C3729" s="293">
        <v>15000</v>
      </c>
      <c r="D3729" s="293">
        <v>5000</v>
      </c>
      <c r="E3729" s="293">
        <v>-10000</v>
      </c>
      <c r="F3729" s="294" t="s">
        <v>1513</v>
      </c>
    </row>
    <row r="3730" spans="1:6" hidden="1" outlineLevel="1" collapsed="1" x14ac:dyDescent="0.25">
      <c r="A3730" s="295" t="s">
        <v>282</v>
      </c>
      <c r="B3730" s="295" t="s">
        <v>384</v>
      </c>
      <c r="C3730" s="293">
        <v>18692.062644000001</v>
      </c>
      <c r="D3730" s="293">
        <v>0</v>
      </c>
      <c r="E3730" s="293">
        <v>-18692.062644000001</v>
      </c>
      <c r="F3730" s="294" t="s">
        <v>286</v>
      </c>
    </row>
    <row r="3731" spans="1:6" hidden="1" outlineLevel="1" collapsed="1" x14ac:dyDescent="0.25">
      <c r="A3731" s="295" t="s">
        <v>282</v>
      </c>
      <c r="B3731" s="295" t="s">
        <v>385</v>
      </c>
      <c r="C3731" s="293">
        <v>0</v>
      </c>
      <c r="D3731" s="293">
        <v>24289.795644000002</v>
      </c>
      <c r="E3731" s="293">
        <v>24289.795644000002</v>
      </c>
      <c r="F3731" s="294" t="s">
        <v>298</v>
      </c>
    </row>
    <row r="3732" spans="1:6" hidden="1" outlineLevel="1" collapsed="1" x14ac:dyDescent="0.25">
      <c r="A3732" s="295" t="s">
        <v>282</v>
      </c>
      <c r="B3732" s="295" t="s">
        <v>386</v>
      </c>
      <c r="C3732" s="293">
        <v>10139.593862</v>
      </c>
      <c r="D3732" s="293">
        <v>0</v>
      </c>
      <c r="E3732" s="293">
        <v>-10139.593862</v>
      </c>
      <c r="F3732" s="294" t="s">
        <v>286</v>
      </c>
    </row>
    <row r="3733" spans="1:6" hidden="1" outlineLevel="1" collapsed="1" x14ac:dyDescent="0.25">
      <c r="A3733" s="295" t="s">
        <v>282</v>
      </c>
      <c r="B3733" s="295" t="s">
        <v>387</v>
      </c>
      <c r="C3733" s="293">
        <v>0</v>
      </c>
      <c r="D3733" s="293">
        <v>10720.410296</v>
      </c>
      <c r="E3733" s="293">
        <v>10720.410296</v>
      </c>
      <c r="F3733" s="294" t="s">
        <v>298</v>
      </c>
    </row>
    <row r="3734" spans="1:6" hidden="1" outlineLevel="1" collapsed="1" x14ac:dyDescent="0.25">
      <c r="A3734" s="295" t="s">
        <v>282</v>
      </c>
      <c r="B3734" s="295" t="s">
        <v>388</v>
      </c>
      <c r="C3734" s="293">
        <v>2371.356616</v>
      </c>
      <c r="D3734" s="293">
        <v>2507.19272</v>
      </c>
      <c r="E3734" s="293">
        <v>135.83610400000001</v>
      </c>
      <c r="F3734" s="294" t="s">
        <v>1514</v>
      </c>
    </row>
    <row r="3735" spans="1:6" hidden="1" outlineLevel="1" collapsed="1" x14ac:dyDescent="0.25">
      <c r="A3735" s="295" t="s">
        <v>282</v>
      </c>
      <c r="B3735" s="295" t="s">
        <v>480</v>
      </c>
      <c r="C3735" s="293">
        <v>186.63167999999999</v>
      </c>
      <c r="D3735" s="293">
        <v>241.50047599999999</v>
      </c>
      <c r="E3735" s="293">
        <v>54.868796000000003</v>
      </c>
      <c r="F3735" s="294" t="s">
        <v>1515</v>
      </c>
    </row>
    <row r="3736" spans="1:6" hidden="1" outlineLevel="1" collapsed="1" x14ac:dyDescent="0.25">
      <c r="A3736" s="295" t="s">
        <v>282</v>
      </c>
      <c r="B3736" s="295" t="s">
        <v>444</v>
      </c>
      <c r="C3736" s="293">
        <v>900</v>
      </c>
      <c r="D3736" s="293">
        <v>900</v>
      </c>
      <c r="E3736" s="293">
        <v>0</v>
      </c>
      <c r="F3736" s="294" t="s">
        <v>316</v>
      </c>
    </row>
    <row r="3737" spans="1:6" hidden="1" outlineLevel="1" collapsed="1" x14ac:dyDescent="0.25">
      <c r="A3737" s="295" t="s">
        <v>282</v>
      </c>
      <c r="B3737" s="295" t="s">
        <v>389</v>
      </c>
      <c r="C3737" s="293">
        <v>852.24959999999999</v>
      </c>
      <c r="D3737" s="293">
        <v>844.08</v>
      </c>
      <c r="E3737" s="293">
        <v>-8.1696000000000009</v>
      </c>
      <c r="F3737" s="294" t="s">
        <v>364</v>
      </c>
    </row>
    <row r="3738" spans="1:6" hidden="1" outlineLevel="1" collapsed="1" x14ac:dyDescent="0.25">
      <c r="A3738" s="295" t="s">
        <v>282</v>
      </c>
      <c r="B3738" s="295" t="s">
        <v>390</v>
      </c>
      <c r="C3738" s="293">
        <v>30970.54</v>
      </c>
      <c r="D3738" s="293">
        <v>31918.560000000001</v>
      </c>
      <c r="E3738" s="293">
        <v>948.02</v>
      </c>
      <c r="F3738" s="294" t="s">
        <v>391</v>
      </c>
    </row>
    <row r="3739" spans="1:6" hidden="1" outlineLevel="1" collapsed="1" x14ac:dyDescent="0.25">
      <c r="A3739" s="295" t="s">
        <v>282</v>
      </c>
      <c r="B3739" s="295" t="s">
        <v>392</v>
      </c>
      <c r="C3739" s="293">
        <v>467.07839999999999</v>
      </c>
      <c r="D3739" s="293">
        <v>365.76</v>
      </c>
      <c r="E3739" s="293">
        <v>-101.3184</v>
      </c>
      <c r="F3739" s="294" t="s">
        <v>368</v>
      </c>
    </row>
    <row r="3740" spans="1:6" hidden="1" outlineLevel="1" collapsed="1" x14ac:dyDescent="0.25">
      <c r="A3740" s="295" t="s">
        <v>282</v>
      </c>
      <c r="B3740" s="295" t="s">
        <v>393</v>
      </c>
      <c r="C3740" s="293">
        <v>81.770892000000003</v>
      </c>
      <c r="D3740" s="293">
        <v>86.454908000000003</v>
      </c>
      <c r="E3740" s="293">
        <v>4.6840159999999997</v>
      </c>
      <c r="F3740" s="294" t="s">
        <v>1514</v>
      </c>
    </row>
    <row r="3741" spans="1:6" hidden="1" outlineLevel="1" collapsed="1" x14ac:dyDescent="0.25">
      <c r="A3741" s="295" t="s">
        <v>282</v>
      </c>
      <c r="B3741" s="295" t="s">
        <v>394</v>
      </c>
      <c r="C3741" s="293">
        <v>3000</v>
      </c>
      <c r="D3741" s="293">
        <v>0</v>
      </c>
      <c r="E3741" s="293">
        <v>-3000</v>
      </c>
      <c r="F3741" s="294" t="s">
        <v>286</v>
      </c>
    </row>
    <row r="3742" spans="1:6" hidden="1" outlineLevel="1" collapsed="1" x14ac:dyDescent="0.25">
      <c r="A3742" s="295" t="s">
        <v>282</v>
      </c>
      <c r="B3742" s="295" t="s">
        <v>395</v>
      </c>
      <c r="C3742" s="293">
        <v>0</v>
      </c>
      <c r="D3742" s="293">
        <v>3000</v>
      </c>
      <c r="E3742" s="293">
        <v>3000</v>
      </c>
      <c r="F3742" s="294" t="s">
        <v>298</v>
      </c>
    </row>
    <row r="3743" spans="1:6" hidden="1" outlineLevel="1" collapsed="1" x14ac:dyDescent="0.25">
      <c r="A3743" s="295" t="s">
        <v>282</v>
      </c>
      <c r="B3743" s="295" t="s">
        <v>396</v>
      </c>
      <c r="C3743" s="293">
        <v>99.36</v>
      </c>
      <c r="D3743" s="293">
        <v>0</v>
      </c>
      <c r="E3743" s="293">
        <v>-99.36</v>
      </c>
      <c r="F3743" s="294" t="s">
        <v>286</v>
      </c>
    </row>
    <row r="3744" spans="1:6" hidden="1" outlineLevel="1" collapsed="1" x14ac:dyDescent="0.25">
      <c r="A3744" s="295" t="s">
        <v>282</v>
      </c>
      <c r="B3744" s="295" t="s">
        <v>397</v>
      </c>
      <c r="C3744" s="293">
        <v>0</v>
      </c>
      <c r="D3744" s="293">
        <v>96.96</v>
      </c>
      <c r="E3744" s="293">
        <v>96.96</v>
      </c>
      <c r="F3744" s="294" t="s">
        <v>298</v>
      </c>
    </row>
    <row r="3745" spans="1:6" hidden="1" outlineLevel="1" collapsed="1" x14ac:dyDescent="0.25">
      <c r="A3745" s="295" t="s">
        <v>282</v>
      </c>
      <c r="B3745" s="295" t="s">
        <v>398</v>
      </c>
      <c r="C3745" s="293">
        <v>48</v>
      </c>
      <c r="D3745" s="293">
        <v>22.08</v>
      </c>
      <c r="E3745" s="293">
        <v>-25.92</v>
      </c>
      <c r="F3745" s="294" t="s">
        <v>374</v>
      </c>
    </row>
    <row r="3746" spans="1:6" hidden="1" outlineLevel="1" collapsed="1" x14ac:dyDescent="0.25">
      <c r="A3746" s="295" t="s">
        <v>282</v>
      </c>
      <c r="B3746" s="295" t="s">
        <v>376</v>
      </c>
      <c r="C3746" s="293">
        <v>2000</v>
      </c>
      <c r="D3746" s="293">
        <v>2000</v>
      </c>
      <c r="E3746" s="293">
        <v>0</v>
      </c>
      <c r="F3746" s="294" t="s">
        <v>316</v>
      </c>
    </row>
    <row r="3747" spans="1:6" hidden="1" outlineLevel="1" collapsed="1" x14ac:dyDescent="0.25">
      <c r="A3747" s="295" t="s">
        <v>282</v>
      </c>
      <c r="B3747" s="295" t="s">
        <v>662</v>
      </c>
      <c r="C3747" s="293">
        <v>2000</v>
      </c>
      <c r="D3747" s="293">
        <v>2000</v>
      </c>
      <c r="E3747" s="293">
        <v>0</v>
      </c>
      <c r="F3747" s="294" t="s">
        <v>316</v>
      </c>
    </row>
    <row r="3748" spans="1:6" hidden="1" outlineLevel="1" collapsed="1" x14ac:dyDescent="0.25">
      <c r="A3748" s="295" t="s">
        <v>282</v>
      </c>
      <c r="B3748" s="295" t="s">
        <v>426</v>
      </c>
      <c r="C3748" s="293">
        <v>2400</v>
      </c>
      <c r="D3748" s="293">
        <v>2400</v>
      </c>
      <c r="E3748" s="293">
        <v>0</v>
      </c>
      <c r="F3748" s="294" t="s">
        <v>316</v>
      </c>
    </row>
    <row r="3749" spans="1:6" hidden="1" outlineLevel="1" collapsed="1" x14ac:dyDescent="0.25">
      <c r="A3749" s="295" t="s">
        <v>282</v>
      </c>
      <c r="B3749" s="295" t="s">
        <v>952</v>
      </c>
      <c r="C3749" s="293">
        <v>600</v>
      </c>
      <c r="D3749" s="293">
        <v>600</v>
      </c>
      <c r="E3749" s="293">
        <v>0</v>
      </c>
      <c r="F3749" s="294" t="s">
        <v>316</v>
      </c>
    </row>
    <row r="3750" spans="1:6" hidden="1" outlineLevel="1" collapsed="1" x14ac:dyDescent="0.25">
      <c r="A3750" s="295" t="s">
        <v>282</v>
      </c>
      <c r="B3750" s="295" t="s">
        <v>597</v>
      </c>
      <c r="C3750" s="293">
        <v>1100</v>
      </c>
      <c r="D3750" s="293">
        <v>600</v>
      </c>
      <c r="E3750" s="293">
        <v>-500</v>
      </c>
      <c r="F3750" s="294" t="s">
        <v>1516</v>
      </c>
    </row>
    <row r="3751" spans="1:6" hidden="1" outlineLevel="1" collapsed="1" x14ac:dyDescent="0.25">
      <c r="A3751" s="295" t="s">
        <v>282</v>
      </c>
      <c r="B3751" s="295" t="s">
        <v>842</v>
      </c>
      <c r="C3751" s="293">
        <v>500</v>
      </c>
      <c r="D3751" s="293">
        <v>500</v>
      </c>
      <c r="E3751" s="293">
        <v>0</v>
      </c>
      <c r="F3751" s="294" t="s">
        <v>316</v>
      </c>
    </row>
    <row r="3752" spans="1:6" hidden="1" outlineLevel="1" collapsed="1" x14ac:dyDescent="0.25">
      <c r="A3752" s="295" t="s">
        <v>282</v>
      </c>
      <c r="B3752" s="295" t="s">
        <v>448</v>
      </c>
      <c r="C3752" s="293">
        <v>4325.75</v>
      </c>
      <c r="D3752" s="293">
        <v>4200</v>
      </c>
      <c r="E3752" s="293">
        <v>-125.75</v>
      </c>
      <c r="F3752" s="294" t="s">
        <v>1517</v>
      </c>
    </row>
    <row r="3753" spans="1:6" hidden="1" outlineLevel="1" collapsed="1" x14ac:dyDescent="0.25">
      <c r="A3753" s="295" t="s">
        <v>282</v>
      </c>
      <c r="B3753" s="295" t="s">
        <v>616</v>
      </c>
      <c r="C3753" s="293">
        <v>7174.25</v>
      </c>
      <c r="D3753" s="293">
        <v>7000</v>
      </c>
      <c r="E3753" s="293">
        <v>-174.25</v>
      </c>
      <c r="F3753" s="294" t="s">
        <v>1518</v>
      </c>
    </row>
    <row r="3754" spans="1:6" collapsed="1" x14ac:dyDescent="0.25">
      <c r="A3754" s="560" t="s">
        <v>1519</v>
      </c>
      <c r="B3754" s="561"/>
      <c r="C3754" s="292">
        <v>112452.736216</v>
      </c>
      <c r="D3754" s="293">
        <v>118293.480631</v>
      </c>
      <c r="E3754" s="293">
        <v>5840.7444150000001</v>
      </c>
      <c r="F3754" s="294" t="s">
        <v>1520</v>
      </c>
    </row>
    <row r="3755" spans="1:6" hidden="1" outlineLevel="1" collapsed="1" x14ac:dyDescent="0.25">
      <c r="A3755" s="295" t="s">
        <v>282</v>
      </c>
      <c r="B3755" s="295" t="s">
        <v>464</v>
      </c>
      <c r="C3755" s="293">
        <v>78829.308476000006</v>
      </c>
      <c r="D3755" s="293">
        <v>81192.275827999998</v>
      </c>
      <c r="E3755" s="293">
        <v>2362.9673520000001</v>
      </c>
      <c r="F3755" s="294" t="s">
        <v>548</v>
      </c>
    </row>
    <row r="3756" spans="1:6" hidden="1" outlineLevel="1" collapsed="1" x14ac:dyDescent="0.25">
      <c r="A3756" s="295" t="s">
        <v>282</v>
      </c>
      <c r="B3756" s="295" t="s">
        <v>384</v>
      </c>
      <c r="C3756" s="293">
        <v>9834.9570000000003</v>
      </c>
      <c r="D3756" s="293">
        <v>0</v>
      </c>
      <c r="E3756" s="293">
        <v>-9834.9570000000003</v>
      </c>
      <c r="F3756" s="294" t="s">
        <v>286</v>
      </c>
    </row>
    <row r="3757" spans="1:6" hidden="1" outlineLevel="1" collapsed="1" x14ac:dyDescent="0.25">
      <c r="A3757" s="295" t="s">
        <v>282</v>
      </c>
      <c r="B3757" s="295" t="s">
        <v>385</v>
      </c>
      <c r="C3757" s="293">
        <v>0</v>
      </c>
      <c r="D3757" s="293">
        <v>12725.679576</v>
      </c>
      <c r="E3757" s="293">
        <v>12725.679576</v>
      </c>
      <c r="F3757" s="294" t="s">
        <v>298</v>
      </c>
    </row>
    <row r="3758" spans="1:6" hidden="1" outlineLevel="1" collapsed="1" x14ac:dyDescent="0.25">
      <c r="A3758" s="295" t="s">
        <v>282</v>
      </c>
      <c r="B3758" s="295" t="s">
        <v>386</v>
      </c>
      <c r="C3758" s="293">
        <v>4887.4171200000001</v>
      </c>
      <c r="D3758" s="293">
        <v>0</v>
      </c>
      <c r="E3758" s="293">
        <v>-4887.4171200000001</v>
      </c>
      <c r="F3758" s="294" t="s">
        <v>286</v>
      </c>
    </row>
    <row r="3759" spans="1:6" hidden="1" outlineLevel="1" collapsed="1" x14ac:dyDescent="0.25">
      <c r="A3759" s="295" t="s">
        <v>282</v>
      </c>
      <c r="B3759" s="295" t="s">
        <v>387</v>
      </c>
      <c r="C3759" s="293">
        <v>0</v>
      </c>
      <c r="D3759" s="293">
        <v>5033.9210990000001</v>
      </c>
      <c r="E3759" s="293">
        <v>5033.9210990000001</v>
      </c>
      <c r="F3759" s="294" t="s">
        <v>298</v>
      </c>
    </row>
    <row r="3760" spans="1:6" hidden="1" outlineLevel="1" collapsed="1" x14ac:dyDescent="0.25">
      <c r="A3760" s="295" t="s">
        <v>282</v>
      </c>
      <c r="B3760" s="295" t="s">
        <v>388</v>
      </c>
      <c r="C3760" s="293">
        <v>1143.0249719999999</v>
      </c>
      <c r="D3760" s="293">
        <v>1177.287996</v>
      </c>
      <c r="E3760" s="293">
        <v>34.263024000000001</v>
      </c>
      <c r="F3760" s="294" t="s">
        <v>548</v>
      </c>
    </row>
    <row r="3761" spans="1:6" hidden="1" outlineLevel="1" collapsed="1" x14ac:dyDescent="0.25">
      <c r="A3761" s="295" t="s">
        <v>282</v>
      </c>
      <c r="B3761" s="295" t="s">
        <v>389</v>
      </c>
      <c r="C3761" s="293">
        <v>426.12479999999999</v>
      </c>
      <c r="D3761" s="293">
        <v>422.04</v>
      </c>
      <c r="E3761" s="293">
        <v>-4.0848000000000004</v>
      </c>
      <c r="F3761" s="294" t="s">
        <v>364</v>
      </c>
    </row>
    <row r="3762" spans="1:6" hidden="1" outlineLevel="1" collapsed="1" x14ac:dyDescent="0.25">
      <c r="A3762" s="295" t="s">
        <v>282</v>
      </c>
      <c r="B3762" s="295" t="s">
        <v>390</v>
      </c>
      <c r="C3762" s="293">
        <v>15485.27</v>
      </c>
      <c r="D3762" s="293">
        <v>15959.28</v>
      </c>
      <c r="E3762" s="293">
        <v>474.01</v>
      </c>
      <c r="F3762" s="294" t="s">
        <v>391</v>
      </c>
    </row>
    <row r="3763" spans="1:6" hidden="1" outlineLevel="1" collapsed="1" x14ac:dyDescent="0.25">
      <c r="A3763" s="295" t="s">
        <v>282</v>
      </c>
      <c r="B3763" s="295" t="s">
        <v>392</v>
      </c>
      <c r="C3763" s="293">
        <v>233.53919999999999</v>
      </c>
      <c r="D3763" s="293">
        <v>182.88</v>
      </c>
      <c r="E3763" s="293">
        <v>-50.659199999999998</v>
      </c>
      <c r="F3763" s="294" t="s">
        <v>368</v>
      </c>
    </row>
    <row r="3764" spans="1:6" hidden="1" outlineLevel="1" collapsed="1" x14ac:dyDescent="0.25">
      <c r="A3764" s="295" t="s">
        <v>282</v>
      </c>
      <c r="B3764" s="295" t="s">
        <v>393</v>
      </c>
      <c r="C3764" s="293">
        <v>39.414648</v>
      </c>
      <c r="D3764" s="293">
        <v>40.596131999999997</v>
      </c>
      <c r="E3764" s="293">
        <v>1.181484</v>
      </c>
      <c r="F3764" s="294" t="s">
        <v>548</v>
      </c>
    </row>
    <row r="3765" spans="1:6" hidden="1" outlineLevel="1" collapsed="1" x14ac:dyDescent="0.25">
      <c r="A3765" s="295" t="s">
        <v>282</v>
      </c>
      <c r="B3765" s="295" t="s">
        <v>394</v>
      </c>
      <c r="C3765" s="293">
        <v>1500</v>
      </c>
      <c r="D3765" s="293">
        <v>0</v>
      </c>
      <c r="E3765" s="293">
        <v>-1500</v>
      </c>
      <c r="F3765" s="294" t="s">
        <v>286</v>
      </c>
    </row>
    <row r="3766" spans="1:6" hidden="1" outlineLevel="1" collapsed="1" x14ac:dyDescent="0.25">
      <c r="A3766" s="295" t="s">
        <v>282</v>
      </c>
      <c r="B3766" s="295" t="s">
        <v>395</v>
      </c>
      <c r="C3766" s="293">
        <v>0</v>
      </c>
      <c r="D3766" s="293">
        <v>1500</v>
      </c>
      <c r="E3766" s="293">
        <v>1500</v>
      </c>
      <c r="F3766" s="294" t="s">
        <v>298</v>
      </c>
    </row>
    <row r="3767" spans="1:6" hidden="1" outlineLevel="1" collapsed="1" x14ac:dyDescent="0.25">
      <c r="A3767" s="295" t="s">
        <v>282</v>
      </c>
      <c r="B3767" s="295" t="s">
        <v>396</v>
      </c>
      <c r="C3767" s="293">
        <v>49.68</v>
      </c>
      <c r="D3767" s="293">
        <v>0</v>
      </c>
      <c r="E3767" s="293">
        <v>-49.68</v>
      </c>
      <c r="F3767" s="294" t="s">
        <v>286</v>
      </c>
    </row>
    <row r="3768" spans="1:6" hidden="1" outlineLevel="1" collapsed="1" x14ac:dyDescent="0.25">
      <c r="A3768" s="295" t="s">
        <v>282</v>
      </c>
      <c r="B3768" s="295" t="s">
        <v>397</v>
      </c>
      <c r="C3768" s="293">
        <v>0</v>
      </c>
      <c r="D3768" s="293">
        <v>48.48</v>
      </c>
      <c r="E3768" s="293">
        <v>48.48</v>
      </c>
      <c r="F3768" s="294" t="s">
        <v>298</v>
      </c>
    </row>
    <row r="3769" spans="1:6" hidden="1" outlineLevel="1" collapsed="1" x14ac:dyDescent="0.25">
      <c r="A3769" s="295" t="s">
        <v>282</v>
      </c>
      <c r="B3769" s="295" t="s">
        <v>398</v>
      </c>
      <c r="C3769" s="293">
        <v>24</v>
      </c>
      <c r="D3769" s="293">
        <v>11.04</v>
      </c>
      <c r="E3769" s="293">
        <v>-12.96</v>
      </c>
      <c r="F3769" s="294" t="s">
        <v>374</v>
      </c>
    </row>
    <row r="3770" spans="1:6" hidden="1" outlineLevel="1" collapsed="1" x14ac:dyDescent="0.25">
      <c r="A3770" s="295" t="s">
        <v>282</v>
      </c>
      <c r="B3770" s="295" t="s">
        <v>426</v>
      </c>
      <c r="C3770" s="293">
        <v>0</v>
      </c>
      <c r="D3770" s="293">
        <v>0</v>
      </c>
      <c r="E3770" s="293">
        <v>0</v>
      </c>
      <c r="F3770" s="294" t="s">
        <v>316</v>
      </c>
    </row>
    <row r="3771" spans="1:6" hidden="1" outlineLevel="1" collapsed="1" x14ac:dyDescent="0.25">
      <c r="A3771" s="295" t="s">
        <v>282</v>
      </c>
      <c r="B3771" s="295" t="s">
        <v>770</v>
      </c>
      <c r="C3771" s="293">
        <v>0</v>
      </c>
      <c r="D3771" s="293">
        <v>0</v>
      </c>
      <c r="E3771" s="293">
        <v>0</v>
      </c>
      <c r="F3771" s="294" t="s">
        <v>316</v>
      </c>
    </row>
    <row r="3772" spans="1:6" collapsed="1" x14ac:dyDescent="0.25">
      <c r="A3772" s="560" t="s">
        <v>1521</v>
      </c>
      <c r="B3772" s="561"/>
      <c r="C3772" s="292">
        <v>429124.72036600002</v>
      </c>
      <c r="D3772" s="293">
        <v>461719.48215499998</v>
      </c>
      <c r="E3772" s="293">
        <v>32594.761789</v>
      </c>
      <c r="F3772" s="294" t="s">
        <v>1522</v>
      </c>
    </row>
    <row r="3773" spans="1:6" hidden="1" outlineLevel="1" collapsed="1" x14ac:dyDescent="0.25">
      <c r="A3773" s="295" t="s">
        <v>282</v>
      </c>
      <c r="B3773" s="295" t="s">
        <v>464</v>
      </c>
      <c r="C3773" s="293">
        <v>237515.53609199999</v>
      </c>
      <c r="D3773" s="293">
        <v>282824.78110199998</v>
      </c>
      <c r="E3773" s="293">
        <v>45309.245009999999</v>
      </c>
      <c r="F3773" s="294" t="s">
        <v>1523</v>
      </c>
    </row>
    <row r="3774" spans="1:6" hidden="1" outlineLevel="1" collapsed="1" x14ac:dyDescent="0.25">
      <c r="A3774" s="295" t="s">
        <v>282</v>
      </c>
      <c r="B3774" s="295" t="s">
        <v>935</v>
      </c>
      <c r="C3774" s="293">
        <v>250</v>
      </c>
      <c r="D3774" s="293">
        <v>0</v>
      </c>
      <c r="E3774" s="293">
        <v>-250</v>
      </c>
      <c r="F3774" s="294" t="s">
        <v>286</v>
      </c>
    </row>
    <row r="3775" spans="1:6" hidden="1" outlineLevel="1" collapsed="1" x14ac:dyDescent="0.25">
      <c r="A3775" s="295" t="s">
        <v>282</v>
      </c>
      <c r="B3775" s="295" t="s">
        <v>799</v>
      </c>
      <c r="C3775" s="293">
        <v>36442</v>
      </c>
      <c r="D3775" s="293">
        <v>0</v>
      </c>
      <c r="E3775" s="293">
        <v>-36442</v>
      </c>
      <c r="F3775" s="294" t="s">
        <v>286</v>
      </c>
    </row>
    <row r="3776" spans="1:6" hidden="1" outlineLevel="1" collapsed="1" x14ac:dyDescent="0.25">
      <c r="A3776" s="295" t="s">
        <v>282</v>
      </c>
      <c r="B3776" s="295" t="s">
        <v>384</v>
      </c>
      <c r="C3776" s="293">
        <v>32417.261198</v>
      </c>
      <c r="D3776" s="293">
        <v>0</v>
      </c>
      <c r="E3776" s="293">
        <v>-32417.261198</v>
      </c>
      <c r="F3776" s="294" t="s">
        <v>286</v>
      </c>
    </row>
    <row r="3777" spans="1:6" hidden="1" outlineLevel="1" collapsed="1" x14ac:dyDescent="0.25">
      <c r="A3777" s="295" t="s">
        <v>282</v>
      </c>
      <c r="B3777" s="295" t="s">
        <v>385</v>
      </c>
      <c r="C3777" s="293">
        <v>0</v>
      </c>
      <c r="D3777" s="293">
        <v>43832.733032999997</v>
      </c>
      <c r="E3777" s="293">
        <v>43832.733032999997</v>
      </c>
      <c r="F3777" s="294" t="s">
        <v>298</v>
      </c>
    </row>
    <row r="3778" spans="1:6" hidden="1" outlineLevel="1" collapsed="1" x14ac:dyDescent="0.25">
      <c r="A3778" s="295" t="s">
        <v>282</v>
      </c>
      <c r="B3778" s="295" t="s">
        <v>386</v>
      </c>
      <c r="C3778" s="293">
        <v>16311.660625</v>
      </c>
      <c r="D3778" s="293">
        <v>0</v>
      </c>
      <c r="E3778" s="293">
        <v>-16311.660625</v>
      </c>
      <c r="F3778" s="294" t="s">
        <v>286</v>
      </c>
    </row>
    <row r="3779" spans="1:6" hidden="1" outlineLevel="1" collapsed="1" x14ac:dyDescent="0.25">
      <c r="A3779" s="295" t="s">
        <v>282</v>
      </c>
      <c r="B3779" s="295" t="s">
        <v>387</v>
      </c>
      <c r="C3779" s="293">
        <v>0</v>
      </c>
      <c r="D3779" s="293">
        <v>17535.136385999998</v>
      </c>
      <c r="E3779" s="293">
        <v>17535.136385999998</v>
      </c>
      <c r="F3779" s="294" t="s">
        <v>298</v>
      </c>
    </row>
    <row r="3780" spans="1:6" hidden="1" outlineLevel="1" collapsed="1" x14ac:dyDescent="0.25">
      <c r="A3780" s="295" t="s">
        <v>282</v>
      </c>
      <c r="B3780" s="295" t="s">
        <v>388</v>
      </c>
      <c r="C3780" s="293">
        <v>3814.823828</v>
      </c>
      <c r="D3780" s="293">
        <v>4100.9592899999998</v>
      </c>
      <c r="E3780" s="293">
        <v>286.13546200000002</v>
      </c>
      <c r="F3780" s="294" t="s">
        <v>1524</v>
      </c>
    </row>
    <row r="3781" spans="1:6" hidden="1" outlineLevel="1" collapsed="1" x14ac:dyDescent="0.25">
      <c r="A3781" s="295" t="s">
        <v>282</v>
      </c>
      <c r="B3781" s="295" t="s">
        <v>389</v>
      </c>
      <c r="C3781" s="293">
        <v>2272.6655999999998</v>
      </c>
      <c r="D3781" s="293">
        <v>2321.2199999999998</v>
      </c>
      <c r="E3781" s="293">
        <v>48.554400000000001</v>
      </c>
      <c r="F3781" s="294" t="s">
        <v>1525</v>
      </c>
    </row>
    <row r="3782" spans="1:6" hidden="1" outlineLevel="1" collapsed="1" x14ac:dyDescent="0.25">
      <c r="A3782" s="295" t="s">
        <v>282</v>
      </c>
      <c r="B3782" s="295" t="s">
        <v>390</v>
      </c>
      <c r="C3782" s="293">
        <v>82609.225000000006</v>
      </c>
      <c r="D3782" s="293">
        <v>87776.04</v>
      </c>
      <c r="E3782" s="293">
        <v>5166.8149999999996</v>
      </c>
      <c r="F3782" s="294" t="s">
        <v>1526</v>
      </c>
    </row>
    <row r="3783" spans="1:6" hidden="1" outlineLevel="1" collapsed="1" x14ac:dyDescent="0.25">
      <c r="A3783" s="295" t="s">
        <v>282</v>
      </c>
      <c r="B3783" s="295" t="s">
        <v>392</v>
      </c>
      <c r="C3783" s="293">
        <v>1245.5424</v>
      </c>
      <c r="D3783" s="293">
        <v>1005.84</v>
      </c>
      <c r="E3783" s="293">
        <v>-239.70240000000001</v>
      </c>
      <c r="F3783" s="294" t="s">
        <v>1527</v>
      </c>
    </row>
    <row r="3784" spans="1:6" hidden="1" outlineLevel="1" collapsed="1" x14ac:dyDescent="0.25">
      <c r="A3784" s="295" t="s">
        <v>282</v>
      </c>
      <c r="B3784" s="295" t="s">
        <v>393</v>
      </c>
      <c r="C3784" s="293">
        <v>131.54562300000001</v>
      </c>
      <c r="D3784" s="293">
        <v>141.41234399999999</v>
      </c>
      <c r="E3784" s="293">
        <v>9.8667210000000001</v>
      </c>
      <c r="F3784" s="294" t="s">
        <v>1524</v>
      </c>
    </row>
    <row r="3785" spans="1:6" hidden="1" outlineLevel="1" collapsed="1" x14ac:dyDescent="0.25">
      <c r="A3785" s="295" t="s">
        <v>282</v>
      </c>
      <c r="B3785" s="295" t="s">
        <v>394</v>
      </c>
      <c r="C3785" s="293">
        <v>8000</v>
      </c>
      <c r="D3785" s="293">
        <v>0</v>
      </c>
      <c r="E3785" s="293">
        <v>-8000</v>
      </c>
      <c r="F3785" s="294" t="s">
        <v>286</v>
      </c>
    </row>
    <row r="3786" spans="1:6" hidden="1" outlineLevel="1" collapsed="1" x14ac:dyDescent="0.25">
      <c r="A3786" s="295" t="s">
        <v>282</v>
      </c>
      <c r="B3786" s="295" t="s">
        <v>395</v>
      </c>
      <c r="C3786" s="293">
        <v>0</v>
      </c>
      <c r="D3786" s="293">
        <v>8250</v>
      </c>
      <c r="E3786" s="293">
        <v>8250</v>
      </c>
      <c r="F3786" s="294" t="s">
        <v>298</v>
      </c>
    </row>
    <row r="3787" spans="1:6" hidden="1" outlineLevel="1" collapsed="1" x14ac:dyDescent="0.25">
      <c r="A3787" s="295" t="s">
        <v>282</v>
      </c>
      <c r="B3787" s="295" t="s">
        <v>396</v>
      </c>
      <c r="C3787" s="293">
        <v>264.95999999999998</v>
      </c>
      <c r="D3787" s="293">
        <v>0</v>
      </c>
      <c r="E3787" s="293">
        <v>-264.95999999999998</v>
      </c>
      <c r="F3787" s="294" t="s">
        <v>286</v>
      </c>
    </row>
    <row r="3788" spans="1:6" hidden="1" outlineLevel="1" collapsed="1" x14ac:dyDescent="0.25">
      <c r="A3788" s="295" t="s">
        <v>282</v>
      </c>
      <c r="B3788" s="295" t="s">
        <v>397</v>
      </c>
      <c r="C3788" s="293">
        <v>0</v>
      </c>
      <c r="D3788" s="293">
        <v>266.64</v>
      </c>
      <c r="E3788" s="293">
        <v>266.64</v>
      </c>
      <c r="F3788" s="294" t="s">
        <v>298</v>
      </c>
    </row>
    <row r="3789" spans="1:6" hidden="1" outlineLevel="1" collapsed="1" x14ac:dyDescent="0.25">
      <c r="A3789" s="295" t="s">
        <v>282</v>
      </c>
      <c r="B3789" s="295" t="s">
        <v>398</v>
      </c>
      <c r="C3789" s="293">
        <v>128</v>
      </c>
      <c r="D3789" s="293">
        <v>60.72</v>
      </c>
      <c r="E3789" s="293">
        <v>-67.28</v>
      </c>
      <c r="F3789" s="294" t="s">
        <v>1528</v>
      </c>
    </row>
    <row r="3790" spans="1:6" hidden="1" outlineLevel="1" collapsed="1" x14ac:dyDescent="0.25">
      <c r="A3790" s="295" t="s">
        <v>282</v>
      </c>
      <c r="B3790" s="295" t="s">
        <v>399</v>
      </c>
      <c r="C3790" s="293">
        <v>315.5</v>
      </c>
      <c r="D3790" s="293">
        <v>340</v>
      </c>
      <c r="E3790" s="293">
        <v>24.5</v>
      </c>
      <c r="F3790" s="294" t="s">
        <v>1529</v>
      </c>
    </row>
    <row r="3791" spans="1:6" hidden="1" outlineLevel="1" collapsed="1" x14ac:dyDescent="0.25">
      <c r="A3791" s="295" t="s">
        <v>282</v>
      </c>
      <c r="B3791" s="295" t="s">
        <v>376</v>
      </c>
      <c r="C3791" s="293">
        <v>2254</v>
      </c>
      <c r="D3791" s="293">
        <v>2254</v>
      </c>
      <c r="E3791" s="293">
        <v>0</v>
      </c>
      <c r="F3791" s="294" t="s">
        <v>316</v>
      </c>
    </row>
    <row r="3792" spans="1:6" hidden="1" outlineLevel="1" collapsed="1" x14ac:dyDescent="0.25">
      <c r="A3792" s="295" t="s">
        <v>282</v>
      </c>
      <c r="B3792" s="295" t="s">
        <v>426</v>
      </c>
      <c r="C3792" s="293">
        <v>2344</v>
      </c>
      <c r="D3792" s="293">
        <v>2000</v>
      </c>
      <c r="E3792" s="293">
        <v>-344</v>
      </c>
      <c r="F3792" s="294" t="s">
        <v>1530</v>
      </c>
    </row>
    <row r="3793" spans="1:6" hidden="1" outlineLevel="1" collapsed="1" x14ac:dyDescent="0.25">
      <c r="A3793" s="295" t="s">
        <v>282</v>
      </c>
      <c r="B3793" s="295" t="s">
        <v>482</v>
      </c>
      <c r="C3793" s="293">
        <v>700</v>
      </c>
      <c r="D3793" s="293">
        <v>900</v>
      </c>
      <c r="E3793" s="293">
        <v>200</v>
      </c>
      <c r="F3793" s="294" t="s">
        <v>1531</v>
      </c>
    </row>
    <row r="3794" spans="1:6" hidden="1" outlineLevel="1" collapsed="1" x14ac:dyDescent="0.25">
      <c r="A3794" s="295" t="s">
        <v>282</v>
      </c>
      <c r="B3794" s="295" t="s">
        <v>597</v>
      </c>
      <c r="C3794" s="293">
        <v>200</v>
      </c>
      <c r="D3794" s="293">
        <v>300</v>
      </c>
      <c r="E3794" s="293">
        <v>100</v>
      </c>
      <c r="F3794" s="294" t="s">
        <v>784</v>
      </c>
    </row>
    <row r="3795" spans="1:6" hidden="1" outlineLevel="1" collapsed="1" x14ac:dyDescent="0.25">
      <c r="A3795" s="295" t="s">
        <v>282</v>
      </c>
      <c r="B3795" s="295" t="s">
        <v>448</v>
      </c>
      <c r="C3795" s="293">
        <v>0</v>
      </c>
      <c r="D3795" s="293">
        <v>7110</v>
      </c>
      <c r="E3795" s="293">
        <v>7110</v>
      </c>
      <c r="F3795" s="294" t="s">
        <v>298</v>
      </c>
    </row>
    <row r="3796" spans="1:6" hidden="1" outlineLevel="1" collapsed="1" x14ac:dyDescent="0.25">
      <c r="A3796" s="295" t="s">
        <v>282</v>
      </c>
      <c r="B3796" s="295" t="s">
        <v>422</v>
      </c>
      <c r="C3796" s="293">
        <v>750</v>
      </c>
      <c r="D3796" s="293">
        <v>700</v>
      </c>
      <c r="E3796" s="293">
        <v>-50</v>
      </c>
      <c r="F3796" s="294" t="s">
        <v>1100</v>
      </c>
    </row>
    <row r="3797" spans="1:6" hidden="1" outlineLevel="1" collapsed="1" x14ac:dyDescent="0.25">
      <c r="A3797" s="295" t="s">
        <v>282</v>
      </c>
      <c r="B3797" s="295" t="s">
        <v>770</v>
      </c>
      <c r="C3797" s="293">
        <v>1158</v>
      </c>
      <c r="D3797" s="293">
        <v>0</v>
      </c>
      <c r="E3797" s="293">
        <v>-1158</v>
      </c>
      <c r="F3797" s="294" t="s">
        <v>286</v>
      </c>
    </row>
    <row r="3798" spans="1:6" collapsed="1" x14ac:dyDescent="0.25">
      <c r="A3798" s="560" t="s">
        <v>1532</v>
      </c>
      <c r="B3798" s="561"/>
      <c r="C3798" s="292">
        <v>4360</v>
      </c>
      <c r="D3798" s="293">
        <v>0</v>
      </c>
      <c r="E3798" s="293">
        <v>-4360</v>
      </c>
      <c r="F3798" s="294" t="s">
        <v>286</v>
      </c>
    </row>
    <row r="3799" spans="1:6" hidden="1" outlineLevel="1" collapsed="1" x14ac:dyDescent="0.25">
      <c r="A3799" s="295" t="s">
        <v>282</v>
      </c>
      <c r="B3799" s="295" t="s">
        <v>475</v>
      </c>
      <c r="C3799" s="293">
        <v>4000</v>
      </c>
      <c r="D3799" s="293">
        <v>0</v>
      </c>
      <c r="E3799" s="293">
        <v>-4000</v>
      </c>
      <c r="F3799" s="294" t="s">
        <v>286</v>
      </c>
    </row>
    <row r="3800" spans="1:6" hidden="1" outlineLevel="1" collapsed="1" x14ac:dyDescent="0.25">
      <c r="A3800" s="295" t="s">
        <v>282</v>
      </c>
      <c r="B3800" s="295" t="s">
        <v>444</v>
      </c>
      <c r="C3800" s="293">
        <v>360</v>
      </c>
      <c r="D3800" s="293">
        <v>0</v>
      </c>
      <c r="E3800" s="293">
        <v>-360</v>
      </c>
      <c r="F3800" s="294" t="s">
        <v>286</v>
      </c>
    </row>
    <row r="3801" spans="1:6" collapsed="1" x14ac:dyDescent="0.25">
      <c r="A3801" s="560" t="s">
        <v>1533</v>
      </c>
      <c r="B3801" s="561"/>
      <c r="C3801" s="292">
        <v>824945.89747700002</v>
      </c>
      <c r="D3801" s="293">
        <v>870150.68630900001</v>
      </c>
      <c r="E3801" s="293">
        <v>45204.788831999998</v>
      </c>
      <c r="F3801" s="294" t="s">
        <v>1534</v>
      </c>
    </row>
    <row r="3802" spans="1:6" hidden="1" outlineLevel="1" collapsed="1" x14ac:dyDescent="0.25">
      <c r="A3802" s="295" t="s">
        <v>282</v>
      </c>
      <c r="B3802" s="295" t="s">
        <v>750</v>
      </c>
      <c r="C3802" s="293">
        <v>425975.83996100002</v>
      </c>
      <c r="D3802" s="293">
        <v>457716.27996900002</v>
      </c>
      <c r="E3802" s="293">
        <v>31740.440008000001</v>
      </c>
      <c r="F3802" s="294" t="s">
        <v>1535</v>
      </c>
    </row>
    <row r="3803" spans="1:6" hidden="1" outlineLevel="1" collapsed="1" x14ac:dyDescent="0.25">
      <c r="A3803" s="295" t="s">
        <v>282</v>
      </c>
      <c r="B3803" s="295" t="s">
        <v>735</v>
      </c>
      <c r="C3803" s="293">
        <v>0</v>
      </c>
      <c r="D3803" s="293">
        <v>25000</v>
      </c>
      <c r="E3803" s="293">
        <v>25000</v>
      </c>
      <c r="F3803" s="294" t="s">
        <v>298</v>
      </c>
    </row>
    <row r="3804" spans="1:6" hidden="1" outlineLevel="1" collapsed="1" x14ac:dyDescent="0.25">
      <c r="A3804" s="295" t="s">
        <v>282</v>
      </c>
      <c r="B3804" s="295" t="s">
        <v>412</v>
      </c>
      <c r="C3804" s="293">
        <v>6600</v>
      </c>
      <c r="D3804" s="293">
        <v>6600</v>
      </c>
      <c r="E3804" s="293">
        <v>0</v>
      </c>
      <c r="F3804" s="294" t="s">
        <v>316</v>
      </c>
    </row>
    <row r="3805" spans="1:6" hidden="1" outlineLevel="1" collapsed="1" x14ac:dyDescent="0.25">
      <c r="A3805" s="295" t="s">
        <v>282</v>
      </c>
      <c r="B3805" s="295" t="s">
        <v>441</v>
      </c>
      <c r="C3805" s="293">
        <v>19000</v>
      </c>
      <c r="D3805" s="293">
        <v>25000</v>
      </c>
      <c r="E3805" s="293">
        <v>6000</v>
      </c>
      <c r="F3805" s="294" t="s">
        <v>1252</v>
      </c>
    </row>
    <row r="3806" spans="1:6" hidden="1" outlineLevel="1" collapsed="1" x14ac:dyDescent="0.25">
      <c r="A3806" s="295" t="s">
        <v>282</v>
      </c>
      <c r="B3806" s="295" t="s">
        <v>464</v>
      </c>
      <c r="C3806" s="293">
        <v>93215.975821999993</v>
      </c>
      <c r="D3806" s="293">
        <v>98138.173106000002</v>
      </c>
      <c r="E3806" s="293">
        <v>4922.1972839999999</v>
      </c>
      <c r="F3806" s="294" t="s">
        <v>1536</v>
      </c>
    </row>
    <row r="3807" spans="1:6" hidden="1" outlineLevel="1" collapsed="1" x14ac:dyDescent="0.25">
      <c r="A3807" s="295" t="s">
        <v>282</v>
      </c>
      <c r="B3807" s="295" t="s">
        <v>424</v>
      </c>
      <c r="C3807" s="293">
        <v>30000</v>
      </c>
      <c r="D3807" s="293">
        <v>5000</v>
      </c>
      <c r="E3807" s="293">
        <v>-25000</v>
      </c>
      <c r="F3807" s="294" t="s">
        <v>1537</v>
      </c>
    </row>
    <row r="3808" spans="1:6" hidden="1" outlineLevel="1" collapsed="1" x14ac:dyDescent="0.25">
      <c r="A3808" s="295" t="s">
        <v>282</v>
      </c>
      <c r="B3808" s="295" t="s">
        <v>799</v>
      </c>
      <c r="C3808" s="293">
        <v>590</v>
      </c>
      <c r="D3808" s="293">
        <v>0</v>
      </c>
      <c r="E3808" s="293">
        <v>-590</v>
      </c>
      <c r="F3808" s="294" t="s">
        <v>286</v>
      </c>
    </row>
    <row r="3809" spans="1:6" hidden="1" outlineLevel="1" collapsed="1" x14ac:dyDescent="0.25">
      <c r="A3809" s="295" t="s">
        <v>282</v>
      </c>
      <c r="B3809" s="295" t="s">
        <v>751</v>
      </c>
      <c r="C3809" s="293">
        <v>50977.475951</v>
      </c>
      <c r="D3809" s="293">
        <v>0</v>
      </c>
      <c r="E3809" s="293">
        <v>-50977.475951</v>
      </c>
      <c r="F3809" s="294" t="s">
        <v>286</v>
      </c>
    </row>
    <row r="3810" spans="1:6" hidden="1" outlineLevel="1" collapsed="1" x14ac:dyDescent="0.25">
      <c r="A3810" s="295" t="s">
        <v>282</v>
      </c>
      <c r="B3810" s="295" t="s">
        <v>752</v>
      </c>
      <c r="C3810" s="293">
        <v>0</v>
      </c>
      <c r="D3810" s="293">
        <v>66048.459147000001</v>
      </c>
      <c r="E3810" s="293">
        <v>66048.459147000001</v>
      </c>
      <c r="F3810" s="294" t="s">
        <v>298</v>
      </c>
    </row>
    <row r="3811" spans="1:6" hidden="1" outlineLevel="1" collapsed="1" x14ac:dyDescent="0.25">
      <c r="A3811" s="295" t="s">
        <v>282</v>
      </c>
      <c r="B3811" s="295" t="s">
        <v>384</v>
      </c>
      <c r="C3811" s="293">
        <v>11644.799754</v>
      </c>
      <c r="D3811" s="293">
        <v>0</v>
      </c>
      <c r="E3811" s="293">
        <v>-11644.799754</v>
      </c>
      <c r="F3811" s="294" t="s">
        <v>286</v>
      </c>
    </row>
    <row r="3812" spans="1:6" hidden="1" outlineLevel="1" collapsed="1" x14ac:dyDescent="0.25">
      <c r="A3812" s="295" t="s">
        <v>282</v>
      </c>
      <c r="B3812" s="295" t="s">
        <v>385</v>
      </c>
      <c r="C3812" s="293">
        <v>0</v>
      </c>
      <c r="D3812" s="293">
        <v>15403.131336</v>
      </c>
      <c r="E3812" s="293">
        <v>15403.131336</v>
      </c>
      <c r="F3812" s="294" t="s">
        <v>298</v>
      </c>
    </row>
    <row r="3813" spans="1:6" hidden="1" outlineLevel="1" collapsed="1" x14ac:dyDescent="0.25">
      <c r="A3813" s="295" t="s">
        <v>282</v>
      </c>
      <c r="B3813" s="295" t="s">
        <v>386</v>
      </c>
      <c r="C3813" s="293">
        <v>5779.390488</v>
      </c>
      <c r="D3813" s="293">
        <v>0</v>
      </c>
      <c r="E3813" s="293">
        <v>-5779.390488</v>
      </c>
      <c r="F3813" s="294" t="s">
        <v>286</v>
      </c>
    </row>
    <row r="3814" spans="1:6" hidden="1" outlineLevel="1" collapsed="1" x14ac:dyDescent="0.25">
      <c r="A3814" s="295" t="s">
        <v>282</v>
      </c>
      <c r="B3814" s="295" t="s">
        <v>387</v>
      </c>
      <c r="C3814" s="293">
        <v>0</v>
      </c>
      <c r="D3814" s="293">
        <v>6084.5667240000002</v>
      </c>
      <c r="E3814" s="293">
        <v>6084.5667240000002</v>
      </c>
      <c r="F3814" s="294" t="s">
        <v>298</v>
      </c>
    </row>
    <row r="3815" spans="1:6" hidden="1" outlineLevel="1" collapsed="1" x14ac:dyDescent="0.25">
      <c r="A3815" s="295" t="s">
        <v>282</v>
      </c>
      <c r="B3815" s="295" t="s">
        <v>753</v>
      </c>
      <c r="C3815" s="293">
        <v>24628.383962</v>
      </c>
      <c r="D3815" s="293">
        <v>28787.609322</v>
      </c>
      <c r="E3815" s="293">
        <v>4159.2253600000004</v>
      </c>
      <c r="F3815" s="294" t="s">
        <v>1538</v>
      </c>
    </row>
    <row r="3816" spans="1:6" hidden="1" outlineLevel="1" collapsed="1" x14ac:dyDescent="0.25">
      <c r="A3816" s="295" t="s">
        <v>282</v>
      </c>
      <c r="B3816" s="295" t="s">
        <v>388</v>
      </c>
      <c r="C3816" s="293">
        <v>7111.4956009999996</v>
      </c>
      <c r="D3816" s="293">
        <v>8155.5895229999996</v>
      </c>
      <c r="E3816" s="293">
        <v>1044.093922</v>
      </c>
      <c r="F3816" s="294" t="s">
        <v>1539</v>
      </c>
    </row>
    <row r="3817" spans="1:6" hidden="1" outlineLevel="1" collapsed="1" x14ac:dyDescent="0.25">
      <c r="A3817" s="295" t="s">
        <v>282</v>
      </c>
      <c r="B3817" s="295" t="s">
        <v>444</v>
      </c>
      <c r="C3817" s="293">
        <v>24926.400000000001</v>
      </c>
      <c r="D3817" s="293">
        <v>6115</v>
      </c>
      <c r="E3817" s="293">
        <v>-18811.400000000001</v>
      </c>
      <c r="F3817" s="294" t="s">
        <v>1540</v>
      </c>
    </row>
    <row r="3818" spans="1:6" hidden="1" outlineLevel="1" collapsed="1" x14ac:dyDescent="0.25">
      <c r="A3818" s="295" t="s">
        <v>282</v>
      </c>
      <c r="B3818" s="295" t="s">
        <v>389</v>
      </c>
      <c r="C3818" s="293">
        <v>852.24959999999999</v>
      </c>
      <c r="D3818" s="293">
        <v>844.08</v>
      </c>
      <c r="E3818" s="293">
        <v>-8.1696000000000009</v>
      </c>
      <c r="F3818" s="294" t="s">
        <v>364</v>
      </c>
    </row>
    <row r="3819" spans="1:6" hidden="1" outlineLevel="1" collapsed="1" x14ac:dyDescent="0.25">
      <c r="A3819" s="295" t="s">
        <v>282</v>
      </c>
      <c r="B3819" s="295" t="s">
        <v>390</v>
      </c>
      <c r="C3819" s="293">
        <v>30970.54</v>
      </c>
      <c r="D3819" s="293">
        <v>31918.560000000001</v>
      </c>
      <c r="E3819" s="293">
        <v>948.02</v>
      </c>
      <c r="F3819" s="294" t="s">
        <v>391</v>
      </c>
    </row>
    <row r="3820" spans="1:6" hidden="1" outlineLevel="1" collapsed="1" x14ac:dyDescent="0.25">
      <c r="A3820" s="295" t="s">
        <v>282</v>
      </c>
      <c r="B3820" s="295" t="s">
        <v>392</v>
      </c>
      <c r="C3820" s="293">
        <v>467.07839999999999</v>
      </c>
      <c r="D3820" s="293">
        <v>365.76</v>
      </c>
      <c r="E3820" s="293">
        <v>-101.3184</v>
      </c>
      <c r="F3820" s="294" t="s">
        <v>368</v>
      </c>
    </row>
    <row r="3821" spans="1:6" hidden="1" outlineLevel="1" collapsed="1" x14ac:dyDescent="0.25">
      <c r="A3821" s="295" t="s">
        <v>282</v>
      </c>
      <c r="B3821" s="295" t="s">
        <v>754</v>
      </c>
      <c r="C3821" s="293">
        <v>51835.14</v>
      </c>
      <c r="D3821" s="293">
        <v>63837.120000000003</v>
      </c>
      <c r="E3821" s="293">
        <v>12001.98</v>
      </c>
      <c r="F3821" s="294" t="s">
        <v>1541</v>
      </c>
    </row>
    <row r="3822" spans="1:6" hidden="1" outlineLevel="1" collapsed="1" x14ac:dyDescent="0.25">
      <c r="A3822" s="295" t="s">
        <v>282</v>
      </c>
      <c r="B3822" s="295" t="s">
        <v>755</v>
      </c>
      <c r="C3822" s="293">
        <v>1757.7647999999999</v>
      </c>
      <c r="D3822" s="293">
        <v>2004.69</v>
      </c>
      <c r="E3822" s="293">
        <v>246.92519999999999</v>
      </c>
      <c r="F3822" s="294" t="s">
        <v>1542</v>
      </c>
    </row>
    <row r="3823" spans="1:6" hidden="1" outlineLevel="1" collapsed="1" x14ac:dyDescent="0.25">
      <c r="A3823" s="295" t="s">
        <v>282</v>
      </c>
      <c r="B3823" s="295" t="s">
        <v>756</v>
      </c>
      <c r="C3823" s="293">
        <v>963.3492</v>
      </c>
      <c r="D3823" s="293">
        <v>868.68</v>
      </c>
      <c r="E3823" s="293">
        <v>-94.669200000000004</v>
      </c>
      <c r="F3823" s="294" t="s">
        <v>1543</v>
      </c>
    </row>
    <row r="3824" spans="1:6" hidden="1" outlineLevel="1" collapsed="1" x14ac:dyDescent="0.25">
      <c r="A3824" s="295" t="s">
        <v>282</v>
      </c>
      <c r="B3824" s="295" t="s">
        <v>393</v>
      </c>
      <c r="C3824" s="293">
        <v>46.607976000000001</v>
      </c>
      <c r="D3824" s="293">
        <v>49.06908</v>
      </c>
      <c r="E3824" s="293">
        <v>2.4611040000000002</v>
      </c>
      <c r="F3824" s="294" t="s">
        <v>1536</v>
      </c>
    </row>
    <row r="3825" spans="1:6" hidden="1" outlineLevel="1" collapsed="1" x14ac:dyDescent="0.25">
      <c r="A3825" s="295" t="s">
        <v>282</v>
      </c>
      <c r="B3825" s="295" t="s">
        <v>757</v>
      </c>
      <c r="C3825" s="293">
        <v>198.615962</v>
      </c>
      <c r="D3825" s="293">
        <v>0</v>
      </c>
      <c r="E3825" s="293">
        <v>-198.615962</v>
      </c>
      <c r="F3825" s="294" t="s">
        <v>286</v>
      </c>
    </row>
    <row r="3826" spans="1:6" hidden="1" outlineLevel="1" collapsed="1" x14ac:dyDescent="0.25">
      <c r="A3826" s="295" t="s">
        <v>282</v>
      </c>
      <c r="B3826" s="295" t="s">
        <v>758</v>
      </c>
      <c r="C3826" s="293">
        <v>0</v>
      </c>
      <c r="D3826" s="293">
        <v>232.15810200000001</v>
      </c>
      <c r="E3826" s="293">
        <v>232.15810200000001</v>
      </c>
      <c r="F3826" s="294" t="s">
        <v>298</v>
      </c>
    </row>
    <row r="3827" spans="1:6" hidden="1" outlineLevel="1" collapsed="1" x14ac:dyDescent="0.25">
      <c r="A3827" s="295" t="s">
        <v>282</v>
      </c>
      <c r="B3827" s="295" t="s">
        <v>394</v>
      </c>
      <c r="C3827" s="293">
        <v>3000</v>
      </c>
      <c r="D3827" s="293">
        <v>0</v>
      </c>
      <c r="E3827" s="293">
        <v>-3000</v>
      </c>
      <c r="F3827" s="294" t="s">
        <v>286</v>
      </c>
    </row>
    <row r="3828" spans="1:6" hidden="1" outlineLevel="1" collapsed="1" x14ac:dyDescent="0.25">
      <c r="A3828" s="295" t="s">
        <v>282</v>
      </c>
      <c r="B3828" s="295" t="s">
        <v>395</v>
      </c>
      <c r="C3828" s="293">
        <v>0</v>
      </c>
      <c r="D3828" s="293">
        <v>3000</v>
      </c>
      <c r="E3828" s="293">
        <v>3000</v>
      </c>
      <c r="F3828" s="294" t="s">
        <v>298</v>
      </c>
    </row>
    <row r="3829" spans="1:6" hidden="1" outlineLevel="1" collapsed="1" x14ac:dyDescent="0.25">
      <c r="A3829" s="295" t="s">
        <v>282</v>
      </c>
      <c r="B3829" s="295" t="s">
        <v>759</v>
      </c>
      <c r="C3829" s="293">
        <v>6187.5</v>
      </c>
      <c r="D3829" s="293">
        <v>0</v>
      </c>
      <c r="E3829" s="293">
        <v>-6187.5</v>
      </c>
      <c r="F3829" s="294" t="s">
        <v>286</v>
      </c>
    </row>
    <row r="3830" spans="1:6" hidden="1" outlineLevel="1" collapsed="1" x14ac:dyDescent="0.25">
      <c r="A3830" s="295" t="s">
        <v>282</v>
      </c>
      <c r="B3830" s="295" t="s">
        <v>760</v>
      </c>
      <c r="C3830" s="293">
        <v>0</v>
      </c>
      <c r="D3830" s="293">
        <v>7125</v>
      </c>
      <c r="E3830" s="293">
        <v>7125</v>
      </c>
      <c r="F3830" s="294" t="s">
        <v>298</v>
      </c>
    </row>
    <row r="3831" spans="1:6" hidden="1" outlineLevel="1" collapsed="1" x14ac:dyDescent="0.25">
      <c r="A3831" s="295" t="s">
        <v>282</v>
      </c>
      <c r="B3831" s="295" t="s">
        <v>396</v>
      </c>
      <c r="C3831" s="293">
        <v>99.36</v>
      </c>
      <c r="D3831" s="293">
        <v>0</v>
      </c>
      <c r="E3831" s="293">
        <v>-99.36</v>
      </c>
      <c r="F3831" s="294" t="s">
        <v>286</v>
      </c>
    </row>
    <row r="3832" spans="1:6" hidden="1" outlineLevel="1" collapsed="1" x14ac:dyDescent="0.25">
      <c r="A3832" s="295" t="s">
        <v>282</v>
      </c>
      <c r="B3832" s="295" t="s">
        <v>397</v>
      </c>
      <c r="C3832" s="293">
        <v>0</v>
      </c>
      <c r="D3832" s="293">
        <v>96.96</v>
      </c>
      <c r="E3832" s="293">
        <v>96.96</v>
      </c>
      <c r="F3832" s="294" t="s">
        <v>298</v>
      </c>
    </row>
    <row r="3833" spans="1:6" hidden="1" outlineLevel="1" collapsed="1" x14ac:dyDescent="0.25">
      <c r="A3833" s="295" t="s">
        <v>282</v>
      </c>
      <c r="B3833" s="295" t="s">
        <v>761</v>
      </c>
      <c r="C3833" s="293">
        <v>204.93</v>
      </c>
      <c r="D3833" s="293">
        <v>0</v>
      </c>
      <c r="E3833" s="293">
        <v>-204.93</v>
      </c>
      <c r="F3833" s="294" t="s">
        <v>286</v>
      </c>
    </row>
    <row r="3834" spans="1:6" hidden="1" outlineLevel="1" collapsed="1" x14ac:dyDescent="0.25">
      <c r="A3834" s="295" t="s">
        <v>282</v>
      </c>
      <c r="B3834" s="295" t="s">
        <v>762</v>
      </c>
      <c r="C3834" s="293">
        <v>0</v>
      </c>
      <c r="D3834" s="293">
        <v>230.28</v>
      </c>
      <c r="E3834" s="293">
        <v>230.28</v>
      </c>
      <c r="F3834" s="294" t="s">
        <v>298</v>
      </c>
    </row>
    <row r="3835" spans="1:6" hidden="1" outlineLevel="1" collapsed="1" x14ac:dyDescent="0.25">
      <c r="A3835" s="295" t="s">
        <v>282</v>
      </c>
      <c r="B3835" s="295" t="s">
        <v>398</v>
      </c>
      <c r="C3835" s="293">
        <v>48</v>
      </c>
      <c r="D3835" s="293">
        <v>22.08</v>
      </c>
      <c r="E3835" s="293">
        <v>-25.92</v>
      </c>
      <c r="F3835" s="294" t="s">
        <v>374</v>
      </c>
    </row>
    <row r="3836" spans="1:6" hidden="1" outlineLevel="1" collapsed="1" x14ac:dyDescent="0.25">
      <c r="A3836" s="295" t="s">
        <v>282</v>
      </c>
      <c r="B3836" s="295" t="s">
        <v>763</v>
      </c>
      <c r="C3836" s="293">
        <v>99</v>
      </c>
      <c r="D3836" s="293">
        <v>52.44</v>
      </c>
      <c r="E3836" s="293">
        <v>-46.56</v>
      </c>
      <c r="F3836" s="294" t="s">
        <v>1544</v>
      </c>
    </row>
    <row r="3837" spans="1:6" hidden="1" outlineLevel="1" collapsed="1" x14ac:dyDescent="0.25">
      <c r="A3837" s="295" t="s">
        <v>282</v>
      </c>
      <c r="B3837" s="295" t="s">
        <v>522</v>
      </c>
      <c r="C3837" s="293">
        <v>2250</v>
      </c>
      <c r="D3837" s="293">
        <v>2250</v>
      </c>
      <c r="E3837" s="293">
        <v>0</v>
      </c>
      <c r="F3837" s="294" t="s">
        <v>316</v>
      </c>
    </row>
    <row r="3838" spans="1:6" hidden="1" outlineLevel="1" collapsed="1" x14ac:dyDescent="0.25">
      <c r="A3838" s="295" t="s">
        <v>282</v>
      </c>
      <c r="B3838" s="295" t="s">
        <v>376</v>
      </c>
      <c r="C3838" s="293">
        <v>2500</v>
      </c>
      <c r="D3838" s="293">
        <v>1000</v>
      </c>
      <c r="E3838" s="293">
        <v>-1500</v>
      </c>
      <c r="F3838" s="294" t="s">
        <v>1545</v>
      </c>
    </row>
    <row r="3839" spans="1:6" hidden="1" outlineLevel="1" collapsed="1" x14ac:dyDescent="0.25">
      <c r="A3839" s="295" t="s">
        <v>282</v>
      </c>
      <c r="B3839" s="295" t="s">
        <v>506</v>
      </c>
      <c r="C3839" s="293">
        <v>3000</v>
      </c>
      <c r="D3839" s="293">
        <v>5000</v>
      </c>
      <c r="E3839" s="293">
        <v>2000</v>
      </c>
      <c r="F3839" s="294" t="s">
        <v>829</v>
      </c>
    </row>
    <row r="3840" spans="1:6" hidden="1" outlineLevel="1" collapsed="1" x14ac:dyDescent="0.25">
      <c r="A3840" s="295" t="s">
        <v>282</v>
      </c>
      <c r="B3840" s="295" t="s">
        <v>426</v>
      </c>
      <c r="C3840" s="293">
        <v>7500</v>
      </c>
      <c r="D3840" s="293">
        <v>2000</v>
      </c>
      <c r="E3840" s="293">
        <v>-5500</v>
      </c>
      <c r="F3840" s="294" t="s">
        <v>1546</v>
      </c>
    </row>
    <row r="3841" spans="1:6" hidden="1" outlineLevel="1" collapsed="1" x14ac:dyDescent="0.25">
      <c r="A3841" s="295" t="s">
        <v>282</v>
      </c>
      <c r="B3841" s="295" t="s">
        <v>482</v>
      </c>
      <c r="C3841" s="293">
        <v>1400</v>
      </c>
      <c r="D3841" s="293">
        <v>750</v>
      </c>
      <c r="E3841" s="293">
        <v>-650</v>
      </c>
      <c r="F3841" s="294" t="s">
        <v>1547</v>
      </c>
    </row>
    <row r="3842" spans="1:6" hidden="1" outlineLevel="1" collapsed="1" x14ac:dyDescent="0.25">
      <c r="A3842" s="295" t="s">
        <v>282</v>
      </c>
      <c r="B3842" s="295" t="s">
        <v>597</v>
      </c>
      <c r="C3842" s="293">
        <v>600</v>
      </c>
      <c r="D3842" s="293">
        <v>455</v>
      </c>
      <c r="E3842" s="293">
        <v>-145</v>
      </c>
      <c r="F3842" s="294" t="s">
        <v>1548</v>
      </c>
    </row>
    <row r="3843" spans="1:6" hidden="1" outlineLevel="1" collapsed="1" x14ac:dyDescent="0.25">
      <c r="A3843" s="295" t="s">
        <v>282</v>
      </c>
      <c r="B3843" s="295" t="s">
        <v>448</v>
      </c>
      <c r="C3843" s="293">
        <v>200</v>
      </c>
      <c r="D3843" s="293">
        <v>0</v>
      </c>
      <c r="E3843" s="293">
        <v>-200</v>
      </c>
      <c r="F3843" s="294" t="s">
        <v>286</v>
      </c>
    </row>
    <row r="3844" spans="1:6" hidden="1" outlineLevel="1" collapsed="1" x14ac:dyDescent="0.25">
      <c r="A3844" s="295" t="s">
        <v>282</v>
      </c>
      <c r="B3844" s="295" t="s">
        <v>626</v>
      </c>
      <c r="C3844" s="293">
        <v>1000</v>
      </c>
      <c r="D3844" s="293">
        <v>0</v>
      </c>
      <c r="E3844" s="293">
        <v>-1000</v>
      </c>
      <c r="F3844" s="294" t="s">
        <v>286</v>
      </c>
    </row>
    <row r="3845" spans="1:6" hidden="1" outlineLevel="1" collapsed="1" x14ac:dyDescent="0.25">
      <c r="A3845" s="295" t="s">
        <v>282</v>
      </c>
      <c r="B3845" s="295" t="s">
        <v>405</v>
      </c>
      <c r="C3845" s="293">
        <v>2716</v>
      </c>
      <c r="D3845" s="293">
        <v>0</v>
      </c>
      <c r="E3845" s="293">
        <v>-2716</v>
      </c>
      <c r="F3845" s="294" t="s">
        <v>286</v>
      </c>
    </row>
    <row r="3846" spans="1:6" hidden="1" outlineLevel="1" collapsed="1" x14ac:dyDescent="0.25">
      <c r="A3846" s="295" t="s">
        <v>282</v>
      </c>
      <c r="B3846" s="295" t="s">
        <v>557</v>
      </c>
      <c r="C3846" s="293">
        <v>1500</v>
      </c>
      <c r="D3846" s="293">
        <v>0</v>
      </c>
      <c r="E3846" s="293">
        <v>-1500</v>
      </c>
      <c r="F3846" s="294" t="s">
        <v>286</v>
      </c>
    </row>
    <row r="3847" spans="1:6" hidden="1" outlineLevel="1" collapsed="1" x14ac:dyDescent="0.25">
      <c r="A3847" s="295" t="s">
        <v>282</v>
      </c>
      <c r="B3847" s="295" t="s">
        <v>422</v>
      </c>
      <c r="C3847" s="293">
        <v>5100</v>
      </c>
      <c r="D3847" s="293">
        <v>0</v>
      </c>
      <c r="E3847" s="293">
        <v>-5100</v>
      </c>
      <c r="F3847" s="294" t="s">
        <v>286</v>
      </c>
    </row>
    <row r="3848" spans="1:6" collapsed="1" x14ac:dyDescent="0.25">
      <c r="A3848" s="560" t="s">
        <v>1549</v>
      </c>
      <c r="B3848" s="561"/>
      <c r="C3848" s="292">
        <v>1850</v>
      </c>
      <c r="D3848" s="293">
        <v>0</v>
      </c>
      <c r="E3848" s="293">
        <v>-1850</v>
      </c>
      <c r="F3848" s="294" t="s">
        <v>286</v>
      </c>
    </row>
    <row r="3849" spans="1:6" hidden="1" outlineLevel="1" collapsed="1" x14ac:dyDescent="0.25">
      <c r="A3849" s="295" t="s">
        <v>282</v>
      </c>
      <c r="B3849" s="295" t="s">
        <v>426</v>
      </c>
      <c r="C3849" s="293">
        <v>1500</v>
      </c>
      <c r="D3849" s="293">
        <v>0</v>
      </c>
      <c r="E3849" s="293">
        <v>-1500</v>
      </c>
      <c r="F3849" s="294" t="s">
        <v>286</v>
      </c>
    </row>
    <row r="3850" spans="1:6" hidden="1" outlineLevel="1" collapsed="1" x14ac:dyDescent="0.25">
      <c r="A3850" s="295" t="s">
        <v>282</v>
      </c>
      <c r="B3850" s="295" t="s">
        <v>482</v>
      </c>
      <c r="C3850" s="293">
        <v>250</v>
      </c>
      <c r="D3850" s="293">
        <v>0</v>
      </c>
      <c r="E3850" s="293">
        <v>-250</v>
      </c>
      <c r="F3850" s="294" t="s">
        <v>286</v>
      </c>
    </row>
    <row r="3851" spans="1:6" hidden="1" outlineLevel="1" collapsed="1" x14ac:dyDescent="0.25">
      <c r="A3851" s="295" t="s">
        <v>282</v>
      </c>
      <c r="B3851" s="295" t="s">
        <v>597</v>
      </c>
      <c r="C3851" s="293">
        <v>100</v>
      </c>
      <c r="D3851" s="293">
        <v>0</v>
      </c>
      <c r="E3851" s="293">
        <v>-100</v>
      </c>
      <c r="F3851" s="294" t="s">
        <v>286</v>
      </c>
    </row>
    <row r="3852" spans="1:6" collapsed="1" x14ac:dyDescent="0.25">
      <c r="A3852" s="560" t="s">
        <v>1550</v>
      </c>
      <c r="B3852" s="561"/>
      <c r="C3852" s="292">
        <v>170451.97358399999</v>
      </c>
      <c r="D3852" s="293">
        <v>179893.56970399999</v>
      </c>
      <c r="E3852" s="293">
        <v>9441.5961200000002</v>
      </c>
      <c r="F3852" s="294" t="s">
        <v>486</v>
      </c>
    </row>
    <row r="3853" spans="1:6" hidden="1" outlineLevel="1" collapsed="1" x14ac:dyDescent="0.25">
      <c r="A3853" s="295" t="s">
        <v>282</v>
      </c>
      <c r="B3853" s="295" t="s">
        <v>1143</v>
      </c>
      <c r="C3853" s="293">
        <v>92837.679996000006</v>
      </c>
      <c r="D3853" s="293">
        <v>96616.956791999997</v>
      </c>
      <c r="E3853" s="293">
        <v>3779.2767960000001</v>
      </c>
      <c r="F3853" s="294" t="s">
        <v>411</v>
      </c>
    </row>
    <row r="3854" spans="1:6" hidden="1" outlineLevel="1" collapsed="1" x14ac:dyDescent="0.25">
      <c r="A3854" s="295" t="s">
        <v>282</v>
      </c>
      <c r="B3854" s="295" t="s">
        <v>464</v>
      </c>
      <c r="C3854" s="293">
        <v>21116.780874</v>
      </c>
      <c r="D3854" s="293">
        <v>22841.862675</v>
      </c>
      <c r="E3854" s="293">
        <v>1725.081801</v>
      </c>
      <c r="F3854" s="294" t="s">
        <v>613</v>
      </c>
    </row>
    <row r="3855" spans="1:6" hidden="1" outlineLevel="1" collapsed="1" x14ac:dyDescent="0.25">
      <c r="A3855" s="295" t="s">
        <v>282</v>
      </c>
      <c r="B3855" s="295" t="s">
        <v>751</v>
      </c>
      <c r="C3855" s="293">
        <v>12115.317228</v>
      </c>
      <c r="D3855" s="293">
        <v>0</v>
      </c>
      <c r="E3855" s="293">
        <v>-12115.317228</v>
      </c>
      <c r="F3855" s="294" t="s">
        <v>286</v>
      </c>
    </row>
    <row r="3856" spans="1:6" hidden="1" outlineLevel="1" collapsed="1" x14ac:dyDescent="0.25">
      <c r="A3856" s="295" t="s">
        <v>282</v>
      </c>
      <c r="B3856" s="295" t="s">
        <v>752</v>
      </c>
      <c r="C3856" s="293">
        <v>0</v>
      </c>
      <c r="D3856" s="293">
        <v>13941.826859999999</v>
      </c>
      <c r="E3856" s="293">
        <v>13941.826859999999</v>
      </c>
      <c r="F3856" s="294" t="s">
        <v>298</v>
      </c>
    </row>
    <row r="3857" spans="1:6" hidden="1" outlineLevel="1" collapsed="1" x14ac:dyDescent="0.25">
      <c r="A3857" s="295" t="s">
        <v>282</v>
      </c>
      <c r="B3857" s="295" t="s">
        <v>384</v>
      </c>
      <c r="C3857" s="293">
        <v>2656.4910329999998</v>
      </c>
      <c r="D3857" s="293">
        <v>0</v>
      </c>
      <c r="E3857" s="293">
        <v>-2656.4910329999998</v>
      </c>
      <c r="F3857" s="294" t="s">
        <v>286</v>
      </c>
    </row>
    <row r="3858" spans="1:6" hidden="1" outlineLevel="1" collapsed="1" x14ac:dyDescent="0.25">
      <c r="A3858" s="295" t="s">
        <v>282</v>
      </c>
      <c r="B3858" s="295" t="s">
        <v>385</v>
      </c>
      <c r="C3858" s="293">
        <v>0</v>
      </c>
      <c r="D3858" s="293">
        <v>3609.0143010000002</v>
      </c>
      <c r="E3858" s="293">
        <v>3609.0143010000002</v>
      </c>
      <c r="F3858" s="294" t="s">
        <v>298</v>
      </c>
    </row>
    <row r="3859" spans="1:6" hidden="1" outlineLevel="1" collapsed="1" x14ac:dyDescent="0.25">
      <c r="A3859" s="295" t="s">
        <v>282</v>
      </c>
      <c r="B3859" s="295" t="s">
        <v>386</v>
      </c>
      <c r="C3859" s="293">
        <v>1309.2404100000001</v>
      </c>
      <c r="D3859" s="293">
        <v>0</v>
      </c>
      <c r="E3859" s="293">
        <v>-1309.2404100000001</v>
      </c>
      <c r="F3859" s="294" t="s">
        <v>286</v>
      </c>
    </row>
    <row r="3860" spans="1:6" hidden="1" outlineLevel="1" collapsed="1" x14ac:dyDescent="0.25">
      <c r="A3860" s="295" t="s">
        <v>282</v>
      </c>
      <c r="B3860" s="295" t="s">
        <v>387</v>
      </c>
      <c r="C3860" s="293">
        <v>0</v>
      </c>
      <c r="D3860" s="293">
        <v>1416.195483</v>
      </c>
      <c r="E3860" s="293">
        <v>1416.195483</v>
      </c>
      <c r="F3860" s="294" t="s">
        <v>298</v>
      </c>
    </row>
    <row r="3861" spans="1:6" hidden="1" outlineLevel="1" collapsed="1" x14ac:dyDescent="0.25">
      <c r="A3861" s="295" t="s">
        <v>282</v>
      </c>
      <c r="B3861" s="295" t="s">
        <v>753</v>
      </c>
      <c r="C3861" s="293">
        <v>5755.9361520000002</v>
      </c>
      <c r="D3861" s="293">
        <v>5990.2513200000003</v>
      </c>
      <c r="E3861" s="293">
        <v>234.315168</v>
      </c>
      <c r="F3861" s="294" t="s">
        <v>411</v>
      </c>
    </row>
    <row r="3862" spans="1:6" hidden="1" outlineLevel="1" collapsed="1" x14ac:dyDescent="0.25">
      <c r="A3862" s="295" t="s">
        <v>282</v>
      </c>
      <c r="B3862" s="295" t="s">
        <v>388</v>
      </c>
      <c r="C3862" s="293">
        <v>1652.3396729999999</v>
      </c>
      <c r="D3862" s="293">
        <v>1732.152873</v>
      </c>
      <c r="E3862" s="293">
        <v>79.813199999999995</v>
      </c>
      <c r="F3862" s="294" t="s">
        <v>774</v>
      </c>
    </row>
    <row r="3863" spans="1:6" hidden="1" outlineLevel="1" collapsed="1" x14ac:dyDescent="0.25">
      <c r="A3863" s="295" t="s">
        <v>282</v>
      </c>
      <c r="B3863" s="295" t="s">
        <v>389</v>
      </c>
      <c r="C3863" s="293">
        <v>213.0624</v>
      </c>
      <c r="D3863" s="293">
        <v>211.02</v>
      </c>
      <c r="E3863" s="293">
        <v>-2.0424000000000002</v>
      </c>
      <c r="F3863" s="294" t="s">
        <v>364</v>
      </c>
    </row>
    <row r="3864" spans="1:6" hidden="1" outlineLevel="1" collapsed="1" x14ac:dyDescent="0.25">
      <c r="A3864" s="295" t="s">
        <v>282</v>
      </c>
      <c r="B3864" s="295" t="s">
        <v>390</v>
      </c>
      <c r="C3864" s="293">
        <v>7742.6350000000002</v>
      </c>
      <c r="D3864" s="293">
        <v>7979.64</v>
      </c>
      <c r="E3864" s="293">
        <v>237.005</v>
      </c>
      <c r="F3864" s="294" t="s">
        <v>391</v>
      </c>
    </row>
    <row r="3865" spans="1:6" hidden="1" outlineLevel="1" collapsed="1" x14ac:dyDescent="0.25">
      <c r="A3865" s="295" t="s">
        <v>282</v>
      </c>
      <c r="B3865" s="295" t="s">
        <v>392</v>
      </c>
      <c r="C3865" s="293">
        <v>116.7696</v>
      </c>
      <c r="D3865" s="293">
        <v>91.44</v>
      </c>
      <c r="E3865" s="293">
        <v>-25.329599999999999</v>
      </c>
      <c r="F3865" s="294" t="s">
        <v>368</v>
      </c>
    </row>
    <row r="3866" spans="1:6" hidden="1" outlineLevel="1" collapsed="1" x14ac:dyDescent="0.25">
      <c r="A3866" s="295" t="s">
        <v>282</v>
      </c>
      <c r="B3866" s="295" t="s">
        <v>754</v>
      </c>
      <c r="C3866" s="293">
        <v>15358.56</v>
      </c>
      <c r="D3866" s="293">
        <v>15959.28</v>
      </c>
      <c r="E3866" s="293">
        <v>600.72</v>
      </c>
      <c r="F3866" s="294" t="s">
        <v>366</v>
      </c>
    </row>
    <row r="3867" spans="1:6" hidden="1" outlineLevel="1" collapsed="1" x14ac:dyDescent="0.25">
      <c r="A3867" s="295" t="s">
        <v>282</v>
      </c>
      <c r="B3867" s="295" t="s">
        <v>755</v>
      </c>
      <c r="C3867" s="293">
        <v>426.12479999999999</v>
      </c>
      <c r="D3867" s="293">
        <v>422.04</v>
      </c>
      <c r="E3867" s="293">
        <v>-4.0848000000000004</v>
      </c>
      <c r="F3867" s="294" t="s">
        <v>364</v>
      </c>
    </row>
    <row r="3868" spans="1:6" hidden="1" outlineLevel="1" collapsed="1" x14ac:dyDescent="0.25">
      <c r="A3868" s="295" t="s">
        <v>282</v>
      </c>
      <c r="B3868" s="295" t="s">
        <v>756</v>
      </c>
      <c r="C3868" s="293">
        <v>233.53919999999999</v>
      </c>
      <c r="D3868" s="293">
        <v>182.88</v>
      </c>
      <c r="E3868" s="293">
        <v>-50.659199999999998</v>
      </c>
      <c r="F3868" s="294" t="s">
        <v>368</v>
      </c>
    </row>
    <row r="3869" spans="1:6" hidden="1" outlineLevel="1" collapsed="1" x14ac:dyDescent="0.25">
      <c r="A3869" s="295" t="s">
        <v>282</v>
      </c>
      <c r="B3869" s="295" t="s">
        <v>393</v>
      </c>
      <c r="C3869" s="293">
        <v>10.558386</v>
      </c>
      <c r="D3869" s="293">
        <v>11.420928</v>
      </c>
      <c r="E3869" s="293">
        <v>0.86254200000000003</v>
      </c>
      <c r="F3869" s="294" t="s">
        <v>613</v>
      </c>
    </row>
    <row r="3870" spans="1:6" hidden="1" outlineLevel="1" collapsed="1" x14ac:dyDescent="0.25">
      <c r="A3870" s="295" t="s">
        <v>282</v>
      </c>
      <c r="B3870" s="295" t="s">
        <v>757</v>
      </c>
      <c r="C3870" s="293">
        <v>46.418832000000002</v>
      </c>
      <c r="D3870" s="293">
        <v>0</v>
      </c>
      <c r="E3870" s="293">
        <v>-46.418832000000002</v>
      </c>
      <c r="F3870" s="294" t="s">
        <v>286</v>
      </c>
    </row>
    <row r="3871" spans="1:6" hidden="1" outlineLevel="1" collapsed="1" x14ac:dyDescent="0.25">
      <c r="A3871" s="295" t="s">
        <v>282</v>
      </c>
      <c r="B3871" s="295" t="s">
        <v>758</v>
      </c>
      <c r="C3871" s="293">
        <v>0</v>
      </c>
      <c r="D3871" s="293">
        <v>48.308472000000002</v>
      </c>
      <c r="E3871" s="293">
        <v>48.308472000000002</v>
      </c>
      <c r="F3871" s="294" t="s">
        <v>298</v>
      </c>
    </row>
    <row r="3872" spans="1:6" hidden="1" outlineLevel="1" collapsed="1" x14ac:dyDescent="0.25">
      <c r="A3872" s="295" t="s">
        <v>282</v>
      </c>
      <c r="B3872" s="295" t="s">
        <v>394</v>
      </c>
      <c r="C3872" s="293">
        <v>750</v>
      </c>
      <c r="D3872" s="293">
        <v>0</v>
      </c>
      <c r="E3872" s="293">
        <v>-750</v>
      </c>
      <c r="F3872" s="294" t="s">
        <v>286</v>
      </c>
    </row>
    <row r="3873" spans="1:6" hidden="1" outlineLevel="1" collapsed="1" x14ac:dyDescent="0.25">
      <c r="A3873" s="295" t="s">
        <v>282</v>
      </c>
      <c r="B3873" s="295" t="s">
        <v>395</v>
      </c>
      <c r="C3873" s="293">
        <v>0</v>
      </c>
      <c r="D3873" s="293">
        <v>750</v>
      </c>
      <c r="E3873" s="293">
        <v>750</v>
      </c>
      <c r="F3873" s="294" t="s">
        <v>298</v>
      </c>
    </row>
    <row r="3874" spans="1:6" hidden="1" outlineLevel="1" collapsed="1" x14ac:dyDescent="0.25">
      <c r="A3874" s="295" t="s">
        <v>282</v>
      </c>
      <c r="B3874" s="295" t="s">
        <v>759</v>
      </c>
      <c r="C3874" s="293">
        <v>1500</v>
      </c>
      <c r="D3874" s="293">
        <v>0</v>
      </c>
      <c r="E3874" s="293">
        <v>-1500</v>
      </c>
      <c r="F3874" s="294" t="s">
        <v>286</v>
      </c>
    </row>
    <row r="3875" spans="1:6" hidden="1" outlineLevel="1" collapsed="1" x14ac:dyDescent="0.25">
      <c r="A3875" s="295" t="s">
        <v>282</v>
      </c>
      <c r="B3875" s="295" t="s">
        <v>760</v>
      </c>
      <c r="C3875" s="293">
        <v>0</v>
      </c>
      <c r="D3875" s="293">
        <v>1500</v>
      </c>
      <c r="E3875" s="293">
        <v>1500</v>
      </c>
      <c r="F3875" s="294" t="s">
        <v>298</v>
      </c>
    </row>
    <row r="3876" spans="1:6" hidden="1" outlineLevel="1" collapsed="1" x14ac:dyDescent="0.25">
      <c r="A3876" s="295" t="s">
        <v>282</v>
      </c>
      <c r="B3876" s="295" t="s">
        <v>396</v>
      </c>
      <c r="C3876" s="293">
        <v>24.84</v>
      </c>
      <c r="D3876" s="293">
        <v>0</v>
      </c>
      <c r="E3876" s="293">
        <v>-24.84</v>
      </c>
      <c r="F3876" s="294" t="s">
        <v>286</v>
      </c>
    </row>
    <row r="3877" spans="1:6" hidden="1" outlineLevel="1" collapsed="1" x14ac:dyDescent="0.25">
      <c r="A3877" s="295" t="s">
        <v>282</v>
      </c>
      <c r="B3877" s="295" t="s">
        <v>397</v>
      </c>
      <c r="C3877" s="293">
        <v>0</v>
      </c>
      <c r="D3877" s="293">
        <v>24.24</v>
      </c>
      <c r="E3877" s="293">
        <v>24.24</v>
      </c>
      <c r="F3877" s="294" t="s">
        <v>298</v>
      </c>
    </row>
    <row r="3878" spans="1:6" hidden="1" outlineLevel="1" collapsed="1" x14ac:dyDescent="0.25">
      <c r="A3878" s="295" t="s">
        <v>282</v>
      </c>
      <c r="B3878" s="295" t="s">
        <v>761</v>
      </c>
      <c r="C3878" s="293">
        <v>49.68</v>
      </c>
      <c r="D3878" s="293">
        <v>0</v>
      </c>
      <c r="E3878" s="293">
        <v>-49.68</v>
      </c>
      <c r="F3878" s="294" t="s">
        <v>286</v>
      </c>
    </row>
    <row r="3879" spans="1:6" hidden="1" outlineLevel="1" collapsed="1" x14ac:dyDescent="0.25">
      <c r="A3879" s="295" t="s">
        <v>282</v>
      </c>
      <c r="B3879" s="295" t="s">
        <v>762</v>
      </c>
      <c r="C3879" s="293">
        <v>0</v>
      </c>
      <c r="D3879" s="293">
        <v>48.48</v>
      </c>
      <c r="E3879" s="293">
        <v>48.48</v>
      </c>
      <c r="F3879" s="294" t="s">
        <v>298</v>
      </c>
    </row>
    <row r="3880" spans="1:6" hidden="1" outlineLevel="1" collapsed="1" x14ac:dyDescent="0.25">
      <c r="A3880" s="295" t="s">
        <v>282</v>
      </c>
      <c r="B3880" s="295" t="s">
        <v>398</v>
      </c>
      <c r="C3880" s="293">
        <v>12</v>
      </c>
      <c r="D3880" s="293">
        <v>5.52</v>
      </c>
      <c r="E3880" s="293">
        <v>-6.48</v>
      </c>
      <c r="F3880" s="294" t="s">
        <v>374</v>
      </c>
    </row>
    <row r="3881" spans="1:6" hidden="1" outlineLevel="1" collapsed="1" x14ac:dyDescent="0.25">
      <c r="A3881" s="295" t="s">
        <v>282</v>
      </c>
      <c r="B3881" s="295" t="s">
        <v>763</v>
      </c>
      <c r="C3881" s="293">
        <v>24</v>
      </c>
      <c r="D3881" s="293">
        <v>11.04</v>
      </c>
      <c r="E3881" s="293">
        <v>-12.96</v>
      </c>
      <c r="F3881" s="294" t="s">
        <v>374</v>
      </c>
    </row>
    <row r="3882" spans="1:6" hidden="1" outlineLevel="1" collapsed="1" x14ac:dyDescent="0.25">
      <c r="A3882" s="295" t="s">
        <v>282</v>
      </c>
      <c r="B3882" s="295" t="s">
        <v>376</v>
      </c>
      <c r="C3882" s="293">
        <v>1000</v>
      </c>
      <c r="D3882" s="293">
        <v>1000</v>
      </c>
      <c r="E3882" s="293">
        <v>0</v>
      </c>
      <c r="F3882" s="294" t="s">
        <v>316</v>
      </c>
    </row>
    <row r="3883" spans="1:6" hidden="1" outlineLevel="1" collapsed="1" x14ac:dyDescent="0.25">
      <c r="A3883" s="295" t="s">
        <v>282</v>
      </c>
      <c r="B3883" s="295" t="s">
        <v>662</v>
      </c>
      <c r="C3883" s="293">
        <v>700</v>
      </c>
      <c r="D3883" s="293">
        <v>500</v>
      </c>
      <c r="E3883" s="293">
        <v>-200</v>
      </c>
      <c r="F3883" s="294" t="s">
        <v>706</v>
      </c>
    </row>
    <row r="3884" spans="1:6" hidden="1" outlineLevel="1" collapsed="1" x14ac:dyDescent="0.25">
      <c r="A3884" s="295" t="s">
        <v>282</v>
      </c>
      <c r="B3884" s="295" t="s">
        <v>506</v>
      </c>
      <c r="C3884" s="293">
        <v>2100</v>
      </c>
      <c r="D3884" s="293">
        <v>2000</v>
      </c>
      <c r="E3884" s="293">
        <v>-100</v>
      </c>
      <c r="F3884" s="294" t="s">
        <v>1551</v>
      </c>
    </row>
    <row r="3885" spans="1:6" hidden="1" outlineLevel="1" collapsed="1" x14ac:dyDescent="0.25">
      <c r="A3885" s="295" t="s">
        <v>282</v>
      </c>
      <c r="B3885" s="295" t="s">
        <v>426</v>
      </c>
      <c r="C3885" s="293">
        <v>500</v>
      </c>
      <c r="D3885" s="293">
        <v>2000</v>
      </c>
      <c r="E3885" s="293">
        <v>1500</v>
      </c>
      <c r="F3885" s="294" t="s">
        <v>887</v>
      </c>
    </row>
    <row r="3886" spans="1:6" hidden="1" outlineLevel="1" collapsed="1" x14ac:dyDescent="0.25">
      <c r="A3886" s="295" t="s">
        <v>282</v>
      </c>
      <c r="B3886" s="295" t="s">
        <v>482</v>
      </c>
      <c r="C3886" s="293">
        <v>200</v>
      </c>
      <c r="D3886" s="293">
        <v>0</v>
      </c>
      <c r="E3886" s="293">
        <v>-200</v>
      </c>
      <c r="F3886" s="294" t="s">
        <v>286</v>
      </c>
    </row>
    <row r="3887" spans="1:6" hidden="1" outlineLevel="1" collapsed="1" x14ac:dyDescent="0.25">
      <c r="A3887" s="295" t="s">
        <v>282</v>
      </c>
      <c r="B3887" s="295" t="s">
        <v>401</v>
      </c>
      <c r="C3887" s="293">
        <v>800</v>
      </c>
      <c r="D3887" s="293">
        <v>1000</v>
      </c>
      <c r="E3887" s="293">
        <v>200</v>
      </c>
      <c r="F3887" s="294" t="s">
        <v>1552</v>
      </c>
    </row>
    <row r="3888" spans="1:6" hidden="1" outlineLevel="1" collapsed="1" x14ac:dyDescent="0.25">
      <c r="A3888" s="295" t="s">
        <v>282</v>
      </c>
      <c r="B3888" s="295" t="s">
        <v>405</v>
      </c>
      <c r="C3888" s="293">
        <v>1200</v>
      </c>
      <c r="D3888" s="293">
        <v>0</v>
      </c>
      <c r="E3888" s="293">
        <v>-1200</v>
      </c>
      <c r="F3888" s="294" t="s">
        <v>286</v>
      </c>
    </row>
    <row r="3889" spans="1:6" collapsed="1" x14ac:dyDescent="0.25">
      <c r="A3889" s="560" t="s">
        <v>1553</v>
      </c>
      <c r="B3889" s="561"/>
      <c r="C3889" s="292">
        <v>165362.634984</v>
      </c>
      <c r="D3889" s="293">
        <v>174657.34669999999</v>
      </c>
      <c r="E3889" s="293">
        <v>9294.7117159999998</v>
      </c>
      <c r="F3889" s="294" t="s">
        <v>1024</v>
      </c>
    </row>
    <row r="3890" spans="1:6" hidden="1" outlineLevel="1" collapsed="1" x14ac:dyDescent="0.25">
      <c r="A3890" s="295" t="s">
        <v>282</v>
      </c>
      <c r="B3890" s="295" t="s">
        <v>750</v>
      </c>
      <c r="C3890" s="293">
        <v>87007.999991999997</v>
      </c>
      <c r="D3890" s="293">
        <v>90732.879996000003</v>
      </c>
      <c r="E3890" s="293">
        <v>3724.8800040000001</v>
      </c>
      <c r="F3890" s="294" t="s">
        <v>1304</v>
      </c>
    </row>
    <row r="3891" spans="1:6" hidden="1" outlineLevel="1" collapsed="1" x14ac:dyDescent="0.25">
      <c r="A3891" s="295" t="s">
        <v>282</v>
      </c>
      <c r="B3891" s="295" t="s">
        <v>464</v>
      </c>
      <c r="C3891" s="293">
        <v>21116.780874</v>
      </c>
      <c r="D3891" s="293">
        <v>22841.862675</v>
      </c>
      <c r="E3891" s="293">
        <v>1725.081801</v>
      </c>
      <c r="F3891" s="294" t="s">
        <v>613</v>
      </c>
    </row>
    <row r="3892" spans="1:6" hidden="1" outlineLevel="1" collapsed="1" x14ac:dyDescent="0.25">
      <c r="A3892" s="295" t="s">
        <v>282</v>
      </c>
      <c r="B3892" s="295" t="s">
        <v>751</v>
      </c>
      <c r="C3892" s="293">
        <v>11354.543987999999</v>
      </c>
      <c r="D3892" s="293">
        <v>0</v>
      </c>
      <c r="E3892" s="293">
        <v>-11354.543987999999</v>
      </c>
      <c r="F3892" s="294" t="s">
        <v>286</v>
      </c>
    </row>
    <row r="3893" spans="1:6" hidden="1" outlineLevel="1" collapsed="1" x14ac:dyDescent="0.25">
      <c r="A3893" s="295" t="s">
        <v>282</v>
      </c>
      <c r="B3893" s="295" t="s">
        <v>752</v>
      </c>
      <c r="C3893" s="293">
        <v>0</v>
      </c>
      <c r="D3893" s="293">
        <v>13092.754572</v>
      </c>
      <c r="E3893" s="293">
        <v>13092.754572</v>
      </c>
      <c r="F3893" s="294" t="s">
        <v>298</v>
      </c>
    </row>
    <row r="3894" spans="1:6" hidden="1" outlineLevel="1" collapsed="1" x14ac:dyDescent="0.25">
      <c r="A3894" s="295" t="s">
        <v>282</v>
      </c>
      <c r="B3894" s="295" t="s">
        <v>384</v>
      </c>
      <c r="C3894" s="293">
        <v>2656.4910329999998</v>
      </c>
      <c r="D3894" s="293">
        <v>0</v>
      </c>
      <c r="E3894" s="293">
        <v>-2656.4910329999998</v>
      </c>
      <c r="F3894" s="294" t="s">
        <v>286</v>
      </c>
    </row>
    <row r="3895" spans="1:6" hidden="1" outlineLevel="1" collapsed="1" x14ac:dyDescent="0.25">
      <c r="A3895" s="295" t="s">
        <v>282</v>
      </c>
      <c r="B3895" s="295" t="s">
        <v>385</v>
      </c>
      <c r="C3895" s="293">
        <v>0</v>
      </c>
      <c r="D3895" s="293">
        <v>3609.0143010000002</v>
      </c>
      <c r="E3895" s="293">
        <v>3609.0143010000002</v>
      </c>
      <c r="F3895" s="294" t="s">
        <v>298</v>
      </c>
    </row>
    <row r="3896" spans="1:6" hidden="1" outlineLevel="1" collapsed="1" x14ac:dyDescent="0.25">
      <c r="A3896" s="295" t="s">
        <v>282</v>
      </c>
      <c r="B3896" s="295" t="s">
        <v>386</v>
      </c>
      <c r="C3896" s="293">
        <v>1309.2404100000001</v>
      </c>
      <c r="D3896" s="293">
        <v>0</v>
      </c>
      <c r="E3896" s="293">
        <v>-1309.2404100000001</v>
      </c>
      <c r="F3896" s="294" t="s">
        <v>286</v>
      </c>
    </row>
    <row r="3897" spans="1:6" hidden="1" outlineLevel="1" collapsed="1" x14ac:dyDescent="0.25">
      <c r="A3897" s="295" t="s">
        <v>282</v>
      </c>
      <c r="B3897" s="295" t="s">
        <v>387</v>
      </c>
      <c r="C3897" s="293">
        <v>0</v>
      </c>
      <c r="D3897" s="293">
        <v>1416.195483</v>
      </c>
      <c r="E3897" s="293">
        <v>1416.195483</v>
      </c>
      <c r="F3897" s="294" t="s">
        <v>298</v>
      </c>
    </row>
    <row r="3898" spans="1:6" hidden="1" outlineLevel="1" collapsed="1" x14ac:dyDescent="0.25">
      <c r="A3898" s="295" t="s">
        <v>282</v>
      </c>
      <c r="B3898" s="295" t="s">
        <v>753</v>
      </c>
      <c r="C3898" s="293">
        <v>5394.4959959999996</v>
      </c>
      <c r="D3898" s="293">
        <v>5625.4385519999996</v>
      </c>
      <c r="E3898" s="293">
        <v>230.942556</v>
      </c>
      <c r="F3898" s="294" t="s">
        <v>1304</v>
      </c>
    </row>
    <row r="3899" spans="1:6" hidden="1" outlineLevel="1" collapsed="1" x14ac:dyDescent="0.25">
      <c r="A3899" s="295" t="s">
        <v>282</v>
      </c>
      <c r="B3899" s="295" t="s">
        <v>388</v>
      </c>
      <c r="C3899" s="293">
        <v>1567.809309</v>
      </c>
      <c r="D3899" s="293">
        <v>1646.8337610000001</v>
      </c>
      <c r="E3899" s="293">
        <v>79.024451999999997</v>
      </c>
      <c r="F3899" s="294" t="s">
        <v>729</v>
      </c>
    </row>
    <row r="3900" spans="1:6" hidden="1" outlineLevel="1" collapsed="1" x14ac:dyDescent="0.25">
      <c r="A3900" s="295" t="s">
        <v>282</v>
      </c>
      <c r="B3900" s="295" t="s">
        <v>389</v>
      </c>
      <c r="C3900" s="293">
        <v>213.0624</v>
      </c>
      <c r="D3900" s="293">
        <v>211.02</v>
      </c>
      <c r="E3900" s="293">
        <v>-2.0424000000000002</v>
      </c>
      <c r="F3900" s="294" t="s">
        <v>364</v>
      </c>
    </row>
    <row r="3901" spans="1:6" hidden="1" outlineLevel="1" collapsed="1" x14ac:dyDescent="0.25">
      <c r="A3901" s="295" t="s">
        <v>282</v>
      </c>
      <c r="B3901" s="295" t="s">
        <v>390</v>
      </c>
      <c r="C3901" s="293">
        <v>7742.6350000000002</v>
      </c>
      <c r="D3901" s="293">
        <v>7979.64</v>
      </c>
      <c r="E3901" s="293">
        <v>237.005</v>
      </c>
      <c r="F3901" s="294" t="s">
        <v>391</v>
      </c>
    </row>
    <row r="3902" spans="1:6" hidden="1" outlineLevel="1" collapsed="1" x14ac:dyDescent="0.25">
      <c r="A3902" s="295" t="s">
        <v>282</v>
      </c>
      <c r="B3902" s="295" t="s">
        <v>392</v>
      </c>
      <c r="C3902" s="293">
        <v>116.7696</v>
      </c>
      <c r="D3902" s="293">
        <v>91.44</v>
      </c>
      <c r="E3902" s="293">
        <v>-25.329599999999999</v>
      </c>
      <c r="F3902" s="294" t="s">
        <v>368</v>
      </c>
    </row>
    <row r="3903" spans="1:6" hidden="1" outlineLevel="1" collapsed="1" x14ac:dyDescent="0.25">
      <c r="A3903" s="295" t="s">
        <v>282</v>
      </c>
      <c r="B3903" s="295" t="s">
        <v>754</v>
      </c>
      <c r="C3903" s="293">
        <v>15358.56</v>
      </c>
      <c r="D3903" s="293">
        <v>15959.28</v>
      </c>
      <c r="E3903" s="293">
        <v>600.72</v>
      </c>
      <c r="F3903" s="294" t="s">
        <v>366</v>
      </c>
    </row>
    <row r="3904" spans="1:6" hidden="1" outlineLevel="1" collapsed="1" x14ac:dyDescent="0.25">
      <c r="A3904" s="295" t="s">
        <v>282</v>
      </c>
      <c r="B3904" s="295" t="s">
        <v>755</v>
      </c>
      <c r="C3904" s="293">
        <v>426.12479999999999</v>
      </c>
      <c r="D3904" s="293">
        <v>422.04</v>
      </c>
      <c r="E3904" s="293">
        <v>-4.0848000000000004</v>
      </c>
      <c r="F3904" s="294" t="s">
        <v>364</v>
      </c>
    </row>
    <row r="3905" spans="1:6" hidden="1" outlineLevel="1" collapsed="1" x14ac:dyDescent="0.25">
      <c r="A3905" s="295" t="s">
        <v>282</v>
      </c>
      <c r="B3905" s="295" t="s">
        <v>756</v>
      </c>
      <c r="C3905" s="293">
        <v>233.53919999999999</v>
      </c>
      <c r="D3905" s="293">
        <v>182.88</v>
      </c>
      <c r="E3905" s="293">
        <v>-50.659199999999998</v>
      </c>
      <c r="F3905" s="294" t="s">
        <v>368</v>
      </c>
    </row>
    <row r="3906" spans="1:6" hidden="1" outlineLevel="1" collapsed="1" x14ac:dyDescent="0.25">
      <c r="A3906" s="295" t="s">
        <v>282</v>
      </c>
      <c r="B3906" s="295" t="s">
        <v>393</v>
      </c>
      <c r="C3906" s="293">
        <v>10.558386</v>
      </c>
      <c r="D3906" s="293">
        <v>11.420928</v>
      </c>
      <c r="E3906" s="293">
        <v>0.86254200000000003</v>
      </c>
      <c r="F3906" s="294" t="s">
        <v>613</v>
      </c>
    </row>
    <row r="3907" spans="1:6" hidden="1" outlineLevel="1" collapsed="1" x14ac:dyDescent="0.25">
      <c r="A3907" s="295" t="s">
        <v>282</v>
      </c>
      <c r="B3907" s="295" t="s">
        <v>757</v>
      </c>
      <c r="C3907" s="293">
        <v>43.503996000000001</v>
      </c>
      <c r="D3907" s="293">
        <v>0</v>
      </c>
      <c r="E3907" s="293">
        <v>-43.503996000000001</v>
      </c>
      <c r="F3907" s="294" t="s">
        <v>286</v>
      </c>
    </row>
    <row r="3908" spans="1:6" hidden="1" outlineLevel="1" collapsed="1" x14ac:dyDescent="0.25">
      <c r="A3908" s="295" t="s">
        <v>282</v>
      </c>
      <c r="B3908" s="295" t="s">
        <v>758</v>
      </c>
      <c r="C3908" s="293">
        <v>0</v>
      </c>
      <c r="D3908" s="293">
        <v>45.366432000000003</v>
      </c>
      <c r="E3908" s="293">
        <v>45.366432000000003</v>
      </c>
      <c r="F3908" s="294" t="s">
        <v>298</v>
      </c>
    </row>
    <row r="3909" spans="1:6" hidden="1" outlineLevel="1" collapsed="1" x14ac:dyDescent="0.25">
      <c r="A3909" s="295" t="s">
        <v>282</v>
      </c>
      <c r="B3909" s="295" t="s">
        <v>394</v>
      </c>
      <c r="C3909" s="293">
        <v>750</v>
      </c>
      <c r="D3909" s="293">
        <v>0</v>
      </c>
      <c r="E3909" s="293">
        <v>-750</v>
      </c>
      <c r="F3909" s="294" t="s">
        <v>286</v>
      </c>
    </row>
    <row r="3910" spans="1:6" hidden="1" outlineLevel="1" collapsed="1" x14ac:dyDescent="0.25">
      <c r="A3910" s="295" t="s">
        <v>282</v>
      </c>
      <c r="B3910" s="295" t="s">
        <v>395</v>
      </c>
      <c r="C3910" s="293">
        <v>0</v>
      </c>
      <c r="D3910" s="293">
        <v>750</v>
      </c>
      <c r="E3910" s="293">
        <v>750</v>
      </c>
      <c r="F3910" s="294" t="s">
        <v>298</v>
      </c>
    </row>
    <row r="3911" spans="1:6" hidden="1" outlineLevel="1" collapsed="1" x14ac:dyDescent="0.25">
      <c r="A3911" s="295" t="s">
        <v>282</v>
      </c>
      <c r="B3911" s="295" t="s">
        <v>759</v>
      </c>
      <c r="C3911" s="293">
        <v>1500</v>
      </c>
      <c r="D3911" s="293">
        <v>0</v>
      </c>
      <c r="E3911" s="293">
        <v>-1500</v>
      </c>
      <c r="F3911" s="294" t="s">
        <v>286</v>
      </c>
    </row>
    <row r="3912" spans="1:6" hidden="1" outlineLevel="1" collapsed="1" x14ac:dyDescent="0.25">
      <c r="A3912" s="295" t="s">
        <v>282</v>
      </c>
      <c r="B3912" s="295" t="s">
        <v>760</v>
      </c>
      <c r="C3912" s="293">
        <v>0</v>
      </c>
      <c r="D3912" s="293">
        <v>1500</v>
      </c>
      <c r="E3912" s="293">
        <v>1500</v>
      </c>
      <c r="F3912" s="294" t="s">
        <v>298</v>
      </c>
    </row>
    <row r="3913" spans="1:6" hidden="1" outlineLevel="1" collapsed="1" x14ac:dyDescent="0.25">
      <c r="A3913" s="295" t="s">
        <v>282</v>
      </c>
      <c r="B3913" s="295" t="s">
        <v>396</v>
      </c>
      <c r="C3913" s="293">
        <v>24.84</v>
      </c>
      <c r="D3913" s="293">
        <v>0</v>
      </c>
      <c r="E3913" s="293">
        <v>-24.84</v>
      </c>
      <c r="F3913" s="294" t="s">
        <v>286</v>
      </c>
    </row>
    <row r="3914" spans="1:6" hidden="1" outlineLevel="1" collapsed="1" x14ac:dyDescent="0.25">
      <c r="A3914" s="295" t="s">
        <v>282</v>
      </c>
      <c r="B3914" s="295" t="s">
        <v>397</v>
      </c>
      <c r="C3914" s="293">
        <v>0</v>
      </c>
      <c r="D3914" s="293">
        <v>24.24</v>
      </c>
      <c r="E3914" s="293">
        <v>24.24</v>
      </c>
      <c r="F3914" s="294" t="s">
        <v>298</v>
      </c>
    </row>
    <row r="3915" spans="1:6" hidden="1" outlineLevel="1" collapsed="1" x14ac:dyDescent="0.25">
      <c r="A3915" s="295" t="s">
        <v>282</v>
      </c>
      <c r="B3915" s="295" t="s">
        <v>761</v>
      </c>
      <c r="C3915" s="293">
        <v>49.68</v>
      </c>
      <c r="D3915" s="293">
        <v>0</v>
      </c>
      <c r="E3915" s="293">
        <v>-49.68</v>
      </c>
      <c r="F3915" s="294" t="s">
        <v>286</v>
      </c>
    </row>
    <row r="3916" spans="1:6" hidden="1" outlineLevel="1" collapsed="1" x14ac:dyDescent="0.25">
      <c r="A3916" s="295" t="s">
        <v>282</v>
      </c>
      <c r="B3916" s="295" t="s">
        <v>762</v>
      </c>
      <c r="C3916" s="293">
        <v>0</v>
      </c>
      <c r="D3916" s="293">
        <v>48.48</v>
      </c>
      <c r="E3916" s="293">
        <v>48.48</v>
      </c>
      <c r="F3916" s="294" t="s">
        <v>298</v>
      </c>
    </row>
    <row r="3917" spans="1:6" hidden="1" outlineLevel="1" collapsed="1" x14ac:dyDescent="0.25">
      <c r="A3917" s="295" t="s">
        <v>282</v>
      </c>
      <c r="B3917" s="295" t="s">
        <v>398</v>
      </c>
      <c r="C3917" s="293">
        <v>12</v>
      </c>
      <c r="D3917" s="293">
        <v>5.52</v>
      </c>
      <c r="E3917" s="293">
        <v>-6.48</v>
      </c>
      <c r="F3917" s="294" t="s">
        <v>374</v>
      </c>
    </row>
    <row r="3918" spans="1:6" hidden="1" outlineLevel="1" collapsed="1" x14ac:dyDescent="0.25">
      <c r="A3918" s="295" t="s">
        <v>282</v>
      </c>
      <c r="B3918" s="295" t="s">
        <v>763</v>
      </c>
      <c r="C3918" s="293">
        <v>24</v>
      </c>
      <c r="D3918" s="293">
        <v>11.04</v>
      </c>
      <c r="E3918" s="293">
        <v>-12.96</v>
      </c>
      <c r="F3918" s="294" t="s">
        <v>374</v>
      </c>
    </row>
    <row r="3919" spans="1:6" hidden="1" outlineLevel="1" collapsed="1" x14ac:dyDescent="0.25">
      <c r="A3919" s="295" t="s">
        <v>282</v>
      </c>
      <c r="B3919" s="295" t="s">
        <v>375</v>
      </c>
      <c r="C3919" s="293">
        <v>600</v>
      </c>
      <c r="D3919" s="293">
        <v>0</v>
      </c>
      <c r="E3919" s="293">
        <v>-600</v>
      </c>
      <c r="F3919" s="294" t="s">
        <v>286</v>
      </c>
    </row>
    <row r="3920" spans="1:6" hidden="1" outlineLevel="1" collapsed="1" x14ac:dyDescent="0.25">
      <c r="A3920" s="295" t="s">
        <v>282</v>
      </c>
      <c r="B3920" s="295" t="s">
        <v>376</v>
      </c>
      <c r="C3920" s="293">
        <v>1500</v>
      </c>
      <c r="D3920" s="293">
        <v>1000</v>
      </c>
      <c r="E3920" s="293">
        <v>-500</v>
      </c>
      <c r="F3920" s="294" t="s">
        <v>858</v>
      </c>
    </row>
    <row r="3921" spans="1:6" hidden="1" outlineLevel="1" collapsed="1" x14ac:dyDescent="0.25">
      <c r="A3921" s="295" t="s">
        <v>282</v>
      </c>
      <c r="B3921" s="295" t="s">
        <v>506</v>
      </c>
      <c r="C3921" s="293">
        <v>1000</v>
      </c>
      <c r="D3921" s="293">
        <v>1000</v>
      </c>
      <c r="E3921" s="293">
        <v>0</v>
      </c>
      <c r="F3921" s="294" t="s">
        <v>316</v>
      </c>
    </row>
    <row r="3922" spans="1:6" hidden="1" outlineLevel="1" collapsed="1" x14ac:dyDescent="0.25">
      <c r="A3922" s="295" t="s">
        <v>282</v>
      </c>
      <c r="B3922" s="295" t="s">
        <v>426</v>
      </c>
      <c r="C3922" s="293">
        <v>1950</v>
      </c>
      <c r="D3922" s="293">
        <v>1825</v>
      </c>
      <c r="E3922" s="293">
        <v>-125</v>
      </c>
      <c r="F3922" s="294" t="s">
        <v>1554</v>
      </c>
    </row>
    <row r="3923" spans="1:6" hidden="1" outlineLevel="1" collapsed="1" x14ac:dyDescent="0.25">
      <c r="A3923" s="295" t="s">
        <v>282</v>
      </c>
      <c r="B3923" s="295" t="s">
        <v>482</v>
      </c>
      <c r="C3923" s="293">
        <v>0</v>
      </c>
      <c r="D3923" s="293">
        <v>200</v>
      </c>
      <c r="E3923" s="293">
        <v>200</v>
      </c>
      <c r="F3923" s="294" t="s">
        <v>298</v>
      </c>
    </row>
    <row r="3924" spans="1:6" hidden="1" outlineLevel="1" collapsed="1" x14ac:dyDescent="0.25">
      <c r="A3924" s="295" t="s">
        <v>282</v>
      </c>
      <c r="B3924" s="295" t="s">
        <v>597</v>
      </c>
      <c r="C3924" s="293">
        <v>225</v>
      </c>
      <c r="D3924" s="293">
        <v>200</v>
      </c>
      <c r="E3924" s="293">
        <v>-25</v>
      </c>
      <c r="F3924" s="294" t="s">
        <v>1555</v>
      </c>
    </row>
    <row r="3925" spans="1:6" hidden="1" outlineLevel="1" collapsed="1" x14ac:dyDescent="0.25">
      <c r="A3925" s="295" t="s">
        <v>282</v>
      </c>
      <c r="B3925" s="295" t="s">
        <v>448</v>
      </c>
      <c r="C3925" s="293">
        <v>3175</v>
      </c>
      <c r="D3925" s="293">
        <v>4225</v>
      </c>
      <c r="E3925" s="293">
        <v>1050</v>
      </c>
      <c r="F3925" s="294" t="s">
        <v>1556</v>
      </c>
    </row>
    <row r="3926" spans="1:6" hidden="1" outlineLevel="1" collapsed="1" x14ac:dyDescent="0.25">
      <c r="A3926" s="295" t="s">
        <v>282</v>
      </c>
      <c r="B3926" s="295" t="s">
        <v>405</v>
      </c>
      <c r="C3926" s="293">
        <v>0</v>
      </c>
      <c r="D3926" s="293">
        <v>0</v>
      </c>
      <c r="E3926" s="293">
        <v>0</v>
      </c>
      <c r="F3926" s="294" t="s">
        <v>316</v>
      </c>
    </row>
    <row r="3927" spans="1:6" collapsed="1" x14ac:dyDescent="0.25">
      <c r="A3927" s="560" t="s">
        <v>1557</v>
      </c>
      <c r="B3927" s="561"/>
      <c r="C3927" s="292">
        <v>177986.9087</v>
      </c>
      <c r="D3927" s="293">
        <v>218210.692591</v>
      </c>
      <c r="E3927" s="293">
        <v>40223.783890999999</v>
      </c>
      <c r="F3927" s="294" t="s">
        <v>1558</v>
      </c>
    </row>
    <row r="3928" spans="1:6" hidden="1" outlineLevel="1" collapsed="1" x14ac:dyDescent="0.25">
      <c r="A3928" s="295" t="s">
        <v>282</v>
      </c>
      <c r="B3928" s="295" t="s">
        <v>750</v>
      </c>
      <c r="C3928" s="293">
        <v>84031.999991999997</v>
      </c>
      <c r="D3928" s="293">
        <v>87712.239996000004</v>
      </c>
      <c r="E3928" s="293">
        <v>3680.2400040000002</v>
      </c>
      <c r="F3928" s="294" t="s">
        <v>978</v>
      </c>
    </row>
    <row r="3929" spans="1:6" hidden="1" outlineLevel="1" collapsed="1" x14ac:dyDescent="0.25">
      <c r="A3929" s="295" t="s">
        <v>282</v>
      </c>
      <c r="B3929" s="295" t="s">
        <v>464</v>
      </c>
      <c r="C3929" s="293">
        <v>0</v>
      </c>
      <c r="D3929" s="293">
        <v>60701.776471999998</v>
      </c>
      <c r="E3929" s="293">
        <v>60701.776471999998</v>
      </c>
      <c r="F3929" s="294" t="s">
        <v>298</v>
      </c>
    </row>
    <row r="3930" spans="1:6" hidden="1" outlineLevel="1" collapsed="1" x14ac:dyDescent="0.25">
      <c r="A3930" s="295" t="s">
        <v>282</v>
      </c>
      <c r="B3930" s="295" t="s">
        <v>380</v>
      </c>
      <c r="C3930" s="293">
        <v>39296.243840000003</v>
      </c>
      <c r="D3930" s="293">
        <v>0</v>
      </c>
      <c r="E3930" s="293">
        <v>-39296.243840000003</v>
      </c>
      <c r="F3930" s="294" t="s">
        <v>286</v>
      </c>
    </row>
    <row r="3931" spans="1:6" hidden="1" outlineLevel="1" collapsed="1" x14ac:dyDescent="0.25">
      <c r="A3931" s="295" t="s">
        <v>282</v>
      </c>
      <c r="B3931" s="295" t="s">
        <v>751</v>
      </c>
      <c r="C3931" s="293">
        <v>10966.175988000001</v>
      </c>
      <c r="D3931" s="293">
        <v>0</v>
      </c>
      <c r="E3931" s="293">
        <v>-10966.175988000001</v>
      </c>
      <c r="F3931" s="294" t="s">
        <v>286</v>
      </c>
    </row>
    <row r="3932" spans="1:6" hidden="1" outlineLevel="1" collapsed="1" x14ac:dyDescent="0.25">
      <c r="A3932" s="295" t="s">
        <v>282</v>
      </c>
      <c r="B3932" s="295" t="s">
        <v>752</v>
      </c>
      <c r="C3932" s="293">
        <v>0</v>
      </c>
      <c r="D3932" s="293">
        <v>12656.87622</v>
      </c>
      <c r="E3932" s="293">
        <v>12656.87622</v>
      </c>
      <c r="F3932" s="294" t="s">
        <v>298</v>
      </c>
    </row>
    <row r="3933" spans="1:6" hidden="1" outlineLevel="1" collapsed="1" x14ac:dyDescent="0.25">
      <c r="A3933" s="295" t="s">
        <v>282</v>
      </c>
      <c r="B3933" s="295" t="s">
        <v>384</v>
      </c>
      <c r="C3933" s="293">
        <v>4876.3741360000004</v>
      </c>
      <c r="D3933" s="293">
        <v>0</v>
      </c>
      <c r="E3933" s="293">
        <v>-4876.3741360000004</v>
      </c>
      <c r="F3933" s="294" t="s">
        <v>286</v>
      </c>
    </row>
    <row r="3934" spans="1:6" hidden="1" outlineLevel="1" collapsed="1" x14ac:dyDescent="0.25">
      <c r="A3934" s="295" t="s">
        <v>282</v>
      </c>
      <c r="B3934" s="295" t="s">
        <v>385</v>
      </c>
      <c r="C3934" s="293">
        <v>0</v>
      </c>
      <c r="D3934" s="293">
        <v>9464.4806759999992</v>
      </c>
      <c r="E3934" s="293">
        <v>9464.4806759999992</v>
      </c>
      <c r="F3934" s="294" t="s">
        <v>298</v>
      </c>
    </row>
    <row r="3935" spans="1:6" hidden="1" outlineLevel="1" collapsed="1" x14ac:dyDescent="0.25">
      <c r="A3935" s="295" t="s">
        <v>282</v>
      </c>
      <c r="B3935" s="295" t="s">
        <v>386</v>
      </c>
      <c r="C3935" s="293">
        <v>2436.3671119999999</v>
      </c>
      <c r="D3935" s="293">
        <v>0</v>
      </c>
      <c r="E3935" s="293">
        <v>-2436.3671119999999</v>
      </c>
      <c r="F3935" s="294" t="s">
        <v>286</v>
      </c>
    </row>
    <row r="3936" spans="1:6" hidden="1" outlineLevel="1" collapsed="1" x14ac:dyDescent="0.25">
      <c r="A3936" s="295" t="s">
        <v>282</v>
      </c>
      <c r="B3936" s="295" t="s">
        <v>387</v>
      </c>
      <c r="C3936" s="293">
        <v>0</v>
      </c>
      <c r="D3936" s="293">
        <v>3763.510139</v>
      </c>
      <c r="E3936" s="293">
        <v>3763.510139</v>
      </c>
      <c r="F3936" s="294" t="s">
        <v>298</v>
      </c>
    </row>
    <row r="3937" spans="1:6" hidden="1" outlineLevel="1" collapsed="1" x14ac:dyDescent="0.25">
      <c r="A3937" s="295" t="s">
        <v>282</v>
      </c>
      <c r="B3937" s="295" t="s">
        <v>753</v>
      </c>
      <c r="C3937" s="293">
        <v>5209.9839959999999</v>
      </c>
      <c r="D3937" s="293">
        <v>5438.158872</v>
      </c>
      <c r="E3937" s="293">
        <v>228.17487600000001</v>
      </c>
      <c r="F3937" s="294" t="s">
        <v>978</v>
      </c>
    </row>
    <row r="3938" spans="1:6" hidden="1" outlineLevel="1" collapsed="1" x14ac:dyDescent="0.25">
      <c r="A3938" s="295" t="s">
        <v>282</v>
      </c>
      <c r="B3938" s="295" t="s">
        <v>388</v>
      </c>
      <c r="C3938" s="293">
        <v>1788.2595200000001</v>
      </c>
      <c r="D3938" s="293">
        <v>2152.003224</v>
      </c>
      <c r="E3938" s="293">
        <v>363.74370399999998</v>
      </c>
      <c r="F3938" s="294" t="s">
        <v>1559</v>
      </c>
    </row>
    <row r="3939" spans="1:6" hidden="1" outlineLevel="1" collapsed="1" x14ac:dyDescent="0.25">
      <c r="A3939" s="295" t="s">
        <v>282</v>
      </c>
      <c r="B3939" s="295" t="s">
        <v>389</v>
      </c>
      <c r="C3939" s="293">
        <v>284.08319999999998</v>
      </c>
      <c r="D3939" s="293">
        <v>422.04</v>
      </c>
      <c r="E3939" s="293">
        <v>137.95679999999999</v>
      </c>
      <c r="F3939" s="294" t="s">
        <v>1560</v>
      </c>
    </row>
    <row r="3940" spans="1:6" hidden="1" outlineLevel="1" collapsed="1" x14ac:dyDescent="0.25">
      <c r="A3940" s="295" t="s">
        <v>282</v>
      </c>
      <c r="B3940" s="295" t="s">
        <v>390</v>
      </c>
      <c r="C3940" s="293">
        <v>10239.040000000001</v>
      </c>
      <c r="D3940" s="293">
        <v>15959.28</v>
      </c>
      <c r="E3940" s="293">
        <v>5720.24</v>
      </c>
      <c r="F3940" s="294" t="s">
        <v>1561</v>
      </c>
    </row>
    <row r="3941" spans="1:6" hidden="1" outlineLevel="1" collapsed="1" x14ac:dyDescent="0.25">
      <c r="A3941" s="295" t="s">
        <v>282</v>
      </c>
      <c r="B3941" s="295" t="s">
        <v>392</v>
      </c>
      <c r="C3941" s="293">
        <v>155.69280000000001</v>
      </c>
      <c r="D3941" s="293">
        <v>182.88</v>
      </c>
      <c r="E3941" s="293">
        <v>27.187200000000001</v>
      </c>
      <c r="F3941" s="294" t="s">
        <v>888</v>
      </c>
    </row>
    <row r="3942" spans="1:6" hidden="1" outlineLevel="1" collapsed="1" x14ac:dyDescent="0.25">
      <c r="A3942" s="295" t="s">
        <v>282</v>
      </c>
      <c r="B3942" s="295" t="s">
        <v>754</v>
      </c>
      <c r="C3942" s="293">
        <v>15358.56</v>
      </c>
      <c r="D3942" s="293">
        <v>15959.28</v>
      </c>
      <c r="E3942" s="293">
        <v>600.72</v>
      </c>
      <c r="F3942" s="294" t="s">
        <v>366</v>
      </c>
    </row>
    <row r="3943" spans="1:6" hidden="1" outlineLevel="1" collapsed="1" x14ac:dyDescent="0.25">
      <c r="A3943" s="295" t="s">
        <v>282</v>
      </c>
      <c r="B3943" s="295" t="s">
        <v>755</v>
      </c>
      <c r="C3943" s="293">
        <v>426.12479999999999</v>
      </c>
      <c r="D3943" s="293">
        <v>422.04</v>
      </c>
      <c r="E3943" s="293">
        <v>-4.0848000000000004</v>
      </c>
      <c r="F3943" s="294" t="s">
        <v>364</v>
      </c>
    </row>
    <row r="3944" spans="1:6" hidden="1" outlineLevel="1" collapsed="1" x14ac:dyDescent="0.25">
      <c r="A3944" s="295" t="s">
        <v>282</v>
      </c>
      <c r="B3944" s="295" t="s">
        <v>756</v>
      </c>
      <c r="C3944" s="293">
        <v>233.53919999999999</v>
      </c>
      <c r="D3944" s="293">
        <v>182.88</v>
      </c>
      <c r="E3944" s="293">
        <v>-50.659199999999998</v>
      </c>
      <c r="F3944" s="294" t="s">
        <v>368</v>
      </c>
    </row>
    <row r="3945" spans="1:6" hidden="1" outlineLevel="1" collapsed="1" x14ac:dyDescent="0.25">
      <c r="A3945" s="295" t="s">
        <v>282</v>
      </c>
      <c r="B3945" s="295" t="s">
        <v>393</v>
      </c>
      <c r="C3945" s="293">
        <v>19.648119999999999</v>
      </c>
      <c r="D3945" s="293">
        <v>30.35088</v>
      </c>
      <c r="E3945" s="293">
        <v>10.70276</v>
      </c>
      <c r="F3945" s="294" t="s">
        <v>1562</v>
      </c>
    </row>
    <row r="3946" spans="1:6" hidden="1" outlineLevel="1" collapsed="1" x14ac:dyDescent="0.25">
      <c r="A3946" s="295" t="s">
        <v>282</v>
      </c>
      <c r="B3946" s="295" t="s">
        <v>757</v>
      </c>
      <c r="C3946" s="293">
        <v>42.015996000000001</v>
      </c>
      <c r="D3946" s="293">
        <v>0</v>
      </c>
      <c r="E3946" s="293">
        <v>-42.015996000000001</v>
      </c>
      <c r="F3946" s="294" t="s">
        <v>286</v>
      </c>
    </row>
    <row r="3947" spans="1:6" hidden="1" outlineLevel="1" collapsed="1" x14ac:dyDescent="0.25">
      <c r="A3947" s="295" t="s">
        <v>282</v>
      </c>
      <c r="B3947" s="295" t="s">
        <v>758</v>
      </c>
      <c r="C3947" s="293">
        <v>0</v>
      </c>
      <c r="D3947" s="293">
        <v>43.856112000000003</v>
      </c>
      <c r="E3947" s="293">
        <v>43.856112000000003</v>
      </c>
      <c r="F3947" s="294" t="s">
        <v>298</v>
      </c>
    </row>
    <row r="3948" spans="1:6" hidden="1" outlineLevel="1" collapsed="1" x14ac:dyDescent="0.25">
      <c r="A3948" s="295" t="s">
        <v>282</v>
      </c>
      <c r="B3948" s="295" t="s">
        <v>394</v>
      </c>
      <c r="C3948" s="293">
        <v>1000</v>
      </c>
      <c r="D3948" s="293">
        <v>0</v>
      </c>
      <c r="E3948" s="293">
        <v>-1000</v>
      </c>
      <c r="F3948" s="294" t="s">
        <v>286</v>
      </c>
    </row>
    <row r="3949" spans="1:6" hidden="1" outlineLevel="1" collapsed="1" x14ac:dyDescent="0.25">
      <c r="A3949" s="295" t="s">
        <v>282</v>
      </c>
      <c r="B3949" s="295" t="s">
        <v>395</v>
      </c>
      <c r="C3949" s="293">
        <v>0</v>
      </c>
      <c r="D3949" s="293">
        <v>1500</v>
      </c>
      <c r="E3949" s="293">
        <v>1500</v>
      </c>
      <c r="F3949" s="294" t="s">
        <v>298</v>
      </c>
    </row>
    <row r="3950" spans="1:6" hidden="1" outlineLevel="1" collapsed="1" x14ac:dyDescent="0.25">
      <c r="A3950" s="295" t="s">
        <v>282</v>
      </c>
      <c r="B3950" s="295" t="s">
        <v>759</v>
      </c>
      <c r="C3950" s="293">
        <v>1500</v>
      </c>
      <c r="D3950" s="293">
        <v>0</v>
      </c>
      <c r="E3950" s="293">
        <v>-1500</v>
      </c>
      <c r="F3950" s="294" t="s">
        <v>286</v>
      </c>
    </row>
    <row r="3951" spans="1:6" hidden="1" outlineLevel="1" collapsed="1" x14ac:dyDescent="0.25">
      <c r="A3951" s="295" t="s">
        <v>282</v>
      </c>
      <c r="B3951" s="295" t="s">
        <v>760</v>
      </c>
      <c r="C3951" s="293">
        <v>0</v>
      </c>
      <c r="D3951" s="293">
        <v>1500</v>
      </c>
      <c r="E3951" s="293">
        <v>1500</v>
      </c>
      <c r="F3951" s="294" t="s">
        <v>298</v>
      </c>
    </row>
    <row r="3952" spans="1:6" hidden="1" outlineLevel="1" collapsed="1" x14ac:dyDescent="0.25">
      <c r="A3952" s="295" t="s">
        <v>282</v>
      </c>
      <c r="B3952" s="295" t="s">
        <v>396</v>
      </c>
      <c r="C3952" s="293">
        <v>33.119999999999997</v>
      </c>
      <c r="D3952" s="293">
        <v>0</v>
      </c>
      <c r="E3952" s="293">
        <v>-33.119999999999997</v>
      </c>
      <c r="F3952" s="294" t="s">
        <v>286</v>
      </c>
    </row>
    <row r="3953" spans="1:6" hidden="1" outlineLevel="1" collapsed="1" x14ac:dyDescent="0.25">
      <c r="A3953" s="295" t="s">
        <v>282</v>
      </c>
      <c r="B3953" s="295" t="s">
        <v>397</v>
      </c>
      <c r="C3953" s="293">
        <v>0</v>
      </c>
      <c r="D3953" s="293">
        <v>48.48</v>
      </c>
      <c r="E3953" s="293">
        <v>48.48</v>
      </c>
      <c r="F3953" s="294" t="s">
        <v>298</v>
      </c>
    </row>
    <row r="3954" spans="1:6" hidden="1" outlineLevel="1" collapsed="1" x14ac:dyDescent="0.25">
      <c r="A3954" s="295" t="s">
        <v>282</v>
      </c>
      <c r="B3954" s="295" t="s">
        <v>761</v>
      </c>
      <c r="C3954" s="293">
        <v>49.68</v>
      </c>
      <c r="D3954" s="293">
        <v>0</v>
      </c>
      <c r="E3954" s="293">
        <v>-49.68</v>
      </c>
      <c r="F3954" s="294" t="s">
        <v>286</v>
      </c>
    </row>
    <row r="3955" spans="1:6" hidden="1" outlineLevel="1" collapsed="1" x14ac:dyDescent="0.25">
      <c r="A3955" s="295" t="s">
        <v>282</v>
      </c>
      <c r="B3955" s="295" t="s">
        <v>762</v>
      </c>
      <c r="C3955" s="293">
        <v>0</v>
      </c>
      <c r="D3955" s="293">
        <v>48.48</v>
      </c>
      <c r="E3955" s="293">
        <v>48.48</v>
      </c>
      <c r="F3955" s="294" t="s">
        <v>298</v>
      </c>
    </row>
    <row r="3956" spans="1:6" hidden="1" outlineLevel="1" collapsed="1" x14ac:dyDescent="0.25">
      <c r="A3956" s="295" t="s">
        <v>282</v>
      </c>
      <c r="B3956" s="295" t="s">
        <v>398</v>
      </c>
      <c r="C3956" s="293">
        <v>16</v>
      </c>
      <c r="D3956" s="293">
        <v>11.04</v>
      </c>
      <c r="E3956" s="293">
        <v>-4.96</v>
      </c>
      <c r="F3956" s="294" t="s">
        <v>1563</v>
      </c>
    </row>
    <row r="3957" spans="1:6" hidden="1" outlineLevel="1" collapsed="1" x14ac:dyDescent="0.25">
      <c r="A3957" s="295" t="s">
        <v>282</v>
      </c>
      <c r="B3957" s="295" t="s">
        <v>763</v>
      </c>
      <c r="C3957" s="293">
        <v>24</v>
      </c>
      <c r="D3957" s="293">
        <v>11.04</v>
      </c>
      <c r="E3957" s="293">
        <v>-12.96</v>
      </c>
      <c r="F3957" s="294" t="s">
        <v>374</v>
      </c>
    </row>
    <row r="3958" spans="1:6" collapsed="1" x14ac:dyDescent="0.25">
      <c r="A3958" s="560" t="s">
        <v>1564</v>
      </c>
      <c r="B3958" s="561"/>
      <c r="C3958" s="292">
        <v>150151.42497600001</v>
      </c>
      <c r="D3958" s="293">
        <v>154265.65849199999</v>
      </c>
      <c r="E3958" s="293">
        <v>4114.2335160000002</v>
      </c>
      <c r="F3958" s="294" t="s">
        <v>1358</v>
      </c>
    </row>
    <row r="3959" spans="1:6" hidden="1" outlineLevel="1" collapsed="1" x14ac:dyDescent="0.25">
      <c r="A3959" s="295" t="s">
        <v>282</v>
      </c>
      <c r="B3959" s="295" t="s">
        <v>780</v>
      </c>
      <c r="C3959" s="293">
        <v>116806.358076</v>
      </c>
      <c r="D3959" s="293">
        <v>118541.352636</v>
      </c>
      <c r="E3959" s="293">
        <v>1734.9945600000001</v>
      </c>
      <c r="F3959" s="294" t="s">
        <v>781</v>
      </c>
    </row>
    <row r="3960" spans="1:6" hidden="1" outlineLevel="1" collapsed="1" x14ac:dyDescent="0.25">
      <c r="A3960" s="295" t="s">
        <v>282</v>
      </c>
      <c r="B3960" s="295" t="s">
        <v>751</v>
      </c>
      <c r="C3960" s="293">
        <v>15094.459728</v>
      </c>
      <c r="D3960" s="293">
        <v>0</v>
      </c>
      <c r="E3960" s="293">
        <v>-15094.459728</v>
      </c>
      <c r="F3960" s="294" t="s">
        <v>286</v>
      </c>
    </row>
    <row r="3961" spans="1:6" hidden="1" outlineLevel="1" collapsed="1" x14ac:dyDescent="0.25">
      <c r="A3961" s="295" t="s">
        <v>282</v>
      </c>
      <c r="B3961" s="295" t="s">
        <v>752</v>
      </c>
      <c r="C3961" s="293">
        <v>0</v>
      </c>
      <c r="D3961" s="293">
        <v>16941.015179999999</v>
      </c>
      <c r="E3961" s="293">
        <v>16941.015179999999</v>
      </c>
      <c r="F3961" s="294" t="s">
        <v>298</v>
      </c>
    </row>
    <row r="3962" spans="1:6" hidden="1" outlineLevel="1" collapsed="1" x14ac:dyDescent="0.25">
      <c r="A3962" s="295" t="s">
        <v>282</v>
      </c>
      <c r="B3962" s="295" t="s">
        <v>754</v>
      </c>
      <c r="C3962" s="293">
        <v>15358.56</v>
      </c>
      <c r="D3962" s="293">
        <v>15959.28</v>
      </c>
      <c r="E3962" s="293">
        <v>600.72</v>
      </c>
      <c r="F3962" s="294" t="s">
        <v>366</v>
      </c>
    </row>
    <row r="3963" spans="1:6" hidden="1" outlineLevel="1" collapsed="1" x14ac:dyDescent="0.25">
      <c r="A3963" s="295" t="s">
        <v>282</v>
      </c>
      <c r="B3963" s="295" t="s">
        <v>755</v>
      </c>
      <c r="C3963" s="293">
        <v>426.12479999999999</v>
      </c>
      <c r="D3963" s="293">
        <v>422.04</v>
      </c>
      <c r="E3963" s="293">
        <v>-4.0848000000000004</v>
      </c>
      <c r="F3963" s="294" t="s">
        <v>364</v>
      </c>
    </row>
    <row r="3964" spans="1:6" hidden="1" outlineLevel="1" collapsed="1" x14ac:dyDescent="0.25">
      <c r="A3964" s="295" t="s">
        <v>282</v>
      </c>
      <c r="B3964" s="295" t="s">
        <v>756</v>
      </c>
      <c r="C3964" s="293">
        <v>233.53919999999999</v>
      </c>
      <c r="D3964" s="293">
        <v>182.88</v>
      </c>
      <c r="E3964" s="293">
        <v>-50.659199999999998</v>
      </c>
      <c r="F3964" s="294" t="s">
        <v>368</v>
      </c>
    </row>
    <row r="3965" spans="1:6" hidden="1" outlineLevel="1" collapsed="1" x14ac:dyDescent="0.25">
      <c r="A3965" s="295" t="s">
        <v>282</v>
      </c>
      <c r="B3965" s="295" t="s">
        <v>757</v>
      </c>
      <c r="C3965" s="293">
        <v>58.703172000000002</v>
      </c>
      <c r="D3965" s="293">
        <v>0</v>
      </c>
      <c r="E3965" s="293">
        <v>-58.703172000000002</v>
      </c>
      <c r="F3965" s="294" t="s">
        <v>286</v>
      </c>
    </row>
    <row r="3966" spans="1:6" hidden="1" outlineLevel="1" collapsed="1" x14ac:dyDescent="0.25">
      <c r="A3966" s="295" t="s">
        <v>282</v>
      </c>
      <c r="B3966" s="295" t="s">
        <v>758</v>
      </c>
      <c r="C3966" s="293">
        <v>0</v>
      </c>
      <c r="D3966" s="293">
        <v>59.570675999999999</v>
      </c>
      <c r="E3966" s="293">
        <v>59.570675999999999</v>
      </c>
      <c r="F3966" s="294" t="s">
        <v>298</v>
      </c>
    </row>
    <row r="3967" spans="1:6" hidden="1" outlineLevel="1" collapsed="1" x14ac:dyDescent="0.25">
      <c r="A3967" s="295" t="s">
        <v>282</v>
      </c>
      <c r="B3967" s="295" t="s">
        <v>759</v>
      </c>
      <c r="C3967" s="293">
        <v>1500</v>
      </c>
      <c r="D3967" s="293">
        <v>0</v>
      </c>
      <c r="E3967" s="293">
        <v>-1500</v>
      </c>
      <c r="F3967" s="294" t="s">
        <v>286</v>
      </c>
    </row>
    <row r="3968" spans="1:6" hidden="1" outlineLevel="1" collapsed="1" x14ac:dyDescent="0.25">
      <c r="A3968" s="295" t="s">
        <v>282</v>
      </c>
      <c r="B3968" s="295" t="s">
        <v>760</v>
      </c>
      <c r="C3968" s="293">
        <v>0</v>
      </c>
      <c r="D3968" s="293">
        <v>1500</v>
      </c>
      <c r="E3968" s="293">
        <v>1500</v>
      </c>
      <c r="F3968" s="294" t="s">
        <v>298</v>
      </c>
    </row>
    <row r="3969" spans="1:6" hidden="1" outlineLevel="1" collapsed="1" x14ac:dyDescent="0.25">
      <c r="A3969" s="295" t="s">
        <v>282</v>
      </c>
      <c r="B3969" s="295" t="s">
        <v>761</v>
      </c>
      <c r="C3969" s="293">
        <v>49.68</v>
      </c>
      <c r="D3969" s="293">
        <v>0</v>
      </c>
      <c r="E3969" s="293">
        <v>-49.68</v>
      </c>
      <c r="F3969" s="294" t="s">
        <v>286</v>
      </c>
    </row>
    <row r="3970" spans="1:6" hidden="1" outlineLevel="1" collapsed="1" x14ac:dyDescent="0.25">
      <c r="A3970" s="295" t="s">
        <v>282</v>
      </c>
      <c r="B3970" s="295" t="s">
        <v>762</v>
      </c>
      <c r="C3970" s="293">
        <v>0</v>
      </c>
      <c r="D3970" s="293">
        <v>48.48</v>
      </c>
      <c r="E3970" s="293">
        <v>48.48</v>
      </c>
      <c r="F3970" s="294" t="s">
        <v>298</v>
      </c>
    </row>
    <row r="3971" spans="1:6" hidden="1" outlineLevel="1" collapsed="1" x14ac:dyDescent="0.25">
      <c r="A3971" s="295" t="s">
        <v>282</v>
      </c>
      <c r="B3971" s="295" t="s">
        <v>763</v>
      </c>
      <c r="C3971" s="293">
        <v>24</v>
      </c>
      <c r="D3971" s="293">
        <v>11.04</v>
      </c>
      <c r="E3971" s="293">
        <v>-12.96</v>
      </c>
      <c r="F3971" s="294" t="s">
        <v>374</v>
      </c>
    </row>
    <row r="3972" spans="1:6" hidden="1" outlineLevel="1" collapsed="1" x14ac:dyDescent="0.25">
      <c r="A3972" s="295" t="s">
        <v>282</v>
      </c>
      <c r="B3972" s="295" t="s">
        <v>707</v>
      </c>
      <c r="C3972" s="293">
        <v>600</v>
      </c>
      <c r="D3972" s="293">
        <v>600</v>
      </c>
      <c r="E3972" s="293">
        <v>0</v>
      </c>
      <c r="F3972" s="294" t="s">
        <v>316</v>
      </c>
    </row>
    <row r="3973" spans="1:6" collapsed="1" x14ac:dyDescent="0.25">
      <c r="A3973" s="560" t="s">
        <v>327</v>
      </c>
      <c r="B3973" s="561"/>
      <c r="C3973" s="292">
        <v>97101</v>
      </c>
      <c r="D3973" s="293">
        <v>95901</v>
      </c>
      <c r="E3973" s="293">
        <v>-1200</v>
      </c>
      <c r="F3973" s="294" t="s">
        <v>1565</v>
      </c>
    </row>
    <row r="3974" spans="1:6" hidden="1" outlineLevel="1" collapsed="1" x14ac:dyDescent="0.25">
      <c r="A3974" s="295" t="s">
        <v>282</v>
      </c>
      <c r="B3974" s="295" t="s">
        <v>441</v>
      </c>
      <c r="C3974" s="293">
        <v>63588</v>
      </c>
      <c r="D3974" s="293">
        <v>53000</v>
      </c>
      <c r="E3974" s="293">
        <v>-10588</v>
      </c>
      <c r="F3974" s="294" t="s">
        <v>1566</v>
      </c>
    </row>
    <row r="3975" spans="1:6" hidden="1" outlineLevel="1" collapsed="1" x14ac:dyDescent="0.25">
      <c r="A3975" s="295" t="s">
        <v>282</v>
      </c>
      <c r="B3975" s="295" t="s">
        <v>945</v>
      </c>
      <c r="C3975" s="293">
        <v>12704</v>
      </c>
      <c r="D3975" s="293">
        <v>32600</v>
      </c>
      <c r="E3975" s="293">
        <v>19896</v>
      </c>
      <c r="F3975" s="294" t="s">
        <v>1567</v>
      </c>
    </row>
    <row r="3976" spans="1:6" hidden="1" outlineLevel="1" collapsed="1" x14ac:dyDescent="0.25">
      <c r="A3976" s="295" t="s">
        <v>282</v>
      </c>
      <c r="B3976" s="295" t="s">
        <v>799</v>
      </c>
      <c r="C3976" s="293">
        <v>5708</v>
      </c>
      <c r="D3976" s="293">
        <v>0</v>
      </c>
      <c r="E3976" s="293">
        <v>-5708</v>
      </c>
      <c r="F3976" s="294" t="s">
        <v>286</v>
      </c>
    </row>
    <row r="3977" spans="1:6" hidden="1" outlineLevel="1" collapsed="1" x14ac:dyDescent="0.25">
      <c r="A3977" s="295" t="s">
        <v>282</v>
      </c>
      <c r="B3977" s="295" t="s">
        <v>444</v>
      </c>
      <c r="C3977" s="293">
        <v>9060</v>
      </c>
      <c r="D3977" s="293">
        <v>5000</v>
      </c>
      <c r="E3977" s="293">
        <v>-4060</v>
      </c>
      <c r="F3977" s="294" t="s">
        <v>1568</v>
      </c>
    </row>
    <row r="3978" spans="1:6" hidden="1" outlineLevel="1" collapsed="1" x14ac:dyDescent="0.25">
      <c r="A3978" s="295" t="s">
        <v>282</v>
      </c>
      <c r="B3978" s="295" t="s">
        <v>376</v>
      </c>
      <c r="C3978" s="293">
        <v>5500</v>
      </c>
      <c r="D3978" s="293">
        <v>5101</v>
      </c>
      <c r="E3978" s="293">
        <v>-399</v>
      </c>
      <c r="F3978" s="294" t="s">
        <v>1569</v>
      </c>
    </row>
    <row r="3979" spans="1:6" hidden="1" outlineLevel="1" collapsed="1" x14ac:dyDescent="0.25">
      <c r="A3979" s="295" t="s">
        <v>282</v>
      </c>
      <c r="B3979" s="295" t="s">
        <v>662</v>
      </c>
      <c r="C3979" s="293">
        <v>0</v>
      </c>
      <c r="D3979" s="293">
        <v>0</v>
      </c>
      <c r="E3979" s="293">
        <v>0</v>
      </c>
      <c r="F3979" s="294" t="s">
        <v>316</v>
      </c>
    </row>
    <row r="3980" spans="1:6" hidden="1" outlineLevel="1" collapsed="1" x14ac:dyDescent="0.25">
      <c r="A3980" s="295" t="s">
        <v>282</v>
      </c>
      <c r="B3980" s="295" t="s">
        <v>426</v>
      </c>
      <c r="C3980" s="293">
        <v>0</v>
      </c>
      <c r="D3980" s="293">
        <v>0</v>
      </c>
      <c r="E3980" s="293">
        <v>0</v>
      </c>
      <c r="F3980" s="294" t="s">
        <v>316</v>
      </c>
    </row>
    <row r="3981" spans="1:6" hidden="1" outlineLevel="1" collapsed="1" x14ac:dyDescent="0.25">
      <c r="A3981" s="295" t="s">
        <v>282</v>
      </c>
      <c r="B3981" s="295" t="s">
        <v>482</v>
      </c>
      <c r="C3981" s="293">
        <v>0</v>
      </c>
      <c r="D3981" s="293">
        <v>200</v>
      </c>
      <c r="E3981" s="293">
        <v>200</v>
      </c>
      <c r="F3981" s="294" t="s">
        <v>298</v>
      </c>
    </row>
    <row r="3982" spans="1:6" hidden="1" outlineLevel="1" collapsed="1" x14ac:dyDescent="0.25">
      <c r="A3982" s="295" t="s">
        <v>282</v>
      </c>
      <c r="B3982" s="295" t="s">
        <v>597</v>
      </c>
      <c r="C3982" s="293">
        <v>281</v>
      </c>
      <c r="D3982" s="293">
        <v>0</v>
      </c>
      <c r="E3982" s="293">
        <v>-281</v>
      </c>
      <c r="F3982" s="294" t="s">
        <v>286</v>
      </c>
    </row>
    <row r="3983" spans="1:6" hidden="1" outlineLevel="1" collapsed="1" x14ac:dyDescent="0.25">
      <c r="A3983" s="295" t="s">
        <v>282</v>
      </c>
      <c r="B3983" s="295" t="s">
        <v>416</v>
      </c>
      <c r="C3983" s="293">
        <v>60</v>
      </c>
      <c r="D3983" s="293">
        <v>0</v>
      </c>
      <c r="E3983" s="293">
        <v>-60</v>
      </c>
      <c r="F3983" s="294" t="s">
        <v>286</v>
      </c>
    </row>
    <row r="3984" spans="1:6" hidden="1" outlineLevel="1" collapsed="1" x14ac:dyDescent="0.25">
      <c r="A3984" s="295" t="s">
        <v>282</v>
      </c>
      <c r="B3984" s="295" t="s">
        <v>403</v>
      </c>
      <c r="C3984" s="293">
        <v>200</v>
      </c>
      <c r="D3984" s="293">
        <v>0</v>
      </c>
      <c r="E3984" s="293">
        <v>-200</v>
      </c>
      <c r="F3984" s="294" t="s">
        <v>286</v>
      </c>
    </row>
    <row r="3985" spans="1:6" collapsed="1" x14ac:dyDescent="0.25">
      <c r="A3985" s="560" t="s">
        <v>1570</v>
      </c>
      <c r="B3985" s="561"/>
      <c r="C3985" s="292">
        <v>677522.08695200004</v>
      </c>
      <c r="D3985" s="293">
        <v>712775.46418799995</v>
      </c>
      <c r="E3985" s="293">
        <v>35253.377236</v>
      </c>
      <c r="F3985" s="294" t="s">
        <v>1571</v>
      </c>
    </row>
    <row r="3986" spans="1:6" hidden="1" outlineLevel="1" collapsed="1" x14ac:dyDescent="0.25">
      <c r="A3986" s="295" t="s">
        <v>282</v>
      </c>
      <c r="B3986" s="295" t="s">
        <v>780</v>
      </c>
      <c r="C3986" s="293">
        <v>431689.81630800001</v>
      </c>
      <c r="D3986" s="293">
        <v>438148.06029599998</v>
      </c>
      <c r="E3986" s="293">
        <v>6458.2439880000002</v>
      </c>
      <c r="F3986" s="294" t="s">
        <v>510</v>
      </c>
    </row>
    <row r="3987" spans="1:6" hidden="1" outlineLevel="1" collapsed="1" x14ac:dyDescent="0.25">
      <c r="A3987" s="295" t="s">
        <v>282</v>
      </c>
      <c r="B3987" s="295" t="s">
        <v>464</v>
      </c>
      <c r="C3987" s="293">
        <v>92127.891401999994</v>
      </c>
      <c r="D3987" s="293">
        <v>105332.87193199999</v>
      </c>
      <c r="E3987" s="293">
        <v>13204.980530000001</v>
      </c>
      <c r="F3987" s="294" t="s">
        <v>1572</v>
      </c>
    </row>
    <row r="3988" spans="1:6" hidden="1" outlineLevel="1" collapsed="1" x14ac:dyDescent="0.25">
      <c r="A3988" s="295" t="s">
        <v>282</v>
      </c>
      <c r="B3988" s="295" t="s">
        <v>475</v>
      </c>
      <c r="C3988" s="293">
        <v>300</v>
      </c>
      <c r="D3988" s="293">
        <v>0</v>
      </c>
      <c r="E3988" s="293">
        <v>-300</v>
      </c>
      <c r="F3988" s="294" t="s">
        <v>286</v>
      </c>
    </row>
    <row r="3989" spans="1:6" hidden="1" outlineLevel="1" collapsed="1" x14ac:dyDescent="0.25">
      <c r="A3989" s="295" t="s">
        <v>282</v>
      </c>
      <c r="B3989" s="295" t="s">
        <v>751</v>
      </c>
      <c r="C3989" s="293">
        <v>38712.824639999999</v>
      </c>
      <c r="D3989" s="293">
        <v>0</v>
      </c>
      <c r="E3989" s="293">
        <v>-38712.824639999999</v>
      </c>
      <c r="F3989" s="294" t="s">
        <v>286</v>
      </c>
    </row>
    <row r="3990" spans="1:6" hidden="1" outlineLevel="1" collapsed="1" x14ac:dyDescent="0.25">
      <c r="A3990" s="295" t="s">
        <v>282</v>
      </c>
      <c r="B3990" s="295" t="s">
        <v>752</v>
      </c>
      <c r="C3990" s="293">
        <v>0</v>
      </c>
      <c r="D3990" s="293">
        <v>43448.693255999999</v>
      </c>
      <c r="E3990" s="293">
        <v>43448.693255999999</v>
      </c>
      <c r="F3990" s="294" t="s">
        <v>298</v>
      </c>
    </row>
    <row r="3991" spans="1:6" hidden="1" outlineLevel="1" collapsed="1" x14ac:dyDescent="0.25">
      <c r="A3991" s="295" t="s">
        <v>282</v>
      </c>
      <c r="B3991" s="295" t="s">
        <v>384</v>
      </c>
      <c r="C3991" s="293">
        <v>28295.905962000001</v>
      </c>
      <c r="D3991" s="293">
        <v>0</v>
      </c>
      <c r="E3991" s="293">
        <v>-28295.905962000001</v>
      </c>
      <c r="F3991" s="294" t="s">
        <v>286</v>
      </c>
    </row>
    <row r="3992" spans="1:6" hidden="1" outlineLevel="1" collapsed="1" x14ac:dyDescent="0.25">
      <c r="A3992" s="295" t="s">
        <v>282</v>
      </c>
      <c r="B3992" s="295" t="s">
        <v>385</v>
      </c>
      <c r="C3992" s="293">
        <v>0</v>
      </c>
      <c r="D3992" s="293">
        <v>37942.307500000003</v>
      </c>
      <c r="E3992" s="293">
        <v>37942.307500000003</v>
      </c>
      <c r="F3992" s="294" t="s">
        <v>298</v>
      </c>
    </row>
    <row r="3993" spans="1:6" hidden="1" outlineLevel="1" collapsed="1" x14ac:dyDescent="0.25">
      <c r="A3993" s="295" t="s">
        <v>282</v>
      </c>
      <c r="B3993" s="295" t="s">
        <v>386</v>
      </c>
      <c r="C3993" s="293">
        <v>5711.9292539999997</v>
      </c>
      <c r="D3993" s="293">
        <v>0</v>
      </c>
      <c r="E3993" s="293">
        <v>-5711.9292539999997</v>
      </c>
      <c r="F3993" s="294" t="s">
        <v>286</v>
      </c>
    </row>
    <row r="3994" spans="1:6" hidden="1" outlineLevel="1" collapsed="1" x14ac:dyDescent="0.25">
      <c r="A3994" s="295" t="s">
        <v>282</v>
      </c>
      <c r="B3994" s="295" t="s">
        <v>387</v>
      </c>
      <c r="C3994" s="293">
        <v>0</v>
      </c>
      <c r="D3994" s="293">
        <v>6530.6380479999998</v>
      </c>
      <c r="E3994" s="293">
        <v>6530.6380479999998</v>
      </c>
      <c r="F3994" s="294" t="s">
        <v>298</v>
      </c>
    </row>
    <row r="3995" spans="1:6" hidden="1" outlineLevel="1" collapsed="1" x14ac:dyDescent="0.25">
      <c r="A3995" s="295" t="s">
        <v>282</v>
      </c>
      <c r="B3995" s="295" t="s">
        <v>753</v>
      </c>
      <c r="C3995" s="293">
        <v>8338.9887720000006</v>
      </c>
      <c r="D3995" s="293">
        <v>8463.5155200000008</v>
      </c>
      <c r="E3995" s="293">
        <v>124.526748</v>
      </c>
      <c r="F3995" s="294" t="s">
        <v>781</v>
      </c>
    </row>
    <row r="3996" spans="1:6" hidden="1" outlineLevel="1" collapsed="1" x14ac:dyDescent="0.25">
      <c r="A3996" s="295" t="s">
        <v>282</v>
      </c>
      <c r="B3996" s="295" t="s">
        <v>388</v>
      </c>
      <c r="C3996" s="293">
        <v>3286.1017820000002</v>
      </c>
      <c r="D3996" s="293">
        <v>3506.6971880000001</v>
      </c>
      <c r="E3996" s="293">
        <v>220.595406</v>
      </c>
      <c r="F3996" s="294" t="s">
        <v>1573</v>
      </c>
    </row>
    <row r="3997" spans="1:6" hidden="1" outlineLevel="1" collapsed="1" x14ac:dyDescent="0.25">
      <c r="A3997" s="295" t="s">
        <v>282</v>
      </c>
      <c r="B3997" s="295" t="s">
        <v>389</v>
      </c>
      <c r="C3997" s="293">
        <v>852.24959999999999</v>
      </c>
      <c r="D3997" s="293">
        <v>844.08</v>
      </c>
      <c r="E3997" s="293">
        <v>-8.1696000000000009</v>
      </c>
      <c r="F3997" s="294" t="s">
        <v>364</v>
      </c>
    </row>
    <row r="3998" spans="1:6" hidden="1" outlineLevel="1" collapsed="1" x14ac:dyDescent="0.25">
      <c r="A3998" s="295" t="s">
        <v>282</v>
      </c>
      <c r="B3998" s="295" t="s">
        <v>390</v>
      </c>
      <c r="C3998" s="293">
        <v>30970.54</v>
      </c>
      <c r="D3998" s="293">
        <v>31918.560000000001</v>
      </c>
      <c r="E3998" s="293">
        <v>948.02</v>
      </c>
      <c r="F3998" s="294" t="s">
        <v>391</v>
      </c>
    </row>
    <row r="3999" spans="1:6" hidden="1" outlineLevel="1" collapsed="1" x14ac:dyDescent="0.25">
      <c r="A3999" s="295" t="s">
        <v>282</v>
      </c>
      <c r="B3999" s="295" t="s">
        <v>392</v>
      </c>
      <c r="C3999" s="293">
        <v>467.07839999999999</v>
      </c>
      <c r="D3999" s="293">
        <v>365.76</v>
      </c>
      <c r="E3999" s="293">
        <v>-101.3184</v>
      </c>
      <c r="F3999" s="294" t="s">
        <v>368</v>
      </c>
    </row>
    <row r="4000" spans="1:6" hidden="1" outlineLevel="1" collapsed="1" x14ac:dyDescent="0.25">
      <c r="A4000" s="295" t="s">
        <v>282</v>
      </c>
      <c r="B4000" s="295" t="s">
        <v>754</v>
      </c>
      <c r="C4000" s="293">
        <v>15358.56</v>
      </c>
      <c r="D4000" s="293">
        <v>15959.28</v>
      </c>
      <c r="E4000" s="293">
        <v>600.72</v>
      </c>
      <c r="F4000" s="294" t="s">
        <v>366</v>
      </c>
    </row>
    <row r="4001" spans="1:6" hidden="1" outlineLevel="1" collapsed="1" x14ac:dyDescent="0.25">
      <c r="A4001" s="295" t="s">
        <v>282</v>
      </c>
      <c r="B4001" s="295" t="s">
        <v>755</v>
      </c>
      <c r="C4001" s="293">
        <v>1278.3743999999999</v>
      </c>
      <c r="D4001" s="293">
        <v>1266.1199999999999</v>
      </c>
      <c r="E4001" s="293">
        <v>-12.2544</v>
      </c>
      <c r="F4001" s="294" t="s">
        <v>364</v>
      </c>
    </row>
    <row r="4002" spans="1:6" hidden="1" outlineLevel="1" collapsed="1" x14ac:dyDescent="0.25">
      <c r="A4002" s="295" t="s">
        <v>282</v>
      </c>
      <c r="B4002" s="295" t="s">
        <v>756</v>
      </c>
      <c r="C4002" s="293">
        <v>700.61760000000004</v>
      </c>
      <c r="D4002" s="293">
        <v>548.64</v>
      </c>
      <c r="E4002" s="293">
        <v>-151.9776</v>
      </c>
      <c r="F4002" s="294" t="s">
        <v>368</v>
      </c>
    </row>
    <row r="4003" spans="1:6" hidden="1" outlineLevel="1" collapsed="1" x14ac:dyDescent="0.25">
      <c r="A4003" s="295" t="s">
        <v>282</v>
      </c>
      <c r="B4003" s="295" t="s">
        <v>393</v>
      </c>
      <c r="C4003" s="293">
        <v>46.063932000000001</v>
      </c>
      <c r="D4003" s="293">
        <v>52.666432</v>
      </c>
      <c r="E4003" s="293">
        <v>6.6025</v>
      </c>
      <c r="F4003" s="294" t="s">
        <v>1572</v>
      </c>
    </row>
    <row r="4004" spans="1:6" hidden="1" outlineLevel="1" collapsed="1" x14ac:dyDescent="0.25">
      <c r="A4004" s="295" t="s">
        <v>282</v>
      </c>
      <c r="B4004" s="295" t="s">
        <v>757</v>
      </c>
      <c r="C4004" s="293">
        <v>216.7449</v>
      </c>
      <c r="D4004" s="293">
        <v>0</v>
      </c>
      <c r="E4004" s="293">
        <v>-216.7449</v>
      </c>
      <c r="F4004" s="294" t="s">
        <v>286</v>
      </c>
    </row>
    <row r="4005" spans="1:6" hidden="1" outlineLevel="1" collapsed="1" x14ac:dyDescent="0.25">
      <c r="A4005" s="295" t="s">
        <v>282</v>
      </c>
      <c r="B4005" s="295" t="s">
        <v>758</v>
      </c>
      <c r="C4005" s="293">
        <v>0</v>
      </c>
      <c r="D4005" s="293">
        <v>219.97401600000001</v>
      </c>
      <c r="E4005" s="293">
        <v>219.97401600000001</v>
      </c>
      <c r="F4005" s="294" t="s">
        <v>298</v>
      </c>
    </row>
    <row r="4006" spans="1:6" hidden="1" outlineLevel="1" collapsed="1" x14ac:dyDescent="0.25">
      <c r="A4006" s="295" t="s">
        <v>282</v>
      </c>
      <c r="B4006" s="295" t="s">
        <v>394</v>
      </c>
      <c r="C4006" s="293">
        <v>3000</v>
      </c>
      <c r="D4006" s="293">
        <v>0</v>
      </c>
      <c r="E4006" s="293">
        <v>-3000</v>
      </c>
      <c r="F4006" s="294" t="s">
        <v>286</v>
      </c>
    </row>
    <row r="4007" spans="1:6" hidden="1" outlineLevel="1" collapsed="1" x14ac:dyDescent="0.25">
      <c r="A4007" s="295" t="s">
        <v>282</v>
      </c>
      <c r="B4007" s="295" t="s">
        <v>395</v>
      </c>
      <c r="C4007" s="293">
        <v>0</v>
      </c>
      <c r="D4007" s="293">
        <v>3000</v>
      </c>
      <c r="E4007" s="293">
        <v>3000</v>
      </c>
      <c r="F4007" s="294" t="s">
        <v>298</v>
      </c>
    </row>
    <row r="4008" spans="1:6" hidden="1" outlineLevel="1" collapsed="1" x14ac:dyDescent="0.25">
      <c r="A4008" s="295" t="s">
        <v>282</v>
      </c>
      <c r="B4008" s="295" t="s">
        <v>759</v>
      </c>
      <c r="C4008" s="293">
        <v>4500</v>
      </c>
      <c r="D4008" s="293">
        <v>0</v>
      </c>
      <c r="E4008" s="293">
        <v>-4500</v>
      </c>
      <c r="F4008" s="294" t="s">
        <v>286</v>
      </c>
    </row>
    <row r="4009" spans="1:6" hidden="1" outlineLevel="1" collapsed="1" x14ac:dyDescent="0.25">
      <c r="A4009" s="295" t="s">
        <v>282</v>
      </c>
      <c r="B4009" s="295" t="s">
        <v>760</v>
      </c>
      <c r="C4009" s="293">
        <v>0</v>
      </c>
      <c r="D4009" s="293">
        <v>4500</v>
      </c>
      <c r="E4009" s="293">
        <v>4500</v>
      </c>
      <c r="F4009" s="294" t="s">
        <v>298</v>
      </c>
    </row>
    <row r="4010" spans="1:6" hidden="1" outlineLevel="1" collapsed="1" x14ac:dyDescent="0.25">
      <c r="A4010" s="295" t="s">
        <v>282</v>
      </c>
      <c r="B4010" s="295" t="s">
        <v>396</v>
      </c>
      <c r="C4010" s="293">
        <v>99.36</v>
      </c>
      <c r="D4010" s="293">
        <v>0</v>
      </c>
      <c r="E4010" s="293">
        <v>-99.36</v>
      </c>
      <c r="F4010" s="294" t="s">
        <v>286</v>
      </c>
    </row>
    <row r="4011" spans="1:6" hidden="1" outlineLevel="1" collapsed="1" x14ac:dyDescent="0.25">
      <c r="A4011" s="295" t="s">
        <v>282</v>
      </c>
      <c r="B4011" s="295" t="s">
        <v>397</v>
      </c>
      <c r="C4011" s="293">
        <v>0</v>
      </c>
      <c r="D4011" s="293">
        <v>96.96</v>
      </c>
      <c r="E4011" s="293">
        <v>96.96</v>
      </c>
      <c r="F4011" s="294" t="s">
        <v>298</v>
      </c>
    </row>
    <row r="4012" spans="1:6" hidden="1" outlineLevel="1" collapsed="1" x14ac:dyDescent="0.25">
      <c r="A4012" s="295" t="s">
        <v>282</v>
      </c>
      <c r="B4012" s="295" t="s">
        <v>761</v>
      </c>
      <c r="C4012" s="293">
        <v>149.04</v>
      </c>
      <c r="D4012" s="293">
        <v>0</v>
      </c>
      <c r="E4012" s="293">
        <v>-149.04</v>
      </c>
      <c r="F4012" s="294" t="s">
        <v>286</v>
      </c>
    </row>
    <row r="4013" spans="1:6" hidden="1" outlineLevel="1" collapsed="1" x14ac:dyDescent="0.25">
      <c r="A4013" s="295" t="s">
        <v>282</v>
      </c>
      <c r="B4013" s="295" t="s">
        <v>762</v>
      </c>
      <c r="C4013" s="293">
        <v>0</v>
      </c>
      <c r="D4013" s="293">
        <v>145.44</v>
      </c>
      <c r="E4013" s="293">
        <v>145.44</v>
      </c>
      <c r="F4013" s="294" t="s">
        <v>298</v>
      </c>
    </row>
    <row r="4014" spans="1:6" hidden="1" outlineLevel="1" collapsed="1" x14ac:dyDescent="0.25">
      <c r="A4014" s="295" t="s">
        <v>282</v>
      </c>
      <c r="B4014" s="295" t="s">
        <v>398</v>
      </c>
      <c r="C4014" s="293">
        <v>48</v>
      </c>
      <c r="D4014" s="293">
        <v>22.08</v>
      </c>
      <c r="E4014" s="293">
        <v>-25.92</v>
      </c>
      <c r="F4014" s="294" t="s">
        <v>374</v>
      </c>
    </row>
    <row r="4015" spans="1:6" hidden="1" outlineLevel="1" collapsed="1" x14ac:dyDescent="0.25">
      <c r="A4015" s="295" t="s">
        <v>282</v>
      </c>
      <c r="B4015" s="295" t="s">
        <v>763</v>
      </c>
      <c r="C4015" s="293">
        <v>72</v>
      </c>
      <c r="D4015" s="293">
        <v>33.119999999999997</v>
      </c>
      <c r="E4015" s="293">
        <v>-38.880000000000003</v>
      </c>
      <c r="F4015" s="294" t="s">
        <v>374</v>
      </c>
    </row>
    <row r="4016" spans="1:6" hidden="1" outlineLevel="1" collapsed="1" x14ac:dyDescent="0.25">
      <c r="A4016" s="295" t="s">
        <v>282</v>
      </c>
      <c r="B4016" s="295" t="s">
        <v>522</v>
      </c>
      <c r="C4016" s="293">
        <v>6000</v>
      </c>
      <c r="D4016" s="293">
        <v>6000</v>
      </c>
      <c r="E4016" s="293">
        <v>0</v>
      </c>
      <c r="F4016" s="294" t="s">
        <v>316</v>
      </c>
    </row>
    <row r="4017" spans="1:6" hidden="1" outlineLevel="1" collapsed="1" x14ac:dyDescent="0.25">
      <c r="A4017" s="295" t="s">
        <v>282</v>
      </c>
      <c r="B4017" s="295" t="s">
        <v>523</v>
      </c>
      <c r="C4017" s="293">
        <v>195</v>
      </c>
      <c r="D4017" s="293">
        <v>230</v>
      </c>
      <c r="E4017" s="293">
        <v>35</v>
      </c>
      <c r="F4017" s="294" t="s">
        <v>1574</v>
      </c>
    </row>
    <row r="4018" spans="1:6" hidden="1" outlineLevel="1" collapsed="1" x14ac:dyDescent="0.25">
      <c r="A4018" s="295" t="s">
        <v>282</v>
      </c>
      <c r="B4018" s="295" t="s">
        <v>376</v>
      </c>
      <c r="C4018" s="293">
        <v>700</v>
      </c>
      <c r="D4018" s="293">
        <v>500</v>
      </c>
      <c r="E4018" s="293">
        <v>-200</v>
      </c>
      <c r="F4018" s="294" t="s">
        <v>706</v>
      </c>
    </row>
    <row r="4019" spans="1:6" hidden="1" outlineLevel="1" collapsed="1" x14ac:dyDescent="0.25">
      <c r="A4019" s="295" t="s">
        <v>282</v>
      </c>
      <c r="B4019" s="295" t="s">
        <v>506</v>
      </c>
      <c r="C4019" s="293">
        <v>100</v>
      </c>
      <c r="D4019" s="293">
        <v>300</v>
      </c>
      <c r="E4019" s="293">
        <v>200</v>
      </c>
      <c r="F4019" s="294" t="s">
        <v>787</v>
      </c>
    </row>
    <row r="4020" spans="1:6" hidden="1" outlineLevel="1" collapsed="1" x14ac:dyDescent="0.25">
      <c r="A4020" s="295" t="s">
        <v>282</v>
      </c>
      <c r="B4020" s="295" t="s">
        <v>426</v>
      </c>
      <c r="C4020" s="293">
        <v>2205</v>
      </c>
      <c r="D4020" s="293">
        <v>1300</v>
      </c>
      <c r="E4020" s="293">
        <v>-905</v>
      </c>
      <c r="F4020" s="294" t="s">
        <v>1575</v>
      </c>
    </row>
    <row r="4021" spans="1:6" hidden="1" outlineLevel="1" collapsed="1" x14ac:dyDescent="0.25">
      <c r="A4021" s="295" t="s">
        <v>282</v>
      </c>
      <c r="B4021" s="295" t="s">
        <v>707</v>
      </c>
      <c r="C4021" s="293">
        <v>1800</v>
      </c>
      <c r="D4021" s="293">
        <v>1800</v>
      </c>
      <c r="E4021" s="293">
        <v>0</v>
      </c>
      <c r="F4021" s="294" t="s">
        <v>316</v>
      </c>
    </row>
    <row r="4022" spans="1:6" hidden="1" outlineLevel="1" collapsed="1" x14ac:dyDescent="0.25">
      <c r="A4022" s="295" t="s">
        <v>282</v>
      </c>
      <c r="B4022" s="295" t="s">
        <v>597</v>
      </c>
      <c r="C4022" s="293">
        <v>300</v>
      </c>
      <c r="D4022" s="293">
        <v>300</v>
      </c>
      <c r="E4022" s="293">
        <v>0</v>
      </c>
      <c r="F4022" s="294" t="s">
        <v>316</v>
      </c>
    </row>
    <row r="4023" spans="1:6" collapsed="1" x14ac:dyDescent="0.25">
      <c r="A4023" s="560" t="s">
        <v>1576</v>
      </c>
      <c r="B4023" s="561"/>
      <c r="C4023" s="292">
        <v>278299.26243399997</v>
      </c>
      <c r="D4023" s="293">
        <v>303327.63815200003</v>
      </c>
      <c r="E4023" s="293">
        <v>25028.375717999999</v>
      </c>
      <c r="F4023" s="294" t="s">
        <v>1577</v>
      </c>
    </row>
    <row r="4024" spans="1:6" hidden="1" outlineLevel="1" collapsed="1" x14ac:dyDescent="0.25">
      <c r="A4024" s="295" t="s">
        <v>282</v>
      </c>
      <c r="B4024" s="295" t="s">
        <v>942</v>
      </c>
      <c r="C4024" s="293">
        <v>104917.50879599999</v>
      </c>
      <c r="D4024" s="293">
        <v>106491.270072</v>
      </c>
      <c r="E4024" s="293">
        <v>1573.761276</v>
      </c>
      <c r="F4024" s="294" t="s">
        <v>510</v>
      </c>
    </row>
    <row r="4025" spans="1:6" hidden="1" outlineLevel="1" collapsed="1" x14ac:dyDescent="0.25">
      <c r="A4025" s="295" t="s">
        <v>282</v>
      </c>
      <c r="B4025" s="295" t="s">
        <v>464</v>
      </c>
      <c r="C4025" s="293">
        <v>92245.585389</v>
      </c>
      <c r="D4025" s="293">
        <v>105231.112569</v>
      </c>
      <c r="E4025" s="293">
        <v>12985.527179999999</v>
      </c>
      <c r="F4025" s="294" t="s">
        <v>1578</v>
      </c>
    </row>
    <row r="4026" spans="1:6" hidden="1" outlineLevel="1" collapsed="1" x14ac:dyDescent="0.25">
      <c r="A4026" s="295" t="s">
        <v>282</v>
      </c>
      <c r="B4026" s="295" t="s">
        <v>384</v>
      </c>
      <c r="C4026" s="293">
        <v>24637.838050999999</v>
      </c>
      <c r="D4026" s="293">
        <v>0</v>
      </c>
      <c r="E4026" s="293">
        <v>-24637.838050999999</v>
      </c>
      <c r="F4026" s="294" t="s">
        <v>286</v>
      </c>
    </row>
    <row r="4027" spans="1:6" hidden="1" outlineLevel="1" collapsed="1" x14ac:dyDescent="0.25">
      <c r="A4027" s="295" t="s">
        <v>282</v>
      </c>
      <c r="B4027" s="295" t="s">
        <v>385</v>
      </c>
      <c r="C4027" s="293">
        <v>0</v>
      </c>
      <c r="D4027" s="293">
        <v>33244.552101000001</v>
      </c>
      <c r="E4027" s="293">
        <v>33244.552101000001</v>
      </c>
      <c r="F4027" s="294" t="s">
        <v>298</v>
      </c>
    </row>
    <row r="4028" spans="1:6" hidden="1" outlineLevel="1" collapsed="1" x14ac:dyDescent="0.25">
      <c r="A4028" s="295" t="s">
        <v>282</v>
      </c>
      <c r="B4028" s="295" t="s">
        <v>386</v>
      </c>
      <c r="C4028" s="293">
        <v>12261.311825000001</v>
      </c>
      <c r="D4028" s="293">
        <v>0</v>
      </c>
      <c r="E4028" s="293">
        <v>-12261.311825000001</v>
      </c>
      <c r="F4028" s="294" t="s">
        <v>286</v>
      </c>
    </row>
    <row r="4029" spans="1:6" hidden="1" outlineLevel="1" collapsed="1" x14ac:dyDescent="0.25">
      <c r="A4029" s="295" t="s">
        <v>282</v>
      </c>
      <c r="B4029" s="295" t="s">
        <v>387</v>
      </c>
      <c r="C4029" s="293">
        <v>0</v>
      </c>
      <c r="D4029" s="293">
        <v>13163.987703999999</v>
      </c>
      <c r="E4029" s="293">
        <v>13163.987703999999</v>
      </c>
      <c r="F4029" s="294" t="s">
        <v>298</v>
      </c>
    </row>
    <row r="4030" spans="1:6" hidden="1" outlineLevel="1" collapsed="1" x14ac:dyDescent="0.25">
      <c r="A4030" s="295" t="s">
        <v>282</v>
      </c>
      <c r="B4030" s="295" t="s">
        <v>388</v>
      </c>
      <c r="C4030" s="293">
        <v>2867.5648510000001</v>
      </c>
      <c r="D4030" s="293">
        <v>3078.674528</v>
      </c>
      <c r="E4030" s="293">
        <v>211.109677</v>
      </c>
      <c r="F4030" s="294" t="s">
        <v>1579</v>
      </c>
    </row>
    <row r="4031" spans="1:6" hidden="1" outlineLevel="1" collapsed="1" x14ac:dyDescent="0.25">
      <c r="A4031" s="295" t="s">
        <v>282</v>
      </c>
      <c r="B4031" s="295" t="s">
        <v>389</v>
      </c>
      <c r="C4031" s="293">
        <v>1278.3743999999999</v>
      </c>
      <c r="D4031" s="293">
        <v>1266.1199999999999</v>
      </c>
      <c r="E4031" s="293">
        <v>-12.2544</v>
      </c>
      <c r="F4031" s="294" t="s">
        <v>364</v>
      </c>
    </row>
    <row r="4032" spans="1:6" hidden="1" outlineLevel="1" collapsed="1" x14ac:dyDescent="0.25">
      <c r="A4032" s="295" t="s">
        <v>282</v>
      </c>
      <c r="B4032" s="295" t="s">
        <v>390</v>
      </c>
      <c r="C4032" s="293">
        <v>30970.54</v>
      </c>
      <c r="D4032" s="293">
        <v>31918.560000000001</v>
      </c>
      <c r="E4032" s="293">
        <v>948.02</v>
      </c>
      <c r="F4032" s="294" t="s">
        <v>391</v>
      </c>
    </row>
    <row r="4033" spans="1:6" hidden="1" outlineLevel="1" collapsed="1" x14ac:dyDescent="0.25">
      <c r="A4033" s="295" t="s">
        <v>282</v>
      </c>
      <c r="B4033" s="295" t="s">
        <v>392</v>
      </c>
      <c r="C4033" s="293">
        <v>700.61760000000004</v>
      </c>
      <c r="D4033" s="293">
        <v>548.64</v>
      </c>
      <c r="E4033" s="293">
        <v>-151.9776</v>
      </c>
      <c r="F4033" s="294" t="s">
        <v>368</v>
      </c>
    </row>
    <row r="4034" spans="1:6" hidden="1" outlineLevel="1" collapsed="1" x14ac:dyDescent="0.25">
      <c r="A4034" s="295" t="s">
        <v>282</v>
      </c>
      <c r="B4034" s="295" t="s">
        <v>393</v>
      </c>
      <c r="C4034" s="293">
        <v>98.881522000000004</v>
      </c>
      <c r="D4034" s="293">
        <v>106.16117800000001</v>
      </c>
      <c r="E4034" s="293">
        <v>7.2796560000000001</v>
      </c>
      <c r="F4034" s="294" t="s">
        <v>1579</v>
      </c>
    </row>
    <row r="4035" spans="1:6" hidden="1" outlineLevel="1" collapsed="1" x14ac:dyDescent="0.25">
      <c r="A4035" s="295" t="s">
        <v>282</v>
      </c>
      <c r="B4035" s="295" t="s">
        <v>394</v>
      </c>
      <c r="C4035" s="293">
        <v>4500</v>
      </c>
      <c r="D4035" s="293">
        <v>0</v>
      </c>
      <c r="E4035" s="293">
        <v>-4500</v>
      </c>
      <c r="F4035" s="294" t="s">
        <v>286</v>
      </c>
    </row>
    <row r="4036" spans="1:6" hidden="1" outlineLevel="1" collapsed="1" x14ac:dyDescent="0.25">
      <c r="A4036" s="295" t="s">
        <v>282</v>
      </c>
      <c r="B4036" s="295" t="s">
        <v>395</v>
      </c>
      <c r="C4036" s="293">
        <v>0</v>
      </c>
      <c r="D4036" s="293">
        <v>4500</v>
      </c>
      <c r="E4036" s="293">
        <v>4500</v>
      </c>
      <c r="F4036" s="294" t="s">
        <v>298</v>
      </c>
    </row>
    <row r="4037" spans="1:6" hidden="1" outlineLevel="1" collapsed="1" x14ac:dyDescent="0.25">
      <c r="A4037" s="295" t="s">
        <v>282</v>
      </c>
      <c r="B4037" s="295" t="s">
        <v>396</v>
      </c>
      <c r="C4037" s="293">
        <v>149.04</v>
      </c>
      <c r="D4037" s="293">
        <v>0</v>
      </c>
      <c r="E4037" s="293">
        <v>-149.04</v>
      </c>
      <c r="F4037" s="294" t="s">
        <v>286</v>
      </c>
    </row>
    <row r="4038" spans="1:6" hidden="1" outlineLevel="1" collapsed="1" x14ac:dyDescent="0.25">
      <c r="A4038" s="295" t="s">
        <v>282</v>
      </c>
      <c r="B4038" s="295" t="s">
        <v>397</v>
      </c>
      <c r="C4038" s="293">
        <v>0</v>
      </c>
      <c r="D4038" s="293">
        <v>145.44</v>
      </c>
      <c r="E4038" s="293">
        <v>145.44</v>
      </c>
      <c r="F4038" s="294" t="s">
        <v>298</v>
      </c>
    </row>
    <row r="4039" spans="1:6" hidden="1" outlineLevel="1" collapsed="1" x14ac:dyDescent="0.25">
      <c r="A4039" s="295" t="s">
        <v>282</v>
      </c>
      <c r="B4039" s="295" t="s">
        <v>398</v>
      </c>
      <c r="C4039" s="293">
        <v>72</v>
      </c>
      <c r="D4039" s="293">
        <v>33.119999999999997</v>
      </c>
      <c r="E4039" s="293">
        <v>-38.880000000000003</v>
      </c>
      <c r="F4039" s="294" t="s">
        <v>374</v>
      </c>
    </row>
    <row r="4040" spans="1:6" hidden="1" outlineLevel="1" collapsed="1" x14ac:dyDescent="0.25">
      <c r="A4040" s="295" t="s">
        <v>282</v>
      </c>
      <c r="B4040" s="295" t="s">
        <v>522</v>
      </c>
      <c r="C4040" s="293">
        <v>3000</v>
      </c>
      <c r="D4040" s="293">
        <v>3000</v>
      </c>
      <c r="E4040" s="293">
        <v>0</v>
      </c>
      <c r="F4040" s="294" t="s">
        <v>316</v>
      </c>
    </row>
    <row r="4041" spans="1:6" hidden="1" outlineLevel="1" collapsed="1" x14ac:dyDescent="0.25">
      <c r="A4041" s="295" t="s">
        <v>282</v>
      </c>
      <c r="B4041" s="295" t="s">
        <v>952</v>
      </c>
      <c r="C4041" s="293">
        <v>600</v>
      </c>
      <c r="D4041" s="293">
        <v>600</v>
      </c>
      <c r="E4041" s="293">
        <v>0</v>
      </c>
      <c r="F4041" s="294" t="s">
        <v>316</v>
      </c>
    </row>
    <row r="4042" spans="1:6" collapsed="1" x14ac:dyDescent="0.25">
      <c r="A4042" s="560" t="s">
        <v>329</v>
      </c>
      <c r="B4042" s="561"/>
      <c r="C4042" s="292">
        <v>1500</v>
      </c>
      <c r="D4042" s="293">
        <v>1500</v>
      </c>
      <c r="E4042" s="293">
        <v>0</v>
      </c>
      <c r="F4042" s="294" t="s">
        <v>316</v>
      </c>
    </row>
    <row r="4043" spans="1:6" hidden="1" outlineLevel="1" collapsed="1" x14ac:dyDescent="0.25">
      <c r="A4043" s="295" t="s">
        <v>282</v>
      </c>
      <c r="B4043" s="295" t="s">
        <v>376</v>
      </c>
      <c r="C4043" s="293">
        <v>500</v>
      </c>
      <c r="D4043" s="293">
        <v>500</v>
      </c>
      <c r="E4043" s="293">
        <v>0</v>
      </c>
      <c r="F4043" s="294" t="s">
        <v>316</v>
      </c>
    </row>
    <row r="4044" spans="1:6" hidden="1" outlineLevel="1" collapsed="1" x14ac:dyDescent="0.25">
      <c r="A4044" s="295" t="s">
        <v>282</v>
      </c>
      <c r="B4044" s="295" t="s">
        <v>828</v>
      </c>
      <c r="C4044" s="293">
        <v>700</v>
      </c>
      <c r="D4044" s="293">
        <v>0</v>
      </c>
      <c r="E4044" s="293">
        <v>-700</v>
      </c>
      <c r="F4044" s="294" t="s">
        <v>286</v>
      </c>
    </row>
    <row r="4045" spans="1:6" hidden="1" outlineLevel="1" collapsed="1" x14ac:dyDescent="0.25">
      <c r="A4045" s="295" t="s">
        <v>282</v>
      </c>
      <c r="B4045" s="295" t="s">
        <v>426</v>
      </c>
      <c r="C4045" s="293">
        <v>75</v>
      </c>
      <c r="D4045" s="293">
        <v>1000</v>
      </c>
      <c r="E4045" s="293">
        <v>925</v>
      </c>
      <c r="F4045" s="294" t="s">
        <v>1580</v>
      </c>
    </row>
    <row r="4046" spans="1:6" hidden="1" outlineLevel="1" collapsed="1" x14ac:dyDescent="0.25">
      <c r="A4046" s="295" t="s">
        <v>282</v>
      </c>
      <c r="B4046" s="295" t="s">
        <v>482</v>
      </c>
      <c r="C4046" s="293">
        <v>0</v>
      </c>
      <c r="D4046" s="293">
        <v>0</v>
      </c>
      <c r="E4046" s="293">
        <v>0</v>
      </c>
      <c r="F4046" s="294" t="s">
        <v>316</v>
      </c>
    </row>
    <row r="4047" spans="1:6" hidden="1" outlineLevel="1" collapsed="1" x14ac:dyDescent="0.25">
      <c r="A4047" s="295" t="s">
        <v>282</v>
      </c>
      <c r="B4047" s="295" t="s">
        <v>597</v>
      </c>
      <c r="C4047" s="293">
        <v>225</v>
      </c>
      <c r="D4047" s="293">
        <v>0</v>
      </c>
      <c r="E4047" s="293">
        <v>-225</v>
      </c>
      <c r="F4047" s="294" t="s">
        <v>286</v>
      </c>
    </row>
    <row r="4048" spans="1:6" collapsed="1" x14ac:dyDescent="0.25">
      <c r="A4048" s="560" t="s">
        <v>1581</v>
      </c>
      <c r="B4048" s="561"/>
      <c r="C4048" s="292">
        <v>8601</v>
      </c>
      <c r="D4048" s="293">
        <v>11581</v>
      </c>
      <c r="E4048" s="293">
        <v>2980</v>
      </c>
      <c r="F4048" s="294" t="s">
        <v>1582</v>
      </c>
    </row>
    <row r="4049" spans="1:6" hidden="1" outlineLevel="1" collapsed="1" x14ac:dyDescent="0.25">
      <c r="A4049" s="295" t="s">
        <v>282</v>
      </c>
      <c r="B4049" s="295" t="s">
        <v>475</v>
      </c>
      <c r="C4049" s="293">
        <v>0</v>
      </c>
      <c r="D4049" s="293">
        <v>400</v>
      </c>
      <c r="E4049" s="293">
        <v>400</v>
      </c>
      <c r="F4049" s="294" t="s">
        <v>298</v>
      </c>
    </row>
    <row r="4050" spans="1:6" hidden="1" outlineLevel="1" collapsed="1" x14ac:dyDescent="0.25">
      <c r="A4050" s="295" t="s">
        <v>282</v>
      </c>
      <c r="B4050" s="295" t="s">
        <v>387</v>
      </c>
      <c r="C4050" s="293">
        <v>0</v>
      </c>
      <c r="D4050" s="293">
        <v>36</v>
      </c>
      <c r="E4050" s="293">
        <v>36</v>
      </c>
      <c r="F4050" s="294" t="s">
        <v>298</v>
      </c>
    </row>
    <row r="4051" spans="1:6" hidden="1" outlineLevel="1" collapsed="1" x14ac:dyDescent="0.25">
      <c r="A4051" s="295" t="s">
        <v>282</v>
      </c>
      <c r="B4051" s="295" t="s">
        <v>828</v>
      </c>
      <c r="C4051" s="293">
        <v>155</v>
      </c>
      <c r="D4051" s="293">
        <v>0</v>
      </c>
      <c r="E4051" s="293">
        <v>-155</v>
      </c>
      <c r="F4051" s="294" t="s">
        <v>286</v>
      </c>
    </row>
    <row r="4052" spans="1:6" hidden="1" outlineLevel="1" collapsed="1" x14ac:dyDescent="0.25">
      <c r="A4052" s="295" t="s">
        <v>282</v>
      </c>
      <c r="B4052" s="295" t="s">
        <v>567</v>
      </c>
      <c r="C4052" s="293">
        <v>2300</v>
      </c>
      <c r="D4052" s="293">
        <v>2000</v>
      </c>
      <c r="E4052" s="293">
        <v>-300</v>
      </c>
      <c r="F4052" s="294" t="s">
        <v>667</v>
      </c>
    </row>
    <row r="4053" spans="1:6" hidden="1" outlineLevel="1" collapsed="1" x14ac:dyDescent="0.25">
      <c r="A4053" s="295" t="s">
        <v>282</v>
      </c>
      <c r="B4053" s="295" t="s">
        <v>416</v>
      </c>
      <c r="C4053" s="293">
        <v>6146</v>
      </c>
      <c r="D4053" s="293">
        <v>9145</v>
      </c>
      <c r="E4053" s="293">
        <v>2999</v>
      </c>
      <c r="F4053" s="294" t="s">
        <v>1583</v>
      </c>
    </row>
    <row r="4054" spans="1:6" collapsed="1" x14ac:dyDescent="0.25">
      <c r="A4054" s="560" t="s">
        <v>1584</v>
      </c>
      <c r="B4054" s="561"/>
      <c r="C4054" s="292">
        <v>136892.903964</v>
      </c>
      <c r="D4054" s="293">
        <v>145010.85338799999</v>
      </c>
      <c r="E4054" s="293">
        <v>8117.9494240000004</v>
      </c>
      <c r="F4054" s="294" t="s">
        <v>1585</v>
      </c>
    </row>
    <row r="4055" spans="1:6" hidden="1" outlineLevel="1" collapsed="1" x14ac:dyDescent="0.25">
      <c r="A4055" s="295" t="s">
        <v>282</v>
      </c>
      <c r="B4055" s="295" t="s">
        <v>750</v>
      </c>
      <c r="C4055" s="293">
        <v>98799.999995999999</v>
      </c>
      <c r="D4055" s="293">
        <v>101970.959988</v>
      </c>
      <c r="E4055" s="293">
        <v>3170.9599920000001</v>
      </c>
      <c r="F4055" s="294" t="s">
        <v>359</v>
      </c>
    </row>
    <row r="4056" spans="1:6" hidden="1" outlineLevel="1" collapsed="1" x14ac:dyDescent="0.25">
      <c r="A4056" s="295" t="s">
        <v>282</v>
      </c>
      <c r="B4056" s="295" t="s">
        <v>751</v>
      </c>
      <c r="C4056" s="293">
        <v>12893.399987999999</v>
      </c>
      <c r="D4056" s="293">
        <v>0</v>
      </c>
      <c r="E4056" s="293">
        <v>-12893.399987999999</v>
      </c>
      <c r="F4056" s="294" t="s">
        <v>286</v>
      </c>
    </row>
    <row r="4057" spans="1:6" hidden="1" outlineLevel="1" collapsed="1" x14ac:dyDescent="0.25">
      <c r="A4057" s="295" t="s">
        <v>282</v>
      </c>
      <c r="B4057" s="295" t="s">
        <v>752</v>
      </c>
      <c r="C4057" s="293">
        <v>0</v>
      </c>
      <c r="D4057" s="293">
        <v>14714.409516</v>
      </c>
      <c r="E4057" s="293">
        <v>14714.409516</v>
      </c>
      <c r="F4057" s="294" t="s">
        <v>298</v>
      </c>
    </row>
    <row r="4058" spans="1:6" hidden="1" outlineLevel="1" collapsed="1" x14ac:dyDescent="0.25">
      <c r="A4058" s="295" t="s">
        <v>282</v>
      </c>
      <c r="B4058" s="295" t="s">
        <v>753</v>
      </c>
      <c r="C4058" s="293">
        <v>6125.5999920000004</v>
      </c>
      <c r="D4058" s="293">
        <v>6322.1995079999997</v>
      </c>
      <c r="E4058" s="293">
        <v>196.59951599999999</v>
      </c>
      <c r="F4058" s="294" t="s">
        <v>359</v>
      </c>
    </row>
    <row r="4059" spans="1:6" hidden="1" outlineLevel="1" collapsed="1" x14ac:dyDescent="0.25">
      <c r="A4059" s="295" t="s">
        <v>282</v>
      </c>
      <c r="B4059" s="295" t="s">
        <v>388</v>
      </c>
      <c r="C4059" s="293">
        <v>1432.5999959999999</v>
      </c>
      <c r="D4059" s="293">
        <v>1478.578908</v>
      </c>
      <c r="E4059" s="293">
        <v>45.978912000000001</v>
      </c>
      <c r="F4059" s="294" t="s">
        <v>359</v>
      </c>
    </row>
    <row r="4060" spans="1:6" hidden="1" outlineLevel="1" collapsed="1" x14ac:dyDescent="0.25">
      <c r="A4060" s="295" t="s">
        <v>282</v>
      </c>
      <c r="B4060" s="295" t="s">
        <v>754</v>
      </c>
      <c r="C4060" s="293">
        <v>15358.56</v>
      </c>
      <c r="D4060" s="293">
        <v>15959.28</v>
      </c>
      <c r="E4060" s="293">
        <v>600.72</v>
      </c>
      <c r="F4060" s="294" t="s">
        <v>366</v>
      </c>
    </row>
    <row r="4061" spans="1:6" hidden="1" outlineLevel="1" collapsed="1" x14ac:dyDescent="0.25">
      <c r="A4061" s="295" t="s">
        <v>282</v>
      </c>
      <c r="B4061" s="295" t="s">
        <v>755</v>
      </c>
      <c r="C4061" s="293">
        <v>426.12479999999999</v>
      </c>
      <c r="D4061" s="293">
        <v>422.04</v>
      </c>
      <c r="E4061" s="293">
        <v>-4.0848000000000004</v>
      </c>
      <c r="F4061" s="294" t="s">
        <v>364</v>
      </c>
    </row>
    <row r="4062" spans="1:6" hidden="1" outlineLevel="1" collapsed="1" x14ac:dyDescent="0.25">
      <c r="A4062" s="295" t="s">
        <v>282</v>
      </c>
      <c r="B4062" s="295" t="s">
        <v>756</v>
      </c>
      <c r="C4062" s="293">
        <v>233.53919999999999</v>
      </c>
      <c r="D4062" s="293">
        <v>182.88</v>
      </c>
      <c r="E4062" s="293">
        <v>-50.659199999999998</v>
      </c>
      <c r="F4062" s="294" t="s">
        <v>368</v>
      </c>
    </row>
    <row r="4063" spans="1:6" hidden="1" outlineLevel="1" collapsed="1" x14ac:dyDescent="0.25">
      <c r="A4063" s="295" t="s">
        <v>282</v>
      </c>
      <c r="B4063" s="295" t="s">
        <v>757</v>
      </c>
      <c r="C4063" s="293">
        <v>49.399991999999997</v>
      </c>
      <c r="D4063" s="293">
        <v>0</v>
      </c>
      <c r="E4063" s="293">
        <v>-49.399991999999997</v>
      </c>
      <c r="F4063" s="294" t="s">
        <v>286</v>
      </c>
    </row>
    <row r="4064" spans="1:6" hidden="1" outlineLevel="1" collapsed="1" x14ac:dyDescent="0.25">
      <c r="A4064" s="295" t="s">
        <v>282</v>
      </c>
      <c r="B4064" s="295" t="s">
        <v>758</v>
      </c>
      <c r="C4064" s="293">
        <v>0</v>
      </c>
      <c r="D4064" s="293">
        <v>50.985467999999997</v>
      </c>
      <c r="E4064" s="293">
        <v>50.985467999999997</v>
      </c>
      <c r="F4064" s="294" t="s">
        <v>298</v>
      </c>
    </row>
    <row r="4065" spans="1:6" hidden="1" outlineLevel="1" collapsed="1" x14ac:dyDescent="0.25">
      <c r="A4065" s="295" t="s">
        <v>282</v>
      </c>
      <c r="B4065" s="295" t="s">
        <v>759</v>
      </c>
      <c r="C4065" s="293">
        <v>1500</v>
      </c>
      <c r="D4065" s="293">
        <v>0</v>
      </c>
      <c r="E4065" s="293">
        <v>-1500</v>
      </c>
      <c r="F4065" s="294" t="s">
        <v>286</v>
      </c>
    </row>
    <row r="4066" spans="1:6" hidden="1" outlineLevel="1" collapsed="1" x14ac:dyDescent="0.25">
      <c r="A4066" s="295" t="s">
        <v>282</v>
      </c>
      <c r="B4066" s="295" t="s">
        <v>760</v>
      </c>
      <c r="C4066" s="293">
        <v>0</v>
      </c>
      <c r="D4066" s="293">
        <v>1500</v>
      </c>
      <c r="E4066" s="293">
        <v>1500</v>
      </c>
      <c r="F4066" s="294" t="s">
        <v>298</v>
      </c>
    </row>
    <row r="4067" spans="1:6" hidden="1" outlineLevel="1" collapsed="1" x14ac:dyDescent="0.25">
      <c r="A4067" s="295" t="s">
        <v>282</v>
      </c>
      <c r="B4067" s="295" t="s">
        <v>761</v>
      </c>
      <c r="C4067" s="293">
        <v>49.68</v>
      </c>
      <c r="D4067" s="293">
        <v>0</v>
      </c>
      <c r="E4067" s="293">
        <v>-49.68</v>
      </c>
      <c r="F4067" s="294" t="s">
        <v>286</v>
      </c>
    </row>
    <row r="4068" spans="1:6" hidden="1" outlineLevel="1" collapsed="1" x14ac:dyDescent="0.25">
      <c r="A4068" s="295" t="s">
        <v>282</v>
      </c>
      <c r="B4068" s="295" t="s">
        <v>762</v>
      </c>
      <c r="C4068" s="293">
        <v>0</v>
      </c>
      <c r="D4068" s="293">
        <v>48.48</v>
      </c>
      <c r="E4068" s="293">
        <v>48.48</v>
      </c>
      <c r="F4068" s="294" t="s">
        <v>298</v>
      </c>
    </row>
    <row r="4069" spans="1:6" hidden="1" outlineLevel="1" collapsed="1" x14ac:dyDescent="0.25">
      <c r="A4069" s="295" t="s">
        <v>282</v>
      </c>
      <c r="B4069" s="295" t="s">
        <v>763</v>
      </c>
      <c r="C4069" s="293">
        <v>24</v>
      </c>
      <c r="D4069" s="293">
        <v>11.04</v>
      </c>
      <c r="E4069" s="293">
        <v>-12.96</v>
      </c>
      <c r="F4069" s="294" t="s">
        <v>374</v>
      </c>
    </row>
    <row r="4070" spans="1:6" hidden="1" outlineLevel="1" collapsed="1" x14ac:dyDescent="0.25">
      <c r="A4070" s="295" t="s">
        <v>282</v>
      </c>
      <c r="B4070" s="295" t="s">
        <v>426</v>
      </c>
      <c r="C4070" s="293">
        <v>0</v>
      </c>
      <c r="D4070" s="293">
        <v>2000</v>
      </c>
      <c r="E4070" s="293">
        <v>2000</v>
      </c>
      <c r="F4070" s="294" t="s">
        <v>298</v>
      </c>
    </row>
    <row r="4071" spans="1:6" hidden="1" outlineLevel="1" collapsed="1" x14ac:dyDescent="0.25">
      <c r="A4071" s="295" t="s">
        <v>282</v>
      </c>
      <c r="B4071" s="295" t="s">
        <v>482</v>
      </c>
      <c r="C4071" s="293">
        <v>0</v>
      </c>
      <c r="D4071" s="293">
        <v>250</v>
      </c>
      <c r="E4071" s="293">
        <v>250</v>
      </c>
      <c r="F4071" s="294" t="s">
        <v>298</v>
      </c>
    </row>
    <row r="4072" spans="1:6" hidden="1" outlineLevel="1" collapsed="1" x14ac:dyDescent="0.25">
      <c r="A4072" s="295" t="s">
        <v>282</v>
      </c>
      <c r="B4072" s="295" t="s">
        <v>597</v>
      </c>
      <c r="C4072" s="293">
        <v>0</v>
      </c>
      <c r="D4072" s="293">
        <v>100</v>
      </c>
      <c r="E4072" s="293">
        <v>100</v>
      </c>
      <c r="F4072" s="294" t="s">
        <v>298</v>
      </c>
    </row>
    <row r="4073" spans="1:6" collapsed="1" x14ac:dyDescent="0.25">
      <c r="A4073" s="560" t="s">
        <v>331</v>
      </c>
      <c r="B4073" s="561"/>
      <c r="C4073" s="292">
        <v>551942.45207899995</v>
      </c>
      <c r="D4073" s="293">
        <v>556952.18115900003</v>
      </c>
      <c r="E4073" s="293">
        <v>5009.7290800000001</v>
      </c>
      <c r="F4073" s="294" t="s">
        <v>1586</v>
      </c>
    </row>
    <row r="4074" spans="1:6" hidden="1" outlineLevel="1" collapsed="1" x14ac:dyDescent="0.25">
      <c r="A4074" s="295" t="s">
        <v>282</v>
      </c>
      <c r="B4074" s="295" t="s">
        <v>464</v>
      </c>
      <c r="C4074" s="293">
        <v>156501.00893700001</v>
      </c>
      <c r="D4074" s="293">
        <v>161148.43176499999</v>
      </c>
      <c r="E4074" s="293">
        <v>4647.4228279999998</v>
      </c>
      <c r="F4074" s="294" t="s">
        <v>553</v>
      </c>
    </row>
    <row r="4075" spans="1:6" hidden="1" outlineLevel="1" collapsed="1" x14ac:dyDescent="0.25">
      <c r="A4075" s="295" t="s">
        <v>282</v>
      </c>
      <c r="B4075" s="295" t="s">
        <v>384</v>
      </c>
      <c r="C4075" s="293">
        <v>19343.134913999998</v>
      </c>
      <c r="D4075" s="293">
        <v>0</v>
      </c>
      <c r="E4075" s="293">
        <v>-19343.134913999998</v>
      </c>
      <c r="F4075" s="294" t="s">
        <v>286</v>
      </c>
    </row>
    <row r="4076" spans="1:6" hidden="1" outlineLevel="1" collapsed="1" x14ac:dyDescent="0.25">
      <c r="A4076" s="295" t="s">
        <v>282</v>
      </c>
      <c r="B4076" s="295" t="s">
        <v>385</v>
      </c>
      <c r="C4076" s="293">
        <v>0</v>
      </c>
      <c r="D4076" s="293">
        <v>25028.532196</v>
      </c>
      <c r="E4076" s="293">
        <v>25028.532196</v>
      </c>
      <c r="F4076" s="294" t="s">
        <v>298</v>
      </c>
    </row>
    <row r="4077" spans="1:6" hidden="1" outlineLevel="1" collapsed="1" x14ac:dyDescent="0.25">
      <c r="A4077" s="295" t="s">
        <v>282</v>
      </c>
      <c r="B4077" s="295" t="s">
        <v>386</v>
      </c>
      <c r="C4077" s="293">
        <v>9703.0625330000003</v>
      </c>
      <c r="D4077" s="293">
        <v>0</v>
      </c>
      <c r="E4077" s="293">
        <v>-9703.0625330000003</v>
      </c>
      <c r="F4077" s="294" t="s">
        <v>286</v>
      </c>
    </row>
    <row r="4078" spans="1:6" hidden="1" outlineLevel="1" collapsed="1" x14ac:dyDescent="0.25">
      <c r="A4078" s="295" t="s">
        <v>282</v>
      </c>
      <c r="B4078" s="295" t="s">
        <v>387</v>
      </c>
      <c r="C4078" s="293">
        <v>0</v>
      </c>
      <c r="D4078" s="293">
        <v>9991.2027620000008</v>
      </c>
      <c r="E4078" s="293">
        <v>9991.2027620000008</v>
      </c>
      <c r="F4078" s="294" t="s">
        <v>298</v>
      </c>
    </row>
    <row r="4079" spans="1:6" hidden="1" outlineLevel="1" collapsed="1" x14ac:dyDescent="0.25">
      <c r="A4079" s="295" t="s">
        <v>282</v>
      </c>
      <c r="B4079" s="295" t="s">
        <v>388</v>
      </c>
      <c r="C4079" s="293">
        <v>2269.2646030000001</v>
      </c>
      <c r="D4079" s="293">
        <v>2336.6522319999999</v>
      </c>
      <c r="E4079" s="293">
        <v>67.387629000000004</v>
      </c>
      <c r="F4079" s="294" t="s">
        <v>553</v>
      </c>
    </row>
    <row r="4080" spans="1:6" hidden="1" outlineLevel="1" collapsed="1" x14ac:dyDescent="0.25">
      <c r="A4080" s="295" t="s">
        <v>282</v>
      </c>
      <c r="B4080" s="295" t="s">
        <v>389</v>
      </c>
      <c r="C4080" s="293">
        <v>1235.7619199999999</v>
      </c>
      <c r="D4080" s="293">
        <v>1223.9159999999999</v>
      </c>
      <c r="E4080" s="293">
        <v>-11.84592</v>
      </c>
      <c r="F4080" s="294" t="s">
        <v>364</v>
      </c>
    </row>
    <row r="4081" spans="1:6" hidden="1" outlineLevel="1" collapsed="1" x14ac:dyDescent="0.25">
      <c r="A4081" s="295" t="s">
        <v>282</v>
      </c>
      <c r="B4081" s="295" t="s">
        <v>390</v>
      </c>
      <c r="C4081" s="293">
        <v>44907.283000000003</v>
      </c>
      <c r="D4081" s="293">
        <v>46281.911999999997</v>
      </c>
      <c r="E4081" s="293">
        <v>1374.6289999999999</v>
      </c>
      <c r="F4081" s="294" t="s">
        <v>391</v>
      </c>
    </row>
    <row r="4082" spans="1:6" hidden="1" outlineLevel="1" collapsed="1" x14ac:dyDescent="0.25">
      <c r="A4082" s="295" t="s">
        <v>282</v>
      </c>
      <c r="B4082" s="295" t="s">
        <v>392</v>
      </c>
      <c r="C4082" s="293">
        <v>677.26368000000002</v>
      </c>
      <c r="D4082" s="293">
        <v>530.35199999999998</v>
      </c>
      <c r="E4082" s="293">
        <v>-146.91167999999999</v>
      </c>
      <c r="F4082" s="294" t="s">
        <v>368</v>
      </c>
    </row>
    <row r="4083" spans="1:6" hidden="1" outlineLevel="1" collapsed="1" x14ac:dyDescent="0.25">
      <c r="A4083" s="295" t="s">
        <v>282</v>
      </c>
      <c r="B4083" s="295" t="s">
        <v>393</v>
      </c>
      <c r="C4083" s="293">
        <v>78.250491999999994</v>
      </c>
      <c r="D4083" s="293">
        <v>80.574203999999995</v>
      </c>
      <c r="E4083" s="293">
        <v>2.323712</v>
      </c>
      <c r="F4083" s="294" t="s">
        <v>553</v>
      </c>
    </row>
    <row r="4084" spans="1:6" hidden="1" outlineLevel="1" collapsed="1" x14ac:dyDescent="0.25">
      <c r="A4084" s="295" t="s">
        <v>282</v>
      </c>
      <c r="B4084" s="295" t="s">
        <v>394</v>
      </c>
      <c r="C4084" s="293">
        <v>4350</v>
      </c>
      <c r="D4084" s="293">
        <v>0</v>
      </c>
      <c r="E4084" s="293">
        <v>-4350</v>
      </c>
      <c r="F4084" s="294" t="s">
        <v>286</v>
      </c>
    </row>
    <row r="4085" spans="1:6" hidden="1" outlineLevel="1" collapsed="1" x14ac:dyDescent="0.25">
      <c r="A4085" s="295" t="s">
        <v>282</v>
      </c>
      <c r="B4085" s="295" t="s">
        <v>395</v>
      </c>
      <c r="C4085" s="293">
        <v>0</v>
      </c>
      <c r="D4085" s="293">
        <v>4350</v>
      </c>
      <c r="E4085" s="293">
        <v>4350</v>
      </c>
      <c r="F4085" s="294" t="s">
        <v>298</v>
      </c>
    </row>
    <row r="4086" spans="1:6" hidden="1" outlineLevel="1" collapsed="1" x14ac:dyDescent="0.25">
      <c r="A4086" s="295" t="s">
        <v>282</v>
      </c>
      <c r="B4086" s="295" t="s">
        <v>396</v>
      </c>
      <c r="C4086" s="293">
        <v>144.072</v>
      </c>
      <c r="D4086" s="293">
        <v>0</v>
      </c>
      <c r="E4086" s="293">
        <v>-144.072</v>
      </c>
      <c r="F4086" s="294" t="s">
        <v>286</v>
      </c>
    </row>
    <row r="4087" spans="1:6" hidden="1" outlineLevel="1" collapsed="1" x14ac:dyDescent="0.25">
      <c r="A4087" s="295" t="s">
        <v>282</v>
      </c>
      <c r="B4087" s="295" t="s">
        <v>397</v>
      </c>
      <c r="C4087" s="293">
        <v>0</v>
      </c>
      <c r="D4087" s="293">
        <v>140.59200000000001</v>
      </c>
      <c r="E4087" s="293">
        <v>140.59200000000001</v>
      </c>
      <c r="F4087" s="294" t="s">
        <v>298</v>
      </c>
    </row>
    <row r="4088" spans="1:6" hidden="1" outlineLevel="1" collapsed="1" x14ac:dyDescent="0.25">
      <c r="A4088" s="295" t="s">
        <v>282</v>
      </c>
      <c r="B4088" s="295" t="s">
        <v>398</v>
      </c>
      <c r="C4088" s="293">
        <v>69.599999999999994</v>
      </c>
      <c r="D4088" s="293">
        <v>32.015999999999998</v>
      </c>
      <c r="E4088" s="293">
        <v>-37.584000000000003</v>
      </c>
      <c r="F4088" s="294" t="s">
        <v>374</v>
      </c>
    </row>
    <row r="4089" spans="1:6" hidden="1" outlineLevel="1" collapsed="1" x14ac:dyDescent="0.25">
      <c r="A4089" s="295" t="s">
        <v>282</v>
      </c>
      <c r="B4089" s="295" t="s">
        <v>523</v>
      </c>
      <c r="C4089" s="293">
        <v>464</v>
      </c>
      <c r="D4089" s="293">
        <v>45</v>
      </c>
      <c r="E4089" s="293">
        <v>-419</v>
      </c>
      <c r="F4089" s="294" t="s">
        <v>1587</v>
      </c>
    </row>
    <row r="4090" spans="1:6" hidden="1" outlineLevel="1" collapsed="1" x14ac:dyDescent="0.25">
      <c r="A4090" s="295" t="s">
        <v>282</v>
      </c>
      <c r="B4090" s="295" t="s">
        <v>376</v>
      </c>
      <c r="C4090" s="293">
        <v>400</v>
      </c>
      <c r="D4090" s="293">
        <v>600</v>
      </c>
      <c r="E4090" s="293">
        <v>200</v>
      </c>
      <c r="F4090" s="294" t="s">
        <v>784</v>
      </c>
    </row>
    <row r="4091" spans="1:6" hidden="1" outlineLevel="1" collapsed="1" x14ac:dyDescent="0.25">
      <c r="A4091" s="295" t="s">
        <v>282</v>
      </c>
      <c r="B4091" s="295" t="s">
        <v>1046</v>
      </c>
      <c r="C4091" s="293">
        <v>36020</v>
      </c>
      <c r="D4091" s="293">
        <v>26750</v>
      </c>
      <c r="E4091" s="293">
        <v>-9270</v>
      </c>
      <c r="F4091" s="294" t="s">
        <v>1588</v>
      </c>
    </row>
    <row r="4092" spans="1:6" hidden="1" outlineLevel="1" collapsed="1" x14ac:dyDescent="0.25">
      <c r="A4092" s="295" t="s">
        <v>282</v>
      </c>
      <c r="B4092" s="295" t="s">
        <v>567</v>
      </c>
      <c r="C4092" s="293">
        <v>2100</v>
      </c>
      <c r="D4092" s="293">
        <v>6600</v>
      </c>
      <c r="E4092" s="293">
        <v>4500</v>
      </c>
      <c r="F4092" s="294" t="s">
        <v>1589</v>
      </c>
    </row>
    <row r="4093" spans="1:6" hidden="1" outlineLevel="1" collapsed="1" x14ac:dyDescent="0.25">
      <c r="A4093" s="295" t="s">
        <v>282</v>
      </c>
      <c r="B4093" s="295" t="s">
        <v>426</v>
      </c>
      <c r="C4093" s="293">
        <v>1280</v>
      </c>
      <c r="D4093" s="293">
        <v>1300</v>
      </c>
      <c r="E4093" s="293">
        <v>20</v>
      </c>
      <c r="F4093" s="294" t="s">
        <v>1590</v>
      </c>
    </row>
    <row r="4094" spans="1:6" hidden="1" outlineLevel="1" collapsed="1" x14ac:dyDescent="0.25">
      <c r="A4094" s="295" t="s">
        <v>282</v>
      </c>
      <c r="B4094" s="295" t="s">
        <v>597</v>
      </c>
      <c r="C4094" s="293">
        <v>270</v>
      </c>
      <c r="D4094" s="293">
        <v>400</v>
      </c>
      <c r="E4094" s="293">
        <v>130</v>
      </c>
      <c r="F4094" s="294" t="s">
        <v>1591</v>
      </c>
    </row>
    <row r="4095" spans="1:6" hidden="1" outlineLevel="1" collapsed="1" x14ac:dyDescent="0.25">
      <c r="A4095" s="295" t="s">
        <v>282</v>
      </c>
      <c r="B4095" s="295" t="s">
        <v>483</v>
      </c>
      <c r="C4095" s="293">
        <v>1700</v>
      </c>
      <c r="D4095" s="293">
        <v>1700</v>
      </c>
      <c r="E4095" s="293">
        <v>0</v>
      </c>
      <c r="F4095" s="294" t="s">
        <v>316</v>
      </c>
    </row>
    <row r="4096" spans="1:6" hidden="1" outlineLevel="1" collapsed="1" x14ac:dyDescent="0.25">
      <c r="A4096" s="295" t="s">
        <v>282</v>
      </c>
      <c r="B4096" s="295" t="s">
        <v>1167</v>
      </c>
      <c r="C4096" s="293">
        <v>2000</v>
      </c>
      <c r="D4096" s="293">
        <v>2000</v>
      </c>
      <c r="E4096" s="293">
        <v>0</v>
      </c>
      <c r="F4096" s="294" t="s">
        <v>316</v>
      </c>
    </row>
    <row r="4097" spans="1:6" hidden="1" outlineLevel="1" collapsed="1" x14ac:dyDescent="0.25">
      <c r="A4097" s="295" t="s">
        <v>282</v>
      </c>
      <c r="B4097" s="295" t="s">
        <v>416</v>
      </c>
      <c r="C4097" s="293">
        <v>7500</v>
      </c>
      <c r="D4097" s="293">
        <v>2500</v>
      </c>
      <c r="E4097" s="293">
        <v>-5000</v>
      </c>
      <c r="F4097" s="294" t="s">
        <v>1513</v>
      </c>
    </row>
    <row r="4098" spans="1:6" hidden="1" outlineLevel="1" collapsed="1" x14ac:dyDescent="0.25">
      <c r="A4098" s="295" t="s">
        <v>282</v>
      </c>
      <c r="B4098" s="295" t="s">
        <v>448</v>
      </c>
      <c r="C4098" s="293">
        <v>1431</v>
      </c>
      <c r="D4098" s="293">
        <v>600</v>
      </c>
      <c r="E4098" s="293">
        <v>-831</v>
      </c>
      <c r="F4098" s="294" t="s">
        <v>1592</v>
      </c>
    </row>
    <row r="4099" spans="1:6" hidden="1" outlineLevel="1" collapsed="1" x14ac:dyDescent="0.25">
      <c r="A4099" s="295" t="s">
        <v>282</v>
      </c>
      <c r="B4099" s="295" t="s">
        <v>884</v>
      </c>
      <c r="C4099" s="293">
        <v>34095</v>
      </c>
      <c r="D4099" s="293">
        <v>72787</v>
      </c>
      <c r="E4099" s="293">
        <v>38692</v>
      </c>
      <c r="F4099" s="294" t="s">
        <v>1593</v>
      </c>
    </row>
    <row r="4100" spans="1:6" hidden="1" outlineLevel="1" collapsed="1" x14ac:dyDescent="0.25">
      <c r="A4100" s="295" t="s">
        <v>282</v>
      </c>
      <c r="B4100" s="295" t="s">
        <v>1172</v>
      </c>
      <c r="C4100" s="293">
        <v>50896.32</v>
      </c>
      <c r="D4100" s="293">
        <v>67314</v>
      </c>
      <c r="E4100" s="293">
        <v>16417.68</v>
      </c>
      <c r="F4100" s="294" t="s">
        <v>1594</v>
      </c>
    </row>
    <row r="4101" spans="1:6" hidden="1" outlineLevel="1" collapsed="1" x14ac:dyDescent="0.25">
      <c r="A4101" s="295" t="s">
        <v>282</v>
      </c>
      <c r="B4101" s="295" t="s">
        <v>1595</v>
      </c>
      <c r="C4101" s="293">
        <v>41642</v>
      </c>
      <c r="D4101" s="293">
        <v>61387</v>
      </c>
      <c r="E4101" s="293">
        <v>19745</v>
      </c>
      <c r="F4101" s="294" t="s">
        <v>1596</v>
      </c>
    </row>
    <row r="4102" spans="1:6" hidden="1" outlineLevel="1" collapsed="1" x14ac:dyDescent="0.25">
      <c r="A4102" s="295" t="s">
        <v>282</v>
      </c>
      <c r="B4102" s="295" t="s">
        <v>403</v>
      </c>
      <c r="C4102" s="293">
        <v>116320</v>
      </c>
      <c r="D4102" s="293">
        <v>41800</v>
      </c>
      <c r="E4102" s="293">
        <v>-74520</v>
      </c>
      <c r="F4102" s="294" t="s">
        <v>1597</v>
      </c>
    </row>
    <row r="4103" spans="1:6" hidden="1" outlineLevel="1" collapsed="1" x14ac:dyDescent="0.25">
      <c r="A4103" s="295" t="s">
        <v>282</v>
      </c>
      <c r="B4103" s="295" t="s">
        <v>1054</v>
      </c>
      <c r="C4103" s="293">
        <v>0</v>
      </c>
      <c r="D4103" s="293">
        <v>7500</v>
      </c>
      <c r="E4103" s="293">
        <v>7500</v>
      </c>
      <c r="F4103" s="294" t="s">
        <v>298</v>
      </c>
    </row>
    <row r="4104" spans="1:6" hidden="1" outlineLevel="1" collapsed="1" x14ac:dyDescent="0.25">
      <c r="A4104" s="295" t="s">
        <v>282</v>
      </c>
      <c r="B4104" s="295" t="s">
        <v>405</v>
      </c>
      <c r="C4104" s="293">
        <v>4606.43</v>
      </c>
      <c r="D4104" s="293">
        <v>8025</v>
      </c>
      <c r="E4104" s="293">
        <v>3418.57</v>
      </c>
      <c r="F4104" s="294" t="s">
        <v>1598</v>
      </c>
    </row>
    <row r="4105" spans="1:6" hidden="1" outlineLevel="1" collapsed="1" x14ac:dyDescent="0.25">
      <c r="A4105" s="295" t="s">
        <v>282</v>
      </c>
      <c r="B4105" s="295" t="s">
        <v>831</v>
      </c>
      <c r="C4105" s="293">
        <v>11939</v>
      </c>
      <c r="D4105" s="293">
        <v>2000</v>
      </c>
      <c r="E4105" s="293">
        <v>-9939</v>
      </c>
      <c r="F4105" s="294" t="s">
        <v>1599</v>
      </c>
    </row>
    <row r="4106" spans="1:6" hidden="1" outlineLevel="1" collapsed="1" x14ac:dyDescent="0.25">
      <c r="A4106" s="295" t="s">
        <v>282</v>
      </c>
      <c r="B4106" s="295" t="s">
        <v>422</v>
      </c>
      <c r="C4106" s="293">
        <v>0</v>
      </c>
      <c r="D4106" s="293">
        <v>2500</v>
      </c>
      <c r="E4106" s="293">
        <v>2500</v>
      </c>
      <c r="F4106" s="294" t="s">
        <v>298</v>
      </c>
    </row>
    <row r="4107" spans="1:6" collapsed="1" x14ac:dyDescent="0.25">
      <c r="A4107" s="560" t="s">
        <v>1600</v>
      </c>
      <c r="B4107" s="561"/>
      <c r="C4107" s="292">
        <v>1162312.7610490001</v>
      </c>
      <c r="D4107" s="293">
        <v>1232089.2997610001</v>
      </c>
      <c r="E4107" s="293">
        <v>69776.538711999994</v>
      </c>
      <c r="F4107" s="294" t="s">
        <v>713</v>
      </c>
    </row>
    <row r="4108" spans="1:6" hidden="1" outlineLevel="1" collapsed="1" x14ac:dyDescent="0.25">
      <c r="A4108" s="295" t="s">
        <v>282</v>
      </c>
      <c r="B4108" s="295" t="s">
        <v>874</v>
      </c>
      <c r="C4108" s="293">
        <v>57243.993780999997</v>
      </c>
      <c r="D4108" s="293">
        <v>58102.653473999999</v>
      </c>
      <c r="E4108" s="293">
        <v>858.65969299999995</v>
      </c>
      <c r="F4108" s="294" t="s">
        <v>510</v>
      </c>
    </row>
    <row r="4109" spans="1:6" hidden="1" outlineLevel="1" collapsed="1" x14ac:dyDescent="0.25">
      <c r="A4109" s="295" t="s">
        <v>282</v>
      </c>
      <c r="B4109" s="295" t="s">
        <v>464</v>
      </c>
      <c r="C4109" s="293">
        <v>566220.10774500004</v>
      </c>
      <c r="D4109" s="293">
        <v>608167.29547200003</v>
      </c>
      <c r="E4109" s="293">
        <v>41947.187726999997</v>
      </c>
      <c r="F4109" s="294" t="s">
        <v>988</v>
      </c>
    </row>
    <row r="4110" spans="1:6" hidden="1" outlineLevel="1" collapsed="1" x14ac:dyDescent="0.25">
      <c r="A4110" s="295" t="s">
        <v>282</v>
      </c>
      <c r="B4110" s="295" t="s">
        <v>475</v>
      </c>
      <c r="C4110" s="293">
        <v>3850</v>
      </c>
      <c r="D4110" s="293">
        <v>3900</v>
      </c>
      <c r="E4110" s="293">
        <v>50</v>
      </c>
      <c r="F4110" s="294" t="s">
        <v>1601</v>
      </c>
    </row>
    <row r="4111" spans="1:6" hidden="1" outlineLevel="1" collapsed="1" x14ac:dyDescent="0.25">
      <c r="A4111" s="295" t="s">
        <v>282</v>
      </c>
      <c r="B4111" s="295" t="s">
        <v>799</v>
      </c>
      <c r="C4111" s="293">
        <v>5000</v>
      </c>
      <c r="D4111" s="293">
        <v>0</v>
      </c>
      <c r="E4111" s="293">
        <v>-5000</v>
      </c>
      <c r="F4111" s="294" t="s">
        <v>286</v>
      </c>
    </row>
    <row r="4112" spans="1:6" hidden="1" outlineLevel="1" collapsed="1" x14ac:dyDescent="0.25">
      <c r="A4112" s="295" t="s">
        <v>282</v>
      </c>
      <c r="B4112" s="295" t="s">
        <v>384</v>
      </c>
      <c r="C4112" s="293">
        <v>76669.099466999993</v>
      </c>
      <c r="D4112" s="293">
        <v>0</v>
      </c>
      <c r="E4112" s="293">
        <v>-76669.099466999993</v>
      </c>
      <c r="F4112" s="294" t="s">
        <v>286</v>
      </c>
    </row>
    <row r="4113" spans="1:6" hidden="1" outlineLevel="1" collapsed="1" x14ac:dyDescent="0.25">
      <c r="A4113" s="295" t="s">
        <v>282</v>
      </c>
      <c r="B4113" s="295" t="s">
        <v>385</v>
      </c>
      <c r="C4113" s="293">
        <v>0</v>
      </c>
      <c r="D4113" s="293">
        <v>103198.9874</v>
      </c>
      <c r="E4113" s="293">
        <v>103198.9874</v>
      </c>
      <c r="F4113" s="294" t="s">
        <v>298</v>
      </c>
    </row>
    <row r="4114" spans="1:6" hidden="1" outlineLevel="1" collapsed="1" x14ac:dyDescent="0.25">
      <c r="A4114" s="295" t="s">
        <v>282</v>
      </c>
      <c r="B4114" s="295" t="s">
        <v>386</v>
      </c>
      <c r="C4114" s="293">
        <v>38598.974217000003</v>
      </c>
      <c r="D4114" s="293">
        <v>0</v>
      </c>
      <c r="E4114" s="293">
        <v>-38598.974217000003</v>
      </c>
      <c r="F4114" s="294" t="s">
        <v>286</v>
      </c>
    </row>
    <row r="4115" spans="1:6" hidden="1" outlineLevel="1" collapsed="1" x14ac:dyDescent="0.25">
      <c r="A4115" s="295" t="s">
        <v>282</v>
      </c>
      <c r="B4115" s="295" t="s">
        <v>387</v>
      </c>
      <c r="C4115" s="293">
        <v>0</v>
      </c>
      <c r="D4115" s="293">
        <v>41308.736762</v>
      </c>
      <c r="E4115" s="293">
        <v>41308.736762</v>
      </c>
      <c r="F4115" s="294" t="s">
        <v>298</v>
      </c>
    </row>
    <row r="4116" spans="1:6" hidden="1" outlineLevel="1" collapsed="1" x14ac:dyDescent="0.25">
      <c r="A4116" s="295" t="s">
        <v>282</v>
      </c>
      <c r="B4116" s="295" t="s">
        <v>388</v>
      </c>
      <c r="C4116" s="293">
        <v>9027.1793629999993</v>
      </c>
      <c r="D4116" s="293">
        <v>9660.9141930000005</v>
      </c>
      <c r="E4116" s="293">
        <v>633.73482999999999</v>
      </c>
      <c r="F4116" s="294" t="s">
        <v>1602</v>
      </c>
    </row>
    <row r="4117" spans="1:6" hidden="1" outlineLevel="1" collapsed="1" x14ac:dyDescent="0.25">
      <c r="A4117" s="295" t="s">
        <v>282</v>
      </c>
      <c r="B4117" s="295" t="s">
        <v>444</v>
      </c>
      <c r="C4117" s="293">
        <v>0</v>
      </c>
      <c r="D4117" s="293">
        <v>351</v>
      </c>
      <c r="E4117" s="293">
        <v>351</v>
      </c>
      <c r="F4117" s="294" t="s">
        <v>298</v>
      </c>
    </row>
    <row r="4118" spans="1:6" hidden="1" outlineLevel="1" collapsed="1" x14ac:dyDescent="0.25">
      <c r="A4118" s="295" t="s">
        <v>282</v>
      </c>
      <c r="B4118" s="295" t="s">
        <v>389</v>
      </c>
      <c r="C4118" s="293">
        <v>6681.6368640000001</v>
      </c>
      <c r="D4118" s="293">
        <v>6617.5871999999999</v>
      </c>
      <c r="E4118" s="293">
        <v>-64.049664000000007</v>
      </c>
      <c r="F4118" s="294" t="s">
        <v>364</v>
      </c>
    </row>
    <row r="4119" spans="1:6" hidden="1" outlineLevel="1" collapsed="1" x14ac:dyDescent="0.25">
      <c r="A4119" s="295" t="s">
        <v>282</v>
      </c>
      <c r="B4119" s="295" t="s">
        <v>390</v>
      </c>
      <c r="C4119" s="293">
        <v>228872.29060000001</v>
      </c>
      <c r="D4119" s="293">
        <v>235878.15839999999</v>
      </c>
      <c r="E4119" s="293">
        <v>7005.8678</v>
      </c>
      <c r="F4119" s="294" t="s">
        <v>391</v>
      </c>
    </row>
    <row r="4120" spans="1:6" hidden="1" outlineLevel="1" collapsed="1" x14ac:dyDescent="0.25">
      <c r="A4120" s="295" t="s">
        <v>282</v>
      </c>
      <c r="B4120" s="295" t="s">
        <v>392</v>
      </c>
      <c r="C4120" s="293">
        <v>3661.8946559999999</v>
      </c>
      <c r="D4120" s="293">
        <v>2867.5583999999999</v>
      </c>
      <c r="E4120" s="293">
        <v>-794.33625600000005</v>
      </c>
      <c r="F4120" s="294" t="s">
        <v>368</v>
      </c>
    </row>
    <row r="4121" spans="1:6" hidden="1" outlineLevel="1" collapsed="1" x14ac:dyDescent="0.25">
      <c r="A4121" s="295" t="s">
        <v>282</v>
      </c>
      <c r="B4121" s="295" t="s">
        <v>393</v>
      </c>
      <c r="C4121" s="293">
        <v>311.28195599999998</v>
      </c>
      <c r="D4121" s="293">
        <v>333.13486</v>
      </c>
      <c r="E4121" s="293">
        <v>21.852903999999999</v>
      </c>
      <c r="F4121" s="294" t="s">
        <v>1602</v>
      </c>
    </row>
    <row r="4122" spans="1:6" hidden="1" outlineLevel="1" collapsed="1" x14ac:dyDescent="0.25">
      <c r="A4122" s="295" t="s">
        <v>282</v>
      </c>
      <c r="B4122" s="295" t="s">
        <v>394</v>
      </c>
      <c r="C4122" s="293">
        <v>23520</v>
      </c>
      <c r="D4122" s="293">
        <v>0</v>
      </c>
      <c r="E4122" s="293">
        <v>-23520</v>
      </c>
      <c r="F4122" s="294" t="s">
        <v>286</v>
      </c>
    </row>
    <row r="4123" spans="1:6" hidden="1" outlineLevel="1" collapsed="1" x14ac:dyDescent="0.25">
      <c r="A4123" s="295" t="s">
        <v>282</v>
      </c>
      <c r="B4123" s="295" t="s">
        <v>395</v>
      </c>
      <c r="C4123" s="293">
        <v>0</v>
      </c>
      <c r="D4123" s="293">
        <v>23520</v>
      </c>
      <c r="E4123" s="293">
        <v>23520</v>
      </c>
      <c r="F4123" s="294" t="s">
        <v>298</v>
      </c>
    </row>
    <row r="4124" spans="1:6" hidden="1" outlineLevel="1" collapsed="1" x14ac:dyDescent="0.25">
      <c r="A4124" s="295" t="s">
        <v>282</v>
      </c>
      <c r="B4124" s="295" t="s">
        <v>396</v>
      </c>
      <c r="C4124" s="293">
        <v>778.98239999999998</v>
      </c>
      <c r="D4124" s="293">
        <v>0</v>
      </c>
      <c r="E4124" s="293">
        <v>-778.98239999999998</v>
      </c>
      <c r="F4124" s="294" t="s">
        <v>286</v>
      </c>
    </row>
    <row r="4125" spans="1:6" hidden="1" outlineLevel="1" collapsed="1" x14ac:dyDescent="0.25">
      <c r="A4125" s="295" t="s">
        <v>282</v>
      </c>
      <c r="B4125" s="295" t="s">
        <v>397</v>
      </c>
      <c r="C4125" s="293">
        <v>0</v>
      </c>
      <c r="D4125" s="293">
        <v>760.16639999999995</v>
      </c>
      <c r="E4125" s="293">
        <v>760.16639999999995</v>
      </c>
      <c r="F4125" s="294" t="s">
        <v>298</v>
      </c>
    </row>
    <row r="4126" spans="1:6" hidden="1" outlineLevel="1" collapsed="1" x14ac:dyDescent="0.25">
      <c r="A4126" s="295" t="s">
        <v>282</v>
      </c>
      <c r="B4126" s="295" t="s">
        <v>398</v>
      </c>
      <c r="C4126" s="293">
        <v>376.32</v>
      </c>
      <c r="D4126" s="293">
        <v>173.10720000000001</v>
      </c>
      <c r="E4126" s="293">
        <v>-203.21279999999999</v>
      </c>
      <c r="F4126" s="294" t="s">
        <v>374</v>
      </c>
    </row>
    <row r="4127" spans="1:6" hidden="1" outlineLevel="1" collapsed="1" x14ac:dyDescent="0.25">
      <c r="A4127" s="295" t="s">
        <v>282</v>
      </c>
      <c r="B4127" s="295" t="s">
        <v>522</v>
      </c>
      <c r="C4127" s="293">
        <v>2700</v>
      </c>
      <c r="D4127" s="293">
        <v>2700</v>
      </c>
      <c r="E4127" s="293">
        <v>0</v>
      </c>
      <c r="F4127" s="294" t="s">
        <v>316</v>
      </c>
    </row>
    <row r="4128" spans="1:6" hidden="1" outlineLevel="1" collapsed="1" x14ac:dyDescent="0.25">
      <c r="A4128" s="295" t="s">
        <v>282</v>
      </c>
      <c r="B4128" s="295" t="s">
        <v>1067</v>
      </c>
      <c r="C4128" s="293">
        <v>62000</v>
      </c>
      <c r="D4128" s="293">
        <v>62000</v>
      </c>
      <c r="E4128" s="293">
        <v>0</v>
      </c>
      <c r="F4128" s="294" t="s">
        <v>316</v>
      </c>
    </row>
    <row r="4129" spans="1:6" hidden="1" outlineLevel="1" collapsed="1" x14ac:dyDescent="0.25">
      <c r="A4129" s="295" t="s">
        <v>282</v>
      </c>
      <c r="B4129" s="295" t="s">
        <v>426</v>
      </c>
      <c r="C4129" s="293">
        <v>481</v>
      </c>
      <c r="D4129" s="293">
        <v>0</v>
      </c>
      <c r="E4129" s="293">
        <v>-481</v>
      </c>
      <c r="F4129" s="294" t="s">
        <v>286</v>
      </c>
    </row>
    <row r="4130" spans="1:6" hidden="1" outlineLevel="1" collapsed="1" x14ac:dyDescent="0.25">
      <c r="A4130" s="295" t="s">
        <v>282</v>
      </c>
      <c r="B4130" s="295" t="s">
        <v>952</v>
      </c>
      <c r="C4130" s="293">
        <v>400</v>
      </c>
      <c r="D4130" s="293">
        <v>1200</v>
      </c>
      <c r="E4130" s="293">
        <v>800</v>
      </c>
      <c r="F4130" s="294" t="s">
        <v>787</v>
      </c>
    </row>
    <row r="4131" spans="1:6" hidden="1" outlineLevel="1" collapsed="1" x14ac:dyDescent="0.25">
      <c r="A4131" s="295" t="s">
        <v>282</v>
      </c>
      <c r="B4131" s="295" t="s">
        <v>597</v>
      </c>
      <c r="C4131" s="293">
        <v>270</v>
      </c>
      <c r="D4131" s="293">
        <v>400</v>
      </c>
      <c r="E4131" s="293">
        <v>130</v>
      </c>
      <c r="F4131" s="294" t="s">
        <v>1591</v>
      </c>
    </row>
    <row r="4132" spans="1:6" hidden="1" outlineLevel="1" collapsed="1" x14ac:dyDescent="0.25">
      <c r="A4132" s="295" t="s">
        <v>282</v>
      </c>
      <c r="B4132" s="295" t="s">
        <v>1163</v>
      </c>
      <c r="C4132" s="293">
        <v>30000</v>
      </c>
      <c r="D4132" s="293">
        <v>35000</v>
      </c>
      <c r="E4132" s="293">
        <v>5000</v>
      </c>
      <c r="F4132" s="294" t="s">
        <v>1449</v>
      </c>
    </row>
    <row r="4133" spans="1:6" hidden="1" outlineLevel="1" collapsed="1" x14ac:dyDescent="0.25">
      <c r="A4133" s="295" t="s">
        <v>282</v>
      </c>
      <c r="B4133" s="295" t="s">
        <v>604</v>
      </c>
      <c r="C4133" s="293">
        <v>15200</v>
      </c>
      <c r="D4133" s="293">
        <v>15200</v>
      </c>
      <c r="E4133" s="293">
        <v>0</v>
      </c>
      <c r="F4133" s="294" t="s">
        <v>316</v>
      </c>
    </row>
    <row r="4134" spans="1:6" hidden="1" outlineLevel="1" collapsed="1" x14ac:dyDescent="0.25">
      <c r="A4134" s="295" t="s">
        <v>282</v>
      </c>
      <c r="B4134" s="295" t="s">
        <v>483</v>
      </c>
      <c r="C4134" s="293">
        <v>7500</v>
      </c>
      <c r="D4134" s="293">
        <v>8250</v>
      </c>
      <c r="E4134" s="293">
        <v>750</v>
      </c>
      <c r="F4134" s="294" t="s">
        <v>1603</v>
      </c>
    </row>
    <row r="4135" spans="1:6" hidden="1" outlineLevel="1" collapsed="1" x14ac:dyDescent="0.25">
      <c r="A4135" s="295" t="s">
        <v>282</v>
      </c>
      <c r="B4135" s="295" t="s">
        <v>543</v>
      </c>
      <c r="C4135" s="293">
        <v>8000</v>
      </c>
      <c r="D4135" s="293">
        <v>8000</v>
      </c>
      <c r="E4135" s="293">
        <v>0</v>
      </c>
      <c r="F4135" s="294" t="s">
        <v>316</v>
      </c>
    </row>
    <row r="4136" spans="1:6" hidden="1" outlineLevel="1" collapsed="1" x14ac:dyDescent="0.25">
      <c r="A4136" s="295" t="s">
        <v>282</v>
      </c>
      <c r="B4136" s="295" t="s">
        <v>403</v>
      </c>
      <c r="C4136" s="293">
        <v>2750</v>
      </c>
      <c r="D4136" s="293">
        <v>4500</v>
      </c>
      <c r="E4136" s="293">
        <v>1750</v>
      </c>
      <c r="F4136" s="294" t="s">
        <v>1604</v>
      </c>
    </row>
    <row r="4137" spans="1:6" hidden="1" outlineLevel="1" collapsed="1" x14ac:dyDescent="0.25">
      <c r="A4137" s="295" t="s">
        <v>282</v>
      </c>
      <c r="B4137" s="295" t="s">
        <v>422</v>
      </c>
      <c r="C4137" s="293">
        <v>9200</v>
      </c>
      <c r="D4137" s="293">
        <v>0</v>
      </c>
      <c r="E4137" s="293">
        <v>-9200</v>
      </c>
      <c r="F4137" s="294" t="s">
        <v>286</v>
      </c>
    </row>
    <row r="4138" spans="1:6" hidden="1" outlineLevel="1" collapsed="1" x14ac:dyDescent="0.25">
      <c r="A4138" s="295" t="s">
        <v>282</v>
      </c>
      <c r="B4138" s="295" t="s">
        <v>770</v>
      </c>
      <c r="C4138" s="293">
        <v>3000</v>
      </c>
      <c r="D4138" s="293">
        <v>0</v>
      </c>
      <c r="E4138" s="293">
        <v>-3000</v>
      </c>
      <c r="F4138" s="294" t="s">
        <v>286</v>
      </c>
    </row>
    <row r="4139" spans="1:6" collapsed="1" x14ac:dyDescent="0.25">
      <c r="A4139" s="560" t="s">
        <v>1605</v>
      </c>
      <c r="B4139" s="561"/>
      <c r="C4139" s="292">
        <v>5421.5720069999998</v>
      </c>
      <c r="D4139" s="293">
        <v>5693.777231</v>
      </c>
      <c r="E4139" s="293">
        <v>272.20522399999999</v>
      </c>
      <c r="F4139" s="294" t="s">
        <v>765</v>
      </c>
    </row>
    <row r="4140" spans="1:6" hidden="1" outlineLevel="1" collapsed="1" x14ac:dyDescent="0.25">
      <c r="A4140" s="295" t="s">
        <v>282</v>
      </c>
      <c r="B4140" s="295" t="s">
        <v>464</v>
      </c>
      <c r="C4140" s="293">
        <v>4079.1607990000002</v>
      </c>
      <c r="D4140" s="293">
        <v>4200.4884480000001</v>
      </c>
      <c r="E4140" s="293">
        <v>121.32764899999999</v>
      </c>
      <c r="F4140" s="294" t="s">
        <v>553</v>
      </c>
    </row>
    <row r="4141" spans="1:6" hidden="1" outlineLevel="1" collapsed="1" x14ac:dyDescent="0.25">
      <c r="A4141" s="295" t="s">
        <v>282</v>
      </c>
      <c r="B4141" s="295" t="s">
        <v>384</v>
      </c>
      <c r="C4141" s="293">
        <v>504.98142799999999</v>
      </c>
      <c r="D4141" s="293">
        <v>0</v>
      </c>
      <c r="E4141" s="293">
        <v>-504.98142799999999</v>
      </c>
      <c r="F4141" s="294" t="s">
        <v>286</v>
      </c>
    </row>
    <row r="4142" spans="1:6" hidden="1" outlineLevel="1" collapsed="1" x14ac:dyDescent="0.25">
      <c r="A4142" s="295" t="s">
        <v>282</v>
      </c>
      <c r="B4142" s="295" t="s">
        <v>385</v>
      </c>
      <c r="C4142" s="293">
        <v>0</v>
      </c>
      <c r="D4142" s="293">
        <v>653.40717400000005</v>
      </c>
      <c r="E4142" s="293">
        <v>653.40717400000005</v>
      </c>
      <c r="F4142" s="294" t="s">
        <v>298</v>
      </c>
    </row>
    <row r="4143" spans="1:6" hidden="1" outlineLevel="1" collapsed="1" x14ac:dyDescent="0.25">
      <c r="A4143" s="295" t="s">
        <v>282</v>
      </c>
      <c r="B4143" s="295" t="s">
        <v>386</v>
      </c>
      <c r="C4143" s="293">
        <v>252.90796900000001</v>
      </c>
      <c r="D4143" s="293">
        <v>0</v>
      </c>
      <c r="E4143" s="293">
        <v>-252.90796900000001</v>
      </c>
      <c r="F4143" s="294" t="s">
        <v>286</v>
      </c>
    </row>
    <row r="4144" spans="1:6" hidden="1" outlineLevel="1" collapsed="1" x14ac:dyDescent="0.25">
      <c r="A4144" s="295" t="s">
        <v>282</v>
      </c>
      <c r="B4144" s="295" t="s">
        <v>387</v>
      </c>
      <c r="C4144" s="293">
        <v>0</v>
      </c>
      <c r="D4144" s="293">
        <v>260.43028299999997</v>
      </c>
      <c r="E4144" s="293">
        <v>260.43028299999997</v>
      </c>
      <c r="F4144" s="294" t="s">
        <v>298</v>
      </c>
    </row>
    <row r="4145" spans="1:6" hidden="1" outlineLevel="1" collapsed="1" x14ac:dyDescent="0.25">
      <c r="A4145" s="295" t="s">
        <v>282</v>
      </c>
      <c r="B4145" s="295" t="s">
        <v>388</v>
      </c>
      <c r="C4145" s="293">
        <v>59.147830999999996</v>
      </c>
      <c r="D4145" s="293">
        <v>60.907082000000003</v>
      </c>
      <c r="E4145" s="293">
        <v>1.7592509999999999</v>
      </c>
      <c r="F4145" s="294" t="s">
        <v>553</v>
      </c>
    </row>
    <row r="4146" spans="1:6" hidden="1" outlineLevel="1" collapsed="1" x14ac:dyDescent="0.25">
      <c r="A4146" s="295" t="s">
        <v>282</v>
      </c>
      <c r="B4146" s="295" t="s">
        <v>389</v>
      </c>
      <c r="C4146" s="293">
        <v>42.612479999999998</v>
      </c>
      <c r="D4146" s="293">
        <v>42.204000000000001</v>
      </c>
      <c r="E4146" s="293">
        <v>-0.40848000000000001</v>
      </c>
      <c r="F4146" s="294" t="s">
        <v>364</v>
      </c>
    </row>
    <row r="4147" spans="1:6" hidden="1" outlineLevel="1" collapsed="1" x14ac:dyDescent="0.25">
      <c r="A4147" s="295" t="s">
        <v>282</v>
      </c>
      <c r="B4147" s="295" t="s">
        <v>392</v>
      </c>
      <c r="C4147" s="293">
        <v>23.353919999999999</v>
      </c>
      <c r="D4147" s="293">
        <v>18.288</v>
      </c>
      <c r="E4147" s="293">
        <v>-5.0659200000000002</v>
      </c>
      <c r="F4147" s="294" t="s">
        <v>368</v>
      </c>
    </row>
    <row r="4148" spans="1:6" hidden="1" outlineLevel="1" collapsed="1" x14ac:dyDescent="0.25">
      <c r="A4148" s="295" t="s">
        <v>282</v>
      </c>
      <c r="B4148" s="295" t="s">
        <v>393</v>
      </c>
      <c r="C4148" s="293">
        <v>2.0395799999999999</v>
      </c>
      <c r="D4148" s="293">
        <v>2.100244</v>
      </c>
      <c r="E4148" s="293">
        <v>6.0664000000000003E-2</v>
      </c>
      <c r="F4148" s="294" t="s">
        <v>553</v>
      </c>
    </row>
    <row r="4149" spans="1:6" hidden="1" outlineLevel="1" collapsed="1" x14ac:dyDescent="0.25">
      <c r="A4149" s="295" t="s">
        <v>282</v>
      </c>
      <c r="B4149" s="295" t="s">
        <v>394</v>
      </c>
      <c r="C4149" s="293">
        <v>150</v>
      </c>
      <c r="D4149" s="293">
        <v>0</v>
      </c>
      <c r="E4149" s="293">
        <v>-150</v>
      </c>
      <c r="F4149" s="294" t="s">
        <v>286</v>
      </c>
    </row>
    <row r="4150" spans="1:6" hidden="1" outlineLevel="1" collapsed="1" x14ac:dyDescent="0.25">
      <c r="A4150" s="295" t="s">
        <v>282</v>
      </c>
      <c r="B4150" s="295" t="s">
        <v>395</v>
      </c>
      <c r="C4150" s="293">
        <v>0</v>
      </c>
      <c r="D4150" s="293">
        <v>150</v>
      </c>
      <c r="E4150" s="293">
        <v>150</v>
      </c>
      <c r="F4150" s="294" t="s">
        <v>298</v>
      </c>
    </row>
    <row r="4151" spans="1:6" hidden="1" outlineLevel="1" collapsed="1" x14ac:dyDescent="0.25">
      <c r="A4151" s="295" t="s">
        <v>282</v>
      </c>
      <c r="B4151" s="295" t="s">
        <v>396</v>
      </c>
      <c r="C4151" s="293">
        <v>4.968</v>
      </c>
      <c r="D4151" s="293">
        <v>0</v>
      </c>
      <c r="E4151" s="293">
        <v>-4.968</v>
      </c>
      <c r="F4151" s="294" t="s">
        <v>286</v>
      </c>
    </row>
    <row r="4152" spans="1:6" hidden="1" outlineLevel="1" collapsed="1" x14ac:dyDescent="0.25">
      <c r="A4152" s="295" t="s">
        <v>282</v>
      </c>
      <c r="B4152" s="295" t="s">
        <v>397</v>
      </c>
      <c r="C4152" s="293">
        <v>0</v>
      </c>
      <c r="D4152" s="293">
        <v>4.8479999999999999</v>
      </c>
      <c r="E4152" s="293">
        <v>4.8479999999999999</v>
      </c>
      <c r="F4152" s="294" t="s">
        <v>298</v>
      </c>
    </row>
    <row r="4153" spans="1:6" hidden="1" outlineLevel="1" collapsed="1" x14ac:dyDescent="0.25">
      <c r="A4153" s="295" t="s">
        <v>282</v>
      </c>
      <c r="B4153" s="295" t="s">
        <v>398</v>
      </c>
      <c r="C4153" s="293">
        <v>2.4</v>
      </c>
      <c r="D4153" s="293">
        <v>1.1040000000000001</v>
      </c>
      <c r="E4153" s="293">
        <v>-1.296</v>
      </c>
      <c r="F4153" s="294" t="s">
        <v>374</v>
      </c>
    </row>
    <row r="4154" spans="1:6" hidden="1" outlineLevel="1" collapsed="1" x14ac:dyDescent="0.25">
      <c r="A4154" s="295" t="s">
        <v>282</v>
      </c>
      <c r="B4154" s="295" t="s">
        <v>522</v>
      </c>
      <c r="C4154" s="293">
        <v>300</v>
      </c>
      <c r="D4154" s="293">
        <v>300</v>
      </c>
      <c r="E4154" s="293">
        <v>0</v>
      </c>
      <c r="F4154" s="294" t="s">
        <v>316</v>
      </c>
    </row>
    <row r="4155" spans="1:6" collapsed="1" x14ac:dyDescent="0.25">
      <c r="A4155" s="560" t="s">
        <v>1606</v>
      </c>
      <c r="B4155" s="561"/>
      <c r="C4155" s="292">
        <v>3343.1270030000001</v>
      </c>
      <c r="D4155" s="293">
        <v>3502.930116</v>
      </c>
      <c r="E4155" s="293">
        <v>159.803113</v>
      </c>
      <c r="F4155" s="294" t="s">
        <v>1095</v>
      </c>
    </row>
    <row r="4156" spans="1:6" hidden="1" outlineLevel="1" collapsed="1" x14ac:dyDescent="0.25">
      <c r="A4156" s="295" t="s">
        <v>282</v>
      </c>
      <c r="B4156" s="295" t="s">
        <v>464</v>
      </c>
      <c r="C4156" s="293">
        <v>2047.0803989999999</v>
      </c>
      <c r="D4156" s="293">
        <v>2107.744224</v>
      </c>
      <c r="E4156" s="293">
        <v>60.663825000000003</v>
      </c>
      <c r="F4156" s="294" t="s">
        <v>564</v>
      </c>
    </row>
    <row r="4157" spans="1:6" hidden="1" outlineLevel="1" collapsed="1" x14ac:dyDescent="0.25">
      <c r="A4157" s="295" t="s">
        <v>282</v>
      </c>
      <c r="B4157" s="295" t="s">
        <v>384</v>
      </c>
      <c r="C4157" s="293">
        <v>252.490714</v>
      </c>
      <c r="D4157" s="293">
        <v>0</v>
      </c>
      <c r="E4157" s="293">
        <v>-252.490714</v>
      </c>
      <c r="F4157" s="294" t="s">
        <v>286</v>
      </c>
    </row>
    <row r="4158" spans="1:6" hidden="1" outlineLevel="1" collapsed="1" x14ac:dyDescent="0.25">
      <c r="A4158" s="295" t="s">
        <v>282</v>
      </c>
      <c r="B4158" s="295" t="s">
        <v>385</v>
      </c>
      <c r="C4158" s="293">
        <v>0</v>
      </c>
      <c r="D4158" s="293">
        <v>326.70358700000003</v>
      </c>
      <c r="E4158" s="293">
        <v>326.70358700000003</v>
      </c>
      <c r="F4158" s="294" t="s">
        <v>298</v>
      </c>
    </row>
    <row r="4159" spans="1:6" hidden="1" outlineLevel="1" collapsed="1" x14ac:dyDescent="0.25">
      <c r="A4159" s="295" t="s">
        <v>282</v>
      </c>
      <c r="B4159" s="295" t="s">
        <v>386</v>
      </c>
      <c r="C4159" s="293">
        <v>126.91898500000001</v>
      </c>
      <c r="D4159" s="293">
        <v>0</v>
      </c>
      <c r="E4159" s="293">
        <v>-126.91898500000001</v>
      </c>
      <c r="F4159" s="294" t="s">
        <v>286</v>
      </c>
    </row>
    <row r="4160" spans="1:6" hidden="1" outlineLevel="1" collapsed="1" x14ac:dyDescent="0.25">
      <c r="A4160" s="295" t="s">
        <v>282</v>
      </c>
      <c r="B4160" s="295" t="s">
        <v>387</v>
      </c>
      <c r="C4160" s="293">
        <v>0</v>
      </c>
      <c r="D4160" s="293">
        <v>130.68014199999999</v>
      </c>
      <c r="E4160" s="293">
        <v>130.68014199999999</v>
      </c>
      <c r="F4160" s="294" t="s">
        <v>298</v>
      </c>
    </row>
    <row r="4161" spans="1:6" hidden="1" outlineLevel="1" collapsed="1" x14ac:dyDescent="0.25">
      <c r="A4161" s="295" t="s">
        <v>282</v>
      </c>
      <c r="B4161" s="295" t="s">
        <v>388</v>
      </c>
      <c r="C4161" s="293">
        <v>29.682665</v>
      </c>
      <c r="D4161" s="293">
        <v>30.562290999999998</v>
      </c>
      <c r="E4161" s="293">
        <v>0.87962600000000002</v>
      </c>
      <c r="F4161" s="294" t="s">
        <v>564</v>
      </c>
    </row>
    <row r="4162" spans="1:6" hidden="1" outlineLevel="1" collapsed="1" x14ac:dyDescent="0.25">
      <c r="A4162" s="295" t="s">
        <v>282</v>
      </c>
      <c r="B4162" s="295" t="s">
        <v>389</v>
      </c>
      <c r="C4162" s="293">
        <v>21.306239999999999</v>
      </c>
      <c r="D4162" s="293">
        <v>21.102</v>
      </c>
      <c r="E4162" s="293">
        <v>-0.20424</v>
      </c>
      <c r="F4162" s="294" t="s">
        <v>364</v>
      </c>
    </row>
    <row r="4163" spans="1:6" hidden="1" outlineLevel="1" collapsed="1" x14ac:dyDescent="0.25">
      <c r="A4163" s="295" t="s">
        <v>282</v>
      </c>
      <c r="B4163" s="295" t="s">
        <v>390</v>
      </c>
      <c r="C4163" s="293">
        <v>774.26350000000002</v>
      </c>
      <c r="D4163" s="293">
        <v>797.96400000000006</v>
      </c>
      <c r="E4163" s="293">
        <v>23.700500000000002</v>
      </c>
      <c r="F4163" s="294" t="s">
        <v>391</v>
      </c>
    </row>
    <row r="4164" spans="1:6" hidden="1" outlineLevel="1" collapsed="1" x14ac:dyDescent="0.25">
      <c r="A4164" s="295" t="s">
        <v>282</v>
      </c>
      <c r="B4164" s="295" t="s">
        <v>392</v>
      </c>
      <c r="C4164" s="293">
        <v>11.676959999999999</v>
      </c>
      <c r="D4164" s="293">
        <v>9.1440000000000001</v>
      </c>
      <c r="E4164" s="293">
        <v>-2.5329600000000001</v>
      </c>
      <c r="F4164" s="294" t="s">
        <v>368</v>
      </c>
    </row>
    <row r="4165" spans="1:6" hidden="1" outlineLevel="1" collapsed="1" x14ac:dyDescent="0.25">
      <c r="A4165" s="295" t="s">
        <v>282</v>
      </c>
      <c r="B4165" s="295" t="s">
        <v>393</v>
      </c>
      <c r="C4165" s="293">
        <v>1.0235399999999999</v>
      </c>
      <c r="D4165" s="293">
        <v>1.0538719999999999</v>
      </c>
      <c r="E4165" s="293">
        <v>3.0332000000000001E-2</v>
      </c>
      <c r="F4165" s="294" t="s">
        <v>564</v>
      </c>
    </row>
    <row r="4166" spans="1:6" hidden="1" outlineLevel="1" collapsed="1" x14ac:dyDescent="0.25">
      <c r="A4166" s="295" t="s">
        <v>282</v>
      </c>
      <c r="B4166" s="295" t="s">
        <v>394</v>
      </c>
      <c r="C4166" s="293">
        <v>75</v>
      </c>
      <c r="D4166" s="293">
        <v>0</v>
      </c>
      <c r="E4166" s="293">
        <v>-75</v>
      </c>
      <c r="F4166" s="294" t="s">
        <v>286</v>
      </c>
    </row>
    <row r="4167" spans="1:6" hidden="1" outlineLevel="1" collapsed="1" x14ac:dyDescent="0.25">
      <c r="A4167" s="295" t="s">
        <v>282</v>
      </c>
      <c r="B4167" s="295" t="s">
        <v>395</v>
      </c>
      <c r="C4167" s="293">
        <v>0</v>
      </c>
      <c r="D4167" s="293">
        <v>75</v>
      </c>
      <c r="E4167" s="293">
        <v>75</v>
      </c>
      <c r="F4167" s="294" t="s">
        <v>298</v>
      </c>
    </row>
    <row r="4168" spans="1:6" hidden="1" outlineLevel="1" collapsed="1" x14ac:dyDescent="0.25">
      <c r="A4168" s="295" t="s">
        <v>282</v>
      </c>
      <c r="B4168" s="295" t="s">
        <v>396</v>
      </c>
      <c r="C4168" s="293">
        <v>2.484</v>
      </c>
      <c r="D4168" s="293">
        <v>0</v>
      </c>
      <c r="E4168" s="293">
        <v>-2.484</v>
      </c>
      <c r="F4168" s="294" t="s">
        <v>286</v>
      </c>
    </row>
    <row r="4169" spans="1:6" hidden="1" outlineLevel="1" collapsed="1" x14ac:dyDescent="0.25">
      <c r="A4169" s="295" t="s">
        <v>282</v>
      </c>
      <c r="B4169" s="295" t="s">
        <v>397</v>
      </c>
      <c r="C4169" s="293">
        <v>0</v>
      </c>
      <c r="D4169" s="293">
        <v>2.4239999999999999</v>
      </c>
      <c r="E4169" s="293">
        <v>2.4239999999999999</v>
      </c>
      <c r="F4169" s="294" t="s">
        <v>298</v>
      </c>
    </row>
    <row r="4170" spans="1:6" hidden="1" outlineLevel="1" collapsed="1" x14ac:dyDescent="0.25">
      <c r="A4170" s="295" t="s">
        <v>282</v>
      </c>
      <c r="B4170" s="295" t="s">
        <v>398</v>
      </c>
      <c r="C4170" s="293">
        <v>1.2</v>
      </c>
      <c r="D4170" s="293">
        <v>0.55200000000000005</v>
      </c>
      <c r="E4170" s="293">
        <v>-0.64800000000000002</v>
      </c>
      <c r="F4170" s="294" t="s">
        <v>374</v>
      </c>
    </row>
    <row r="4171" spans="1:6" collapsed="1" x14ac:dyDescent="0.25">
      <c r="A4171" s="560" t="s">
        <v>1607</v>
      </c>
      <c r="B4171" s="561"/>
      <c r="C4171" s="292">
        <v>221983.93440100001</v>
      </c>
      <c r="D4171" s="293">
        <v>240210.827231</v>
      </c>
      <c r="E4171" s="293">
        <v>18226.892830000001</v>
      </c>
      <c r="F4171" s="294" t="s">
        <v>1608</v>
      </c>
    </row>
    <row r="4172" spans="1:6" hidden="1" outlineLevel="1" collapsed="1" x14ac:dyDescent="0.25">
      <c r="A4172" s="295" t="s">
        <v>282</v>
      </c>
      <c r="B4172" s="295" t="s">
        <v>464</v>
      </c>
      <c r="C4172" s="293">
        <v>123179.66316900001</v>
      </c>
      <c r="D4172" s="293">
        <v>126811.32737299999</v>
      </c>
      <c r="E4172" s="293">
        <v>3631.6642040000002</v>
      </c>
      <c r="F4172" s="294" t="s">
        <v>465</v>
      </c>
    </row>
    <row r="4173" spans="1:6" hidden="1" outlineLevel="1" collapsed="1" x14ac:dyDescent="0.25">
      <c r="A4173" s="295" t="s">
        <v>282</v>
      </c>
      <c r="B4173" s="295" t="s">
        <v>475</v>
      </c>
      <c r="C4173" s="293">
        <v>1000</v>
      </c>
      <c r="D4173" s="293">
        <v>1000</v>
      </c>
      <c r="E4173" s="293">
        <v>0</v>
      </c>
      <c r="F4173" s="294" t="s">
        <v>316</v>
      </c>
    </row>
    <row r="4174" spans="1:6" hidden="1" outlineLevel="1" collapsed="1" x14ac:dyDescent="0.25">
      <c r="A4174" s="295" t="s">
        <v>282</v>
      </c>
      <c r="B4174" s="295" t="s">
        <v>384</v>
      </c>
      <c r="C4174" s="293">
        <v>15115.456615999999</v>
      </c>
      <c r="D4174" s="293">
        <v>0</v>
      </c>
      <c r="E4174" s="293">
        <v>-15115.456615999999</v>
      </c>
      <c r="F4174" s="294" t="s">
        <v>286</v>
      </c>
    </row>
    <row r="4175" spans="1:6" hidden="1" outlineLevel="1" collapsed="1" x14ac:dyDescent="0.25">
      <c r="A4175" s="295" t="s">
        <v>282</v>
      </c>
      <c r="B4175" s="295" t="s">
        <v>385</v>
      </c>
      <c r="C4175" s="293">
        <v>0</v>
      </c>
      <c r="D4175" s="293">
        <v>19558.239700999999</v>
      </c>
      <c r="E4175" s="293">
        <v>19558.239700999999</v>
      </c>
      <c r="F4175" s="294" t="s">
        <v>298</v>
      </c>
    </row>
    <row r="4176" spans="1:6" hidden="1" outlineLevel="1" collapsed="1" x14ac:dyDescent="0.25">
      <c r="A4176" s="295" t="s">
        <v>282</v>
      </c>
      <c r="B4176" s="295" t="s">
        <v>386</v>
      </c>
      <c r="C4176" s="293">
        <v>7637.1391030000004</v>
      </c>
      <c r="D4176" s="293">
        <v>0</v>
      </c>
      <c r="E4176" s="293">
        <v>-7637.1391030000004</v>
      </c>
      <c r="F4176" s="294" t="s">
        <v>286</v>
      </c>
    </row>
    <row r="4177" spans="1:6" hidden="1" outlineLevel="1" collapsed="1" x14ac:dyDescent="0.25">
      <c r="A4177" s="295" t="s">
        <v>282</v>
      </c>
      <c r="B4177" s="295" t="s">
        <v>387</v>
      </c>
      <c r="C4177" s="293">
        <v>0</v>
      </c>
      <c r="D4177" s="293">
        <v>7862.3022780000001</v>
      </c>
      <c r="E4177" s="293">
        <v>7862.3022780000001</v>
      </c>
      <c r="F4177" s="294" t="s">
        <v>298</v>
      </c>
    </row>
    <row r="4178" spans="1:6" hidden="1" outlineLevel="1" collapsed="1" x14ac:dyDescent="0.25">
      <c r="A4178" s="295" t="s">
        <v>282</v>
      </c>
      <c r="B4178" s="295" t="s">
        <v>388</v>
      </c>
      <c r="C4178" s="293">
        <v>1786.1050969999999</v>
      </c>
      <c r="D4178" s="293">
        <v>1838.7642370000001</v>
      </c>
      <c r="E4178" s="293">
        <v>52.659140000000001</v>
      </c>
      <c r="F4178" s="294" t="s">
        <v>465</v>
      </c>
    </row>
    <row r="4179" spans="1:6" hidden="1" outlineLevel="1" collapsed="1" x14ac:dyDescent="0.25">
      <c r="A4179" s="295" t="s">
        <v>282</v>
      </c>
      <c r="B4179" s="295" t="s">
        <v>444</v>
      </c>
      <c r="C4179" s="293">
        <v>0</v>
      </c>
      <c r="D4179" s="293">
        <v>28</v>
      </c>
      <c r="E4179" s="293">
        <v>28</v>
      </c>
      <c r="F4179" s="294" t="s">
        <v>298</v>
      </c>
    </row>
    <row r="4180" spans="1:6" hidden="1" outlineLevel="1" collapsed="1" x14ac:dyDescent="0.25">
      <c r="A4180" s="295" t="s">
        <v>282</v>
      </c>
      <c r="B4180" s="295" t="s">
        <v>389</v>
      </c>
      <c r="C4180" s="293">
        <v>1235.7619199999999</v>
      </c>
      <c r="D4180" s="293">
        <v>1223.9159999999999</v>
      </c>
      <c r="E4180" s="293">
        <v>-11.84592</v>
      </c>
      <c r="F4180" s="294" t="s">
        <v>364</v>
      </c>
    </row>
    <row r="4181" spans="1:6" hidden="1" outlineLevel="1" collapsed="1" x14ac:dyDescent="0.25">
      <c r="A4181" s="295" t="s">
        <v>282</v>
      </c>
      <c r="B4181" s="295" t="s">
        <v>390</v>
      </c>
      <c r="C4181" s="293">
        <v>44907.283000000003</v>
      </c>
      <c r="D4181" s="293">
        <v>46281.911999999997</v>
      </c>
      <c r="E4181" s="293">
        <v>1374.6289999999999</v>
      </c>
      <c r="F4181" s="294" t="s">
        <v>391</v>
      </c>
    </row>
    <row r="4182" spans="1:6" hidden="1" outlineLevel="1" collapsed="1" x14ac:dyDescent="0.25">
      <c r="A4182" s="295" t="s">
        <v>282</v>
      </c>
      <c r="B4182" s="295" t="s">
        <v>392</v>
      </c>
      <c r="C4182" s="293">
        <v>677.26368000000002</v>
      </c>
      <c r="D4182" s="293">
        <v>530.35199999999998</v>
      </c>
      <c r="E4182" s="293">
        <v>-146.91167999999999</v>
      </c>
      <c r="F4182" s="294" t="s">
        <v>368</v>
      </c>
    </row>
    <row r="4183" spans="1:6" hidden="1" outlineLevel="1" collapsed="1" x14ac:dyDescent="0.25">
      <c r="A4183" s="295" t="s">
        <v>282</v>
      </c>
      <c r="B4183" s="295" t="s">
        <v>393</v>
      </c>
      <c r="C4183" s="293">
        <v>61.589815999999999</v>
      </c>
      <c r="D4183" s="293">
        <v>63.405642</v>
      </c>
      <c r="E4183" s="293">
        <v>1.8158259999999999</v>
      </c>
      <c r="F4183" s="294" t="s">
        <v>465</v>
      </c>
    </row>
    <row r="4184" spans="1:6" hidden="1" outlineLevel="1" collapsed="1" x14ac:dyDescent="0.25">
      <c r="A4184" s="295" t="s">
        <v>282</v>
      </c>
      <c r="B4184" s="295" t="s">
        <v>394</v>
      </c>
      <c r="C4184" s="293">
        <v>4350</v>
      </c>
      <c r="D4184" s="293">
        <v>0</v>
      </c>
      <c r="E4184" s="293">
        <v>-4350</v>
      </c>
      <c r="F4184" s="294" t="s">
        <v>286</v>
      </c>
    </row>
    <row r="4185" spans="1:6" hidden="1" outlineLevel="1" collapsed="1" x14ac:dyDescent="0.25">
      <c r="A4185" s="295" t="s">
        <v>282</v>
      </c>
      <c r="B4185" s="295" t="s">
        <v>395</v>
      </c>
      <c r="C4185" s="293">
        <v>0</v>
      </c>
      <c r="D4185" s="293">
        <v>4350</v>
      </c>
      <c r="E4185" s="293">
        <v>4350</v>
      </c>
      <c r="F4185" s="294" t="s">
        <v>298</v>
      </c>
    </row>
    <row r="4186" spans="1:6" hidden="1" outlineLevel="1" collapsed="1" x14ac:dyDescent="0.25">
      <c r="A4186" s="295" t="s">
        <v>282</v>
      </c>
      <c r="B4186" s="295" t="s">
        <v>396</v>
      </c>
      <c r="C4186" s="293">
        <v>144.072</v>
      </c>
      <c r="D4186" s="293">
        <v>0</v>
      </c>
      <c r="E4186" s="293">
        <v>-144.072</v>
      </c>
      <c r="F4186" s="294" t="s">
        <v>286</v>
      </c>
    </row>
    <row r="4187" spans="1:6" hidden="1" outlineLevel="1" collapsed="1" x14ac:dyDescent="0.25">
      <c r="A4187" s="295" t="s">
        <v>282</v>
      </c>
      <c r="B4187" s="295" t="s">
        <v>397</v>
      </c>
      <c r="C4187" s="293">
        <v>0</v>
      </c>
      <c r="D4187" s="293">
        <v>140.59200000000001</v>
      </c>
      <c r="E4187" s="293">
        <v>140.59200000000001</v>
      </c>
      <c r="F4187" s="294" t="s">
        <v>298</v>
      </c>
    </row>
    <row r="4188" spans="1:6" hidden="1" outlineLevel="1" collapsed="1" x14ac:dyDescent="0.25">
      <c r="A4188" s="295" t="s">
        <v>282</v>
      </c>
      <c r="B4188" s="295" t="s">
        <v>398</v>
      </c>
      <c r="C4188" s="293">
        <v>69.599999999999994</v>
      </c>
      <c r="D4188" s="293">
        <v>32.015999999999998</v>
      </c>
      <c r="E4188" s="293">
        <v>-37.584000000000003</v>
      </c>
      <c r="F4188" s="294" t="s">
        <v>374</v>
      </c>
    </row>
    <row r="4189" spans="1:6" hidden="1" outlineLevel="1" collapsed="1" x14ac:dyDescent="0.25">
      <c r="A4189" s="295" t="s">
        <v>282</v>
      </c>
      <c r="B4189" s="295" t="s">
        <v>1075</v>
      </c>
      <c r="C4189" s="293">
        <v>8500</v>
      </c>
      <c r="D4189" s="293">
        <v>8500</v>
      </c>
      <c r="E4189" s="293">
        <v>0</v>
      </c>
      <c r="F4189" s="294" t="s">
        <v>316</v>
      </c>
    </row>
    <row r="4190" spans="1:6" hidden="1" outlineLevel="1" collapsed="1" x14ac:dyDescent="0.25">
      <c r="A4190" s="295" t="s">
        <v>282</v>
      </c>
      <c r="B4190" s="295" t="s">
        <v>426</v>
      </c>
      <c r="C4190" s="293">
        <v>960</v>
      </c>
      <c r="D4190" s="293">
        <v>1000</v>
      </c>
      <c r="E4190" s="293">
        <v>40</v>
      </c>
      <c r="F4190" s="294" t="s">
        <v>733</v>
      </c>
    </row>
    <row r="4191" spans="1:6" hidden="1" outlineLevel="1" collapsed="1" x14ac:dyDescent="0.25">
      <c r="A4191" s="295" t="s">
        <v>282</v>
      </c>
      <c r="B4191" s="295" t="s">
        <v>597</v>
      </c>
      <c r="C4191" s="293">
        <v>270</v>
      </c>
      <c r="D4191" s="293">
        <v>270</v>
      </c>
      <c r="E4191" s="293">
        <v>0</v>
      </c>
      <c r="F4191" s="294" t="s">
        <v>316</v>
      </c>
    </row>
    <row r="4192" spans="1:6" hidden="1" outlineLevel="1" collapsed="1" x14ac:dyDescent="0.25">
      <c r="A4192" s="295" t="s">
        <v>282</v>
      </c>
      <c r="B4192" s="295" t="s">
        <v>483</v>
      </c>
      <c r="C4192" s="293">
        <v>1800</v>
      </c>
      <c r="D4192" s="293">
        <v>1800</v>
      </c>
      <c r="E4192" s="293">
        <v>0</v>
      </c>
      <c r="F4192" s="294" t="s">
        <v>316</v>
      </c>
    </row>
    <row r="4193" spans="1:6" hidden="1" outlineLevel="1" collapsed="1" x14ac:dyDescent="0.25">
      <c r="A4193" s="295" t="s">
        <v>282</v>
      </c>
      <c r="B4193" s="295" t="s">
        <v>1165</v>
      </c>
      <c r="C4193" s="293">
        <v>4250</v>
      </c>
      <c r="D4193" s="293">
        <v>4350</v>
      </c>
      <c r="E4193" s="293">
        <v>100</v>
      </c>
      <c r="F4193" s="294" t="s">
        <v>650</v>
      </c>
    </row>
    <row r="4194" spans="1:6" hidden="1" outlineLevel="1" collapsed="1" x14ac:dyDescent="0.25">
      <c r="A4194" s="295" t="s">
        <v>282</v>
      </c>
      <c r="B4194" s="295" t="s">
        <v>403</v>
      </c>
      <c r="C4194" s="293">
        <v>5500</v>
      </c>
      <c r="D4194" s="293">
        <v>12450</v>
      </c>
      <c r="E4194" s="293">
        <v>6950</v>
      </c>
      <c r="F4194" s="294" t="s">
        <v>1609</v>
      </c>
    </row>
    <row r="4195" spans="1:6" hidden="1" outlineLevel="1" collapsed="1" x14ac:dyDescent="0.25">
      <c r="A4195" s="295" t="s">
        <v>282</v>
      </c>
      <c r="B4195" s="295" t="s">
        <v>405</v>
      </c>
      <c r="C4195" s="293">
        <v>540</v>
      </c>
      <c r="D4195" s="293">
        <v>420</v>
      </c>
      <c r="E4195" s="293">
        <v>-120</v>
      </c>
      <c r="F4195" s="294" t="s">
        <v>1610</v>
      </c>
    </row>
    <row r="4196" spans="1:6" hidden="1" outlineLevel="1" collapsed="1" x14ac:dyDescent="0.25">
      <c r="A4196" s="295" t="s">
        <v>282</v>
      </c>
      <c r="B4196" s="295" t="s">
        <v>422</v>
      </c>
      <c r="C4196" s="293">
        <v>0</v>
      </c>
      <c r="D4196" s="293">
        <v>1700</v>
      </c>
      <c r="E4196" s="293">
        <v>1700</v>
      </c>
      <c r="F4196" s="294" t="s">
        <v>298</v>
      </c>
    </row>
    <row r="4197" spans="1:6" collapsed="1" x14ac:dyDescent="0.25">
      <c r="A4197" s="560" t="s">
        <v>1611</v>
      </c>
      <c r="B4197" s="561"/>
      <c r="C4197" s="292">
        <v>64386.084842999997</v>
      </c>
      <c r="D4197" s="293">
        <v>67448.335999999996</v>
      </c>
      <c r="E4197" s="293">
        <v>3062.2511570000001</v>
      </c>
      <c r="F4197" s="294" t="s">
        <v>1612</v>
      </c>
    </row>
    <row r="4198" spans="1:6" hidden="1" outlineLevel="1" collapsed="1" x14ac:dyDescent="0.25">
      <c r="A4198" s="295" t="s">
        <v>282</v>
      </c>
      <c r="B4198" s="295" t="s">
        <v>464</v>
      </c>
      <c r="C4198" s="293">
        <v>38867.011028000001</v>
      </c>
      <c r="D4198" s="293">
        <v>40022.118236000002</v>
      </c>
      <c r="E4198" s="293">
        <v>1155.1072079999999</v>
      </c>
      <c r="F4198" s="294" t="s">
        <v>553</v>
      </c>
    </row>
    <row r="4199" spans="1:6" hidden="1" outlineLevel="1" collapsed="1" x14ac:dyDescent="0.25">
      <c r="A4199" s="295" t="s">
        <v>282</v>
      </c>
      <c r="B4199" s="295" t="s">
        <v>384</v>
      </c>
      <c r="C4199" s="293">
        <v>4807.6999800000003</v>
      </c>
      <c r="D4199" s="293">
        <v>0</v>
      </c>
      <c r="E4199" s="293">
        <v>-4807.6999800000003</v>
      </c>
      <c r="F4199" s="294" t="s">
        <v>286</v>
      </c>
    </row>
    <row r="4200" spans="1:6" hidden="1" outlineLevel="1" collapsed="1" x14ac:dyDescent="0.25">
      <c r="A4200" s="295" t="s">
        <v>282</v>
      </c>
      <c r="B4200" s="295" t="s">
        <v>385</v>
      </c>
      <c r="C4200" s="293">
        <v>0</v>
      </c>
      <c r="D4200" s="293">
        <v>6220.794672</v>
      </c>
      <c r="E4200" s="293">
        <v>6220.794672</v>
      </c>
      <c r="F4200" s="294" t="s">
        <v>298</v>
      </c>
    </row>
    <row r="4201" spans="1:6" hidden="1" outlineLevel="1" collapsed="1" x14ac:dyDescent="0.25">
      <c r="A4201" s="295" t="s">
        <v>282</v>
      </c>
      <c r="B4201" s="295" t="s">
        <v>386</v>
      </c>
      <c r="C4201" s="293">
        <v>2409.75468</v>
      </c>
      <c r="D4201" s="293">
        <v>0</v>
      </c>
      <c r="E4201" s="293">
        <v>-2409.75468</v>
      </c>
      <c r="F4201" s="294" t="s">
        <v>286</v>
      </c>
    </row>
    <row r="4202" spans="1:6" hidden="1" outlineLevel="1" collapsed="1" x14ac:dyDescent="0.25">
      <c r="A4202" s="295" t="s">
        <v>282</v>
      </c>
      <c r="B4202" s="295" t="s">
        <v>387</v>
      </c>
      <c r="C4202" s="293">
        <v>0</v>
      </c>
      <c r="D4202" s="293">
        <v>2481.3713280000002</v>
      </c>
      <c r="E4202" s="293">
        <v>2481.3713280000002</v>
      </c>
      <c r="F4202" s="294" t="s">
        <v>298</v>
      </c>
    </row>
    <row r="4203" spans="1:6" hidden="1" outlineLevel="1" collapsed="1" x14ac:dyDescent="0.25">
      <c r="A4203" s="295" t="s">
        <v>282</v>
      </c>
      <c r="B4203" s="295" t="s">
        <v>388</v>
      </c>
      <c r="C4203" s="293">
        <v>563.57165899999995</v>
      </c>
      <c r="D4203" s="293">
        <v>580.32070799999997</v>
      </c>
      <c r="E4203" s="293">
        <v>16.749048999999999</v>
      </c>
      <c r="F4203" s="294" t="s">
        <v>553</v>
      </c>
    </row>
    <row r="4204" spans="1:6" hidden="1" outlineLevel="1" collapsed="1" x14ac:dyDescent="0.25">
      <c r="A4204" s="295" t="s">
        <v>282</v>
      </c>
      <c r="B4204" s="295" t="s">
        <v>389</v>
      </c>
      <c r="C4204" s="293">
        <v>426.12479999999999</v>
      </c>
      <c r="D4204" s="293">
        <v>422.04</v>
      </c>
      <c r="E4204" s="293">
        <v>-4.0848000000000004</v>
      </c>
      <c r="F4204" s="294" t="s">
        <v>364</v>
      </c>
    </row>
    <row r="4205" spans="1:6" hidden="1" outlineLevel="1" collapsed="1" x14ac:dyDescent="0.25">
      <c r="A4205" s="295" t="s">
        <v>282</v>
      </c>
      <c r="B4205" s="295" t="s">
        <v>390</v>
      </c>
      <c r="C4205" s="293">
        <v>15485.27</v>
      </c>
      <c r="D4205" s="293">
        <v>15959.28</v>
      </c>
      <c r="E4205" s="293">
        <v>474.01</v>
      </c>
      <c r="F4205" s="294" t="s">
        <v>391</v>
      </c>
    </row>
    <row r="4206" spans="1:6" hidden="1" outlineLevel="1" collapsed="1" x14ac:dyDescent="0.25">
      <c r="A4206" s="295" t="s">
        <v>282</v>
      </c>
      <c r="B4206" s="295" t="s">
        <v>392</v>
      </c>
      <c r="C4206" s="293">
        <v>233.53919999999999</v>
      </c>
      <c r="D4206" s="293">
        <v>182.88</v>
      </c>
      <c r="E4206" s="293">
        <v>-50.659199999999998</v>
      </c>
      <c r="F4206" s="294" t="s">
        <v>368</v>
      </c>
    </row>
    <row r="4207" spans="1:6" hidden="1" outlineLevel="1" collapsed="1" x14ac:dyDescent="0.25">
      <c r="A4207" s="295" t="s">
        <v>282</v>
      </c>
      <c r="B4207" s="295" t="s">
        <v>393</v>
      </c>
      <c r="C4207" s="293">
        <v>19.433496000000002</v>
      </c>
      <c r="D4207" s="293">
        <v>20.011056</v>
      </c>
      <c r="E4207" s="293">
        <v>0.57755999999999996</v>
      </c>
      <c r="F4207" s="294" t="s">
        <v>553</v>
      </c>
    </row>
    <row r="4208" spans="1:6" hidden="1" outlineLevel="1" collapsed="1" x14ac:dyDescent="0.25">
      <c r="A4208" s="295" t="s">
        <v>282</v>
      </c>
      <c r="B4208" s="295" t="s">
        <v>394</v>
      </c>
      <c r="C4208" s="293">
        <v>1500</v>
      </c>
      <c r="D4208" s="293">
        <v>0</v>
      </c>
      <c r="E4208" s="293">
        <v>-1500</v>
      </c>
      <c r="F4208" s="294" t="s">
        <v>286</v>
      </c>
    </row>
    <row r="4209" spans="1:6" hidden="1" outlineLevel="1" collapsed="1" x14ac:dyDescent="0.25">
      <c r="A4209" s="295" t="s">
        <v>282</v>
      </c>
      <c r="B4209" s="295" t="s">
        <v>395</v>
      </c>
      <c r="C4209" s="293">
        <v>0</v>
      </c>
      <c r="D4209" s="293">
        <v>1500</v>
      </c>
      <c r="E4209" s="293">
        <v>1500</v>
      </c>
      <c r="F4209" s="294" t="s">
        <v>298</v>
      </c>
    </row>
    <row r="4210" spans="1:6" hidden="1" outlineLevel="1" collapsed="1" x14ac:dyDescent="0.25">
      <c r="A4210" s="295" t="s">
        <v>282</v>
      </c>
      <c r="B4210" s="295" t="s">
        <v>396</v>
      </c>
      <c r="C4210" s="293">
        <v>49.68</v>
      </c>
      <c r="D4210" s="293">
        <v>0</v>
      </c>
      <c r="E4210" s="293">
        <v>-49.68</v>
      </c>
      <c r="F4210" s="294" t="s">
        <v>286</v>
      </c>
    </row>
    <row r="4211" spans="1:6" hidden="1" outlineLevel="1" collapsed="1" x14ac:dyDescent="0.25">
      <c r="A4211" s="295" t="s">
        <v>282</v>
      </c>
      <c r="B4211" s="295" t="s">
        <v>397</v>
      </c>
      <c r="C4211" s="293">
        <v>0</v>
      </c>
      <c r="D4211" s="293">
        <v>48.48</v>
      </c>
      <c r="E4211" s="293">
        <v>48.48</v>
      </c>
      <c r="F4211" s="294" t="s">
        <v>298</v>
      </c>
    </row>
    <row r="4212" spans="1:6" hidden="1" outlineLevel="1" collapsed="1" x14ac:dyDescent="0.25">
      <c r="A4212" s="295" t="s">
        <v>282</v>
      </c>
      <c r="B4212" s="295" t="s">
        <v>398</v>
      </c>
      <c r="C4212" s="293">
        <v>24</v>
      </c>
      <c r="D4212" s="293">
        <v>11.04</v>
      </c>
      <c r="E4212" s="293">
        <v>-12.96</v>
      </c>
      <c r="F4212" s="294" t="s">
        <v>374</v>
      </c>
    </row>
    <row r="4213" spans="1:6" collapsed="1" x14ac:dyDescent="0.25">
      <c r="A4213" s="560" t="s">
        <v>1613</v>
      </c>
      <c r="B4213" s="561"/>
      <c r="C4213" s="292">
        <v>1925</v>
      </c>
      <c r="D4213" s="293">
        <v>15000</v>
      </c>
      <c r="E4213" s="293">
        <v>13075</v>
      </c>
      <c r="F4213" s="294" t="s">
        <v>1614</v>
      </c>
    </row>
    <row r="4214" spans="1:6" hidden="1" outlineLevel="1" collapsed="1" x14ac:dyDescent="0.25">
      <c r="A4214" s="295" t="s">
        <v>282</v>
      </c>
      <c r="B4214" s="295" t="s">
        <v>843</v>
      </c>
      <c r="C4214" s="293">
        <v>1925</v>
      </c>
      <c r="D4214" s="293">
        <v>15000</v>
      </c>
      <c r="E4214" s="293">
        <v>13075</v>
      </c>
      <c r="F4214" s="294" t="s">
        <v>1614</v>
      </c>
    </row>
    <row r="4215" spans="1:6" collapsed="1" x14ac:dyDescent="0.25">
      <c r="A4215" s="560" t="s">
        <v>1615</v>
      </c>
      <c r="B4215" s="561"/>
      <c r="C4215" s="292">
        <v>10154</v>
      </c>
      <c r="D4215" s="293">
        <v>34331</v>
      </c>
      <c r="E4215" s="293">
        <v>24177</v>
      </c>
      <c r="F4215" s="294" t="s">
        <v>1616</v>
      </c>
    </row>
    <row r="4216" spans="1:6" hidden="1" outlineLevel="1" collapsed="1" x14ac:dyDescent="0.25">
      <c r="A4216" s="295" t="s">
        <v>282</v>
      </c>
      <c r="B4216" s="295" t="s">
        <v>1090</v>
      </c>
      <c r="C4216" s="293">
        <v>0</v>
      </c>
      <c r="D4216" s="293">
        <v>23073</v>
      </c>
      <c r="E4216" s="293">
        <v>23073</v>
      </c>
      <c r="F4216" s="294" t="s">
        <v>298</v>
      </c>
    </row>
    <row r="4217" spans="1:6" hidden="1" outlineLevel="1" collapsed="1" x14ac:dyDescent="0.25">
      <c r="A4217" s="295" t="s">
        <v>282</v>
      </c>
      <c r="B4217" s="295" t="s">
        <v>1083</v>
      </c>
      <c r="C4217" s="293">
        <v>9654</v>
      </c>
      <c r="D4217" s="293">
        <v>11258</v>
      </c>
      <c r="E4217" s="293">
        <v>1604</v>
      </c>
      <c r="F4217" s="294" t="s">
        <v>1617</v>
      </c>
    </row>
    <row r="4218" spans="1:6" hidden="1" outlineLevel="1" collapsed="1" x14ac:dyDescent="0.25">
      <c r="A4218" s="295" t="s">
        <v>282</v>
      </c>
      <c r="B4218" s="295" t="s">
        <v>405</v>
      </c>
      <c r="C4218" s="293">
        <v>500</v>
      </c>
      <c r="D4218" s="293">
        <v>0</v>
      </c>
      <c r="E4218" s="293">
        <v>-500</v>
      </c>
      <c r="F4218" s="294" t="s">
        <v>286</v>
      </c>
    </row>
    <row r="4219" spans="1:6" collapsed="1" x14ac:dyDescent="0.25">
      <c r="A4219" s="560" t="s">
        <v>332</v>
      </c>
      <c r="B4219" s="561"/>
      <c r="C4219" s="292">
        <v>0</v>
      </c>
      <c r="D4219" s="293">
        <v>69639</v>
      </c>
      <c r="E4219" s="293">
        <v>69639</v>
      </c>
      <c r="F4219" s="294" t="s">
        <v>298</v>
      </c>
    </row>
    <row r="4220" spans="1:6" hidden="1" outlineLevel="1" collapsed="1" x14ac:dyDescent="0.25">
      <c r="A4220" s="295" t="s">
        <v>282</v>
      </c>
      <c r="B4220" s="295" t="s">
        <v>1090</v>
      </c>
      <c r="C4220" s="293">
        <v>0</v>
      </c>
      <c r="D4220" s="293">
        <v>69639</v>
      </c>
      <c r="E4220" s="293">
        <v>69639</v>
      </c>
      <c r="F4220" s="294" t="s">
        <v>298</v>
      </c>
    </row>
    <row r="4221" spans="1:6" collapsed="1" x14ac:dyDescent="0.25">
      <c r="A4221" s="560" t="s">
        <v>1618</v>
      </c>
      <c r="B4221" s="561"/>
      <c r="C4221" s="292">
        <v>10000</v>
      </c>
      <c r="D4221" s="293">
        <v>10000</v>
      </c>
      <c r="E4221" s="293">
        <v>0</v>
      </c>
      <c r="F4221" s="294" t="s">
        <v>316</v>
      </c>
    </row>
    <row r="4222" spans="1:6" hidden="1" outlineLevel="1" collapsed="1" x14ac:dyDescent="0.25">
      <c r="A4222" s="295" t="s">
        <v>282</v>
      </c>
      <c r="B4222" s="295" t="s">
        <v>376</v>
      </c>
      <c r="C4222" s="293">
        <v>10000</v>
      </c>
      <c r="D4222" s="293">
        <v>10000</v>
      </c>
      <c r="E4222" s="293">
        <v>0</v>
      </c>
      <c r="F4222" s="294" t="s">
        <v>316</v>
      </c>
    </row>
    <row r="4223" spans="1:6" collapsed="1" x14ac:dyDescent="0.25">
      <c r="A4223" s="560" t="s">
        <v>334</v>
      </c>
      <c r="B4223" s="561"/>
      <c r="C4223" s="292">
        <v>709883</v>
      </c>
      <c r="D4223" s="293">
        <v>703215</v>
      </c>
      <c r="E4223" s="293">
        <v>-6668</v>
      </c>
      <c r="F4223" s="294" t="s">
        <v>1619</v>
      </c>
    </row>
    <row r="4224" spans="1:6" hidden="1" outlineLevel="1" collapsed="1" x14ac:dyDescent="0.25">
      <c r="A4224" s="295" t="s">
        <v>282</v>
      </c>
      <c r="B4224" s="295" t="s">
        <v>1087</v>
      </c>
      <c r="C4224" s="293">
        <v>70031</v>
      </c>
      <c r="D4224" s="293">
        <v>71803</v>
      </c>
      <c r="E4224" s="293">
        <v>1772</v>
      </c>
      <c r="F4224" s="294" t="s">
        <v>1620</v>
      </c>
    </row>
    <row r="4225" spans="1:6" hidden="1" outlineLevel="1" collapsed="1" x14ac:dyDescent="0.25">
      <c r="A4225" s="295" t="s">
        <v>282</v>
      </c>
      <c r="B4225" s="295" t="s">
        <v>1090</v>
      </c>
      <c r="C4225" s="293">
        <v>386301</v>
      </c>
      <c r="D4225" s="293">
        <v>422589</v>
      </c>
      <c r="E4225" s="293">
        <v>36288</v>
      </c>
      <c r="F4225" s="294" t="s">
        <v>1621</v>
      </c>
    </row>
    <row r="4226" spans="1:6" hidden="1" outlineLevel="1" collapsed="1" x14ac:dyDescent="0.25">
      <c r="A4226" s="295" t="s">
        <v>282</v>
      </c>
      <c r="B4226" s="295" t="s">
        <v>1083</v>
      </c>
      <c r="C4226" s="293">
        <v>198944</v>
      </c>
      <c r="D4226" s="293">
        <v>163898</v>
      </c>
      <c r="E4226" s="293">
        <v>-35046</v>
      </c>
      <c r="F4226" s="294" t="s">
        <v>1622</v>
      </c>
    </row>
    <row r="4227" spans="1:6" hidden="1" outlineLevel="1" collapsed="1" x14ac:dyDescent="0.25">
      <c r="A4227" s="295" t="s">
        <v>282</v>
      </c>
      <c r="B4227" s="295" t="s">
        <v>843</v>
      </c>
      <c r="C4227" s="293">
        <v>54607</v>
      </c>
      <c r="D4227" s="293">
        <v>44925</v>
      </c>
      <c r="E4227" s="293">
        <v>-9682</v>
      </c>
      <c r="F4227" s="294" t="s">
        <v>1623</v>
      </c>
    </row>
    <row r="4228" spans="1:6" collapsed="1" x14ac:dyDescent="0.25">
      <c r="A4228" s="560" t="s">
        <v>1624</v>
      </c>
      <c r="B4228" s="561"/>
      <c r="C4228" s="292">
        <v>264013.24408700003</v>
      </c>
      <c r="D4228" s="293">
        <v>276767.04139799997</v>
      </c>
      <c r="E4228" s="293">
        <v>12753.797311</v>
      </c>
      <c r="F4228" s="294" t="s">
        <v>774</v>
      </c>
    </row>
    <row r="4229" spans="1:6" hidden="1" outlineLevel="1" collapsed="1" x14ac:dyDescent="0.25">
      <c r="A4229" s="295" t="s">
        <v>282</v>
      </c>
      <c r="B4229" s="295" t="s">
        <v>942</v>
      </c>
      <c r="C4229" s="293">
        <v>118807.630112</v>
      </c>
      <c r="D4229" s="293">
        <v>120589.744303</v>
      </c>
      <c r="E4229" s="293">
        <v>1782.1141909999999</v>
      </c>
      <c r="F4229" s="294" t="s">
        <v>510</v>
      </c>
    </row>
    <row r="4230" spans="1:6" hidden="1" outlineLevel="1" collapsed="1" x14ac:dyDescent="0.25">
      <c r="A4230" s="295" t="s">
        <v>282</v>
      </c>
      <c r="B4230" s="295" t="s">
        <v>464</v>
      </c>
      <c r="C4230" s="293">
        <v>62011.147676000001</v>
      </c>
      <c r="D4230" s="293">
        <v>63856.717111999998</v>
      </c>
      <c r="E4230" s="293">
        <v>1845.569436</v>
      </c>
      <c r="F4230" s="294" t="s">
        <v>381</v>
      </c>
    </row>
    <row r="4231" spans="1:6" hidden="1" outlineLevel="1" collapsed="1" x14ac:dyDescent="0.25">
      <c r="A4231" s="295" t="s">
        <v>282</v>
      </c>
      <c r="B4231" s="295" t="s">
        <v>384</v>
      </c>
      <c r="C4231" s="293">
        <v>22627.492232000001</v>
      </c>
      <c r="D4231" s="293">
        <v>0</v>
      </c>
      <c r="E4231" s="293">
        <v>-22627.492232000001</v>
      </c>
      <c r="F4231" s="294" t="s">
        <v>286</v>
      </c>
    </row>
    <row r="4232" spans="1:6" hidden="1" outlineLevel="1" collapsed="1" x14ac:dyDescent="0.25">
      <c r="A4232" s="295" t="s">
        <v>282</v>
      </c>
      <c r="B4232" s="295" t="s">
        <v>385</v>
      </c>
      <c r="C4232" s="293">
        <v>0</v>
      </c>
      <c r="D4232" s="293">
        <v>28992.440898000001</v>
      </c>
      <c r="E4232" s="293">
        <v>28992.440898000001</v>
      </c>
      <c r="F4232" s="294" t="s">
        <v>298</v>
      </c>
    </row>
    <row r="4233" spans="1:6" hidden="1" outlineLevel="1" collapsed="1" x14ac:dyDescent="0.25">
      <c r="A4233" s="295" t="s">
        <v>282</v>
      </c>
      <c r="B4233" s="295" t="s">
        <v>386</v>
      </c>
      <c r="C4233" s="293">
        <v>11237.920206999999</v>
      </c>
      <c r="D4233" s="293">
        <v>0</v>
      </c>
      <c r="E4233" s="293">
        <v>-11237.920206999999</v>
      </c>
      <c r="F4233" s="294" t="s">
        <v>286</v>
      </c>
    </row>
    <row r="4234" spans="1:6" hidden="1" outlineLevel="1" collapsed="1" x14ac:dyDescent="0.25">
      <c r="A4234" s="295" t="s">
        <v>282</v>
      </c>
      <c r="B4234" s="295" t="s">
        <v>387</v>
      </c>
      <c r="C4234" s="293">
        <v>0</v>
      </c>
      <c r="D4234" s="293">
        <v>11462.836590999999</v>
      </c>
      <c r="E4234" s="293">
        <v>11462.836590999999</v>
      </c>
      <c r="F4234" s="294" t="s">
        <v>298</v>
      </c>
    </row>
    <row r="4235" spans="1:6" hidden="1" outlineLevel="1" collapsed="1" x14ac:dyDescent="0.25">
      <c r="A4235" s="295" t="s">
        <v>282</v>
      </c>
      <c r="B4235" s="295" t="s">
        <v>388</v>
      </c>
      <c r="C4235" s="293">
        <v>2628.2232650000001</v>
      </c>
      <c r="D4235" s="293">
        <v>2680.8246720000002</v>
      </c>
      <c r="E4235" s="293">
        <v>52.601407000000002</v>
      </c>
      <c r="F4235" s="294" t="s">
        <v>1625</v>
      </c>
    </row>
    <row r="4236" spans="1:6" hidden="1" outlineLevel="1" collapsed="1" x14ac:dyDescent="0.25">
      <c r="A4236" s="295" t="s">
        <v>282</v>
      </c>
      <c r="B4236" s="295" t="s">
        <v>389</v>
      </c>
      <c r="C4236" s="293">
        <v>737.19590400000004</v>
      </c>
      <c r="D4236" s="293">
        <v>730.12919999999997</v>
      </c>
      <c r="E4236" s="293">
        <v>-7.0667039999999997</v>
      </c>
      <c r="F4236" s="294" t="s">
        <v>364</v>
      </c>
    </row>
    <row r="4237" spans="1:6" hidden="1" outlineLevel="1" collapsed="1" x14ac:dyDescent="0.25">
      <c r="A4237" s="295" t="s">
        <v>282</v>
      </c>
      <c r="B4237" s="295" t="s">
        <v>390</v>
      </c>
      <c r="C4237" s="293">
        <v>26789.517100000001</v>
      </c>
      <c r="D4237" s="293">
        <v>27609.554400000001</v>
      </c>
      <c r="E4237" s="293">
        <v>820.03729999999996</v>
      </c>
      <c r="F4237" s="294" t="s">
        <v>391</v>
      </c>
    </row>
    <row r="4238" spans="1:6" hidden="1" outlineLevel="1" collapsed="1" x14ac:dyDescent="0.25">
      <c r="A4238" s="295" t="s">
        <v>282</v>
      </c>
      <c r="B4238" s="295" t="s">
        <v>392</v>
      </c>
      <c r="C4238" s="293">
        <v>404.02281599999998</v>
      </c>
      <c r="D4238" s="293">
        <v>316.38240000000002</v>
      </c>
      <c r="E4238" s="293">
        <v>-87.640416000000002</v>
      </c>
      <c r="F4238" s="294" t="s">
        <v>368</v>
      </c>
    </row>
    <row r="4239" spans="1:6" hidden="1" outlineLevel="1" collapsed="1" x14ac:dyDescent="0.25">
      <c r="A4239" s="295" t="s">
        <v>282</v>
      </c>
      <c r="B4239" s="295" t="s">
        <v>393</v>
      </c>
      <c r="C4239" s="293">
        <v>90.628375000000005</v>
      </c>
      <c r="D4239" s="293">
        <v>92.442222000000001</v>
      </c>
      <c r="E4239" s="293">
        <v>1.813847</v>
      </c>
      <c r="F4239" s="294" t="s">
        <v>1625</v>
      </c>
    </row>
    <row r="4240" spans="1:6" hidden="1" outlineLevel="1" collapsed="1" x14ac:dyDescent="0.25">
      <c r="A4240" s="295" t="s">
        <v>282</v>
      </c>
      <c r="B4240" s="295" t="s">
        <v>394</v>
      </c>
      <c r="C4240" s="293">
        <v>2595</v>
      </c>
      <c r="D4240" s="293">
        <v>0</v>
      </c>
      <c r="E4240" s="293">
        <v>-2595</v>
      </c>
      <c r="F4240" s="294" t="s">
        <v>286</v>
      </c>
    </row>
    <row r="4241" spans="1:6" hidden="1" outlineLevel="1" collapsed="1" x14ac:dyDescent="0.25">
      <c r="A4241" s="295" t="s">
        <v>282</v>
      </c>
      <c r="B4241" s="295" t="s">
        <v>395</v>
      </c>
      <c r="C4241" s="293">
        <v>0</v>
      </c>
      <c r="D4241" s="293">
        <v>2595</v>
      </c>
      <c r="E4241" s="293">
        <v>2595</v>
      </c>
      <c r="F4241" s="294" t="s">
        <v>298</v>
      </c>
    </row>
    <row r="4242" spans="1:6" hidden="1" outlineLevel="1" collapsed="1" x14ac:dyDescent="0.25">
      <c r="A4242" s="295" t="s">
        <v>282</v>
      </c>
      <c r="B4242" s="295" t="s">
        <v>396</v>
      </c>
      <c r="C4242" s="293">
        <v>85.946399999999997</v>
      </c>
      <c r="D4242" s="293">
        <v>0</v>
      </c>
      <c r="E4242" s="293">
        <v>-85.946399999999997</v>
      </c>
      <c r="F4242" s="294" t="s">
        <v>286</v>
      </c>
    </row>
    <row r="4243" spans="1:6" hidden="1" outlineLevel="1" collapsed="1" x14ac:dyDescent="0.25">
      <c r="A4243" s="295" t="s">
        <v>282</v>
      </c>
      <c r="B4243" s="295" t="s">
        <v>397</v>
      </c>
      <c r="C4243" s="293">
        <v>0</v>
      </c>
      <c r="D4243" s="293">
        <v>83.870400000000004</v>
      </c>
      <c r="E4243" s="293">
        <v>83.870400000000004</v>
      </c>
      <c r="F4243" s="294" t="s">
        <v>298</v>
      </c>
    </row>
    <row r="4244" spans="1:6" hidden="1" outlineLevel="1" collapsed="1" x14ac:dyDescent="0.25">
      <c r="A4244" s="295" t="s">
        <v>282</v>
      </c>
      <c r="B4244" s="295" t="s">
        <v>398</v>
      </c>
      <c r="C4244" s="293">
        <v>41.52</v>
      </c>
      <c r="D4244" s="293">
        <v>19.0992</v>
      </c>
      <c r="E4244" s="293">
        <v>-22.4208</v>
      </c>
      <c r="F4244" s="294" t="s">
        <v>374</v>
      </c>
    </row>
    <row r="4245" spans="1:6" hidden="1" outlineLevel="1" collapsed="1" x14ac:dyDescent="0.25">
      <c r="A4245" s="295" t="s">
        <v>282</v>
      </c>
      <c r="B4245" s="295" t="s">
        <v>399</v>
      </c>
      <c r="C4245" s="293">
        <v>0</v>
      </c>
      <c r="D4245" s="293">
        <v>0</v>
      </c>
      <c r="E4245" s="293">
        <v>0</v>
      </c>
      <c r="F4245" s="294" t="s">
        <v>316</v>
      </c>
    </row>
    <row r="4246" spans="1:6" hidden="1" outlineLevel="1" collapsed="1" x14ac:dyDescent="0.25">
      <c r="A4246" s="295" t="s">
        <v>282</v>
      </c>
      <c r="B4246" s="295" t="s">
        <v>376</v>
      </c>
      <c r="C4246" s="293">
        <v>2700</v>
      </c>
      <c r="D4246" s="293">
        <v>2700</v>
      </c>
      <c r="E4246" s="293">
        <v>0</v>
      </c>
      <c r="F4246" s="294" t="s">
        <v>316</v>
      </c>
    </row>
    <row r="4247" spans="1:6" hidden="1" outlineLevel="1" collapsed="1" x14ac:dyDescent="0.25">
      <c r="A4247" s="295" t="s">
        <v>282</v>
      </c>
      <c r="B4247" s="295" t="s">
        <v>567</v>
      </c>
      <c r="C4247" s="293">
        <v>5219</v>
      </c>
      <c r="D4247" s="293">
        <v>5500</v>
      </c>
      <c r="E4247" s="293">
        <v>281</v>
      </c>
      <c r="F4247" s="294" t="s">
        <v>1626</v>
      </c>
    </row>
    <row r="4248" spans="1:6" hidden="1" outlineLevel="1" collapsed="1" x14ac:dyDescent="0.25">
      <c r="A4248" s="295" t="s">
        <v>282</v>
      </c>
      <c r="B4248" s="295" t="s">
        <v>426</v>
      </c>
      <c r="C4248" s="293">
        <v>2600</v>
      </c>
      <c r="D4248" s="293">
        <v>2100</v>
      </c>
      <c r="E4248" s="293">
        <v>-500</v>
      </c>
      <c r="F4248" s="294" t="s">
        <v>1627</v>
      </c>
    </row>
    <row r="4249" spans="1:6" hidden="1" outlineLevel="1" collapsed="1" x14ac:dyDescent="0.25">
      <c r="A4249" s="295" t="s">
        <v>282</v>
      </c>
      <c r="B4249" s="295" t="s">
        <v>952</v>
      </c>
      <c r="C4249" s="293">
        <v>438</v>
      </c>
      <c r="D4249" s="293">
        <v>438</v>
      </c>
      <c r="E4249" s="293">
        <v>0</v>
      </c>
      <c r="F4249" s="294" t="s">
        <v>316</v>
      </c>
    </row>
    <row r="4250" spans="1:6" hidden="1" outlineLevel="1" collapsed="1" x14ac:dyDescent="0.25">
      <c r="A4250" s="295" t="s">
        <v>282</v>
      </c>
      <c r="B4250" s="295" t="s">
        <v>405</v>
      </c>
      <c r="C4250" s="293">
        <v>5000</v>
      </c>
      <c r="D4250" s="293">
        <v>7000</v>
      </c>
      <c r="E4250" s="293">
        <v>2000</v>
      </c>
      <c r="F4250" s="294" t="s">
        <v>1380</v>
      </c>
    </row>
    <row r="4251" spans="1:6" collapsed="1" x14ac:dyDescent="0.25">
      <c r="A4251" s="560" t="s">
        <v>1628</v>
      </c>
      <c r="B4251" s="561"/>
      <c r="C4251" s="292">
        <v>98062.403265000001</v>
      </c>
      <c r="D4251" s="293">
        <v>101957.832794</v>
      </c>
      <c r="E4251" s="293">
        <v>3895.429529</v>
      </c>
      <c r="F4251" s="294" t="s">
        <v>628</v>
      </c>
    </row>
    <row r="4252" spans="1:6" hidden="1" outlineLevel="1" collapsed="1" x14ac:dyDescent="0.25">
      <c r="A4252" s="295" t="s">
        <v>282</v>
      </c>
      <c r="B4252" s="295" t="s">
        <v>942</v>
      </c>
      <c r="C4252" s="293">
        <v>71603.985851000005</v>
      </c>
      <c r="D4252" s="293">
        <v>72678.044391999996</v>
      </c>
      <c r="E4252" s="293">
        <v>1074.0585410000001</v>
      </c>
      <c r="F4252" s="294" t="s">
        <v>510</v>
      </c>
    </row>
    <row r="4253" spans="1:6" hidden="1" outlineLevel="1" collapsed="1" x14ac:dyDescent="0.25">
      <c r="A4253" s="295" t="s">
        <v>282</v>
      </c>
      <c r="B4253" s="295" t="s">
        <v>384</v>
      </c>
      <c r="C4253" s="293">
        <v>9007.7814139999991</v>
      </c>
      <c r="D4253" s="293">
        <v>0</v>
      </c>
      <c r="E4253" s="293">
        <v>-9007.7814139999991</v>
      </c>
      <c r="F4253" s="294" t="s">
        <v>286</v>
      </c>
    </row>
    <row r="4254" spans="1:6" hidden="1" outlineLevel="1" collapsed="1" x14ac:dyDescent="0.25">
      <c r="A4254" s="295" t="s">
        <v>282</v>
      </c>
      <c r="B4254" s="295" t="s">
        <v>385</v>
      </c>
      <c r="C4254" s="293">
        <v>0</v>
      </c>
      <c r="D4254" s="293">
        <v>11483.131007</v>
      </c>
      <c r="E4254" s="293">
        <v>11483.131007</v>
      </c>
      <c r="F4254" s="294" t="s">
        <v>298</v>
      </c>
    </row>
    <row r="4255" spans="1:6" hidden="1" outlineLevel="1" collapsed="1" x14ac:dyDescent="0.25">
      <c r="A4255" s="295" t="s">
        <v>282</v>
      </c>
      <c r="B4255" s="295" t="s">
        <v>386</v>
      </c>
      <c r="C4255" s="293">
        <v>4463.6271189999998</v>
      </c>
      <c r="D4255" s="293">
        <v>0</v>
      </c>
      <c r="E4255" s="293">
        <v>-4463.6271189999998</v>
      </c>
      <c r="F4255" s="294" t="s">
        <v>286</v>
      </c>
    </row>
    <row r="4256" spans="1:6" hidden="1" outlineLevel="1" collapsed="1" x14ac:dyDescent="0.25">
      <c r="A4256" s="295" t="s">
        <v>282</v>
      </c>
      <c r="B4256" s="295" t="s">
        <v>387</v>
      </c>
      <c r="C4256" s="293">
        <v>0</v>
      </c>
      <c r="D4256" s="293">
        <v>4530.2187450000001</v>
      </c>
      <c r="E4256" s="293">
        <v>4530.2187450000001</v>
      </c>
      <c r="F4256" s="294" t="s">
        <v>298</v>
      </c>
    </row>
    <row r="4257" spans="1:6" hidden="1" outlineLevel="1" collapsed="1" x14ac:dyDescent="0.25">
      <c r="A4257" s="295" t="s">
        <v>282</v>
      </c>
      <c r="B4257" s="295" t="s">
        <v>388</v>
      </c>
      <c r="C4257" s="293">
        <v>1043.912789</v>
      </c>
      <c r="D4257" s="293">
        <v>1059.4866360000001</v>
      </c>
      <c r="E4257" s="293">
        <v>15.573847000000001</v>
      </c>
      <c r="F4257" s="294" t="s">
        <v>781</v>
      </c>
    </row>
    <row r="4258" spans="1:6" hidden="1" outlineLevel="1" collapsed="1" x14ac:dyDescent="0.25">
      <c r="A4258" s="295" t="s">
        <v>282</v>
      </c>
      <c r="B4258" s="295" t="s">
        <v>389</v>
      </c>
      <c r="C4258" s="293">
        <v>276.98111999999998</v>
      </c>
      <c r="D4258" s="293">
        <v>274.32600000000002</v>
      </c>
      <c r="E4258" s="293">
        <v>-2.6551200000000001</v>
      </c>
      <c r="F4258" s="294" t="s">
        <v>364</v>
      </c>
    </row>
    <row r="4259" spans="1:6" hidden="1" outlineLevel="1" collapsed="1" x14ac:dyDescent="0.25">
      <c r="A4259" s="295" t="s">
        <v>282</v>
      </c>
      <c r="B4259" s="295" t="s">
        <v>390</v>
      </c>
      <c r="C4259" s="293">
        <v>10065.425499999999</v>
      </c>
      <c r="D4259" s="293">
        <v>10373.531999999999</v>
      </c>
      <c r="E4259" s="293">
        <v>308.10649999999998</v>
      </c>
      <c r="F4259" s="294" t="s">
        <v>391</v>
      </c>
    </row>
    <row r="4260" spans="1:6" hidden="1" outlineLevel="1" collapsed="1" x14ac:dyDescent="0.25">
      <c r="A4260" s="295" t="s">
        <v>282</v>
      </c>
      <c r="B4260" s="295" t="s">
        <v>392</v>
      </c>
      <c r="C4260" s="293">
        <v>151.80047999999999</v>
      </c>
      <c r="D4260" s="293">
        <v>118.872</v>
      </c>
      <c r="E4260" s="293">
        <v>-32.92848</v>
      </c>
      <c r="F4260" s="294" t="s">
        <v>368</v>
      </c>
    </row>
    <row r="4261" spans="1:6" hidden="1" outlineLevel="1" collapsed="1" x14ac:dyDescent="0.25">
      <c r="A4261" s="295" t="s">
        <v>282</v>
      </c>
      <c r="B4261" s="295" t="s">
        <v>393</v>
      </c>
      <c r="C4261" s="293">
        <v>35.996991999999999</v>
      </c>
      <c r="D4261" s="293">
        <v>36.534013999999999</v>
      </c>
      <c r="E4261" s="293">
        <v>0.537022</v>
      </c>
      <c r="F4261" s="294" t="s">
        <v>781</v>
      </c>
    </row>
    <row r="4262" spans="1:6" hidden="1" outlineLevel="1" collapsed="1" x14ac:dyDescent="0.25">
      <c r="A4262" s="295" t="s">
        <v>282</v>
      </c>
      <c r="B4262" s="295" t="s">
        <v>394</v>
      </c>
      <c r="C4262" s="293">
        <v>975</v>
      </c>
      <c r="D4262" s="293">
        <v>0</v>
      </c>
      <c r="E4262" s="293">
        <v>-975</v>
      </c>
      <c r="F4262" s="294" t="s">
        <v>286</v>
      </c>
    </row>
    <row r="4263" spans="1:6" hidden="1" outlineLevel="1" collapsed="1" x14ac:dyDescent="0.25">
      <c r="A4263" s="295" t="s">
        <v>282</v>
      </c>
      <c r="B4263" s="295" t="s">
        <v>395</v>
      </c>
      <c r="C4263" s="293">
        <v>0</v>
      </c>
      <c r="D4263" s="293">
        <v>975</v>
      </c>
      <c r="E4263" s="293">
        <v>975</v>
      </c>
      <c r="F4263" s="294" t="s">
        <v>298</v>
      </c>
    </row>
    <row r="4264" spans="1:6" hidden="1" outlineLevel="1" collapsed="1" x14ac:dyDescent="0.25">
      <c r="A4264" s="295" t="s">
        <v>282</v>
      </c>
      <c r="B4264" s="295" t="s">
        <v>396</v>
      </c>
      <c r="C4264" s="293">
        <v>32.292000000000002</v>
      </c>
      <c r="D4264" s="293">
        <v>0</v>
      </c>
      <c r="E4264" s="293">
        <v>-32.292000000000002</v>
      </c>
      <c r="F4264" s="294" t="s">
        <v>286</v>
      </c>
    </row>
    <row r="4265" spans="1:6" hidden="1" outlineLevel="1" collapsed="1" x14ac:dyDescent="0.25">
      <c r="A4265" s="295" t="s">
        <v>282</v>
      </c>
      <c r="B4265" s="295" t="s">
        <v>397</v>
      </c>
      <c r="C4265" s="293">
        <v>0</v>
      </c>
      <c r="D4265" s="293">
        <v>31.512</v>
      </c>
      <c r="E4265" s="293">
        <v>31.512</v>
      </c>
      <c r="F4265" s="294" t="s">
        <v>298</v>
      </c>
    </row>
    <row r="4266" spans="1:6" hidden="1" outlineLevel="1" collapsed="1" x14ac:dyDescent="0.25">
      <c r="A4266" s="295" t="s">
        <v>282</v>
      </c>
      <c r="B4266" s="295" t="s">
        <v>398</v>
      </c>
      <c r="C4266" s="293">
        <v>15.6</v>
      </c>
      <c r="D4266" s="293">
        <v>7.1760000000000002</v>
      </c>
      <c r="E4266" s="293">
        <v>-8.4239999999999995</v>
      </c>
      <c r="F4266" s="294" t="s">
        <v>374</v>
      </c>
    </row>
    <row r="4267" spans="1:6" hidden="1" outlineLevel="1" collapsed="1" x14ac:dyDescent="0.25">
      <c r="A4267" s="295" t="s">
        <v>282</v>
      </c>
      <c r="B4267" s="295" t="s">
        <v>952</v>
      </c>
      <c r="C4267" s="293">
        <v>390</v>
      </c>
      <c r="D4267" s="293">
        <v>390</v>
      </c>
      <c r="E4267" s="293">
        <v>0</v>
      </c>
      <c r="F4267" s="294" t="s">
        <v>316</v>
      </c>
    </row>
    <row r="4268" spans="1:6" collapsed="1" x14ac:dyDescent="0.25">
      <c r="A4268" s="560" t="s">
        <v>1629</v>
      </c>
      <c r="B4268" s="561"/>
      <c r="C4268" s="292">
        <v>449768.522963</v>
      </c>
      <c r="D4268" s="293">
        <v>573595.35980800004</v>
      </c>
      <c r="E4268" s="293">
        <v>123826.836845</v>
      </c>
      <c r="F4268" s="294" t="s">
        <v>1630</v>
      </c>
    </row>
    <row r="4269" spans="1:6" hidden="1" outlineLevel="1" collapsed="1" x14ac:dyDescent="0.25">
      <c r="A4269" s="295" t="s">
        <v>282</v>
      </c>
      <c r="B4269" s="295" t="s">
        <v>1096</v>
      </c>
      <c r="C4269" s="293">
        <v>189553.438716</v>
      </c>
      <c r="D4269" s="293">
        <v>191239.63870800001</v>
      </c>
      <c r="E4269" s="293">
        <v>1686.1999920000001</v>
      </c>
      <c r="F4269" s="294" t="s">
        <v>1225</v>
      </c>
    </row>
    <row r="4270" spans="1:6" hidden="1" outlineLevel="1" collapsed="1" x14ac:dyDescent="0.25">
      <c r="A4270" s="295" t="s">
        <v>282</v>
      </c>
      <c r="B4270" s="295" t="s">
        <v>1097</v>
      </c>
      <c r="C4270" s="293">
        <v>73761.212018999999</v>
      </c>
      <c r="D4270" s="293">
        <v>78469.782552000004</v>
      </c>
      <c r="E4270" s="293">
        <v>4708.5705330000001</v>
      </c>
      <c r="F4270" s="294" t="s">
        <v>1631</v>
      </c>
    </row>
    <row r="4271" spans="1:6" hidden="1" outlineLevel="1" collapsed="1" x14ac:dyDescent="0.25">
      <c r="A4271" s="295" t="s">
        <v>282</v>
      </c>
      <c r="B4271" s="295" t="s">
        <v>475</v>
      </c>
      <c r="C4271" s="293">
        <v>2500</v>
      </c>
      <c r="D4271" s="293">
        <v>1000</v>
      </c>
      <c r="E4271" s="293">
        <v>-1500</v>
      </c>
      <c r="F4271" s="294" t="s">
        <v>1545</v>
      </c>
    </row>
    <row r="4272" spans="1:6" hidden="1" outlineLevel="1" collapsed="1" x14ac:dyDescent="0.25">
      <c r="A4272" s="295" t="s">
        <v>282</v>
      </c>
      <c r="B4272" s="295" t="s">
        <v>751</v>
      </c>
      <c r="C4272" s="293">
        <v>24587.953752000001</v>
      </c>
      <c r="D4272" s="293">
        <v>0</v>
      </c>
      <c r="E4272" s="293">
        <v>-24587.953752000001</v>
      </c>
      <c r="F4272" s="294" t="s">
        <v>286</v>
      </c>
    </row>
    <row r="4273" spans="1:6" hidden="1" outlineLevel="1" collapsed="1" x14ac:dyDescent="0.25">
      <c r="A4273" s="295" t="s">
        <v>282</v>
      </c>
      <c r="B4273" s="295" t="s">
        <v>752</v>
      </c>
      <c r="C4273" s="293">
        <v>0</v>
      </c>
      <c r="D4273" s="293">
        <v>27595.879860000001</v>
      </c>
      <c r="E4273" s="293">
        <v>27595.879860000001</v>
      </c>
      <c r="F4273" s="294" t="s">
        <v>298</v>
      </c>
    </row>
    <row r="4274" spans="1:6" hidden="1" outlineLevel="1" collapsed="1" x14ac:dyDescent="0.25">
      <c r="A4274" s="295" t="s">
        <v>282</v>
      </c>
      <c r="B4274" s="295" t="s">
        <v>384</v>
      </c>
      <c r="C4274" s="293">
        <v>9279.1604630000002</v>
      </c>
      <c r="D4274" s="293">
        <v>0</v>
      </c>
      <c r="E4274" s="293">
        <v>-9279.1604630000002</v>
      </c>
      <c r="F4274" s="294" t="s">
        <v>286</v>
      </c>
    </row>
    <row r="4275" spans="1:6" hidden="1" outlineLevel="1" collapsed="1" x14ac:dyDescent="0.25">
      <c r="A4275" s="295" t="s">
        <v>282</v>
      </c>
      <c r="B4275" s="295" t="s">
        <v>385</v>
      </c>
      <c r="C4275" s="293">
        <v>0</v>
      </c>
      <c r="D4275" s="293">
        <v>12398.225640000001</v>
      </c>
      <c r="E4275" s="293">
        <v>12398.225640000001</v>
      </c>
      <c r="F4275" s="294" t="s">
        <v>298</v>
      </c>
    </row>
    <row r="4276" spans="1:6" hidden="1" outlineLevel="1" collapsed="1" x14ac:dyDescent="0.25">
      <c r="A4276" s="295" t="s">
        <v>282</v>
      </c>
      <c r="B4276" s="295" t="s">
        <v>386</v>
      </c>
      <c r="C4276" s="293">
        <v>4573.1951429999999</v>
      </c>
      <c r="D4276" s="293">
        <v>0</v>
      </c>
      <c r="E4276" s="293">
        <v>-4573.1951429999999</v>
      </c>
      <c r="F4276" s="294" t="s">
        <v>286</v>
      </c>
    </row>
    <row r="4277" spans="1:6" hidden="1" outlineLevel="1" collapsed="1" x14ac:dyDescent="0.25">
      <c r="A4277" s="295" t="s">
        <v>282</v>
      </c>
      <c r="B4277" s="295" t="s">
        <v>387</v>
      </c>
      <c r="C4277" s="293">
        <v>0</v>
      </c>
      <c r="D4277" s="293">
        <v>4865.1265080000003</v>
      </c>
      <c r="E4277" s="293">
        <v>4865.1265080000003</v>
      </c>
      <c r="F4277" s="294" t="s">
        <v>298</v>
      </c>
    </row>
    <row r="4278" spans="1:6" hidden="1" outlineLevel="1" collapsed="1" x14ac:dyDescent="0.25">
      <c r="A4278" s="295" t="s">
        <v>282</v>
      </c>
      <c r="B4278" s="295" t="s">
        <v>388</v>
      </c>
      <c r="C4278" s="293">
        <v>1069.5375670000001</v>
      </c>
      <c r="D4278" s="293">
        <v>1137.8118360000001</v>
      </c>
      <c r="E4278" s="293">
        <v>68.274269000000004</v>
      </c>
      <c r="F4278" s="294" t="s">
        <v>1631</v>
      </c>
    </row>
    <row r="4279" spans="1:6" hidden="1" outlineLevel="1" collapsed="1" x14ac:dyDescent="0.25">
      <c r="A4279" s="295" t="s">
        <v>282</v>
      </c>
      <c r="B4279" s="295" t="s">
        <v>444</v>
      </c>
      <c r="C4279" s="293">
        <v>225</v>
      </c>
      <c r="D4279" s="293">
        <v>90</v>
      </c>
      <c r="E4279" s="293">
        <v>-135</v>
      </c>
      <c r="F4279" s="294" t="s">
        <v>1545</v>
      </c>
    </row>
    <row r="4280" spans="1:6" hidden="1" outlineLevel="1" collapsed="1" x14ac:dyDescent="0.25">
      <c r="A4280" s="295" t="s">
        <v>282</v>
      </c>
      <c r="B4280" s="295" t="s">
        <v>389</v>
      </c>
      <c r="C4280" s="293">
        <v>426.12479999999999</v>
      </c>
      <c r="D4280" s="293">
        <v>422.04</v>
      </c>
      <c r="E4280" s="293">
        <v>-4.0848000000000004</v>
      </c>
      <c r="F4280" s="294" t="s">
        <v>364</v>
      </c>
    </row>
    <row r="4281" spans="1:6" hidden="1" outlineLevel="1" collapsed="1" x14ac:dyDescent="0.25">
      <c r="A4281" s="295" t="s">
        <v>282</v>
      </c>
      <c r="B4281" s="295" t="s">
        <v>390</v>
      </c>
      <c r="C4281" s="293">
        <v>15485.27</v>
      </c>
      <c r="D4281" s="293">
        <v>15959.28</v>
      </c>
      <c r="E4281" s="293">
        <v>474.01</v>
      </c>
      <c r="F4281" s="294" t="s">
        <v>391</v>
      </c>
    </row>
    <row r="4282" spans="1:6" hidden="1" outlineLevel="1" collapsed="1" x14ac:dyDescent="0.25">
      <c r="A4282" s="295" t="s">
        <v>282</v>
      </c>
      <c r="B4282" s="295" t="s">
        <v>392</v>
      </c>
      <c r="C4282" s="293">
        <v>233.53919999999999</v>
      </c>
      <c r="D4282" s="293">
        <v>182.88</v>
      </c>
      <c r="E4282" s="293">
        <v>-50.659199999999998</v>
      </c>
      <c r="F4282" s="294" t="s">
        <v>368</v>
      </c>
    </row>
    <row r="4283" spans="1:6" hidden="1" outlineLevel="1" collapsed="1" x14ac:dyDescent="0.25">
      <c r="A4283" s="295" t="s">
        <v>282</v>
      </c>
      <c r="B4283" s="295" t="s">
        <v>754</v>
      </c>
      <c r="C4283" s="293">
        <v>15358.56</v>
      </c>
      <c r="D4283" s="293">
        <v>15959.28</v>
      </c>
      <c r="E4283" s="293">
        <v>600.72</v>
      </c>
      <c r="F4283" s="294" t="s">
        <v>366</v>
      </c>
    </row>
    <row r="4284" spans="1:6" hidden="1" outlineLevel="1" collapsed="1" x14ac:dyDescent="0.25">
      <c r="A4284" s="295" t="s">
        <v>282</v>
      </c>
      <c r="B4284" s="295" t="s">
        <v>755</v>
      </c>
      <c r="C4284" s="293">
        <v>426.12479999999999</v>
      </c>
      <c r="D4284" s="293">
        <v>422.04</v>
      </c>
      <c r="E4284" s="293">
        <v>-4.0848000000000004</v>
      </c>
      <c r="F4284" s="294" t="s">
        <v>364</v>
      </c>
    </row>
    <row r="4285" spans="1:6" hidden="1" outlineLevel="1" collapsed="1" x14ac:dyDescent="0.25">
      <c r="A4285" s="295" t="s">
        <v>282</v>
      </c>
      <c r="B4285" s="295" t="s">
        <v>756</v>
      </c>
      <c r="C4285" s="293">
        <v>233.53919999999999</v>
      </c>
      <c r="D4285" s="293">
        <v>182.88</v>
      </c>
      <c r="E4285" s="293">
        <v>-50.659199999999998</v>
      </c>
      <c r="F4285" s="294" t="s">
        <v>368</v>
      </c>
    </row>
    <row r="4286" spans="1:6" hidden="1" outlineLevel="1" collapsed="1" x14ac:dyDescent="0.25">
      <c r="A4286" s="295" t="s">
        <v>282</v>
      </c>
      <c r="B4286" s="295" t="s">
        <v>393</v>
      </c>
      <c r="C4286" s="293">
        <v>36.880595</v>
      </c>
      <c r="D4286" s="293">
        <v>39.234887999999998</v>
      </c>
      <c r="E4286" s="293">
        <v>2.3542930000000002</v>
      </c>
      <c r="F4286" s="294" t="s">
        <v>1631</v>
      </c>
    </row>
    <row r="4287" spans="1:6" hidden="1" outlineLevel="1" collapsed="1" x14ac:dyDescent="0.25">
      <c r="A4287" s="295" t="s">
        <v>282</v>
      </c>
      <c r="B4287" s="295" t="s">
        <v>757</v>
      </c>
      <c r="C4287" s="293">
        <v>100.806708</v>
      </c>
      <c r="D4287" s="293">
        <v>0</v>
      </c>
      <c r="E4287" s="293">
        <v>-100.806708</v>
      </c>
      <c r="F4287" s="294" t="s">
        <v>286</v>
      </c>
    </row>
    <row r="4288" spans="1:6" hidden="1" outlineLevel="1" collapsed="1" x14ac:dyDescent="0.25">
      <c r="A4288" s="295" t="s">
        <v>282</v>
      </c>
      <c r="B4288" s="295" t="s">
        <v>758</v>
      </c>
      <c r="C4288" s="293">
        <v>0</v>
      </c>
      <c r="D4288" s="293">
        <v>102.21981599999999</v>
      </c>
      <c r="E4288" s="293">
        <v>102.21981599999999</v>
      </c>
      <c r="F4288" s="294" t="s">
        <v>298</v>
      </c>
    </row>
    <row r="4289" spans="1:6" hidden="1" outlineLevel="1" collapsed="1" x14ac:dyDescent="0.25">
      <c r="A4289" s="295" t="s">
        <v>282</v>
      </c>
      <c r="B4289" s="295" t="s">
        <v>394</v>
      </c>
      <c r="C4289" s="293">
        <v>1500</v>
      </c>
      <c r="D4289" s="293">
        <v>0</v>
      </c>
      <c r="E4289" s="293">
        <v>-1500</v>
      </c>
      <c r="F4289" s="294" t="s">
        <v>286</v>
      </c>
    </row>
    <row r="4290" spans="1:6" hidden="1" outlineLevel="1" collapsed="1" x14ac:dyDescent="0.25">
      <c r="A4290" s="295" t="s">
        <v>282</v>
      </c>
      <c r="B4290" s="295" t="s">
        <v>395</v>
      </c>
      <c r="C4290" s="293">
        <v>0</v>
      </c>
      <c r="D4290" s="293">
        <v>1500</v>
      </c>
      <c r="E4290" s="293">
        <v>1500</v>
      </c>
      <c r="F4290" s="294" t="s">
        <v>298</v>
      </c>
    </row>
    <row r="4291" spans="1:6" hidden="1" outlineLevel="1" collapsed="1" x14ac:dyDescent="0.25">
      <c r="A4291" s="295" t="s">
        <v>282</v>
      </c>
      <c r="B4291" s="295" t="s">
        <v>759</v>
      </c>
      <c r="C4291" s="293">
        <v>1500</v>
      </c>
      <c r="D4291" s="293">
        <v>0</v>
      </c>
      <c r="E4291" s="293">
        <v>-1500</v>
      </c>
      <c r="F4291" s="294" t="s">
        <v>286</v>
      </c>
    </row>
    <row r="4292" spans="1:6" hidden="1" outlineLevel="1" collapsed="1" x14ac:dyDescent="0.25">
      <c r="A4292" s="295" t="s">
        <v>282</v>
      </c>
      <c r="B4292" s="295" t="s">
        <v>760</v>
      </c>
      <c r="C4292" s="293">
        <v>0</v>
      </c>
      <c r="D4292" s="293">
        <v>1500</v>
      </c>
      <c r="E4292" s="293">
        <v>1500</v>
      </c>
      <c r="F4292" s="294" t="s">
        <v>298</v>
      </c>
    </row>
    <row r="4293" spans="1:6" hidden="1" outlineLevel="1" collapsed="1" x14ac:dyDescent="0.25">
      <c r="A4293" s="295" t="s">
        <v>282</v>
      </c>
      <c r="B4293" s="295" t="s">
        <v>396</v>
      </c>
      <c r="C4293" s="293">
        <v>49.68</v>
      </c>
      <c r="D4293" s="293">
        <v>0</v>
      </c>
      <c r="E4293" s="293">
        <v>-49.68</v>
      </c>
      <c r="F4293" s="294" t="s">
        <v>286</v>
      </c>
    </row>
    <row r="4294" spans="1:6" hidden="1" outlineLevel="1" collapsed="1" x14ac:dyDescent="0.25">
      <c r="A4294" s="295" t="s">
        <v>282</v>
      </c>
      <c r="B4294" s="295" t="s">
        <v>397</v>
      </c>
      <c r="C4294" s="293">
        <v>0</v>
      </c>
      <c r="D4294" s="293">
        <v>48.48</v>
      </c>
      <c r="E4294" s="293">
        <v>48.48</v>
      </c>
      <c r="F4294" s="294" t="s">
        <v>298</v>
      </c>
    </row>
    <row r="4295" spans="1:6" hidden="1" outlineLevel="1" collapsed="1" x14ac:dyDescent="0.25">
      <c r="A4295" s="295" t="s">
        <v>282</v>
      </c>
      <c r="B4295" s="295" t="s">
        <v>761</v>
      </c>
      <c r="C4295" s="293">
        <v>49.68</v>
      </c>
      <c r="D4295" s="293">
        <v>0</v>
      </c>
      <c r="E4295" s="293">
        <v>-49.68</v>
      </c>
      <c r="F4295" s="294" t="s">
        <v>286</v>
      </c>
    </row>
    <row r="4296" spans="1:6" hidden="1" outlineLevel="1" collapsed="1" x14ac:dyDescent="0.25">
      <c r="A4296" s="295" t="s">
        <v>282</v>
      </c>
      <c r="B4296" s="295" t="s">
        <v>762</v>
      </c>
      <c r="C4296" s="293">
        <v>0</v>
      </c>
      <c r="D4296" s="293">
        <v>48.48</v>
      </c>
      <c r="E4296" s="293">
        <v>48.48</v>
      </c>
      <c r="F4296" s="294" t="s">
        <v>298</v>
      </c>
    </row>
    <row r="4297" spans="1:6" hidden="1" outlineLevel="1" collapsed="1" x14ac:dyDescent="0.25">
      <c r="A4297" s="295" t="s">
        <v>282</v>
      </c>
      <c r="B4297" s="295" t="s">
        <v>398</v>
      </c>
      <c r="C4297" s="293">
        <v>24</v>
      </c>
      <c r="D4297" s="293">
        <v>11.04</v>
      </c>
      <c r="E4297" s="293">
        <v>-12.96</v>
      </c>
      <c r="F4297" s="294" t="s">
        <v>374</v>
      </c>
    </row>
    <row r="4298" spans="1:6" hidden="1" outlineLevel="1" collapsed="1" x14ac:dyDescent="0.25">
      <c r="A4298" s="295" t="s">
        <v>282</v>
      </c>
      <c r="B4298" s="295" t="s">
        <v>763</v>
      </c>
      <c r="C4298" s="293">
        <v>24</v>
      </c>
      <c r="D4298" s="293">
        <v>11.04</v>
      </c>
      <c r="E4298" s="293">
        <v>-12.96</v>
      </c>
      <c r="F4298" s="294" t="s">
        <v>374</v>
      </c>
    </row>
    <row r="4299" spans="1:6" hidden="1" outlineLevel="1" collapsed="1" x14ac:dyDescent="0.25">
      <c r="A4299" s="295" t="s">
        <v>282</v>
      </c>
      <c r="B4299" s="295" t="s">
        <v>431</v>
      </c>
      <c r="C4299" s="293">
        <v>100</v>
      </c>
      <c r="D4299" s="293">
        <v>0</v>
      </c>
      <c r="E4299" s="293">
        <v>-100</v>
      </c>
      <c r="F4299" s="294" t="s">
        <v>286</v>
      </c>
    </row>
    <row r="4300" spans="1:6" hidden="1" outlineLevel="1" collapsed="1" x14ac:dyDescent="0.25">
      <c r="A4300" s="295" t="s">
        <v>282</v>
      </c>
      <c r="B4300" s="295" t="s">
        <v>376</v>
      </c>
      <c r="C4300" s="293">
        <v>2000</v>
      </c>
      <c r="D4300" s="293">
        <v>2000</v>
      </c>
      <c r="E4300" s="293">
        <v>0</v>
      </c>
      <c r="F4300" s="294" t="s">
        <v>316</v>
      </c>
    </row>
    <row r="4301" spans="1:6" hidden="1" outlineLevel="1" collapsed="1" x14ac:dyDescent="0.25">
      <c r="A4301" s="295" t="s">
        <v>282</v>
      </c>
      <c r="B4301" s="295" t="s">
        <v>662</v>
      </c>
      <c r="C4301" s="293">
        <v>2000</v>
      </c>
      <c r="D4301" s="293">
        <v>2000</v>
      </c>
      <c r="E4301" s="293">
        <v>0</v>
      </c>
      <c r="F4301" s="294" t="s">
        <v>316</v>
      </c>
    </row>
    <row r="4302" spans="1:6" hidden="1" outlineLevel="1" collapsed="1" x14ac:dyDescent="0.25">
      <c r="A4302" s="295" t="s">
        <v>282</v>
      </c>
      <c r="B4302" s="295" t="s">
        <v>506</v>
      </c>
      <c r="C4302" s="293">
        <v>1350</v>
      </c>
      <c r="D4302" s="293">
        <v>600</v>
      </c>
      <c r="E4302" s="293">
        <v>-750</v>
      </c>
      <c r="F4302" s="294" t="s">
        <v>1632</v>
      </c>
    </row>
    <row r="4303" spans="1:6" hidden="1" outlineLevel="1" collapsed="1" x14ac:dyDescent="0.25">
      <c r="A4303" s="295" t="s">
        <v>282</v>
      </c>
      <c r="B4303" s="295" t="s">
        <v>426</v>
      </c>
      <c r="C4303" s="293">
        <v>25000</v>
      </c>
      <c r="D4303" s="293">
        <v>25000</v>
      </c>
      <c r="E4303" s="293">
        <v>0</v>
      </c>
      <c r="F4303" s="294" t="s">
        <v>316</v>
      </c>
    </row>
    <row r="4304" spans="1:6" hidden="1" outlineLevel="1" collapsed="1" x14ac:dyDescent="0.25">
      <c r="A4304" s="295" t="s">
        <v>282</v>
      </c>
      <c r="B4304" s="295" t="s">
        <v>1103</v>
      </c>
      <c r="C4304" s="293">
        <v>12000</v>
      </c>
      <c r="D4304" s="293">
        <v>12000</v>
      </c>
      <c r="E4304" s="293">
        <v>0</v>
      </c>
      <c r="F4304" s="294" t="s">
        <v>316</v>
      </c>
    </row>
    <row r="4305" spans="1:6" hidden="1" outlineLevel="1" collapsed="1" x14ac:dyDescent="0.25">
      <c r="A4305" s="295" t="s">
        <v>282</v>
      </c>
      <c r="B4305" s="295" t="s">
        <v>707</v>
      </c>
      <c r="C4305" s="293">
        <v>1200</v>
      </c>
      <c r="D4305" s="293">
        <v>1200</v>
      </c>
      <c r="E4305" s="293">
        <v>0</v>
      </c>
      <c r="F4305" s="294" t="s">
        <v>316</v>
      </c>
    </row>
    <row r="4306" spans="1:6" hidden="1" outlineLevel="1" collapsed="1" x14ac:dyDescent="0.25">
      <c r="A4306" s="295" t="s">
        <v>282</v>
      </c>
      <c r="B4306" s="295" t="s">
        <v>482</v>
      </c>
      <c r="C4306" s="293">
        <v>650</v>
      </c>
      <c r="D4306" s="293">
        <v>600</v>
      </c>
      <c r="E4306" s="293">
        <v>-50</v>
      </c>
      <c r="F4306" s="294" t="s">
        <v>1633</v>
      </c>
    </row>
    <row r="4307" spans="1:6" hidden="1" outlineLevel="1" collapsed="1" x14ac:dyDescent="0.25">
      <c r="A4307" s="295" t="s">
        <v>282</v>
      </c>
      <c r="B4307" s="295" t="s">
        <v>597</v>
      </c>
      <c r="C4307" s="293">
        <v>30310</v>
      </c>
      <c r="D4307" s="293">
        <v>30310</v>
      </c>
      <c r="E4307" s="293">
        <v>0</v>
      </c>
      <c r="F4307" s="294" t="s">
        <v>316</v>
      </c>
    </row>
    <row r="4308" spans="1:6" hidden="1" outlineLevel="1" collapsed="1" x14ac:dyDescent="0.25">
      <c r="A4308" s="295" t="s">
        <v>282</v>
      </c>
      <c r="B4308" s="295" t="s">
        <v>416</v>
      </c>
      <c r="C4308" s="293">
        <v>1000</v>
      </c>
      <c r="D4308" s="293">
        <v>1000</v>
      </c>
      <c r="E4308" s="293">
        <v>0</v>
      </c>
      <c r="F4308" s="294" t="s">
        <v>316</v>
      </c>
    </row>
    <row r="4309" spans="1:6" hidden="1" outlineLevel="1" collapsed="1" x14ac:dyDescent="0.25">
      <c r="A4309" s="295" t="s">
        <v>282</v>
      </c>
      <c r="B4309" s="295" t="s">
        <v>626</v>
      </c>
      <c r="C4309" s="293">
        <v>1500</v>
      </c>
      <c r="D4309" s="293">
        <v>1500</v>
      </c>
      <c r="E4309" s="293">
        <v>0</v>
      </c>
      <c r="F4309" s="294" t="s">
        <v>316</v>
      </c>
    </row>
    <row r="4310" spans="1:6" hidden="1" outlineLevel="1" collapsed="1" x14ac:dyDescent="0.25">
      <c r="A4310" s="295" t="s">
        <v>282</v>
      </c>
      <c r="B4310" s="295" t="s">
        <v>405</v>
      </c>
      <c r="C4310" s="293">
        <v>30810.82</v>
      </c>
      <c r="D4310" s="293">
        <v>143700</v>
      </c>
      <c r="E4310" s="293">
        <v>112889.18</v>
      </c>
      <c r="F4310" s="294" t="s">
        <v>1634</v>
      </c>
    </row>
    <row r="4311" spans="1:6" hidden="1" outlineLevel="1" collapsed="1" x14ac:dyDescent="0.25">
      <c r="A4311" s="295" t="s">
        <v>282</v>
      </c>
      <c r="B4311" s="295" t="s">
        <v>557</v>
      </c>
      <c r="C4311" s="293">
        <v>850</v>
      </c>
      <c r="D4311" s="293">
        <v>500</v>
      </c>
      <c r="E4311" s="293">
        <v>-350</v>
      </c>
      <c r="F4311" s="294" t="s">
        <v>1635</v>
      </c>
    </row>
    <row r="4312" spans="1:6" collapsed="1" x14ac:dyDescent="0.25">
      <c r="A4312" s="560" t="s">
        <v>1636</v>
      </c>
      <c r="B4312" s="561"/>
      <c r="C4312" s="292">
        <v>283526.18497399997</v>
      </c>
      <c r="D4312" s="293">
        <v>334097.96566300001</v>
      </c>
      <c r="E4312" s="293">
        <v>50571.780688999999</v>
      </c>
      <c r="F4312" s="294" t="s">
        <v>1637</v>
      </c>
    </row>
    <row r="4313" spans="1:6" hidden="1" outlineLevel="1" collapsed="1" x14ac:dyDescent="0.25">
      <c r="A4313" s="295" t="s">
        <v>282</v>
      </c>
      <c r="B4313" s="295" t="s">
        <v>780</v>
      </c>
      <c r="C4313" s="293">
        <v>135039.819036</v>
      </c>
      <c r="D4313" s="293">
        <v>137048.31487199999</v>
      </c>
      <c r="E4313" s="293">
        <v>2008.4958360000001</v>
      </c>
      <c r="F4313" s="294" t="s">
        <v>781</v>
      </c>
    </row>
    <row r="4314" spans="1:6" hidden="1" outlineLevel="1" collapsed="1" x14ac:dyDescent="0.25">
      <c r="A4314" s="295" t="s">
        <v>282</v>
      </c>
      <c r="B4314" s="295" t="s">
        <v>464</v>
      </c>
      <c r="C4314" s="293">
        <v>75880.588153000004</v>
      </c>
      <c r="D4314" s="293">
        <v>93584.580428000001</v>
      </c>
      <c r="E4314" s="293">
        <v>17703.992275000001</v>
      </c>
      <c r="F4314" s="294" t="s">
        <v>1638</v>
      </c>
    </row>
    <row r="4315" spans="1:6" hidden="1" outlineLevel="1" collapsed="1" x14ac:dyDescent="0.25">
      <c r="A4315" s="295" t="s">
        <v>282</v>
      </c>
      <c r="B4315" s="295" t="s">
        <v>424</v>
      </c>
      <c r="C4315" s="293">
        <v>1000</v>
      </c>
      <c r="D4315" s="293">
        <v>1000</v>
      </c>
      <c r="E4315" s="293">
        <v>0</v>
      </c>
      <c r="F4315" s="294" t="s">
        <v>316</v>
      </c>
    </row>
    <row r="4316" spans="1:6" hidden="1" outlineLevel="1" collapsed="1" x14ac:dyDescent="0.25">
      <c r="A4316" s="295" t="s">
        <v>282</v>
      </c>
      <c r="B4316" s="295" t="s">
        <v>384</v>
      </c>
      <c r="C4316" s="293">
        <v>26318.826464000002</v>
      </c>
      <c r="D4316" s="293">
        <v>0</v>
      </c>
      <c r="E4316" s="293">
        <v>-26318.826464000002</v>
      </c>
      <c r="F4316" s="294" t="s">
        <v>286</v>
      </c>
    </row>
    <row r="4317" spans="1:6" hidden="1" outlineLevel="1" collapsed="1" x14ac:dyDescent="0.25">
      <c r="A4317" s="295" t="s">
        <v>282</v>
      </c>
      <c r="B4317" s="295" t="s">
        <v>385</v>
      </c>
      <c r="C4317" s="293">
        <v>0</v>
      </c>
      <c r="D4317" s="293">
        <v>54618.177449000003</v>
      </c>
      <c r="E4317" s="293">
        <v>54618.177449000003</v>
      </c>
      <c r="F4317" s="294" t="s">
        <v>298</v>
      </c>
    </row>
    <row r="4318" spans="1:6" hidden="1" outlineLevel="1" collapsed="1" x14ac:dyDescent="0.25">
      <c r="A4318" s="295" t="s">
        <v>282</v>
      </c>
      <c r="B4318" s="295" t="s">
        <v>386</v>
      </c>
      <c r="C4318" s="293">
        <v>4704.5964599999998</v>
      </c>
      <c r="D4318" s="293">
        <v>0</v>
      </c>
      <c r="E4318" s="293">
        <v>-4704.5964599999998</v>
      </c>
      <c r="F4318" s="294" t="s">
        <v>286</v>
      </c>
    </row>
    <row r="4319" spans="1:6" hidden="1" outlineLevel="1" collapsed="1" x14ac:dyDescent="0.25">
      <c r="A4319" s="295" t="s">
        <v>282</v>
      </c>
      <c r="B4319" s="295" t="s">
        <v>387</v>
      </c>
      <c r="C4319" s="293">
        <v>0</v>
      </c>
      <c r="D4319" s="293">
        <v>5802.2439780000004</v>
      </c>
      <c r="E4319" s="293">
        <v>5802.2439780000004</v>
      </c>
      <c r="F4319" s="294" t="s">
        <v>298</v>
      </c>
    </row>
    <row r="4320" spans="1:6" hidden="1" outlineLevel="1" collapsed="1" x14ac:dyDescent="0.25">
      <c r="A4320" s="295" t="s">
        <v>282</v>
      </c>
      <c r="B4320" s="295" t="s">
        <v>753</v>
      </c>
      <c r="C4320" s="293">
        <v>8372.4687720000002</v>
      </c>
      <c r="D4320" s="293">
        <v>8496.9955200000004</v>
      </c>
      <c r="E4320" s="293">
        <v>124.526748</v>
      </c>
      <c r="F4320" s="294" t="s">
        <v>781</v>
      </c>
    </row>
    <row r="4321" spans="1:6" hidden="1" outlineLevel="1" collapsed="1" x14ac:dyDescent="0.25">
      <c r="A4321" s="295" t="s">
        <v>282</v>
      </c>
      <c r="B4321" s="295" t="s">
        <v>388</v>
      </c>
      <c r="C4321" s="293">
        <v>3058.3458930000002</v>
      </c>
      <c r="D4321" s="293">
        <v>3344.1769770000001</v>
      </c>
      <c r="E4321" s="293">
        <v>285.83108399999998</v>
      </c>
      <c r="F4321" s="294" t="s">
        <v>1639</v>
      </c>
    </row>
    <row r="4322" spans="1:6" hidden="1" outlineLevel="1" collapsed="1" x14ac:dyDescent="0.25">
      <c r="A4322" s="295" t="s">
        <v>282</v>
      </c>
      <c r="B4322" s="295" t="s">
        <v>389</v>
      </c>
      <c r="C4322" s="293">
        <v>372.85919999999999</v>
      </c>
      <c r="D4322" s="293">
        <v>422.04</v>
      </c>
      <c r="E4322" s="293">
        <v>49.180799999999998</v>
      </c>
      <c r="F4322" s="294" t="s">
        <v>1506</v>
      </c>
    </row>
    <row r="4323" spans="1:6" hidden="1" outlineLevel="1" collapsed="1" x14ac:dyDescent="0.25">
      <c r="A4323" s="295" t="s">
        <v>282</v>
      </c>
      <c r="B4323" s="295" t="s">
        <v>392</v>
      </c>
      <c r="C4323" s="293">
        <v>204.3468</v>
      </c>
      <c r="D4323" s="293">
        <v>182.88</v>
      </c>
      <c r="E4323" s="293">
        <v>-21.466799999999999</v>
      </c>
      <c r="F4323" s="294" t="s">
        <v>1507</v>
      </c>
    </row>
    <row r="4324" spans="1:6" hidden="1" outlineLevel="1" collapsed="1" x14ac:dyDescent="0.25">
      <c r="A4324" s="295" t="s">
        <v>282</v>
      </c>
      <c r="B4324" s="295" t="s">
        <v>754</v>
      </c>
      <c r="C4324" s="293">
        <v>15358.56</v>
      </c>
      <c r="D4324" s="293">
        <v>15959.28</v>
      </c>
      <c r="E4324" s="293">
        <v>600.72</v>
      </c>
      <c r="F4324" s="294" t="s">
        <v>366</v>
      </c>
    </row>
    <row r="4325" spans="1:6" hidden="1" outlineLevel="1" collapsed="1" x14ac:dyDescent="0.25">
      <c r="A4325" s="295" t="s">
        <v>282</v>
      </c>
      <c r="B4325" s="295" t="s">
        <v>755</v>
      </c>
      <c r="C4325" s="293">
        <v>426.12479999999999</v>
      </c>
      <c r="D4325" s="293">
        <v>422.04</v>
      </c>
      <c r="E4325" s="293">
        <v>-4.0848000000000004</v>
      </c>
      <c r="F4325" s="294" t="s">
        <v>364</v>
      </c>
    </row>
    <row r="4326" spans="1:6" hidden="1" outlineLevel="1" collapsed="1" x14ac:dyDescent="0.25">
      <c r="A4326" s="295" t="s">
        <v>282</v>
      </c>
      <c r="B4326" s="295" t="s">
        <v>756</v>
      </c>
      <c r="C4326" s="293">
        <v>233.53919999999999</v>
      </c>
      <c r="D4326" s="293">
        <v>182.88</v>
      </c>
      <c r="E4326" s="293">
        <v>-50.659199999999998</v>
      </c>
      <c r="F4326" s="294" t="s">
        <v>368</v>
      </c>
    </row>
    <row r="4327" spans="1:6" hidden="1" outlineLevel="1" collapsed="1" x14ac:dyDescent="0.25">
      <c r="A4327" s="295" t="s">
        <v>282</v>
      </c>
      <c r="B4327" s="295" t="s">
        <v>393</v>
      </c>
      <c r="C4327" s="293">
        <v>37.940288000000002</v>
      </c>
      <c r="D4327" s="293">
        <v>46.792287000000002</v>
      </c>
      <c r="E4327" s="293">
        <v>8.8519989999999993</v>
      </c>
      <c r="F4327" s="294" t="s">
        <v>1638</v>
      </c>
    </row>
    <row r="4328" spans="1:6" hidden="1" outlineLevel="1" collapsed="1" x14ac:dyDescent="0.25">
      <c r="A4328" s="295" t="s">
        <v>282</v>
      </c>
      <c r="B4328" s="295" t="s">
        <v>757</v>
      </c>
      <c r="C4328" s="293">
        <v>67.519908000000001</v>
      </c>
      <c r="D4328" s="293">
        <v>0</v>
      </c>
      <c r="E4328" s="293">
        <v>-67.519908000000001</v>
      </c>
      <c r="F4328" s="294" t="s">
        <v>286</v>
      </c>
    </row>
    <row r="4329" spans="1:6" hidden="1" outlineLevel="1" collapsed="1" x14ac:dyDescent="0.25">
      <c r="A4329" s="295" t="s">
        <v>282</v>
      </c>
      <c r="B4329" s="295" t="s">
        <v>758</v>
      </c>
      <c r="C4329" s="293">
        <v>0</v>
      </c>
      <c r="D4329" s="293">
        <v>68.524152000000001</v>
      </c>
      <c r="E4329" s="293">
        <v>68.524152000000001</v>
      </c>
      <c r="F4329" s="294" t="s">
        <v>298</v>
      </c>
    </row>
    <row r="4330" spans="1:6" hidden="1" outlineLevel="1" collapsed="1" x14ac:dyDescent="0.25">
      <c r="A4330" s="295" t="s">
        <v>282</v>
      </c>
      <c r="B4330" s="295" t="s">
        <v>394</v>
      </c>
      <c r="C4330" s="293">
        <v>1312.5</v>
      </c>
      <c r="D4330" s="293">
        <v>0</v>
      </c>
      <c r="E4330" s="293">
        <v>-1312.5</v>
      </c>
      <c r="F4330" s="294" t="s">
        <v>286</v>
      </c>
    </row>
    <row r="4331" spans="1:6" hidden="1" outlineLevel="1" collapsed="1" x14ac:dyDescent="0.25">
      <c r="A4331" s="295" t="s">
        <v>282</v>
      </c>
      <c r="B4331" s="295" t="s">
        <v>395</v>
      </c>
      <c r="C4331" s="293">
        <v>0</v>
      </c>
      <c r="D4331" s="293">
        <v>1500</v>
      </c>
      <c r="E4331" s="293">
        <v>1500</v>
      </c>
      <c r="F4331" s="294" t="s">
        <v>298</v>
      </c>
    </row>
    <row r="4332" spans="1:6" hidden="1" outlineLevel="1" collapsed="1" x14ac:dyDescent="0.25">
      <c r="A4332" s="295" t="s">
        <v>282</v>
      </c>
      <c r="B4332" s="295" t="s">
        <v>759</v>
      </c>
      <c r="C4332" s="293">
        <v>1500</v>
      </c>
      <c r="D4332" s="293">
        <v>0</v>
      </c>
      <c r="E4332" s="293">
        <v>-1500</v>
      </c>
      <c r="F4332" s="294" t="s">
        <v>286</v>
      </c>
    </row>
    <row r="4333" spans="1:6" hidden="1" outlineLevel="1" collapsed="1" x14ac:dyDescent="0.25">
      <c r="A4333" s="295" t="s">
        <v>282</v>
      </c>
      <c r="B4333" s="295" t="s">
        <v>760</v>
      </c>
      <c r="C4333" s="293">
        <v>0</v>
      </c>
      <c r="D4333" s="293">
        <v>1500</v>
      </c>
      <c r="E4333" s="293">
        <v>1500</v>
      </c>
      <c r="F4333" s="294" t="s">
        <v>298</v>
      </c>
    </row>
    <row r="4334" spans="1:6" hidden="1" outlineLevel="1" collapsed="1" x14ac:dyDescent="0.25">
      <c r="A4334" s="295" t="s">
        <v>282</v>
      </c>
      <c r="B4334" s="295" t="s">
        <v>396</v>
      </c>
      <c r="C4334" s="293">
        <v>43.47</v>
      </c>
      <c r="D4334" s="293">
        <v>0</v>
      </c>
      <c r="E4334" s="293">
        <v>-43.47</v>
      </c>
      <c r="F4334" s="294" t="s">
        <v>286</v>
      </c>
    </row>
    <row r="4335" spans="1:6" hidden="1" outlineLevel="1" collapsed="1" x14ac:dyDescent="0.25">
      <c r="A4335" s="295" t="s">
        <v>282</v>
      </c>
      <c r="B4335" s="295" t="s">
        <v>397</v>
      </c>
      <c r="C4335" s="293">
        <v>0</v>
      </c>
      <c r="D4335" s="293">
        <v>48.48</v>
      </c>
      <c r="E4335" s="293">
        <v>48.48</v>
      </c>
      <c r="F4335" s="294" t="s">
        <v>298</v>
      </c>
    </row>
    <row r="4336" spans="1:6" hidden="1" outlineLevel="1" collapsed="1" x14ac:dyDescent="0.25">
      <c r="A4336" s="295" t="s">
        <v>282</v>
      </c>
      <c r="B4336" s="295" t="s">
        <v>761</v>
      </c>
      <c r="C4336" s="293">
        <v>49.68</v>
      </c>
      <c r="D4336" s="293">
        <v>0</v>
      </c>
      <c r="E4336" s="293">
        <v>-49.68</v>
      </c>
      <c r="F4336" s="294" t="s">
        <v>286</v>
      </c>
    </row>
    <row r="4337" spans="1:6" hidden="1" outlineLevel="1" collapsed="1" x14ac:dyDescent="0.25">
      <c r="A4337" s="295" t="s">
        <v>282</v>
      </c>
      <c r="B4337" s="295" t="s">
        <v>762</v>
      </c>
      <c r="C4337" s="293">
        <v>0</v>
      </c>
      <c r="D4337" s="293">
        <v>48.48</v>
      </c>
      <c r="E4337" s="293">
        <v>48.48</v>
      </c>
      <c r="F4337" s="294" t="s">
        <v>298</v>
      </c>
    </row>
    <row r="4338" spans="1:6" hidden="1" outlineLevel="1" collapsed="1" x14ac:dyDescent="0.25">
      <c r="A4338" s="295" t="s">
        <v>282</v>
      </c>
      <c r="B4338" s="295" t="s">
        <v>398</v>
      </c>
      <c r="C4338" s="293">
        <v>21</v>
      </c>
      <c r="D4338" s="293">
        <v>11.04</v>
      </c>
      <c r="E4338" s="293">
        <v>-9.9600000000000009</v>
      </c>
      <c r="F4338" s="294" t="s">
        <v>1508</v>
      </c>
    </row>
    <row r="4339" spans="1:6" hidden="1" outlineLevel="1" collapsed="1" x14ac:dyDescent="0.25">
      <c r="A4339" s="295" t="s">
        <v>282</v>
      </c>
      <c r="B4339" s="295" t="s">
        <v>763</v>
      </c>
      <c r="C4339" s="293">
        <v>24</v>
      </c>
      <c r="D4339" s="293">
        <v>11.04</v>
      </c>
      <c r="E4339" s="293">
        <v>-12.96</v>
      </c>
      <c r="F4339" s="294" t="s">
        <v>374</v>
      </c>
    </row>
    <row r="4340" spans="1:6" hidden="1" outlineLevel="1" collapsed="1" x14ac:dyDescent="0.25">
      <c r="A4340" s="295" t="s">
        <v>282</v>
      </c>
      <c r="B4340" s="295" t="s">
        <v>522</v>
      </c>
      <c r="C4340" s="293">
        <v>1500</v>
      </c>
      <c r="D4340" s="293">
        <v>3000</v>
      </c>
      <c r="E4340" s="293">
        <v>1500</v>
      </c>
      <c r="F4340" s="294" t="s">
        <v>298</v>
      </c>
    </row>
    <row r="4341" spans="1:6" hidden="1" outlineLevel="1" collapsed="1" x14ac:dyDescent="0.25">
      <c r="A4341" s="295" t="s">
        <v>282</v>
      </c>
      <c r="B4341" s="295" t="s">
        <v>376</v>
      </c>
      <c r="C4341" s="293">
        <v>1000</v>
      </c>
      <c r="D4341" s="293">
        <v>500</v>
      </c>
      <c r="E4341" s="293">
        <v>-500</v>
      </c>
      <c r="F4341" s="294" t="s">
        <v>722</v>
      </c>
    </row>
    <row r="4342" spans="1:6" hidden="1" outlineLevel="1" collapsed="1" x14ac:dyDescent="0.25">
      <c r="A4342" s="295" t="s">
        <v>282</v>
      </c>
      <c r="B4342" s="295" t="s">
        <v>426</v>
      </c>
      <c r="C4342" s="293">
        <v>2200</v>
      </c>
      <c r="D4342" s="293">
        <v>1100</v>
      </c>
      <c r="E4342" s="293">
        <v>-1100</v>
      </c>
      <c r="F4342" s="294" t="s">
        <v>722</v>
      </c>
    </row>
    <row r="4343" spans="1:6" hidden="1" outlineLevel="1" collapsed="1" x14ac:dyDescent="0.25">
      <c r="A4343" s="295" t="s">
        <v>282</v>
      </c>
      <c r="B4343" s="295" t="s">
        <v>482</v>
      </c>
      <c r="C4343" s="293">
        <v>1000</v>
      </c>
      <c r="D4343" s="293">
        <v>400</v>
      </c>
      <c r="E4343" s="293">
        <v>-600</v>
      </c>
      <c r="F4343" s="294" t="s">
        <v>1545</v>
      </c>
    </row>
    <row r="4344" spans="1:6" hidden="1" outlineLevel="1" collapsed="1" x14ac:dyDescent="0.25">
      <c r="A4344" s="295" t="s">
        <v>282</v>
      </c>
      <c r="B4344" s="295" t="s">
        <v>597</v>
      </c>
      <c r="C4344" s="293">
        <v>550</v>
      </c>
      <c r="D4344" s="293">
        <v>550</v>
      </c>
      <c r="E4344" s="293">
        <v>0</v>
      </c>
      <c r="F4344" s="294" t="s">
        <v>316</v>
      </c>
    </row>
    <row r="4345" spans="1:6" hidden="1" outlineLevel="1" collapsed="1" x14ac:dyDescent="0.25">
      <c r="A4345" s="295" t="s">
        <v>282</v>
      </c>
      <c r="B4345" s="295" t="s">
        <v>448</v>
      </c>
      <c r="C4345" s="293">
        <v>3250</v>
      </c>
      <c r="D4345" s="293">
        <v>4250</v>
      </c>
      <c r="E4345" s="293">
        <v>1000</v>
      </c>
      <c r="F4345" s="294" t="s">
        <v>1640</v>
      </c>
    </row>
    <row r="4346" spans="1:6" collapsed="1" x14ac:dyDescent="0.25">
      <c r="A4346" s="560" t="s">
        <v>1641</v>
      </c>
      <c r="B4346" s="561"/>
      <c r="C4346" s="292">
        <v>337083.39356</v>
      </c>
      <c r="D4346" s="293">
        <v>319415.43852800003</v>
      </c>
      <c r="E4346" s="293">
        <v>-17667.955032000002</v>
      </c>
      <c r="F4346" s="294" t="s">
        <v>590</v>
      </c>
    </row>
    <row r="4347" spans="1:6" hidden="1" outlineLevel="1" collapsed="1" x14ac:dyDescent="0.25">
      <c r="A4347" s="295" t="s">
        <v>282</v>
      </c>
      <c r="B4347" s="295" t="s">
        <v>942</v>
      </c>
      <c r="C4347" s="293">
        <v>104917.50879599999</v>
      </c>
      <c r="D4347" s="293">
        <v>106491.270072</v>
      </c>
      <c r="E4347" s="293">
        <v>1573.761276</v>
      </c>
      <c r="F4347" s="294" t="s">
        <v>510</v>
      </c>
    </row>
    <row r="4348" spans="1:6" hidden="1" outlineLevel="1" collapsed="1" x14ac:dyDescent="0.25">
      <c r="A4348" s="295" t="s">
        <v>282</v>
      </c>
      <c r="B4348" s="295" t="s">
        <v>935</v>
      </c>
      <c r="C4348" s="293">
        <v>34800</v>
      </c>
      <c r="D4348" s="293">
        <v>35000</v>
      </c>
      <c r="E4348" s="293">
        <v>200</v>
      </c>
      <c r="F4348" s="294" t="s">
        <v>1642</v>
      </c>
    </row>
    <row r="4349" spans="1:6" hidden="1" outlineLevel="1" collapsed="1" x14ac:dyDescent="0.25">
      <c r="A4349" s="295" t="s">
        <v>282</v>
      </c>
      <c r="B4349" s="295" t="s">
        <v>475</v>
      </c>
      <c r="C4349" s="293">
        <v>500</v>
      </c>
      <c r="D4349" s="293">
        <v>0</v>
      </c>
      <c r="E4349" s="293">
        <v>-500</v>
      </c>
      <c r="F4349" s="294" t="s">
        <v>286</v>
      </c>
    </row>
    <row r="4350" spans="1:6" hidden="1" outlineLevel="1" collapsed="1" x14ac:dyDescent="0.25">
      <c r="A4350" s="295" t="s">
        <v>282</v>
      </c>
      <c r="B4350" s="295" t="s">
        <v>425</v>
      </c>
      <c r="C4350" s="293">
        <v>5000</v>
      </c>
      <c r="D4350" s="293">
        <v>7500</v>
      </c>
      <c r="E4350" s="293">
        <v>2500</v>
      </c>
      <c r="F4350" s="294" t="s">
        <v>784</v>
      </c>
    </row>
    <row r="4351" spans="1:6" hidden="1" outlineLevel="1" collapsed="1" x14ac:dyDescent="0.25">
      <c r="A4351" s="295" t="s">
        <v>282</v>
      </c>
      <c r="B4351" s="295" t="s">
        <v>384</v>
      </c>
      <c r="C4351" s="293">
        <v>13198.622604</v>
      </c>
      <c r="D4351" s="293">
        <v>0</v>
      </c>
      <c r="E4351" s="293">
        <v>-13198.622604</v>
      </c>
      <c r="F4351" s="294" t="s">
        <v>286</v>
      </c>
    </row>
    <row r="4352" spans="1:6" hidden="1" outlineLevel="1" collapsed="1" x14ac:dyDescent="0.25">
      <c r="A4352" s="295" t="s">
        <v>282</v>
      </c>
      <c r="B4352" s="295" t="s">
        <v>385</v>
      </c>
      <c r="C4352" s="293">
        <v>0</v>
      </c>
      <c r="D4352" s="293">
        <v>16825.620672000001</v>
      </c>
      <c r="E4352" s="293">
        <v>16825.620672000001</v>
      </c>
      <c r="F4352" s="294" t="s">
        <v>298</v>
      </c>
    </row>
    <row r="4353" spans="1:6" hidden="1" outlineLevel="1" collapsed="1" x14ac:dyDescent="0.25">
      <c r="A4353" s="295" t="s">
        <v>282</v>
      </c>
      <c r="B4353" s="295" t="s">
        <v>386</v>
      </c>
      <c r="C4353" s="293">
        <v>6504.8855400000002</v>
      </c>
      <c r="D4353" s="293">
        <v>0</v>
      </c>
      <c r="E4353" s="293">
        <v>-6504.8855400000002</v>
      </c>
      <c r="F4353" s="294" t="s">
        <v>286</v>
      </c>
    </row>
    <row r="4354" spans="1:6" hidden="1" outlineLevel="1" collapsed="1" x14ac:dyDescent="0.25">
      <c r="A4354" s="295" t="s">
        <v>282</v>
      </c>
      <c r="B4354" s="295" t="s">
        <v>387</v>
      </c>
      <c r="C4354" s="293">
        <v>0</v>
      </c>
      <c r="D4354" s="293">
        <v>6602.45874</v>
      </c>
      <c r="E4354" s="293">
        <v>6602.45874</v>
      </c>
      <c r="F4354" s="294" t="s">
        <v>298</v>
      </c>
    </row>
    <row r="4355" spans="1:6" hidden="1" outlineLevel="1" collapsed="1" x14ac:dyDescent="0.25">
      <c r="A4355" s="295" t="s">
        <v>282</v>
      </c>
      <c r="B4355" s="295" t="s">
        <v>388</v>
      </c>
      <c r="C4355" s="293">
        <v>1521.3038759999999</v>
      </c>
      <c r="D4355" s="293">
        <v>1544.1234119999999</v>
      </c>
      <c r="E4355" s="293">
        <v>22.819535999999999</v>
      </c>
      <c r="F4355" s="294" t="s">
        <v>510</v>
      </c>
    </row>
    <row r="4356" spans="1:6" hidden="1" outlineLevel="1" collapsed="1" x14ac:dyDescent="0.25">
      <c r="A4356" s="295" t="s">
        <v>282</v>
      </c>
      <c r="B4356" s="295" t="s">
        <v>444</v>
      </c>
      <c r="C4356" s="293">
        <v>3420</v>
      </c>
      <c r="D4356" s="293">
        <v>3150</v>
      </c>
      <c r="E4356" s="293">
        <v>-270</v>
      </c>
      <c r="F4356" s="294" t="s">
        <v>1643</v>
      </c>
    </row>
    <row r="4357" spans="1:6" hidden="1" outlineLevel="1" collapsed="1" x14ac:dyDescent="0.25">
      <c r="A4357" s="295" t="s">
        <v>282</v>
      </c>
      <c r="B4357" s="295" t="s">
        <v>389</v>
      </c>
      <c r="C4357" s="293">
        <v>426.12479999999999</v>
      </c>
      <c r="D4357" s="293">
        <v>422.04</v>
      </c>
      <c r="E4357" s="293">
        <v>-4.0848000000000004</v>
      </c>
      <c r="F4357" s="294" t="s">
        <v>364</v>
      </c>
    </row>
    <row r="4358" spans="1:6" hidden="1" outlineLevel="1" collapsed="1" x14ac:dyDescent="0.25">
      <c r="A4358" s="295" t="s">
        <v>282</v>
      </c>
      <c r="B4358" s="295" t="s">
        <v>390</v>
      </c>
      <c r="C4358" s="293">
        <v>15485.27</v>
      </c>
      <c r="D4358" s="293">
        <v>15959.28</v>
      </c>
      <c r="E4358" s="293">
        <v>474.01</v>
      </c>
      <c r="F4358" s="294" t="s">
        <v>391</v>
      </c>
    </row>
    <row r="4359" spans="1:6" hidden="1" outlineLevel="1" collapsed="1" x14ac:dyDescent="0.25">
      <c r="A4359" s="295" t="s">
        <v>282</v>
      </c>
      <c r="B4359" s="295" t="s">
        <v>392</v>
      </c>
      <c r="C4359" s="293">
        <v>233.53919999999999</v>
      </c>
      <c r="D4359" s="293">
        <v>182.88</v>
      </c>
      <c r="E4359" s="293">
        <v>-50.659199999999998</v>
      </c>
      <c r="F4359" s="294" t="s">
        <v>368</v>
      </c>
    </row>
    <row r="4360" spans="1:6" hidden="1" outlineLevel="1" collapsed="1" x14ac:dyDescent="0.25">
      <c r="A4360" s="295" t="s">
        <v>282</v>
      </c>
      <c r="B4360" s="295" t="s">
        <v>393</v>
      </c>
      <c r="C4360" s="293">
        <v>52.458744000000003</v>
      </c>
      <c r="D4360" s="293">
        <v>53.245632000000001</v>
      </c>
      <c r="E4360" s="293">
        <v>0.78688800000000003</v>
      </c>
      <c r="F4360" s="294" t="s">
        <v>510</v>
      </c>
    </row>
    <row r="4361" spans="1:6" hidden="1" outlineLevel="1" collapsed="1" x14ac:dyDescent="0.25">
      <c r="A4361" s="295" t="s">
        <v>282</v>
      </c>
      <c r="B4361" s="295" t="s">
        <v>394</v>
      </c>
      <c r="C4361" s="293">
        <v>1500</v>
      </c>
      <c r="D4361" s="293">
        <v>0</v>
      </c>
      <c r="E4361" s="293">
        <v>-1500</v>
      </c>
      <c r="F4361" s="294" t="s">
        <v>286</v>
      </c>
    </row>
    <row r="4362" spans="1:6" hidden="1" outlineLevel="1" collapsed="1" x14ac:dyDescent="0.25">
      <c r="A4362" s="295" t="s">
        <v>282</v>
      </c>
      <c r="B4362" s="295" t="s">
        <v>395</v>
      </c>
      <c r="C4362" s="293">
        <v>0</v>
      </c>
      <c r="D4362" s="293">
        <v>1500</v>
      </c>
      <c r="E4362" s="293">
        <v>1500</v>
      </c>
      <c r="F4362" s="294" t="s">
        <v>298</v>
      </c>
    </row>
    <row r="4363" spans="1:6" hidden="1" outlineLevel="1" collapsed="1" x14ac:dyDescent="0.25">
      <c r="A4363" s="295" t="s">
        <v>282</v>
      </c>
      <c r="B4363" s="295" t="s">
        <v>396</v>
      </c>
      <c r="C4363" s="293">
        <v>49.68</v>
      </c>
      <c r="D4363" s="293">
        <v>0</v>
      </c>
      <c r="E4363" s="293">
        <v>-49.68</v>
      </c>
      <c r="F4363" s="294" t="s">
        <v>286</v>
      </c>
    </row>
    <row r="4364" spans="1:6" hidden="1" outlineLevel="1" collapsed="1" x14ac:dyDescent="0.25">
      <c r="A4364" s="295" t="s">
        <v>282</v>
      </c>
      <c r="B4364" s="295" t="s">
        <v>397</v>
      </c>
      <c r="C4364" s="293">
        <v>0</v>
      </c>
      <c r="D4364" s="293">
        <v>48.48</v>
      </c>
      <c r="E4364" s="293">
        <v>48.48</v>
      </c>
      <c r="F4364" s="294" t="s">
        <v>298</v>
      </c>
    </row>
    <row r="4365" spans="1:6" hidden="1" outlineLevel="1" collapsed="1" x14ac:dyDescent="0.25">
      <c r="A4365" s="295" t="s">
        <v>282</v>
      </c>
      <c r="B4365" s="295" t="s">
        <v>398</v>
      </c>
      <c r="C4365" s="293">
        <v>24</v>
      </c>
      <c r="D4365" s="293">
        <v>11.04</v>
      </c>
      <c r="E4365" s="293">
        <v>-12.96</v>
      </c>
      <c r="F4365" s="294" t="s">
        <v>374</v>
      </c>
    </row>
    <row r="4366" spans="1:6" hidden="1" outlineLevel="1" collapsed="1" x14ac:dyDescent="0.25">
      <c r="A4366" s="295" t="s">
        <v>282</v>
      </c>
      <c r="B4366" s="295" t="s">
        <v>376</v>
      </c>
      <c r="C4366" s="293">
        <v>1000</v>
      </c>
      <c r="D4366" s="293">
        <v>2400</v>
      </c>
      <c r="E4366" s="293">
        <v>1400</v>
      </c>
      <c r="F4366" s="294" t="s">
        <v>1644</v>
      </c>
    </row>
    <row r="4367" spans="1:6" hidden="1" outlineLevel="1" collapsed="1" x14ac:dyDescent="0.25">
      <c r="A4367" s="295" t="s">
        <v>282</v>
      </c>
      <c r="B4367" s="295" t="s">
        <v>506</v>
      </c>
      <c r="C4367" s="293">
        <v>0</v>
      </c>
      <c r="D4367" s="293">
        <v>325</v>
      </c>
      <c r="E4367" s="293">
        <v>325</v>
      </c>
      <c r="F4367" s="294" t="s">
        <v>298</v>
      </c>
    </row>
    <row r="4368" spans="1:6" hidden="1" outlineLevel="1" collapsed="1" x14ac:dyDescent="0.25">
      <c r="A4368" s="295" t="s">
        <v>282</v>
      </c>
      <c r="B4368" s="295" t="s">
        <v>567</v>
      </c>
      <c r="C4368" s="293">
        <v>54500</v>
      </c>
      <c r="D4368" s="293">
        <v>45000</v>
      </c>
      <c r="E4368" s="293">
        <v>-9500</v>
      </c>
      <c r="F4368" s="294" t="s">
        <v>1645</v>
      </c>
    </row>
    <row r="4369" spans="1:6" hidden="1" outlineLevel="1" collapsed="1" x14ac:dyDescent="0.25">
      <c r="A4369" s="295" t="s">
        <v>282</v>
      </c>
      <c r="B4369" s="295" t="s">
        <v>426</v>
      </c>
      <c r="C4369" s="293">
        <v>4250</v>
      </c>
      <c r="D4369" s="293">
        <v>3000</v>
      </c>
      <c r="E4369" s="293">
        <v>-1250</v>
      </c>
      <c r="F4369" s="294" t="s">
        <v>1646</v>
      </c>
    </row>
    <row r="4370" spans="1:6" hidden="1" outlineLevel="1" collapsed="1" x14ac:dyDescent="0.25">
      <c r="A4370" s="295" t="s">
        <v>282</v>
      </c>
      <c r="B4370" s="295" t="s">
        <v>482</v>
      </c>
      <c r="C4370" s="293">
        <v>1000</v>
      </c>
      <c r="D4370" s="293">
        <v>500</v>
      </c>
      <c r="E4370" s="293">
        <v>-500</v>
      </c>
      <c r="F4370" s="294" t="s">
        <v>722</v>
      </c>
    </row>
    <row r="4371" spans="1:6" hidden="1" outlineLevel="1" collapsed="1" x14ac:dyDescent="0.25">
      <c r="A4371" s="295" t="s">
        <v>282</v>
      </c>
      <c r="B4371" s="295" t="s">
        <v>597</v>
      </c>
      <c r="C4371" s="293">
        <v>500</v>
      </c>
      <c r="D4371" s="293">
        <v>650</v>
      </c>
      <c r="E4371" s="293">
        <v>150</v>
      </c>
      <c r="F4371" s="294" t="s">
        <v>1647</v>
      </c>
    </row>
    <row r="4372" spans="1:6" hidden="1" outlineLevel="1" collapsed="1" x14ac:dyDescent="0.25">
      <c r="A4372" s="295" t="s">
        <v>282</v>
      </c>
      <c r="B4372" s="295" t="s">
        <v>842</v>
      </c>
      <c r="C4372" s="293">
        <v>6000</v>
      </c>
      <c r="D4372" s="293">
        <v>12500</v>
      </c>
      <c r="E4372" s="293">
        <v>6500</v>
      </c>
      <c r="F4372" s="294" t="s">
        <v>1648</v>
      </c>
    </row>
    <row r="4373" spans="1:6" hidden="1" outlineLevel="1" collapsed="1" x14ac:dyDescent="0.25">
      <c r="A4373" s="295" t="s">
        <v>282</v>
      </c>
      <c r="B4373" s="295" t="s">
        <v>416</v>
      </c>
      <c r="C4373" s="293">
        <v>1200</v>
      </c>
      <c r="D4373" s="293">
        <v>1000</v>
      </c>
      <c r="E4373" s="293">
        <v>-200</v>
      </c>
      <c r="F4373" s="294" t="s">
        <v>852</v>
      </c>
    </row>
    <row r="4374" spans="1:6" hidden="1" outlineLevel="1" collapsed="1" x14ac:dyDescent="0.25">
      <c r="A4374" s="295" t="s">
        <v>282</v>
      </c>
      <c r="B4374" s="295" t="s">
        <v>448</v>
      </c>
      <c r="C4374" s="293">
        <v>6500</v>
      </c>
      <c r="D4374" s="293">
        <v>10000</v>
      </c>
      <c r="E4374" s="293">
        <v>3500</v>
      </c>
      <c r="F4374" s="294" t="s">
        <v>1649</v>
      </c>
    </row>
    <row r="4375" spans="1:6" hidden="1" outlineLevel="1" collapsed="1" x14ac:dyDescent="0.25">
      <c r="A4375" s="295" t="s">
        <v>282</v>
      </c>
      <c r="B4375" s="295" t="s">
        <v>626</v>
      </c>
      <c r="C4375" s="293">
        <v>64000</v>
      </c>
      <c r="D4375" s="293">
        <v>40000</v>
      </c>
      <c r="E4375" s="293">
        <v>-24000</v>
      </c>
      <c r="F4375" s="294" t="s">
        <v>1650</v>
      </c>
    </row>
    <row r="4376" spans="1:6" hidden="1" outlineLevel="1" collapsed="1" x14ac:dyDescent="0.25">
      <c r="A4376" s="295" t="s">
        <v>282</v>
      </c>
      <c r="B4376" s="295" t="s">
        <v>405</v>
      </c>
      <c r="C4376" s="293">
        <v>1000</v>
      </c>
      <c r="D4376" s="293">
        <v>750</v>
      </c>
      <c r="E4376" s="293">
        <v>-250</v>
      </c>
      <c r="F4376" s="294" t="s">
        <v>1321</v>
      </c>
    </row>
    <row r="4377" spans="1:6" hidden="1" outlineLevel="1" collapsed="1" x14ac:dyDescent="0.25">
      <c r="A4377" s="295" t="s">
        <v>282</v>
      </c>
      <c r="B4377" s="295" t="s">
        <v>557</v>
      </c>
      <c r="C4377" s="293">
        <v>8000</v>
      </c>
      <c r="D4377" s="293">
        <v>5000</v>
      </c>
      <c r="E4377" s="293">
        <v>-3000</v>
      </c>
      <c r="F4377" s="294" t="s">
        <v>1650</v>
      </c>
    </row>
    <row r="4378" spans="1:6" hidden="1" outlineLevel="1" collapsed="1" x14ac:dyDescent="0.25">
      <c r="A4378" s="295" t="s">
        <v>282</v>
      </c>
      <c r="B4378" s="295" t="s">
        <v>770</v>
      </c>
      <c r="C4378" s="293">
        <v>1500</v>
      </c>
      <c r="D4378" s="293">
        <v>3000</v>
      </c>
      <c r="E4378" s="293">
        <v>1500</v>
      </c>
      <c r="F4378" s="294" t="s">
        <v>298</v>
      </c>
    </row>
    <row r="4379" spans="1:6" collapsed="1" x14ac:dyDescent="0.25">
      <c r="A4379" s="560" t="s">
        <v>1651</v>
      </c>
      <c r="B4379" s="561"/>
      <c r="C4379" s="292">
        <v>146352.09855900001</v>
      </c>
      <c r="D4379" s="293">
        <v>145916.54161300001</v>
      </c>
      <c r="E4379" s="293">
        <v>-435.55694599999998</v>
      </c>
      <c r="F4379" s="294" t="s">
        <v>1652</v>
      </c>
    </row>
    <row r="4380" spans="1:6" hidden="1" outlineLevel="1" collapsed="1" x14ac:dyDescent="0.25">
      <c r="A4380" s="295" t="s">
        <v>282</v>
      </c>
      <c r="B4380" s="295" t="s">
        <v>464</v>
      </c>
      <c r="C4380" s="293">
        <v>93082.115439000001</v>
      </c>
      <c r="D4380" s="293">
        <v>91451.020730000004</v>
      </c>
      <c r="E4380" s="293">
        <v>-1631.094709</v>
      </c>
      <c r="F4380" s="294" t="s">
        <v>1653</v>
      </c>
    </row>
    <row r="4381" spans="1:6" hidden="1" outlineLevel="1" collapsed="1" x14ac:dyDescent="0.25">
      <c r="A4381" s="295" t="s">
        <v>282</v>
      </c>
      <c r="B4381" s="295" t="s">
        <v>475</v>
      </c>
      <c r="C4381" s="293">
        <v>400</v>
      </c>
      <c r="D4381" s="293">
        <v>400</v>
      </c>
      <c r="E4381" s="293">
        <v>0</v>
      </c>
      <c r="F4381" s="294" t="s">
        <v>316</v>
      </c>
    </row>
    <row r="4382" spans="1:6" hidden="1" outlineLevel="1" collapsed="1" x14ac:dyDescent="0.25">
      <c r="A4382" s="295" t="s">
        <v>282</v>
      </c>
      <c r="B4382" s="295" t="s">
        <v>384</v>
      </c>
      <c r="C4382" s="293">
        <v>9066.4469590000008</v>
      </c>
      <c r="D4382" s="293">
        <v>0</v>
      </c>
      <c r="E4382" s="293">
        <v>-9066.4469590000008</v>
      </c>
      <c r="F4382" s="294" t="s">
        <v>286</v>
      </c>
    </row>
    <row r="4383" spans="1:6" hidden="1" outlineLevel="1" collapsed="1" x14ac:dyDescent="0.25">
      <c r="A4383" s="295" t="s">
        <v>282</v>
      </c>
      <c r="B4383" s="295" t="s">
        <v>385</v>
      </c>
      <c r="C4383" s="293">
        <v>0</v>
      </c>
      <c r="D4383" s="293">
        <v>11731.286281000001</v>
      </c>
      <c r="E4383" s="293">
        <v>11731.286281000001</v>
      </c>
      <c r="F4383" s="294" t="s">
        <v>298</v>
      </c>
    </row>
    <row r="4384" spans="1:6" hidden="1" outlineLevel="1" collapsed="1" x14ac:dyDescent="0.25">
      <c r="A4384" s="295" t="s">
        <v>282</v>
      </c>
      <c r="B4384" s="295" t="s">
        <v>386</v>
      </c>
      <c r="C4384" s="293">
        <v>5505.6976640000003</v>
      </c>
      <c r="D4384" s="293">
        <v>0</v>
      </c>
      <c r="E4384" s="293">
        <v>-5505.6976640000003</v>
      </c>
      <c r="F4384" s="294" t="s">
        <v>286</v>
      </c>
    </row>
    <row r="4385" spans="1:6" hidden="1" outlineLevel="1" collapsed="1" x14ac:dyDescent="0.25">
      <c r="A4385" s="295" t="s">
        <v>282</v>
      </c>
      <c r="B4385" s="295" t="s">
        <v>387</v>
      </c>
      <c r="C4385" s="293">
        <v>0</v>
      </c>
      <c r="D4385" s="293">
        <v>5669.9632739999997</v>
      </c>
      <c r="E4385" s="293">
        <v>5669.9632739999997</v>
      </c>
      <c r="F4385" s="294" t="s">
        <v>298</v>
      </c>
    </row>
    <row r="4386" spans="1:6" hidden="1" outlineLevel="1" collapsed="1" x14ac:dyDescent="0.25">
      <c r="A4386" s="295" t="s">
        <v>282</v>
      </c>
      <c r="B4386" s="295" t="s">
        <v>388</v>
      </c>
      <c r="C4386" s="293">
        <v>1287.6228369999999</v>
      </c>
      <c r="D4386" s="293">
        <v>1326.039779</v>
      </c>
      <c r="E4386" s="293">
        <v>38.416941999999999</v>
      </c>
      <c r="F4386" s="294" t="s">
        <v>381</v>
      </c>
    </row>
    <row r="4387" spans="1:6" hidden="1" outlineLevel="1" collapsed="1" x14ac:dyDescent="0.25">
      <c r="A4387" s="295" t="s">
        <v>282</v>
      </c>
      <c r="B4387" s="295" t="s">
        <v>480</v>
      </c>
      <c r="C4387" s="293">
        <v>202.63424499999999</v>
      </c>
      <c r="D4387" s="293">
        <v>208.758847</v>
      </c>
      <c r="E4387" s="293">
        <v>6.1246020000000003</v>
      </c>
      <c r="F4387" s="294" t="s">
        <v>520</v>
      </c>
    </row>
    <row r="4388" spans="1:6" hidden="1" outlineLevel="1" collapsed="1" x14ac:dyDescent="0.25">
      <c r="A4388" s="295" t="s">
        <v>282</v>
      </c>
      <c r="B4388" s="295" t="s">
        <v>444</v>
      </c>
      <c r="C4388" s="293">
        <v>2428.42</v>
      </c>
      <c r="D4388" s="293">
        <v>36</v>
      </c>
      <c r="E4388" s="293">
        <v>-2392.42</v>
      </c>
      <c r="F4388" s="294" t="s">
        <v>1654</v>
      </c>
    </row>
    <row r="4389" spans="1:6" hidden="1" outlineLevel="1" collapsed="1" x14ac:dyDescent="0.25">
      <c r="A4389" s="295" t="s">
        <v>282</v>
      </c>
      <c r="B4389" s="295" t="s">
        <v>389</v>
      </c>
      <c r="C4389" s="293">
        <v>749.979648</v>
      </c>
      <c r="D4389" s="293">
        <v>742.79039999999998</v>
      </c>
      <c r="E4389" s="293">
        <v>-7.1892480000000001</v>
      </c>
      <c r="F4389" s="294" t="s">
        <v>364</v>
      </c>
    </row>
    <row r="4390" spans="1:6" hidden="1" outlineLevel="1" collapsed="1" x14ac:dyDescent="0.25">
      <c r="A4390" s="295" t="s">
        <v>282</v>
      </c>
      <c r="B4390" s="295" t="s">
        <v>390</v>
      </c>
      <c r="C4390" s="293">
        <v>27254.075199999999</v>
      </c>
      <c r="D4390" s="293">
        <v>28088.3328</v>
      </c>
      <c r="E4390" s="293">
        <v>834.25760000000002</v>
      </c>
      <c r="F4390" s="294" t="s">
        <v>391</v>
      </c>
    </row>
    <row r="4391" spans="1:6" hidden="1" outlineLevel="1" collapsed="1" x14ac:dyDescent="0.25">
      <c r="A4391" s="295" t="s">
        <v>282</v>
      </c>
      <c r="B4391" s="295" t="s">
        <v>392</v>
      </c>
      <c r="C4391" s="293">
        <v>411.02899200000002</v>
      </c>
      <c r="D4391" s="293">
        <v>321.86880000000002</v>
      </c>
      <c r="E4391" s="293">
        <v>-89.160191999999995</v>
      </c>
      <c r="F4391" s="294" t="s">
        <v>368</v>
      </c>
    </row>
    <row r="4392" spans="1:6" hidden="1" outlineLevel="1" collapsed="1" x14ac:dyDescent="0.25">
      <c r="A4392" s="295" t="s">
        <v>282</v>
      </c>
      <c r="B4392" s="295" t="s">
        <v>393</v>
      </c>
      <c r="C4392" s="293">
        <v>44.400775000000003</v>
      </c>
      <c r="D4392" s="293">
        <v>45.725501999999999</v>
      </c>
      <c r="E4392" s="293">
        <v>1.324727</v>
      </c>
      <c r="F4392" s="294" t="s">
        <v>381</v>
      </c>
    </row>
    <row r="4393" spans="1:6" hidden="1" outlineLevel="1" collapsed="1" x14ac:dyDescent="0.25">
      <c r="A4393" s="295" t="s">
        <v>282</v>
      </c>
      <c r="B4393" s="295" t="s">
        <v>394</v>
      </c>
      <c r="C4393" s="293">
        <v>2640</v>
      </c>
      <c r="D4393" s="293">
        <v>0</v>
      </c>
      <c r="E4393" s="293">
        <v>-2640</v>
      </c>
      <c r="F4393" s="294" t="s">
        <v>286</v>
      </c>
    </row>
    <row r="4394" spans="1:6" hidden="1" outlineLevel="1" collapsed="1" x14ac:dyDescent="0.25">
      <c r="A4394" s="295" t="s">
        <v>282</v>
      </c>
      <c r="B4394" s="295" t="s">
        <v>395</v>
      </c>
      <c r="C4394" s="293">
        <v>0</v>
      </c>
      <c r="D4394" s="293">
        <v>2640</v>
      </c>
      <c r="E4394" s="293">
        <v>2640</v>
      </c>
      <c r="F4394" s="294" t="s">
        <v>298</v>
      </c>
    </row>
    <row r="4395" spans="1:6" hidden="1" outlineLevel="1" collapsed="1" x14ac:dyDescent="0.25">
      <c r="A4395" s="295" t="s">
        <v>282</v>
      </c>
      <c r="B4395" s="295" t="s">
        <v>396</v>
      </c>
      <c r="C4395" s="293">
        <v>87.436800000000005</v>
      </c>
      <c r="D4395" s="293">
        <v>0</v>
      </c>
      <c r="E4395" s="293">
        <v>-87.436800000000005</v>
      </c>
      <c r="F4395" s="294" t="s">
        <v>286</v>
      </c>
    </row>
    <row r="4396" spans="1:6" hidden="1" outlineLevel="1" collapsed="1" x14ac:dyDescent="0.25">
      <c r="A4396" s="295" t="s">
        <v>282</v>
      </c>
      <c r="B4396" s="295" t="s">
        <v>397</v>
      </c>
      <c r="C4396" s="293">
        <v>0</v>
      </c>
      <c r="D4396" s="293">
        <v>85.324799999999996</v>
      </c>
      <c r="E4396" s="293">
        <v>85.324799999999996</v>
      </c>
      <c r="F4396" s="294" t="s">
        <v>298</v>
      </c>
    </row>
    <row r="4397" spans="1:6" hidden="1" outlineLevel="1" collapsed="1" x14ac:dyDescent="0.25">
      <c r="A4397" s="295" t="s">
        <v>282</v>
      </c>
      <c r="B4397" s="295" t="s">
        <v>398</v>
      </c>
      <c r="C4397" s="293">
        <v>42.24</v>
      </c>
      <c r="D4397" s="293">
        <v>19.430399999999999</v>
      </c>
      <c r="E4397" s="293">
        <v>-22.8096</v>
      </c>
      <c r="F4397" s="294" t="s">
        <v>374</v>
      </c>
    </row>
    <row r="4398" spans="1:6" hidden="1" outlineLevel="1" collapsed="1" x14ac:dyDescent="0.25">
      <c r="A4398" s="295" t="s">
        <v>282</v>
      </c>
      <c r="B4398" s="295" t="s">
        <v>416</v>
      </c>
      <c r="C4398" s="293">
        <v>3150</v>
      </c>
      <c r="D4398" s="293">
        <v>3150</v>
      </c>
      <c r="E4398" s="293">
        <v>0</v>
      </c>
      <c r="F4398" s="294" t="s">
        <v>316</v>
      </c>
    </row>
    <row r="4399" spans="1:6" collapsed="1" x14ac:dyDescent="0.25">
      <c r="A4399" s="560" t="s">
        <v>1655</v>
      </c>
      <c r="B4399" s="561"/>
      <c r="C4399" s="292">
        <v>11925</v>
      </c>
      <c r="D4399" s="293">
        <v>11983</v>
      </c>
      <c r="E4399" s="293">
        <v>58</v>
      </c>
      <c r="F4399" s="294" t="s">
        <v>1656</v>
      </c>
    </row>
    <row r="4400" spans="1:6" hidden="1" outlineLevel="1" collapsed="1" x14ac:dyDescent="0.25">
      <c r="A4400" s="295" t="s">
        <v>282</v>
      </c>
      <c r="B4400" s="295" t="s">
        <v>441</v>
      </c>
      <c r="C4400" s="293">
        <v>6400</v>
      </c>
      <c r="D4400" s="293">
        <v>6400</v>
      </c>
      <c r="E4400" s="293">
        <v>0</v>
      </c>
      <c r="F4400" s="294" t="s">
        <v>316</v>
      </c>
    </row>
    <row r="4401" spans="1:6" hidden="1" outlineLevel="1" collapsed="1" x14ac:dyDescent="0.25">
      <c r="A4401" s="295" t="s">
        <v>282</v>
      </c>
      <c r="B4401" s="295" t="s">
        <v>444</v>
      </c>
      <c r="C4401" s="293">
        <v>0</v>
      </c>
      <c r="D4401" s="293">
        <v>783</v>
      </c>
      <c r="E4401" s="293">
        <v>783</v>
      </c>
      <c r="F4401" s="294" t="s">
        <v>298</v>
      </c>
    </row>
    <row r="4402" spans="1:6" hidden="1" outlineLevel="1" collapsed="1" x14ac:dyDescent="0.25">
      <c r="A4402" s="295" t="s">
        <v>282</v>
      </c>
      <c r="B4402" s="295" t="s">
        <v>399</v>
      </c>
      <c r="C4402" s="293">
        <v>500</v>
      </c>
      <c r="D4402" s="293">
        <v>500</v>
      </c>
      <c r="E4402" s="293">
        <v>0</v>
      </c>
      <c r="F4402" s="294" t="s">
        <v>316</v>
      </c>
    </row>
    <row r="4403" spans="1:6" hidden="1" outlineLevel="1" collapsed="1" x14ac:dyDescent="0.25">
      <c r="A4403" s="295" t="s">
        <v>282</v>
      </c>
      <c r="B4403" s="295" t="s">
        <v>567</v>
      </c>
      <c r="C4403" s="293">
        <v>1000</v>
      </c>
      <c r="D4403" s="293">
        <v>600</v>
      </c>
      <c r="E4403" s="293">
        <v>-400</v>
      </c>
      <c r="F4403" s="294" t="s">
        <v>1107</v>
      </c>
    </row>
    <row r="4404" spans="1:6" hidden="1" outlineLevel="1" collapsed="1" x14ac:dyDescent="0.25">
      <c r="A4404" s="295" t="s">
        <v>282</v>
      </c>
      <c r="B4404" s="295" t="s">
        <v>426</v>
      </c>
      <c r="C4404" s="293">
        <v>3825</v>
      </c>
      <c r="D4404" s="293">
        <v>3500</v>
      </c>
      <c r="E4404" s="293">
        <v>-325</v>
      </c>
      <c r="F4404" s="294" t="s">
        <v>1657</v>
      </c>
    </row>
    <row r="4405" spans="1:6" hidden="1" outlineLevel="1" collapsed="1" x14ac:dyDescent="0.25">
      <c r="A4405" s="295" t="s">
        <v>282</v>
      </c>
      <c r="B4405" s="295" t="s">
        <v>597</v>
      </c>
      <c r="C4405" s="293">
        <v>200</v>
      </c>
      <c r="D4405" s="293">
        <v>200</v>
      </c>
      <c r="E4405" s="293">
        <v>0</v>
      </c>
      <c r="F4405" s="294" t="s">
        <v>316</v>
      </c>
    </row>
    <row r="4406" spans="1:6" collapsed="1" x14ac:dyDescent="0.25">
      <c r="A4406" s="560" t="s">
        <v>1658</v>
      </c>
      <c r="B4406" s="561"/>
      <c r="C4406" s="292">
        <v>59721.755884999999</v>
      </c>
      <c r="D4406" s="293">
        <v>62593.535787000001</v>
      </c>
      <c r="E4406" s="293">
        <v>2871.7799020000002</v>
      </c>
      <c r="F4406" s="294" t="s">
        <v>1659</v>
      </c>
    </row>
    <row r="4407" spans="1:6" hidden="1" outlineLevel="1" collapsed="1" x14ac:dyDescent="0.25">
      <c r="A4407" s="295" t="s">
        <v>282</v>
      </c>
      <c r="B4407" s="295" t="s">
        <v>464</v>
      </c>
      <c r="C4407" s="293">
        <v>36748.697353000003</v>
      </c>
      <c r="D4407" s="293">
        <v>37842.136207000003</v>
      </c>
      <c r="E4407" s="293">
        <v>1093.438854</v>
      </c>
      <c r="F4407" s="294" t="s">
        <v>381</v>
      </c>
    </row>
    <row r="4408" spans="1:6" hidden="1" outlineLevel="1" collapsed="1" x14ac:dyDescent="0.25">
      <c r="A4408" s="295" t="s">
        <v>282</v>
      </c>
      <c r="B4408" s="295" t="s">
        <v>384</v>
      </c>
      <c r="C4408" s="293">
        <v>4551.0285219999996</v>
      </c>
      <c r="D4408" s="293">
        <v>0</v>
      </c>
      <c r="E4408" s="293">
        <v>-4551.0285219999996</v>
      </c>
      <c r="F4408" s="294" t="s">
        <v>286</v>
      </c>
    </row>
    <row r="4409" spans="1:6" hidden="1" outlineLevel="1" collapsed="1" x14ac:dyDescent="0.25">
      <c r="A4409" s="295" t="s">
        <v>282</v>
      </c>
      <c r="B4409" s="295" t="s">
        <v>385</v>
      </c>
      <c r="C4409" s="293">
        <v>0</v>
      </c>
      <c r="D4409" s="293">
        <v>5888.6815150000002</v>
      </c>
      <c r="E4409" s="293">
        <v>5888.6815150000002</v>
      </c>
      <c r="F4409" s="294" t="s">
        <v>298</v>
      </c>
    </row>
    <row r="4410" spans="1:6" hidden="1" outlineLevel="1" collapsed="1" x14ac:dyDescent="0.25">
      <c r="A4410" s="295" t="s">
        <v>282</v>
      </c>
      <c r="B4410" s="295" t="s">
        <v>386</v>
      </c>
      <c r="C4410" s="293">
        <v>2278.4192320000002</v>
      </c>
      <c r="D4410" s="293">
        <v>0</v>
      </c>
      <c r="E4410" s="293">
        <v>-2278.4192320000002</v>
      </c>
      <c r="F4410" s="294" t="s">
        <v>286</v>
      </c>
    </row>
    <row r="4411" spans="1:6" hidden="1" outlineLevel="1" collapsed="1" x14ac:dyDescent="0.25">
      <c r="A4411" s="295" t="s">
        <v>282</v>
      </c>
      <c r="B4411" s="295" t="s">
        <v>387</v>
      </c>
      <c r="C4411" s="293">
        <v>0</v>
      </c>
      <c r="D4411" s="293">
        <v>2346.2124359999998</v>
      </c>
      <c r="E4411" s="293">
        <v>2346.2124359999998</v>
      </c>
      <c r="F4411" s="294" t="s">
        <v>298</v>
      </c>
    </row>
    <row r="4412" spans="1:6" hidden="1" outlineLevel="1" collapsed="1" x14ac:dyDescent="0.25">
      <c r="A4412" s="295" t="s">
        <v>282</v>
      </c>
      <c r="B4412" s="295" t="s">
        <v>388</v>
      </c>
      <c r="C4412" s="293">
        <v>532.85611100000006</v>
      </c>
      <c r="D4412" s="293">
        <v>548.71096899999998</v>
      </c>
      <c r="E4412" s="293">
        <v>15.854858</v>
      </c>
      <c r="F4412" s="294" t="s">
        <v>381</v>
      </c>
    </row>
    <row r="4413" spans="1:6" hidden="1" outlineLevel="1" collapsed="1" x14ac:dyDescent="0.25">
      <c r="A4413" s="295" t="s">
        <v>282</v>
      </c>
      <c r="B4413" s="295" t="s">
        <v>389</v>
      </c>
      <c r="C4413" s="293">
        <v>374.989824</v>
      </c>
      <c r="D4413" s="293">
        <v>371.39519999999999</v>
      </c>
      <c r="E4413" s="293">
        <v>-3.594624</v>
      </c>
      <c r="F4413" s="294" t="s">
        <v>364</v>
      </c>
    </row>
    <row r="4414" spans="1:6" hidden="1" outlineLevel="1" collapsed="1" x14ac:dyDescent="0.25">
      <c r="A4414" s="295" t="s">
        <v>282</v>
      </c>
      <c r="B4414" s="295" t="s">
        <v>390</v>
      </c>
      <c r="C4414" s="293">
        <v>13627.0376</v>
      </c>
      <c r="D4414" s="293">
        <v>14044.1664</v>
      </c>
      <c r="E4414" s="293">
        <v>417.12880000000001</v>
      </c>
      <c r="F4414" s="294" t="s">
        <v>391</v>
      </c>
    </row>
    <row r="4415" spans="1:6" hidden="1" outlineLevel="1" collapsed="1" x14ac:dyDescent="0.25">
      <c r="A4415" s="295" t="s">
        <v>282</v>
      </c>
      <c r="B4415" s="295" t="s">
        <v>392</v>
      </c>
      <c r="C4415" s="293">
        <v>205.51449600000001</v>
      </c>
      <c r="D4415" s="293">
        <v>160.93440000000001</v>
      </c>
      <c r="E4415" s="293">
        <v>-44.580095999999998</v>
      </c>
      <c r="F4415" s="294" t="s">
        <v>368</v>
      </c>
    </row>
    <row r="4416" spans="1:6" hidden="1" outlineLevel="1" collapsed="1" x14ac:dyDescent="0.25">
      <c r="A4416" s="295" t="s">
        <v>282</v>
      </c>
      <c r="B4416" s="295" t="s">
        <v>393</v>
      </c>
      <c r="C4416" s="293">
        <v>18.374347</v>
      </c>
      <c r="D4416" s="293">
        <v>18.921060000000001</v>
      </c>
      <c r="E4416" s="293">
        <v>0.546713</v>
      </c>
      <c r="F4416" s="294" t="s">
        <v>381</v>
      </c>
    </row>
    <row r="4417" spans="1:6" hidden="1" outlineLevel="1" collapsed="1" x14ac:dyDescent="0.25">
      <c r="A4417" s="295" t="s">
        <v>282</v>
      </c>
      <c r="B4417" s="295" t="s">
        <v>394</v>
      </c>
      <c r="C4417" s="293">
        <v>1320</v>
      </c>
      <c r="D4417" s="293">
        <v>0</v>
      </c>
      <c r="E4417" s="293">
        <v>-1320</v>
      </c>
      <c r="F4417" s="294" t="s">
        <v>286</v>
      </c>
    </row>
    <row r="4418" spans="1:6" hidden="1" outlineLevel="1" collapsed="1" x14ac:dyDescent="0.25">
      <c r="A4418" s="295" t="s">
        <v>282</v>
      </c>
      <c r="B4418" s="295" t="s">
        <v>395</v>
      </c>
      <c r="C4418" s="293">
        <v>0</v>
      </c>
      <c r="D4418" s="293">
        <v>1320</v>
      </c>
      <c r="E4418" s="293">
        <v>1320</v>
      </c>
      <c r="F4418" s="294" t="s">
        <v>298</v>
      </c>
    </row>
    <row r="4419" spans="1:6" hidden="1" outlineLevel="1" collapsed="1" x14ac:dyDescent="0.25">
      <c r="A4419" s="295" t="s">
        <v>282</v>
      </c>
      <c r="B4419" s="295" t="s">
        <v>396</v>
      </c>
      <c r="C4419" s="293">
        <v>43.718400000000003</v>
      </c>
      <c r="D4419" s="293">
        <v>0</v>
      </c>
      <c r="E4419" s="293">
        <v>-43.718400000000003</v>
      </c>
      <c r="F4419" s="294" t="s">
        <v>286</v>
      </c>
    </row>
    <row r="4420" spans="1:6" hidden="1" outlineLevel="1" collapsed="1" x14ac:dyDescent="0.25">
      <c r="A4420" s="295" t="s">
        <v>282</v>
      </c>
      <c r="B4420" s="295" t="s">
        <v>397</v>
      </c>
      <c r="C4420" s="293">
        <v>0</v>
      </c>
      <c r="D4420" s="293">
        <v>42.662399999999998</v>
      </c>
      <c r="E4420" s="293">
        <v>42.662399999999998</v>
      </c>
      <c r="F4420" s="294" t="s">
        <v>298</v>
      </c>
    </row>
    <row r="4421" spans="1:6" hidden="1" outlineLevel="1" collapsed="1" x14ac:dyDescent="0.25">
      <c r="A4421" s="295" t="s">
        <v>282</v>
      </c>
      <c r="B4421" s="295" t="s">
        <v>398</v>
      </c>
      <c r="C4421" s="293">
        <v>21.12</v>
      </c>
      <c r="D4421" s="293">
        <v>9.7151999999999994</v>
      </c>
      <c r="E4421" s="293">
        <v>-11.4048</v>
      </c>
      <c r="F4421" s="294" t="s">
        <v>374</v>
      </c>
    </row>
    <row r="4422" spans="1:6" collapsed="1" x14ac:dyDescent="0.25">
      <c r="A4422" s="560" t="s">
        <v>1660</v>
      </c>
      <c r="B4422" s="561"/>
      <c r="C4422" s="292">
        <v>13500</v>
      </c>
      <c r="D4422" s="293">
        <v>13500</v>
      </c>
      <c r="E4422" s="293">
        <v>0</v>
      </c>
      <c r="F4422" s="294" t="s">
        <v>316</v>
      </c>
    </row>
    <row r="4423" spans="1:6" hidden="1" outlineLevel="1" collapsed="1" x14ac:dyDescent="0.25">
      <c r="A4423" s="295" t="s">
        <v>282</v>
      </c>
      <c r="B4423" s="295" t="s">
        <v>842</v>
      </c>
      <c r="C4423" s="293">
        <v>13500</v>
      </c>
      <c r="D4423" s="293">
        <v>13500</v>
      </c>
      <c r="E4423" s="293">
        <v>0</v>
      </c>
      <c r="F4423" s="294" t="s">
        <v>316</v>
      </c>
    </row>
    <row r="4424" spans="1:6" collapsed="1" x14ac:dyDescent="0.25">
      <c r="A4424" s="560" t="s">
        <v>1661</v>
      </c>
      <c r="B4424" s="561"/>
      <c r="C4424" s="292">
        <v>3500</v>
      </c>
      <c r="D4424" s="293">
        <v>3500</v>
      </c>
      <c r="E4424" s="293">
        <v>0</v>
      </c>
      <c r="F4424" s="294" t="s">
        <v>316</v>
      </c>
    </row>
    <row r="4425" spans="1:6" hidden="1" outlineLevel="1" collapsed="1" x14ac:dyDescent="0.25">
      <c r="A4425" s="295" t="s">
        <v>282</v>
      </c>
      <c r="B4425" s="295" t="s">
        <v>543</v>
      </c>
      <c r="C4425" s="293">
        <v>3500</v>
      </c>
      <c r="D4425" s="293">
        <v>3500</v>
      </c>
      <c r="E4425" s="293">
        <v>0</v>
      </c>
      <c r="F4425" s="294" t="s">
        <v>316</v>
      </c>
    </row>
    <row r="4426" spans="1:6" hidden="1" outlineLevel="1" collapsed="1" x14ac:dyDescent="0.25">
      <c r="A4426" s="295" t="s">
        <v>282</v>
      </c>
      <c r="B4426" s="295" t="s">
        <v>901</v>
      </c>
      <c r="C4426" s="293">
        <v>0</v>
      </c>
      <c r="D4426" s="293">
        <v>0</v>
      </c>
      <c r="E4426" s="293">
        <v>0</v>
      </c>
      <c r="F4426" s="294" t="s">
        <v>316</v>
      </c>
    </row>
    <row r="4427" spans="1:6" collapsed="1" x14ac:dyDescent="0.25">
      <c r="A4427" s="560" t="s">
        <v>1662</v>
      </c>
      <c r="B4427" s="561"/>
      <c r="C4427" s="292">
        <v>725827.77223</v>
      </c>
      <c r="D4427" s="293">
        <v>759124.74949900003</v>
      </c>
      <c r="E4427" s="293">
        <v>33296.977269000003</v>
      </c>
      <c r="F4427" s="294" t="s">
        <v>1663</v>
      </c>
    </row>
    <row r="4428" spans="1:6" hidden="1" outlineLevel="1" collapsed="1" x14ac:dyDescent="0.25">
      <c r="A4428" s="295" t="s">
        <v>282</v>
      </c>
      <c r="B4428" s="295" t="s">
        <v>942</v>
      </c>
      <c r="C4428" s="293">
        <v>94927.524109000005</v>
      </c>
      <c r="D4428" s="293">
        <v>96351.435637000002</v>
      </c>
      <c r="E4428" s="293">
        <v>1423.9115280000001</v>
      </c>
      <c r="F4428" s="294" t="s">
        <v>510</v>
      </c>
    </row>
    <row r="4429" spans="1:6" hidden="1" outlineLevel="1" collapsed="1" x14ac:dyDescent="0.25">
      <c r="A4429" s="295" t="s">
        <v>282</v>
      </c>
      <c r="B4429" s="295" t="s">
        <v>464</v>
      </c>
      <c r="C4429" s="293">
        <v>343837.73566599999</v>
      </c>
      <c r="D4429" s="293">
        <v>362432.71419700002</v>
      </c>
      <c r="E4429" s="293">
        <v>18594.978531000001</v>
      </c>
      <c r="F4429" s="294" t="s">
        <v>1664</v>
      </c>
    </row>
    <row r="4430" spans="1:6" hidden="1" outlineLevel="1" collapsed="1" x14ac:dyDescent="0.25">
      <c r="A4430" s="295" t="s">
        <v>282</v>
      </c>
      <c r="B4430" s="295" t="s">
        <v>475</v>
      </c>
      <c r="C4430" s="293">
        <v>0</v>
      </c>
      <c r="D4430" s="293">
        <v>500</v>
      </c>
      <c r="E4430" s="293">
        <v>500</v>
      </c>
      <c r="F4430" s="294" t="s">
        <v>298</v>
      </c>
    </row>
    <row r="4431" spans="1:6" hidden="1" outlineLevel="1" collapsed="1" x14ac:dyDescent="0.25">
      <c r="A4431" s="295" t="s">
        <v>282</v>
      </c>
      <c r="B4431" s="295" t="s">
        <v>384</v>
      </c>
      <c r="C4431" s="293">
        <v>45187.997306999998</v>
      </c>
      <c r="D4431" s="293">
        <v>0</v>
      </c>
      <c r="E4431" s="293">
        <v>-45187.997306999998</v>
      </c>
      <c r="F4431" s="294" t="s">
        <v>286</v>
      </c>
    </row>
    <row r="4432" spans="1:6" hidden="1" outlineLevel="1" collapsed="1" x14ac:dyDescent="0.25">
      <c r="A4432" s="295" t="s">
        <v>282</v>
      </c>
      <c r="B4432" s="295" t="s">
        <v>385</v>
      </c>
      <c r="C4432" s="293">
        <v>0</v>
      </c>
      <c r="D4432" s="293">
        <v>59119.986548000001</v>
      </c>
      <c r="E4432" s="293">
        <v>59119.986548000001</v>
      </c>
      <c r="F4432" s="294" t="s">
        <v>298</v>
      </c>
    </row>
    <row r="4433" spans="1:6" hidden="1" outlineLevel="1" collapsed="1" x14ac:dyDescent="0.25">
      <c r="A4433" s="295" t="s">
        <v>282</v>
      </c>
      <c r="B4433" s="295" t="s">
        <v>386</v>
      </c>
      <c r="C4433" s="293">
        <v>27238.786079000001</v>
      </c>
      <c r="D4433" s="293">
        <v>0</v>
      </c>
      <c r="E4433" s="293">
        <v>-27238.786079000001</v>
      </c>
      <c r="F4433" s="294" t="s">
        <v>286</v>
      </c>
    </row>
    <row r="4434" spans="1:6" hidden="1" outlineLevel="1" collapsed="1" x14ac:dyDescent="0.25">
      <c r="A4434" s="295" t="s">
        <v>282</v>
      </c>
      <c r="B4434" s="295" t="s">
        <v>387</v>
      </c>
      <c r="C4434" s="293">
        <v>0</v>
      </c>
      <c r="D4434" s="293">
        <v>28479.957246000002</v>
      </c>
      <c r="E4434" s="293">
        <v>28479.957246000002</v>
      </c>
      <c r="F4434" s="294" t="s">
        <v>298</v>
      </c>
    </row>
    <row r="4435" spans="1:6" hidden="1" outlineLevel="1" collapsed="1" x14ac:dyDescent="0.25">
      <c r="A4435" s="295" t="s">
        <v>282</v>
      </c>
      <c r="B4435" s="295" t="s">
        <v>388</v>
      </c>
      <c r="C4435" s="293">
        <v>6370.361226</v>
      </c>
      <c r="D4435" s="293">
        <v>6660.6351359999999</v>
      </c>
      <c r="E4435" s="293">
        <v>290.27391</v>
      </c>
      <c r="F4435" s="294" t="s">
        <v>1665</v>
      </c>
    </row>
    <row r="4436" spans="1:6" hidden="1" outlineLevel="1" collapsed="1" x14ac:dyDescent="0.25">
      <c r="A4436" s="295" t="s">
        <v>282</v>
      </c>
      <c r="B4436" s="295" t="s">
        <v>480</v>
      </c>
      <c r="C4436" s="293">
        <v>989.190969</v>
      </c>
      <c r="D4436" s="293">
        <v>1054.799708</v>
      </c>
      <c r="E4436" s="293">
        <v>65.608739</v>
      </c>
      <c r="F4436" s="294" t="s">
        <v>1666</v>
      </c>
    </row>
    <row r="4437" spans="1:6" hidden="1" outlineLevel="1" collapsed="1" x14ac:dyDescent="0.25">
      <c r="A4437" s="295" t="s">
        <v>282</v>
      </c>
      <c r="B4437" s="295" t="s">
        <v>444</v>
      </c>
      <c r="C4437" s="293">
        <v>0</v>
      </c>
      <c r="D4437" s="293">
        <v>90</v>
      </c>
      <c r="E4437" s="293">
        <v>90</v>
      </c>
      <c r="F4437" s="294" t="s">
        <v>298</v>
      </c>
    </row>
    <row r="4438" spans="1:6" hidden="1" outlineLevel="1" collapsed="1" x14ac:dyDescent="0.25">
      <c r="A4438" s="295" t="s">
        <v>282</v>
      </c>
      <c r="B4438" s="295" t="s">
        <v>389</v>
      </c>
      <c r="C4438" s="293">
        <v>2109.3177599999999</v>
      </c>
      <c r="D4438" s="293">
        <v>2089.098</v>
      </c>
      <c r="E4438" s="293">
        <v>-20.219760000000001</v>
      </c>
      <c r="F4438" s="294" t="s">
        <v>364</v>
      </c>
    </row>
    <row r="4439" spans="1:6" hidden="1" outlineLevel="1" collapsed="1" x14ac:dyDescent="0.25">
      <c r="A4439" s="295" t="s">
        <v>282</v>
      </c>
      <c r="B4439" s="295" t="s">
        <v>390</v>
      </c>
      <c r="C4439" s="293">
        <v>61166.816500000001</v>
      </c>
      <c r="D4439" s="293">
        <v>63039.156000000003</v>
      </c>
      <c r="E4439" s="293">
        <v>1872.3395</v>
      </c>
      <c r="F4439" s="294" t="s">
        <v>391</v>
      </c>
    </row>
    <row r="4440" spans="1:6" hidden="1" outlineLevel="1" collapsed="1" x14ac:dyDescent="0.25">
      <c r="A4440" s="295" t="s">
        <v>282</v>
      </c>
      <c r="B4440" s="295" t="s">
        <v>392</v>
      </c>
      <c r="C4440" s="293">
        <v>1156.0190399999999</v>
      </c>
      <c r="D4440" s="293">
        <v>905.25599999999997</v>
      </c>
      <c r="E4440" s="293">
        <v>-250.76303999999999</v>
      </c>
      <c r="F4440" s="294" t="s">
        <v>368</v>
      </c>
    </row>
    <row r="4441" spans="1:6" hidden="1" outlineLevel="1" collapsed="1" x14ac:dyDescent="0.25">
      <c r="A4441" s="295" t="s">
        <v>282</v>
      </c>
      <c r="B4441" s="295" t="s">
        <v>393</v>
      </c>
      <c r="C4441" s="293">
        <v>219.667574</v>
      </c>
      <c r="D4441" s="293">
        <v>229.67702700000001</v>
      </c>
      <c r="E4441" s="293">
        <v>10.009453000000001</v>
      </c>
      <c r="F4441" s="294" t="s">
        <v>1665</v>
      </c>
    </row>
    <row r="4442" spans="1:6" hidden="1" outlineLevel="1" collapsed="1" x14ac:dyDescent="0.25">
      <c r="A4442" s="295" t="s">
        <v>282</v>
      </c>
      <c r="B4442" s="295" t="s">
        <v>394</v>
      </c>
      <c r="C4442" s="293">
        <v>7425</v>
      </c>
      <c r="D4442" s="293">
        <v>0</v>
      </c>
      <c r="E4442" s="293">
        <v>-7425</v>
      </c>
      <c r="F4442" s="294" t="s">
        <v>286</v>
      </c>
    </row>
    <row r="4443" spans="1:6" hidden="1" outlineLevel="1" collapsed="1" x14ac:dyDescent="0.25">
      <c r="A4443" s="295" t="s">
        <v>282</v>
      </c>
      <c r="B4443" s="295" t="s">
        <v>395</v>
      </c>
      <c r="C4443" s="293">
        <v>0</v>
      </c>
      <c r="D4443" s="293">
        <v>7425</v>
      </c>
      <c r="E4443" s="293">
        <v>7425</v>
      </c>
      <c r="F4443" s="294" t="s">
        <v>298</v>
      </c>
    </row>
    <row r="4444" spans="1:6" hidden="1" outlineLevel="1" collapsed="1" x14ac:dyDescent="0.25">
      <c r="A4444" s="295" t="s">
        <v>282</v>
      </c>
      <c r="B4444" s="295" t="s">
        <v>396</v>
      </c>
      <c r="C4444" s="293">
        <v>245.916</v>
      </c>
      <c r="D4444" s="293">
        <v>0</v>
      </c>
      <c r="E4444" s="293">
        <v>-245.916</v>
      </c>
      <c r="F4444" s="294" t="s">
        <v>286</v>
      </c>
    </row>
    <row r="4445" spans="1:6" hidden="1" outlineLevel="1" collapsed="1" x14ac:dyDescent="0.25">
      <c r="A4445" s="295" t="s">
        <v>282</v>
      </c>
      <c r="B4445" s="295" t="s">
        <v>397</v>
      </c>
      <c r="C4445" s="293">
        <v>0</v>
      </c>
      <c r="D4445" s="293">
        <v>239.976</v>
      </c>
      <c r="E4445" s="293">
        <v>239.976</v>
      </c>
      <c r="F4445" s="294" t="s">
        <v>298</v>
      </c>
    </row>
    <row r="4446" spans="1:6" hidden="1" outlineLevel="1" collapsed="1" x14ac:dyDescent="0.25">
      <c r="A4446" s="295" t="s">
        <v>282</v>
      </c>
      <c r="B4446" s="295" t="s">
        <v>398</v>
      </c>
      <c r="C4446" s="293">
        <v>118.8</v>
      </c>
      <c r="D4446" s="293">
        <v>54.648000000000003</v>
      </c>
      <c r="E4446" s="293">
        <v>-64.152000000000001</v>
      </c>
      <c r="F4446" s="294" t="s">
        <v>374</v>
      </c>
    </row>
    <row r="4447" spans="1:6" hidden="1" outlineLevel="1" collapsed="1" x14ac:dyDescent="0.25">
      <c r="A4447" s="295" t="s">
        <v>282</v>
      </c>
      <c r="B4447" s="295" t="s">
        <v>522</v>
      </c>
      <c r="C4447" s="293">
        <v>3000</v>
      </c>
      <c r="D4447" s="293">
        <v>3000</v>
      </c>
      <c r="E4447" s="293">
        <v>0</v>
      </c>
      <c r="F4447" s="294" t="s">
        <v>316</v>
      </c>
    </row>
    <row r="4448" spans="1:6" hidden="1" outlineLevel="1" collapsed="1" x14ac:dyDescent="0.25">
      <c r="A4448" s="295" t="s">
        <v>282</v>
      </c>
      <c r="B4448" s="295" t="s">
        <v>431</v>
      </c>
      <c r="C4448" s="293">
        <v>1000</v>
      </c>
      <c r="D4448" s="293">
        <v>2500</v>
      </c>
      <c r="E4448" s="293">
        <v>1500</v>
      </c>
      <c r="F4448" s="294" t="s">
        <v>1293</v>
      </c>
    </row>
    <row r="4449" spans="1:6" hidden="1" outlineLevel="1" collapsed="1" x14ac:dyDescent="0.25">
      <c r="A4449" s="295" t="s">
        <v>282</v>
      </c>
      <c r="B4449" s="295" t="s">
        <v>376</v>
      </c>
      <c r="C4449" s="293">
        <v>11500</v>
      </c>
      <c r="D4449" s="293">
        <v>11500</v>
      </c>
      <c r="E4449" s="293">
        <v>0</v>
      </c>
      <c r="F4449" s="294" t="s">
        <v>316</v>
      </c>
    </row>
    <row r="4450" spans="1:6" hidden="1" outlineLevel="1" collapsed="1" x14ac:dyDescent="0.25">
      <c r="A4450" s="295" t="s">
        <v>282</v>
      </c>
      <c r="B4450" s="295" t="s">
        <v>426</v>
      </c>
      <c r="C4450" s="293">
        <v>99</v>
      </c>
      <c r="D4450" s="293">
        <v>0</v>
      </c>
      <c r="E4450" s="293">
        <v>-99</v>
      </c>
      <c r="F4450" s="294" t="s">
        <v>286</v>
      </c>
    </row>
    <row r="4451" spans="1:6" hidden="1" outlineLevel="1" collapsed="1" x14ac:dyDescent="0.25">
      <c r="A4451" s="295" t="s">
        <v>282</v>
      </c>
      <c r="B4451" s="295" t="s">
        <v>952</v>
      </c>
      <c r="C4451" s="293">
        <v>570</v>
      </c>
      <c r="D4451" s="293">
        <v>570</v>
      </c>
      <c r="E4451" s="293">
        <v>0</v>
      </c>
      <c r="F4451" s="294" t="s">
        <v>316</v>
      </c>
    </row>
    <row r="4452" spans="1:6" hidden="1" outlineLevel="1" collapsed="1" x14ac:dyDescent="0.25">
      <c r="A4452" s="295" t="s">
        <v>282</v>
      </c>
      <c r="B4452" s="295" t="s">
        <v>543</v>
      </c>
      <c r="C4452" s="293">
        <v>62783</v>
      </c>
      <c r="D4452" s="293">
        <v>62782.41</v>
      </c>
      <c r="E4452" s="293">
        <v>-0.59</v>
      </c>
      <c r="F4452" s="294" t="s">
        <v>316</v>
      </c>
    </row>
    <row r="4453" spans="1:6" hidden="1" outlineLevel="1" collapsed="1" x14ac:dyDescent="0.25">
      <c r="A4453" s="295" t="s">
        <v>282</v>
      </c>
      <c r="B4453" s="295" t="s">
        <v>448</v>
      </c>
      <c r="C4453" s="293">
        <v>3200</v>
      </c>
      <c r="D4453" s="293">
        <v>2000</v>
      </c>
      <c r="E4453" s="293">
        <v>-1200</v>
      </c>
      <c r="F4453" s="294" t="s">
        <v>1650</v>
      </c>
    </row>
    <row r="4454" spans="1:6" hidden="1" outlineLevel="1" collapsed="1" x14ac:dyDescent="0.25">
      <c r="A4454" s="295" t="s">
        <v>282</v>
      </c>
      <c r="B4454" s="295" t="s">
        <v>901</v>
      </c>
      <c r="C4454" s="293">
        <v>27150</v>
      </c>
      <c r="D4454" s="293">
        <v>25500</v>
      </c>
      <c r="E4454" s="293">
        <v>-1650</v>
      </c>
      <c r="F4454" s="294" t="s">
        <v>1667</v>
      </c>
    </row>
    <row r="4455" spans="1:6" hidden="1" outlineLevel="1" collapsed="1" x14ac:dyDescent="0.25">
      <c r="A4455" s="295" t="s">
        <v>282</v>
      </c>
      <c r="B4455" s="295" t="s">
        <v>616</v>
      </c>
      <c r="C4455" s="293">
        <v>2917</v>
      </c>
      <c r="D4455" s="293">
        <v>0</v>
      </c>
      <c r="E4455" s="293">
        <v>-2917</v>
      </c>
      <c r="F4455" s="294" t="s">
        <v>286</v>
      </c>
    </row>
    <row r="4456" spans="1:6" hidden="1" outlineLevel="1" collapsed="1" x14ac:dyDescent="0.25">
      <c r="A4456" s="295" t="s">
        <v>282</v>
      </c>
      <c r="B4456" s="295" t="s">
        <v>403</v>
      </c>
      <c r="C4456" s="293">
        <v>2000</v>
      </c>
      <c r="D4456" s="293">
        <v>2500</v>
      </c>
      <c r="E4456" s="293">
        <v>500</v>
      </c>
      <c r="F4456" s="294" t="s">
        <v>1552</v>
      </c>
    </row>
    <row r="4457" spans="1:6" hidden="1" outlineLevel="1" collapsed="1" x14ac:dyDescent="0.25">
      <c r="A4457" s="295" t="s">
        <v>282</v>
      </c>
      <c r="B4457" s="295" t="s">
        <v>405</v>
      </c>
      <c r="C4457" s="293">
        <v>0</v>
      </c>
      <c r="D4457" s="293">
        <v>0</v>
      </c>
      <c r="E4457" s="293">
        <v>0</v>
      </c>
      <c r="F4457" s="294" t="s">
        <v>316</v>
      </c>
    </row>
    <row r="4458" spans="1:6" hidden="1" outlineLevel="1" collapsed="1" x14ac:dyDescent="0.25">
      <c r="A4458" s="295" t="s">
        <v>282</v>
      </c>
      <c r="B4458" s="295" t="s">
        <v>770</v>
      </c>
      <c r="C4458" s="293">
        <v>20615.64</v>
      </c>
      <c r="D4458" s="293">
        <v>20100</v>
      </c>
      <c r="E4458" s="293">
        <v>-515.64</v>
      </c>
      <c r="F4458" s="294" t="s">
        <v>1668</v>
      </c>
    </row>
    <row r="4459" spans="1:6" collapsed="1" x14ac:dyDescent="0.25">
      <c r="A4459" s="560" t="s">
        <v>1669</v>
      </c>
      <c r="B4459" s="561"/>
      <c r="C4459" s="292">
        <v>12877.216968999999</v>
      </c>
      <c r="D4459" s="293">
        <v>13489.6672</v>
      </c>
      <c r="E4459" s="293">
        <v>612.45023100000003</v>
      </c>
      <c r="F4459" s="294" t="s">
        <v>1612</v>
      </c>
    </row>
    <row r="4460" spans="1:6" hidden="1" outlineLevel="1" collapsed="1" x14ac:dyDescent="0.25">
      <c r="A4460" s="295" t="s">
        <v>282</v>
      </c>
      <c r="B4460" s="295" t="s">
        <v>464</v>
      </c>
      <c r="C4460" s="293">
        <v>7773.4022059999998</v>
      </c>
      <c r="D4460" s="293">
        <v>8004.4236469999996</v>
      </c>
      <c r="E4460" s="293">
        <v>231.02144100000001</v>
      </c>
      <c r="F4460" s="294" t="s">
        <v>553</v>
      </c>
    </row>
    <row r="4461" spans="1:6" hidden="1" outlineLevel="1" collapsed="1" x14ac:dyDescent="0.25">
      <c r="A4461" s="295" t="s">
        <v>282</v>
      </c>
      <c r="B4461" s="295" t="s">
        <v>384</v>
      </c>
      <c r="C4461" s="293">
        <v>961.53999599999997</v>
      </c>
      <c r="D4461" s="293">
        <v>0</v>
      </c>
      <c r="E4461" s="293">
        <v>-961.53999599999997</v>
      </c>
      <c r="F4461" s="294" t="s">
        <v>286</v>
      </c>
    </row>
    <row r="4462" spans="1:6" hidden="1" outlineLevel="1" collapsed="1" x14ac:dyDescent="0.25">
      <c r="A4462" s="295" t="s">
        <v>282</v>
      </c>
      <c r="B4462" s="295" t="s">
        <v>385</v>
      </c>
      <c r="C4462" s="293">
        <v>0</v>
      </c>
      <c r="D4462" s="293">
        <v>1244.158934</v>
      </c>
      <c r="E4462" s="293">
        <v>1244.158934</v>
      </c>
      <c r="F4462" s="294" t="s">
        <v>298</v>
      </c>
    </row>
    <row r="4463" spans="1:6" hidden="1" outlineLevel="1" collapsed="1" x14ac:dyDescent="0.25">
      <c r="A4463" s="295" t="s">
        <v>282</v>
      </c>
      <c r="B4463" s="295" t="s">
        <v>386</v>
      </c>
      <c r="C4463" s="293">
        <v>481.95093600000001</v>
      </c>
      <c r="D4463" s="293">
        <v>0</v>
      </c>
      <c r="E4463" s="293">
        <v>-481.95093600000001</v>
      </c>
      <c r="F4463" s="294" t="s">
        <v>286</v>
      </c>
    </row>
    <row r="4464" spans="1:6" hidden="1" outlineLevel="1" collapsed="1" x14ac:dyDescent="0.25">
      <c r="A4464" s="295" t="s">
        <v>282</v>
      </c>
      <c r="B4464" s="295" t="s">
        <v>387</v>
      </c>
      <c r="C4464" s="293">
        <v>0</v>
      </c>
      <c r="D4464" s="293">
        <v>496.27426600000001</v>
      </c>
      <c r="E4464" s="293">
        <v>496.27426600000001</v>
      </c>
      <c r="F4464" s="294" t="s">
        <v>298</v>
      </c>
    </row>
    <row r="4465" spans="1:6" hidden="1" outlineLevel="1" collapsed="1" x14ac:dyDescent="0.25">
      <c r="A4465" s="295" t="s">
        <v>282</v>
      </c>
      <c r="B4465" s="295" t="s">
        <v>388</v>
      </c>
      <c r="C4465" s="293">
        <v>112.714332</v>
      </c>
      <c r="D4465" s="293">
        <v>116.064142</v>
      </c>
      <c r="E4465" s="293">
        <v>3.3498100000000002</v>
      </c>
      <c r="F4465" s="294" t="s">
        <v>553</v>
      </c>
    </row>
    <row r="4466" spans="1:6" hidden="1" outlineLevel="1" collapsed="1" x14ac:dyDescent="0.25">
      <c r="A4466" s="295" t="s">
        <v>282</v>
      </c>
      <c r="B4466" s="295" t="s">
        <v>389</v>
      </c>
      <c r="C4466" s="293">
        <v>85.224959999999996</v>
      </c>
      <c r="D4466" s="293">
        <v>84.408000000000001</v>
      </c>
      <c r="E4466" s="293">
        <v>-0.81696000000000002</v>
      </c>
      <c r="F4466" s="294" t="s">
        <v>364</v>
      </c>
    </row>
    <row r="4467" spans="1:6" hidden="1" outlineLevel="1" collapsed="1" x14ac:dyDescent="0.25">
      <c r="A4467" s="295" t="s">
        <v>282</v>
      </c>
      <c r="B4467" s="295" t="s">
        <v>390</v>
      </c>
      <c r="C4467" s="293">
        <v>3097.0540000000001</v>
      </c>
      <c r="D4467" s="293">
        <v>3191.8560000000002</v>
      </c>
      <c r="E4467" s="293">
        <v>94.802000000000007</v>
      </c>
      <c r="F4467" s="294" t="s">
        <v>391</v>
      </c>
    </row>
    <row r="4468" spans="1:6" hidden="1" outlineLevel="1" collapsed="1" x14ac:dyDescent="0.25">
      <c r="A4468" s="295" t="s">
        <v>282</v>
      </c>
      <c r="B4468" s="295" t="s">
        <v>392</v>
      </c>
      <c r="C4468" s="293">
        <v>46.707839999999997</v>
      </c>
      <c r="D4468" s="293">
        <v>36.576000000000001</v>
      </c>
      <c r="E4468" s="293">
        <v>-10.13184</v>
      </c>
      <c r="F4468" s="294" t="s">
        <v>368</v>
      </c>
    </row>
    <row r="4469" spans="1:6" hidden="1" outlineLevel="1" collapsed="1" x14ac:dyDescent="0.25">
      <c r="A4469" s="295" t="s">
        <v>282</v>
      </c>
      <c r="B4469" s="295" t="s">
        <v>393</v>
      </c>
      <c r="C4469" s="293">
        <v>3.8866990000000001</v>
      </c>
      <c r="D4469" s="293">
        <v>4.002211</v>
      </c>
      <c r="E4469" s="293">
        <v>0.115512</v>
      </c>
      <c r="F4469" s="294" t="s">
        <v>553</v>
      </c>
    </row>
    <row r="4470" spans="1:6" hidden="1" outlineLevel="1" collapsed="1" x14ac:dyDescent="0.25">
      <c r="A4470" s="295" t="s">
        <v>282</v>
      </c>
      <c r="B4470" s="295" t="s">
        <v>394</v>
      </c>
      <c r="C4470" s="293">
        <v>300</v>
      </c>
      <c r="D4470" s="293">
        <v>0</v>
      </c>
      <c r="E4470" s="293">
        <v>-300</v>
      </c>
      <c r="F4470" s="294" t="s">
        <v>286</v>
      </c>
    </row>
    <row r="4471" spans="1:6" hidden="1" outlineLevel="1" collapsed="1" x14ac:dyDescent="0.25">
      <c r="A4471" s="295" t="s">
        <v>282</v>
      </c>
      <c r="B4471" s="295" t="s">
        <v>395</v>
      </c>
      <c r="C4471" s="293">
        <v>0</v>
      </c>
      <c r="D4471" s="293">
        <v>300</v>
      </c>
      <c r="E4471" s="293">
        <v>300</v>
      </c>
      <c r="F4471" s="294" t="s">
        <v>298</v>
      </c>
    </row>
    <row r="4472" spans="1:6" hidden="1" outlineLevel="1" collapsed="1" x14ac:dyDescent="0.25">
      <c r="A4472" s="295" t="s">
        <v>282</v>
      </c>
      <c r="B4472" s="295" t="s">
        <v>396</v>
      </c>
      <c r="C4472" s="293">
        <v>9.9359999999999999</v>
      </c>
      <c r="D4472" s="293">
        <v>0</v>
      </c>
      <c r="E4472" s="293">
        <v>-9.9359999999999999</v>
      </c>
      <c r="F4472" s="294" t="s">
        <v>286</v>
      </c>
    </row>
    <row r="4473" spans="1:6" hidden="1" outlineLevel="1" collapsed="1" x14ac:dyDescent="0.25">
      <c r="A4473" s="295" t="s">
        <v>282</v>
      </c>
      <c r="B4473" s="295" t="s">
        <v>397</v>
      </c>
      <c r="C4473" s="293">
        <v>0</v>
      </c>
      <c r="D4473" s="293">
        <v>9.6959999999999997</v>
      </c>
      <c r="E4473" s="293">
        <v>9.6959999999999997</v>
      </c>
      <c r="F4473" s="294" t="s">
        <v>298</v>
      </c>
    </row>
    <row r="4474" spans="1:6" hidden="1" outlineLevel="1" collapsed="1" x14ac:dyDescent="0.25">
      <c r="A4474" s="295" t="s">
        <v>282</v>
      </c>
      <c r="B4474" s="295" t="s">
        <v>398</v>
      </c>
      <c r="C4474" s="293">
        <v>4.8</v>
      </c>
      <c r="D4474" s="293">
        <v>2.2080000000000002</v>
      </c>
      <c r="E4474" s="293">
        <v>-2.5920000000000001</v>
      </c>
      <c r="F4474" s="294" t="s">
        <v>374</v>
      </c>
    </row>
    <row r="4475" spans="1:6" collapsed="1" x14ac:dyDescent="0.25">
      <c r="A4475" s="560" t="s">
        <v>1670</v>
      </c>
      <c r="B4475" s="561"/>
      <c r="C4475" s="292">
        <v>8143.8758029999999</v>
      </c>
      <c r="D4475" s="293">
        <v>8535.4821530000008</v>
      </c>
      <c r="E4475" s="293">
        <v>391.60635000000002</v>
      </c>
      <c r="F4475" s="294" t="s">
        <v>1659</v>
      </c>
    </row>
    <row r="4476" spans="1:6" hidden="1" outlineLevel="1" collapsed="1" x14ac:dyDescent="0.25">
      <c r="A4476" s="295" t="s">
        <v>282</v>
      </c>
      <c r="B4476" s="295" t="s">
        <v>464</v>
      </c>
      <c r="C4476" s="293">
        <v>5011.1860029999998</v>
      </c>
      <c r="D4476" s="293">
        <v>5160.2913010000002</v>
      </c>
      <c r="E4476" s="293">
        <v>149.105298</v>
      </c>
      <c r="F4476" s="294" t="s">
        <v>381</v>
      </c>
    </row>
    <row r="4477" spans="1:6" hidden="1" outlineLevel="1" collapsed="1" x14ac:dyDescent="0.25">
      <c r="A4477" s="295" t="s">
        <v>282</v>
      </c>
      <c r="B4477" s="295" t="s">
        <v>384</v>
      </c>
      <c r="C4477" s="293">
        <v>620.59479799999997</v>
      </c>
      <c r="D4477" s="293">
        <v>0</v>
      </c>
      <c r="E4477" s="293">
        <v>-620.59479799999997</v>
      </c>
      <c r="F4477" s="294" t="s">
        <v>286</v>
      </c>
    </row>
    <row r="4478" spans="1:6" hidden="1" outlineLevel="1" collapsed="1" x14ac:dyDescent="0.25">
      <c r="A4478" s="295" t="s">
        <v>282</v>
      </c>
      <c r="B4478" s="295" t="s">
        <v>385</v>
      </c>
      <c r="C4478" s="293">
        <v>0</v>
      </c>
      <c r="D4478" s="293">
        <v>803.002025</v>
      </c>
      <c r="E4478" s="293">
        <v>803.002025</v>
      </c>
      <c r="F4478" s="294" t="s">
        <v>298</v>
      </c>
    </row>
    <row r="4479" spans="1:6" hidden="1" outlineLevel="1" collapsed="1" x14ac:dyDescent="0.25">
      <c r="A4479" s="295" t="s">
        <v>282</v>
      </c>
      <c r="B4479" s="295" t="s">
        <v>386</v>
      </c>
      <c r="C4479" s="293">
        <v>310.693532</v>
      </c>
      <c r="D4479" s="293">
        <v>0</v>
      </c>
      <c r="E4479" s="293">
        <v>-310.693532</v>
      </c>
      <c r="F4479" s="294" t="s">
        <v>286</v>
      </c>
    </row>
    <row r="4480" spans="1:6" hidden="1" outlineLevel="1" collapsed="1" x14ac:dyDescent="0.25">
      <c r="A4480" s="295" t="s">
        <v>282</v>
      </c>
      <c r="B4480" s="295" t="s">
        <v>387</v>
      </c>
      <c r="C4480" s="293">
        <v>0</v>
      </c>
      <c r="D4480" s="293">
        <v>319.93806000000001</v>
      </c>
      <c r="E4480" s="293">
        <v>319.93806000000001</v>
      </c>
      <c r="F4480" s="294" t="s">
        <v>298</v>
      </c>
    </row>
    <row r="4481" spans="1:6" hidden="1" outlineLevel="1" collapsed="1" x14ac:dyDescent="0.25">
      <c r="A4481" s="295" t="s">
        <v>282</v>
      </c>
      <c r="B4481" s="295" t="s">
        <v>388</v>
      </c>
      <c r="C4481" s="293">
        <v>72.662197000000006</v>
      </c>
      <c r="D4481" s="293">
        <v>74.824223000000003</v>
      </c>
      <c r="E4481" s="293">
        <v>2.162026</v>
      </c>
      <c r="F4481" s="294" t="s">
        <v>381</v>
      </c>
    </row>
    <row r="4482" spans="1:6" hidden="1" outlineLevel="1" collapsed="1" x14ac:dyDescent="0.25">
      <c r="A4482" s="295" t="s">
        <v>282</v>
      </c>
      <c r="B4482" s="295" t="s">
        <v>389</v>
      </c>
      <c r="C4482" s="293">
        <v>51.134976000000002</v>
      </c>
      <c r="D4482" s="293">
        <v>50.644799999999996</v>
      </c>
      <c r="E4482" s="293">
        <v>-0.490176</v>
      </c>
      <c r="F4482" s="294" t="s">
        <v>364</v>
      </c>
    </row>
    <row r="4483" spans="1:6" hidden="1" outlineLevel="1" collapsed="1" x14ac:dyDescent="0.25">
      <c r="A4483" s="295" t="s">
        <v>282</v>
      </c>
      <c r="B4483" s="295" t="s">
        <v>390</v>
      </c>
      <c r="C4483" s="293">
        <v>1858.2324000000001</v>
      </c>
      <c r="D4483" s="293">
        <v>1915.1135999999999</v>
      </c>
      <c r="E4483" s="293">
        <v>56.8812</v>
      </c>
      <c r="F4483" s="294" t="s">
        <v>391</v>
      </c>
    </row>
    <row r="4484" spans="1:6" hidden="1" outlineLevel="1" collapsed="1" x14ac:dyDescent="0.25">
      <c r="A4484" s="295" t="s">
        <v>282</v>
      </c>
      <c r="B4484" s="295" t="s">
        <v>392</v>
      </c>
      <c r="C4484" s="293">
        <v>28.024704</v>
      </c>
      <c r="D4484" s="293">
        <v>21.945599999999999</v>
      </c>
      <c r="E4484" s="293">
        <v>-6.0791040000000001</v>
      </c>
      <c r="F4484" s="294" t="s">
        <v>368</v>
      </c>
    </row>
    <row r="4485" spans="1:6" hidden="1" outlineLevel="1" collapsed="1" x14ac:dyDescent="0.25">
      <c r="A4485" s="295" t="s">
        <v>282</v>
      </c>
      <c r="B4485" s="295" t="s">
        <v>393</v>
      </c>
      <c r="C4485" s="293">
        <v>2.5055930000000002</v>
      </c>
      <c r="D4485" s="293">
        <v>2.5801440000000002</v>
      </c>
      <c r="E4485" s="293">
        <v>7.4551000000000006E-2</v>
      </c>
      <c r="F4485" s="294" t="s">
        <v>381</v>
      </c>
    </row>
    <row r="4486" spans="1:6" hidden="1" outlineLevel="1" collapsed="1" x14ac:dyDescent="0.25">
      <c r="A4486" s="295" t="s">
        <v>282</v>
      </c>
      <c r="B4486" s="295" t="s">
        <v>394</v>
      </c>
      <c r="C4486" s="293">
        <v>180</v>
      </c>
      <c r="D4486" s="293">
        <v>0</v>
      </c>
      <c r="E4486" s="293">
        <v>-180</v>
      </c>
      <c r="F4486" s="294" t="s">
        <v>286</v>
      </c>
    </row>
    <row r="4487" spans="1:6" hidden="1" outlineLevel="1" collapsed="1" x14ac:dyDescent="0.25">
      <c r="A4487" s="295" t="s">
        <v>282</v>
      </c>
      <c r="B4487" s="295" t="s">
        <v>395</v>
      </c>
      <c r="C4487" s="293">
        <v>0</v>
      </c>
      <c r="D4487" s="293">
        <v>180</v>
      </c>
      <c r="E4487" s="293">
        <v>180</v>
      </c>
      <c r="F4487" s="294" t="s">
        <v>298</v>
      </c>
    </row>
    <row r="4488" spans="1:6" hidden="1" outlineLevel="1" collapsed="1" x14ac:dyDescent="0.25">
      <c r="A4488" s="295" t="s">
        <v>282</v>
      </c>
      <c r="B4488" s="295" t="s">
        <v>396</v>
      </c>
      <c r="C4488" s="293">
        <v>5.9615999999999998</v>
      </c>
      <c r="D4488" s="293">
        <v>0</v>
      </c>
      <c r="E4488" s="293">
        <v>-5.9615999999999998</v>
      </c>
      <c r="F4488" s="294" t="s">
        <v>286</v>
      </c>
    </row>
    <row r="4489" spans="1:6" hidden="1" outlineLevel="1" collapsed="1" x14ac:dyDescent="0.25">
      <c r="A4489" s="295" t="s">
        <v>282</v>
      </c>
      <c r="B4489" s="295" t="s">
        <v>397</v>
      </c>
      <c r="C4489" s="293">
        <v>0</v>
      </c>
      <c r="D4489" s="293">
        <v>5.8175999999999997</v>
      </c>
      <c r="E4489" s="293">
        <v>5.8175999999999997</v>
      </c>
      <c r="F4489" s="294" t="s">
        <v>298</v>
      </c>
    </row>
    <row r="4490" spans="1:6" hidden="1" outlineLevel="1" collapsed="1" x14ac:dyDescent="0.25">
      <c r="A4490" s="295" t="s">
        <v>282</v>
      </c>
      <c r="B4490" s="295" t="s">
        <v>398</v>
      </c>
      <c r="C4490" s="293">
        <v>2.88</v>
      </c>
      <c r="D4490" s="293">
        <v>1.3248</v>
      </c>
      <c r="E4490" s="293">
        <v>-1.5551999999999999</v>
      </c>
      <c r="F4490" s="294" t="s">
        <v>374</v>
      </c>
    </row>
    <row r="4491" spans="1:6" collapsed="1" x14ac:dyDescent="0.25">
      <c r="A4491" s="560" t="s">
        <v>1671</v>
      </c>
      <c r="B4491" s="561"/>
      <c r="C4491" s="292">
        <v>10909.149556</v>
      </c>
      <c r="D4491" s="293">
        <v>11422.239556</v>
      </c>
      <c r="E4491" s="293">
        <v>513.09</v>
      </c>
      <c r="F4491" s="294" t="s">
        <v>1672</v>
      </c>
    </row>
    <row r="4492" spans="1:6" hidden="1" outlineLevel="1" collapsed="1" x14ac:dyDescent="0.25">
      <c r="A4492" s="295" t="s">
        <v>282</v>
      </c>
      <c r="B4492" s="295" t="s">
        <v>874</v>
      </c>
      <c r="C4492" s="293">
        <v>584.12238600000001</v>
      </c>
      <c r="D4492" s="293">
        <v>592.88421900000003</v>
      </c>
      <c r="E4492" s="293">
        <v>8.7618329999999993</v>
      </c>
      <c r="F4492" s="294" t="s">
        <v>510</v>
      </c>
    </row>
    <row r="4493" spans="1:6" hidden="1" outlineLevel="1" collapsed="1" x14ac:dyDescent="0.25">
      <c r="A4493" s="295" t="s">
        <v>282</v>
      </c>
      <c r="B4493" s="295" t="s">
        <v>464</v>
      </c>
      <c r="C4493" s="293">
        <v>6141.2411979999997</v>
      </c>
      <c r="D4493" s="293">
        <v>6323.2326709999998</v>
      </c>
      <c r="E4493" s="293">
        <v>181.99147300000001</v>
      </c>
      <c r="F4493" s="294" t="s">
        <v>564</v>
      </c>
    </row>
    <row r="4494" spans="1:6" hidden="1" outlineLevel="1" collapsed="1" x14ac:dyDescent="0.25">
      <c r="A4494" s="295" t="s">
        <v>282</v>
      </c>
      <c r="B4494" s="295" t="s">
        <v>384</v>
      </c>
      <c r="C4494" s="293">
        <v>830.95473900000002</v>
      </c>
      <c r="D4494" s="293">
        <v>0</v>
      </c>
      <c r="E4494" s="293">
        <v>-830.95473900000002</v>
      </c>
      <c r="F4494" s="294" t="s">
        <v>286</v>
      </c>
    </row>
    <row r="4495" spans="1:6" hidden="1" outlineLevel="1" collapsed="1" x14ac:dyDescent="0.25">
      <c r="A4495" s="295" t="s">
        <v>282</v>
      </c>
      <c r="B4495" s="295" t="s">
        <v>385</v>
      </c>
      <c r="C4495" s="293">
        <v>0</v>
      </c>
      <c r="D4495" s="293">
        <v>1073.7864669999999</v>
      </c>
      <c r="E4495" s="293">
        <v>1073.7864669999999</v>
      </c>
      <c r="F4495" s="294" t="s">
        <v>298</v>
      </c>
    </row>
    <row r="4496" spans="1:6" hidden="1" outlineLevel="1" collapsed="1" x14ac:dyDescent="0.25">
      <c r="A4496" s="295" t="s">
        <v>282</v>
      </c>
      <c r="B4496" s="295" t="s">
        <v>386</v>
      </c>
      <c r="C4496" s="293">
        <v>416.97254199999998</v>
      </c>
      <c r="D4496" s="293">
        <v>0</v>
      </c>
      <c r="E4496" s="293">
        <v>-416.97254199999998</v>
      </c>
      <c r="F4496" s="294" t="s">
        <v>286</v>
      </c>
    </row>
    <row r="4497" spans="1:6" hidden="1" outlineLevel="1" collapsed="1" x14ac:dyDescent="0.25">
      <c r="A4497" s="295" t="s">
        <v>282</v>
      </c>
      <c r="B4497" s="295" t="s">
        <v>387</v>
      </c>
      <c r="C4497" s="293">
        <v>0</v>
      </c>
      <c r="D4497" s="293">
        <v>428.79924699999998</v>
      </c>
      <c r="E4497" s="293">
        <v>428.79924699999998</v>
      </c>
      <c r="F4497" s="294" t="s">
        <v>298</v>
      </c>
    </row>
    <row r="4498" spans="1:6" hidden="1" outlineLevel="1" collapsed="1" x14ac:dyDescent="0.25">
      <c r="A4498" s="295" t="s">
        <v>282</v>
      </c>
      <c r="B4498" s="295" t="s">
        <v>388</v>
      </c>
      <c r="C4498" s="293">
        <v>97.517769999999999</v>
      </c>
      <c r="D4498" s="293">
        <v>100.28369499999999</v>
      </c>
      <c r="E4498" s="293">
        <v>2.7659250000000002</v>
      </c>
      <c r="F4498" s="294" t="s">
        <v>1673</v>
      </c>
    </row>
    <row r="4499" spans="1:6" hidden="1" outlineLevel="1" collapsed="1" x14ac:dyDescent="0.25">
      <c r="A4499" s="295" t="s">
        <v>282</v>
      </c>
      <c r="B4499" s="295" t="s">
        <v>389</v>
      </c>
      <c r="C4499" s="293">
        <v>68.179968000000002</v>
      </c>
      <c r="D4499" s="293">
        <v>67.526399999999995</v>
      </c>
      <c r="E4499" s="293">
        <v>-0.65356800000000004</v>
      </c>
      <c r="F4499" s="294" t="s">
        <v>364</v>
      </c>
    </row>
    <row r="4500" spans="1:6" hidden="1" outlineLevel="1" collapsed="1" x14ac:dyDescent="0.25">
      <c r="A4500" s="295" t="s">
        <v>282</v>
      </c>
      <c r="B4500" s="295" t="s">
        <v>390</v>
      </c>
      <c r="C4500" s="293">
        <v>2477.6432</v>
      </c>
      <c r="D4500" s="293">
        <v>2553.4848000000002</v>
      </c>
      <c r="E4500" s="293">
        <v>75.8416</v>
      </c>
      <c r="F4500" s="294" t="s">
        <v>391</v>
      </c>
    </row>
    <row r="4501" spans="1:6" hidden="1" outlineLevel="1" collapsed="1" x14ac:dyDescent="0.25">
      <c r="A4501" s="295" t="s">
        <v>282</v>
      </c>
      <c r="B4501" s="295" t="s">
        <v>392</v>
      </c>
      <c r="C4501" s="293">
        <v>37.366272000000002</v>
      </c>
      <c r="D4501" s="293">
        <v>29.2608</v>
      </c>
      <c r="E4501" s="293">
        <v>-8.1054720000000007</v>
      </c>
      <c r="F4501" s="294" t="s">
        <v>368</v>
      </c>
    </row>
    <row r="4502" spans="1:6" hidden="1" outlineLevel="1" collapsed="1" x14ac:dyDescent="0.25">
      <c r="A4502" s="295" t="s">
        <v>282</v>
      </c>
      <c r="B4502" s="295" t="s">
        <v>393</v>
      </c>
      <c r="C4502" s="293">
        <v>3.3626809999999998</v>
      </c>
      <c r="D4502" s="293">
        <v>3.4580570000000002</v>
      </c>
      <c r="E4502" s="293">
        <v>9.5376000000000002E-2</v>
      </c>
      <c r="F4502" s="294" t="s">
        <v>1673</v>
      </c>
    </row>
    <row r="4503" spans="1:6" hidden="1" outlineLevel="1" collapsed="1" x14ac:dyDescent="0.25">
      <c r="A4503" s="295" t="s">
        <v>282</v>
      </c>
      <c r="B4503" s="295" t="s">
        <v>394</v>
      </c>
      <c r="C4503" s="293">
        <v>240</v>
      </c>
      <c r="D4503" s="293">
        <v>0</v>
      </c>
      <c r="E4503" s="293">
        <v>-240</v>
      </c>
      <c r="F4503" s="294" t="s">
        <v>286</v>
      </c>
    </row>
    <row r="4504" spans="1:6" hidden="1" outlineLevel="1" collapsed="1" x14ac:dyDescent="0.25">
      <c r="A4504" s="295" t="s">
        <v>282</v>
      </c>
      <c r="B4504" s="295" t="s">
        <v>395</v>
      </c>
      <c r="C4504" s="293">
        <v>0</v>
      </c>
      <c r="D4504" s="293">
        <v>240</v>
      </c>
      <c r="E4504" s="293">
        <v>240</v>
      </c>
      <c r="F4504" s="294" t="s">
        <v>298</v>
      </c>
    </row>
    <row r="4505" spans="1:6" hidden="1" outlineLevel="1" collapsed="1" x14ac:dyDescent="0.25">
      <c r="A4505" s="295" t="s">
        <v>282</v>
      </c>
      <c r="B4505" s="295" t="s">
        <v>396</v>
      </c>
      <c r="C4505" s="293">
        <v>7.9488000000000003</v>
      </c>
      <c r="D4505" s="293">
        <v>0</v>
      </c>
      <c r="E4505" s="293">
        <v>-7.9488000000000003</v>
      </c>
      <c r="F4505" s="294" t="s">
        <v>286</v>
      </c>
    </row>
    <row r="4506" spans="1:6" hidden="1" outlineLevel="1" collapsed="1" x14ac:dyDescent="0.25">
      <c r="A4506" s="295" t="s">
        <v>282</v>
      </c>
      <c r="B4506" s="295" t="s">
        <v>397</v>
      </c>
      <c r="C4506" s="293">
        <v>0</v>
      </c>
      <c r="D4506" s="293">
        <v>7.7568000000000001</v>
      </c>
      <c r="E4506" s="293">
        <v>7.7568000000000001</v>
      </c>
      <c r="F4506" s="294" t="s">
        <v>298</v>
      </c>
    </row>
    <row r="4507" spans="1:6" hidden="1" outlineLevel="1" collapsed="1" x14ac:dyDescent="0.25">
      <c r="A4507" s="295" t="s">
        <v>282</v>
      </c>
      <c r="B4507" s="295" t="s">
        <v>398</v>
      </c>
      <c r="C4507" s="293">
        <v>3.84</v>
      </c>
      <c r="D4507" s="293">
        <v>1.7664</v>
      </c>
      <c r="E4507" s="293">
        <v>-2.0735999999999999</v>
      </c>
      <c r="F4507" s="294" t="s">
        <v>374</v>
      </c>
    </row>
    <row r="4508" spans="1:6" collapsed="1" x14ac:dyDescent="0.25">
      <c r="A4508" s="560" t="s">
        <v>1674</v>
      </c>
      <c r="B4508" s="561"/>
      <c r="C4508" s="292">
        <v>201406.21495600001</v>
      </c>
      <c r="D4508" s="293">
        <v>209881.60453400001</v>
      </c>
      <c r="E4508" s="293">
        <v>8475.3895780000003</v>
      </c>
      <c r="F4508" s="294" t="s">
        <v>1309</v>
      </c>
    </row>
    <row r="4509" spans="1:6" hidden="1" outlineLevel="1" collapsed="1" x14ac:dyDescent="0.25">
      <c r="A4509" s="295" t="s">
        <v>282</v>
      </c>
      <c r="B4509" s="295" t="s">
        <v>942</v>
      </c>
      <c r="C4509" s="293">
        <v>99923.709587999998</v>
      </c>
      <c r="D4509" s="293">
        <v>101422.563828</v>
      </c>
      <c r="E4509" s="293">
        <v>1498.8542399999999</v>
      </c>
      <c r="F4509" s="294" t="s">
        <v>510</v>
      </c>
    </row>
    <row r="4510" spans="1:6" hidden="1" outlineLevel="1" collapsed="1" x14ac:dyDescent="0.25">
      <c r="A4510" s="295" t="s">
        <v>282</v>
      </c>
      <c r="B4510" s="295" t="s">
        <v>464</v>
      </c>
      <c r="C4510" s="293">
        <v>38145.484792000003</v>
      </c>
      <c r="D4510" s="293">
        <v>39274.249594000001</v>
      </c>
      <c r="E4510" s="293">
        <v>1128.7648019999999</v>
      </c>
      <c r="F4510" s="294" t="s">
        <v>564</v>
      </c>
    </row>
    <row r="4511" spans="1:6" hidden="1" outlineLevel="1" collapsed="1" x14ac:dyDescent="0.25">
      <c r="A4511" s="295" t="s">
        <v>282</v>
      </c>
      <c r="B4511" s="295" t="s">
        <v>384</v>
      </c>
      <c r="C4511" s="293">
        <v>17268.464644</v>
      </c>
      <c r="D4511" s="293">
        <v>0</v>
      </c>
      <c r="E4511" s="293">
        <v>-17268.464644</v>
      </c>
      <c r="F4511" s="294" t="s">
        <v>286</v>
      </c>
    </row>
    <row r="4512" spans="1:6" hidden="1" outlineLevel="1" collapsed="1" x14ac:dyDescent="0.25">
      <c r="A4512" s="295" t="s">
        <v>282</v>
      </c>
      <c r="B4512" s="295" t="s">
        <v>385</v>
      </c>
      <c r="C4512" s="293">
        <v>0</v>
      </c>
      <c r="D4512" s="293">
        <v>22103.696510000002</v>
      </c>
      <c r="E4512" s="293">
        <v>22103.696510000002</v>
      </c>
      <c r="F4512" s="294" t="s">
        <v>298</v>
      </c>
    </row>
    <row r="4513" spans="1:6" hidden="1" outlineLevel="1" collapsed="1" x14ac:dyDescent="0.25">
      <c r="A4513" s="295" t="s">
        <v>282</v>
      </c>
      <c r="B4513" s="295" t="s">
        <v>386</v>
      </c>
      <c r="C4513" s="293">
        <v>8560.2900410000002</v>
      </c>
      <c r="D4513" s="293">
        <v>0</v>
      </c>
      <c r="E4513" s="293">
        <v>-8560.2900410000002</v>
      </c>
      <c r="F4513" s="294" t="s">
        <v>286</v>
      </c>
    </row>
    <row r="4514" spans="1:6" hidden="1" outlineLevel="1" collapsed="1" x14ac:dyDescent="0.25">
      <c r="A4514" s="295" t="s">
        <v>282</v>
      </c>
      <c r="B4514" s="295" t="s">
        <v>387</v>
      </c>
      <c r="C4514" s="293">
        <v>0</v>
      </c>
      <c r="D4514" s="293">
        <v>8723.2024199999996</v>
      </c>
      <c r="E4514" s="293">
        <v>8723.2024199999996</v>
      </c>
      <c r="F4514" s="294" t="s">
        <v>298</v>
      </c>
    </row>
    <row r="4515" spans="1:6" hidden="1" outlineLevel="1" collapsed="1" x14ac:dyDescent="0.25">
      <c r="A4515" s="295" t="s">
        <v>282</v>
      </c>
      <c r="B4515" s="295" t="s">
        <v>388</v>
      </c>
      <c r="C4515" s="293">
        <v>2002.0033120000001</v>
      </c>
      <c r="D4515" s="293">
        <v>2040.103779</v>
      </c>
      <c r="E4515" s="293">
        <v>38.100467000000002</v>
      </c>
      <c r="F4515" s="294" t="s">
        <v>1476</v>
      </c>
    </row>
    <row r="4516" spans="1:6" hidden="1" outlineLevel="1" collapsed="1" x14ac:dyDescent="0.25">
      <c r="A4516" s="295" t="s">
        <v>282</v>
      </c>
      <c r="B4516" s="295" t="s">
        <v>389</v>
      </c>
      <c r="C4516" s="293">
        <v>852.24959999999999</v>
      </c>
      <c r="D4516" s="293">
        <v>844.08</v>
      </c>
      <c r="E4516" s="293">
        <v>-8.1696000000000009</v>
      </c>
      <c r="F4516" s="294" t="s">
        <v>364</v>
      </c>
    </row>
    <row r="4517" spans="1:6" hidden="1" outlineLevel="1" collapsed="1" x14ac:dyDescent="0.25">
      <c r="A4517" s="295" t="s">
        <v>282</v>
      </c>
      <c r="B4517" s="295" t="s">
        <v>390</v>
      </c>
      <c r="C4517" s="293">
        <v>30970.54</v>
      </c>
      <c r="D4517" s="293">
        <v>31918.560000000001</v>
      </c>
      <c r="E4517" s="293">
        <v>948.02</v>
      </c>
      <c r="F4517" s="294" t="s">
        <v>391</v>
      </c>
    </row>
    <row r="4518" spans="1:6" hidden="1" outlineLevel="1" collapsed="1" x14ac:dyDescent="0.25">
      <c r="A4518" s="295" t="s">
        <v>282</v>
      </c>
      <c r="B4518" s="295" t="s">
        <v>392</v>
      </c>
      <c r="C4518" s="293">
        <v>467.07839999999999</v>
      </c>
      <c r="D4518" s="293">
        <v>365.76</v>
      </c>
      <c r="E4518" s="293">
        <v>-101.3184</v>
      </c>
      <c r="F4518" s="294" t="s">
        <v>368</v>
      </c>
    </row>
    <row r="4519" spans="1:6" hidden="1" outlineLevel="1" collapsed="1" x14ac:dyDescent="0.25">
      <c r="A4519" s="295" t="s">
        <v>282</v>
      </c>
      <c r="B4519" s="295" t="s">
        <v>393</v>
      </c>
      <c r="C4519" s="293">
        <v>69.034578999999994</v>
      </c>
      <c r="D4519" s="293">
        <v>70.348403000000005</v>
      </c>
      <c r="E4519" s="293">
        <v>1.3138240000000001</v>
      </c>
      <c r="F4519" s="294" t="s">
        <v>1476</v>
      </c>
    </row>
    <row r="4520" spans="1:6" hidden="1" outlineLevel="1" collapsed="1" x14ac:dyDescent="0.25">
      <c r="A4520" s="295" t="s">
        <v>282</v>
      </c>
      <c r="B4520" s="295" t="s">
        <v>394</v>
      </c>
      <c r="C4520" s="293">
        <v>3000</v>
      </c>
      <c r="D4520" s="293">
        <v>0</v>
      </c>
      <c r="E4520" s="293">
        <v>-3000</v>
      </c>
      <c r="F4520" s="294" t="s">
        <v>286</v>
      </c>
    </row>
    <row r="4521" spans="1:6" hidden="1" outlineLevel="1" collapsed="1" x14ac:dyDescent="0.25">
      <c r="A4521" s="295" t="s">
        <v>282</v>
      </c>
      <c r="B4521" s="295" t="s">
        <v>395</v>
      </c>
      <c r="C4521" s="293">
        <v>0</v>
      </c>
      <c r="D4521" s="293">
        <v>3000</v>
      </c>
      <c r="E4521" s="293">
        <v>3000</v>
      </c>
      <c r="F4521" s="294" t="s">
        <v>298</v>
      </c>
    </row>
    <row r="4522" spans="1:6" hidden="1" outlineLevel="1" collapsed="1" x14ac:dyDescent="0.25">
      <c r="A4522" s="295" t="s">
        <v>282</v>
      </c>
      <c r="B4522" s="295" t="s">
        <v>396</v>
      </c>
      <c r="C4522" s="293">
        <v>99.36</v>
      </c>
      <c r="D4522" s="293">
        <v>0</v>
      </c>
      <c r="E4522" s="293">
        <v>-99.36</v>
      </c>
      <c r="F4522" s="294" t="s">
        <v>286</v>
      </c>
    </row>
    <row r="4523" spans="1:6" hidden="1" outlineLevel="1" collapsed="1" x14ac:dyDescent="0.25">
      <c r="A4523" s="295" t="s">
        <v>282</v>
      </c>
      <c r="B4523" s="295" t="s">
        <v>397</v>
      </c>
      <c r="C4523" s="293">
        <v>0</v>
      </c>
      <c r="D4523" s="293">
        <v>96.96</v>
      </c>
      <c r="E4523" s="293">
        <v>96.96</v>
      </c>
      <c r="F4523" s="294" t="s">
        <v>298</v>
      </c>
    </row>
    <row r="4524" spans="1:6" hidden="1" outlineLevel="1" collapsed="1" x14ac:dyDescent="0.25">
      <c r="A4524" s="295" t="s">
        <v>282</v>
      </c>
      <c r="B4524" s="295" t="s">
        <v>398</v>
      </c>
      <c r="C4524" s="293">
        <v>48</v>
      </c>
      <c r="D4524" s="293">
        <v>22.08</v>
      </c>
      <c r="E4524" s="293">
        <v>-25.92</v>
      </c>
      <c r="F4524" s="294" t="s">
        <v>374</v>
      </c>
    </row>
    <row r="4525" spans="1:6" collapsed="1" x14ac:dyDescent="0.25">
      <c r="A4525" s="560" t="s">
        <v>1675</v>
      </c>
      <c r="B4525" s="561"/>
      <c r="C4525" s="292">
        <v>7235.083807</v>
      </c>
      <c r="D4525" s="293">
        <v>7583.613625</v>
      </c>
      <c r="E4525" s="293">
        <v>348.52981799999998</v>
      </c>
      <c r="F4525" s="294" t="s">
        <v>1676</v>
      </c>
    </row>
    <row r="4526" spans="1:6" hidden="1" outlineLevel="1" collapsed="1" x14ac:dyDescent="0.25">
      <c r="A4526" s="295" t="s">
        <v>282</v>
      </c>
      <c r="B4526" s="295" t="s">
        <v>464</v>
      </c>
      <c r="C4526" s="293">
        <v>4555.1607990000002</v>
      </c>
      <c r="D4526" s="293">
        <v>4689.0620470000003</v>
      </c>
      <c r="E4526" s="293">
        <v>133.90124800000001</v>
      </c>
      <c r="F4526" s="294" t="s">
        <v>1677</v>
      </c>
    </row>
    <row r="4527" spans="1:6" hidden="1" outlineLevel="1" collapsed="1" x14ac:dyDescent="0.25">
      <c r="A4527" s="295" t="s">
        <v>282</v>
      </c>
      <c r="B4527" s="295" t="s">
        <v>384</v>
      </c>
      <c r="C4527" s="293">
        <v>557.31422799999996</v>
      </c>
      <c r="D4527" s="293">
        <v>0</v>
      </c>
      <c r="E4527" s="293">
        <v>-557.31422799999996</v>
      </c>
      <c r="F4527" s="294" t="s">
        <v>286</v>
      </c>
    </row>
    <row r="4528" spans="1:6" hidden="1" outlineLevel="1" collapsed="1" x14ac:dyDescent="0.25">
      <c r="A4528" s="295" t="s">
        <v>282</v>
      </c>
      <c r="B4528" s="295" t="s">
        <v>385</v>
      </c>
      <c r="C4528" s="293">
        <v>0</v>
      </c>
      <c r="D4528" s="293">
        <v>721.121803</v>
      </c>
      <c r="E4528" s="293">
        <v>721.121803</v>
      </c>
      <c r="F4528" s="294" t="s">
        <v>298</v>
      </c>
    </row>
    <row r="4529" spans="1:6" hidden="1" outlineLevel="1" collapsed="1" x14ac:dyDescent="0.25">
      <c r="A4529" s="295" t="s">
        <v>282</v>
      </c>
      <c r="B4529" s="295" t="s">
        <v>386</v>
      </c>
      <c r="C4529" s="293">
        <v>282.41996899999998</v>
      </c>
      <c r="D4529" s="293">
        <v>0</v>
      </c>
      <c r="E4529" s="293">
        <v>-282.41996899999998</v>
      </c>
      <c r="F4529" s="294" t="s">
        <v>286</v>
      </c>
    </row>
    <row r="4530" spans="1:6" hidden="1" outlineLevel="1" collapsed="1" x14ac:dyDescent="0.25">
      <c r="A4530" s="295" t="s">
        <v>282</v>
      </c>
      <c r="B4530" s="295" t="s">
        <v>387</v>
      </c>
      <c r="C4530" s="293">
        <v>0</v>
      </c>
      <c r="D4530" s="293">
        <v>290.72184600000003</v>
      </c>
      <c r="E4530" s="293">
        <v>290.72184600000003</v>
      </c>
      <c r="F4530" s="294" t="s">
        <v>298</v>
      </c>
    </row>
    <row r="4531" spans="1:6" hidden="1" outlineLevel="1" collapsed="1" x14ac:dyDescent="0.25">
      <c r="A4531" s="295" t="s">
        <v>282</v>
      </c>
      <c r="B4531" s="295" t="s">
        <v>388</v>
      </c>
      <c r="C4531" s="293">
        <v>66.049830999999998</v>
      </c>
      <c r="D4531" s="293">
        <v>67.991399000000001</v>
      </c>
      <c r="E4531" s="293">
        <v>1.941568</v>
      </c>
      <c r="F4531" s="294" t="s">
        <v>1677</v>
      </c>
    </row>
    <row r="4532" spans="1:6" hidden="1" outlineLevel="1" collapsed="1" x14ac:dyDescent="0.25">
      <c r="A4532" s="295" t="s">
        <v>282</v>
      </c>
      <c r="B4532" s="295" t="s">
        <v>389</v>
      </c>
      <c r="C4532" s="293">
        <v>42.612479999999998</v>
      </c>
      <c r="D4532" s="293">
        <v>42.204000000000001</v>
      </c>
      <c r="E4532" s="293">
        <v>-0.40848000000000001</v>
      </c>
      <c r="F4532" s="294" t="s">
        <v>364</v>
      </c>
    </row>
    <row r="4533" spans="1:6" hidden="1" outlineLevel="1" collapsed="1" x14ac:dyDescent="0.25">
      <c r="A4533" s="295" t="s">
        <v>282</v>
      </c>
      <c r="B4533" s="295" t="s">
        <v>390</v>
      </c>
      <c r="C4533" s="293">
        <v>1548.527</v>
      </c>
      <c r="D4533" s="293">
        <v>1595.9280000000001</v>
      </c>
      <c r="E4533" s="293">
        <v>47.401000000000003</v>
      </c>
      <c r="F4533" s="294" t="s">
        <v>391</v>
      </c>
    </row>
    <row r="4534" spans="1:6" hidden="1" outlineLevel="1" collapsed="1" x14ac:dyDescent="0.25">
      <c r="A4534" s="295" t="s">
        <v>282</v>
      </c>
      <c r="B4534" s="295" t="s">
        <v>392</v>
      </c>
      <c r="C4534" s="293">
        <v>23.353919999999999</v>
      </c>
      <c r="D4534" s="293">
        <v>18.288</v>
      </c>
      <c r="E4534" s="293">
        <v>-5.0659200000000002</v>
      </c>
      <c r="F4534" s="294" t="s">
        <v>368</v>
      </c>
    </row>
    <row r="4535" spans="1:6" hidden="1" outlineLevel="1" collapsed="1" x14ac:dyDescent="0.25">
      <c r="A4535" s="295" t="s">
        <v>282</v>
      </c>
      <c r="B4535" s="295" t="s">
        <v>393</v>
      </c>
      <c r="C4535" s="293">
        <v>2.2775799999999999</v>
      </c>
      <c r="D4535" s="293">
        <v>2.3445299999999998</v>
      </c>
      <c r="E4535" s="293">
        <v>6.6949999999999996E-2</v>
      </c>
      <c r="F4535" s="294" t="s">
        <v>1677</v>
      </c>
    </row>
    <row r="4536" spans="1:6" hidden="1" outlineLevel="1" collapsed="1" x14ac:dyDescent="0.25">
      <c r="A4536" s="295" t="s">
        <v>282</v>
      </c>
      <c r="B4536" s="295" t="s">
        <v>394</v>
      </c>
      <c r="C4536" s="293">
        <v>150</v>
      </c>
      <c r="D4536" s="293">
        <v>0</v>
      </c>
      <c r="E4536" s="293">
        <v>-150</v>
      </c>
      <c r="F4536" s="294" t="s">
        <v>286</v>
      </c>
    </row>
    <row r="4537" spans="1:6" hidden="1" outlineLevel="1" collapsed="1" x14ac:dyDescent="0.25">
      <c r="A4537" s="295" t="s">
        <v>282</v>
      </c>
      <c r="B4537" s="295" t="s">
        <v>395</v>
      </c>
      <c r="C4537" s="293">
        <v>0</v>
      </c>
      <c r="D4537" s="293">
        <v>150</v>
      </c>
      <c r="E4537" s="293">
        <v>150</v>
      </c>
      <c r="F4537" s="294" t="s">
        <v>298</v>
      </c>
    </row>
    <row r="4538" spans="1:6" hidden="1" outlineLevel="1" collapsed="1" x14ac:dyDescent="0.25">
      <c r="A4538" s="295" t="s">
        <v>282</v>
      </c>
      <c r="B4538" s="295" t="s">
        <v>396</v>
      </c>
      <c r="C4538" s="293">
        <v>4.968</v>
      </c>
      <c r="D4538" s="293">
        <v>0</v>
      </c>
      <c r="E4538" s="293">
        <v>-4.968</v>
      </c>
      <c r="F4538" s="294" t="s">
        <v>286</v>
      </c>
    </row>
    <row r="4539" spans="1:6" hidden="1" outlineLevel="1" collapsed="1" x14ac:dyDescent="0.25">
      <c r="A4539" s="295" t="s">
        <v>282</v>
      </c>
      <c r="B4539" s="295" t="s">
        <v>397</v>
      </c>
      <c r="C4539" s="293">
        <v>0</v>
      </c>
      <c r="D4539" s="293">
        <v>4.8479999999999999</v>
      </c>
      <c r="E4539" s="293">
        <v>4.8479999999999999</v>
      </c>
      <c r="F4539" s="294" t="s">
        <v>298</v>
      </c>
    </row>
    <row r="4540" spans="1:6" hidden="1" outlineLevel="1" collapsed="1" x14ac:dyDescent="0.25">
      <c r="A4540" s="295" t="s">
        <v>282</v>
      </c>
      <c r="B4540" s="295" t="s">
        <v>398</v>
      </c>
      <c r="C4540" s="293">
        <v>2.4</v>
      </c>
      <c r="D4540" s="293">
        <v>1.1040000000000001</v>
      </c>
      <c r="E4540" s="293">
        <v>-1.296</v>
      </c>
      <c r="F4540" s="294" t="s">
        <v>374</v>
      </c>
    </row>
    <row r="4541" spans="1:6" collapsed="1" x14ac:dyDescent="0.25">
      <c r="A4541" s="560" t="s">
        <v>1678</v>
      </c>
      <c r="B4541" s="561"/>
      <c r="C4541" s="292">
        <v>879.76854500000002</v>
      </c>
      <c r="D4541" s="293">
        <v>913.44921099999999</v>
      </c>
      <c r="E4541" s="293">
        <v>33.680666000000002</v>
      </c>
      <c r="F4541" s="294" t="s">
        <v>1679</v>
      </c>
    </row>
    <row r="4542" spans="1:6" hidden="1" outlineLevel="1" collapsed="1" x14ac:dyDescent="0.25">
      <c r="A4542" s="295" t="s">
        <v>282</v>
      </c>
      <c r="B4542" s="295" t="s">
        <v>874</v>
      </c>
      <c r="C4542" s="293">
        <v>584.12238600000001</v>
      </c>
      <c r="D4542" s="293">
        <v>592.88421900000003</v>
      </c>
      <c r="E4542" s="293">
        <v>8.7618329999999993</v>
      </c>
      <c r="F4542" s="294" t="s">
        <v>510</v>
      </c>
    </row>
    <row r="4543" spans="1:6" hidden="1" outlineLevel="1" collapsed="1" x14ac:dyDescent="0.25">
      <c r="A4543" s="295" t="s">
        <v>282</v>
      </c>
      <c r="B4543" s="295" t="s">
        <v>384</v>
      </c>
      <c r="C4543" s="293">
        <v>73.482596000000001</v>
      </c>
      <c r="D4543" s="293">
        <v>0</v>
      </c>
      <c r="E4543" s="293">
        <v>-73.482596000000001</v>
      </c>
      <c r="F4543" s="294" t="s">
        <v>286</v>
      </c>
    </row>
    <row r="4544" spans="1:6" hidden="1" outlineLevel="1" collapsed="1" x14ac:dyDescent="0.25">
      <c r="A4544" s="295" t="s">
        <v>282</v>
      </c>
      <c r="B4544" s="295" t="s">
        <v>385</v>
      </c>
      <c r="C4544" s="293">
        <v>0</v>
      </c>
      <c r="D4544" s="293">
        <v>93.675707000000003</v>
      </c>
      <c r="E4544" s="293">
        <v>93.675707000000003</v>
      </c>
      <c r="F4544" s="294" t="s">
        <v>298</v>
      </c>
    </row>
    <row r="4545" spans="1:6" hidden="1" outlineLevel="1" collapsed="1" x14ac:dyDescent="0.25">
      <c r="A4545" s="295" t="s">
        <v>282</v>
      </c>
      <c r="B4545" s="295" t="s">
        <v>386</v>
      </c>
      <c r="C4545" s="293">
        <v>36.215587999999997</v>
      </c>
      <c r="D4545" s="293">
        <v>0</v>
      </c>
      <c r="E4545" s="293">
        <v>-36.215587999999997</v>
      </c>
      <c r="F4545" s="294" t="s">
        <v>286</v>
      </c>
    </row>
    <row r="4546" spans="1:6" hidden="1" outlineLevel="1" collapsed="1" x14ac:dyDescent="0.25">
      <c r="A4546" s="295" t="s">
        <v>282</v>
      </c>
      <c r="B4546" s="295" t="s">
        <v>387</v>
      </c>
      <c r="C4546" s="293">
        <v>0</v>
      </c>
      <c r="D4546" s="293">
        <v>36.758822000000002</v>
      </c>
      <c r="E4546" s="293">
        <v>36.758822000000002</v>
      </c>
      <c r="F4546" s="294" t="s">
        <v>298</v>
      </c>
    </row>
    <row r="4547" spans="1:6" hidden="1" outlineLevel="1" collapsed="1" x14ac:dyDescent="0.25">
      <c r="A4547" s="295" t="s">
        <v>282</v>
      </c>
      <c r="B4547" s="295" t="s">
        <v>388</v>
      </c>
      <c r="C4547" s="293">
        <v>8.4697739999999992</v>
      </c>
      <c r="D4547" s="293">
        <v>8.5968210000000003</v>
      </c>
      <c r="E4547" s="293">
        <v>0.12704699999999999</v>
      </c>
      <c r="F4547" s="294" t="s">
        <v>510</v>
      </c>
    </row>
    <row r="4548" spans="1:6" hidden="1" outlineLevel="1" collapsed="1" x14ac:dyDescent="0.25">
      <c r="A4548" s="295" t="s">
        <v>282</v>
      </c>
      <c r="B4548" s="295" t="s">
        <v>389</v>
      </c>
      <c r="C4548" s="293">
        <v>4.2612480000000001</v>
      </c>
      <c r="D4548" s="293">
        <v>4.2203999999999997</v>
      </c>
      <c r="E4548" s="293">
        <v>-4.0848000000000002E-2</v>
      </c>
      <c r="F4548" s="294" t="s">
        <v>364</v>
      </c>
    </row>
    <row r="4549" spans="1:6" hidden="1" outlineLevel="1" collapsed="1" x14ac:dyDescent="0.25">
      <c r="A4549" s="295" t="s">
        <v>282</v>
      </c>
      <c r="B4549" s="295" t="s">
        <v>390</v>
      </c>
      <c r="C4549" s="293">
        <v>154.8527</v>
      </c>
      <c r="D4549" s="293">
        <v>159.59280000000001</v>
      </c>
      <c r="E4549" s="293">
        <v>4.7401</v>
      </c>
      <c r="F4549" s="294" t="s">
        <v>391</v>
      </c>
    </row>
    <row r="4550" spans="1:6" hidden="1" outlineLevel="1" collapsed="1" x14ac:dyDescent="0.25">
      <c r="A4550" s="295" t="s">
        <v>282</v>
      </c>
      <c r="B4550" s="295" t="s">
        <v>392</v>
      </c>
      <c r="C4550" s="293">
        <v>2.3353920000000001</v>
      </c>
      <c r="D4550" s="293">
        <v>1.8288</v>
      </c>
      <c r="E4550" s="293">
        <v>-0.50659200000000004</v>
      </c>
      <c r="F4550" s="294" t="s">
        <v>368</v>
      </c>
    </row>
    <row r="4551" spans="1:6" hidden="1" outlineLevel="1" collapsed="1" x14ac:dyDescent="0.25">
      <c r="A4551" s="295" t="s">
        <v>282</v>
      </c>
      <c r="B4551" s="295" t="s">
        <v>393</v>
      </c>
      <c r="C4551" s="293">
        <v>0.29206100000000002</v>
      </c>
      <c r="D4551" s="293">
        <v>0.29644199999999998</v>
      </c>
      <c r="E4551" s="293">
        <v>4.3810000000000003E-3</v>
      </c>
      <c r="F4551" s="294" t="s">
        <v>510</v>
      </c>
    </row>
    <row r="4552" spans="1:6" hidden="1" outlineLevel="1" collapsed="1" x14ac:dyDescent="0.25">
      <c r="A4552" s="295" t="s">
        <v>282</v>
      </c>
      <c r="B4552" s="295" t="s">
        <v>394</v>
      </c>
      <c r="C4552" s="293">
        <v>15</v>
      </c>
      <c r="D4552" s="293">
        <v>0</v>
      </c>
      <c r="E4552" s="293">
        <v>-15</v>
      </c>
      <c r="F4552" s="294" t="s">
        <v>286</v>
      </c>
    </row>
    <row r="4553" spans="1:6" hidden="1" outlineLevel="1" collapsed="1" x14ac:dyDescent="0.25">
      <c r="A4553" s="295" t="s">
        <v>282</v>
      </c>
      <c r="B4553" s="295" t="s">
        <v>395</v>
      </c>
      <c r="C4553" s="293">
        <v>0</v>
      </c>
      <c r="D4553" s="293">
        <v>15</v>
      </c>
      <c r="E4553" s="293">
        <v>15</v>
      </c>
      <c r="F4553" s="294" t="s">
        <v>298</v>
      </c>
    </row>
    <row r="4554" spans="1:6" hidden="1" outlineLevel="1" collapsed="1" x14ac:dyDescent="0.25">
      <c r="A4554" s="295" t="s">
        <v>282</v>
      </c>
      <c r="B4554" s="295" t="s">
        <v>396</v>
      </c>
      <c r="C4554" s="293">
        <v>0.49680000000000002</v>
      </c>
      <c r="D4554" s="293">
        <v>0</v>
      </c>
      <c r="E4554" s="293">
        <v>-0.49680000000000002</v>
      </c>
      <c r="F4554" s="294" t="s">
        <v>286</v>
      </c>
    </row>
    <row r="4555" spans="1:6" hidden="1" outlineLevel="1" collapsed="1" x14ac:dyDescent="0.25">
      <c r="A4555" s="295" t="s">
        <v>282</v>
      </c>
      <c r="B4555" s="295" t="s">
        <v>397</v>
      </c>
      <c r="C4555" s="293">
        <v>0</v>
      </c>
      <c r="D4555" s="293">
        <v>0.48480000000000001</v>
      </c>
      <c r="E4555" s="293">
        <v>0.48480000000000001</v>
      </c>
      <c r="F4555" s="294" t="s">
        <v>298</v>
      </c>
    </row>
    <row r="4556" spans="1:6" hidden="1" outlineLevel="1" collapsed="1" x14ac:dyDescent="0.25">
      <c r="A4556" s="295" t="s">
        <v>282</v>
      </c>
      <c r="B4556" s="295" t="s">
        <v>398</v>
      </c>
      <c r="C4556" s="293">
        <v>0.24</v>
      </c>
      <c r="D4556" s="293">
        <v>0.1104</v>
      </c>
      <c r="E4556" s="293">
        <v>-0.12959999999999999</v>
      </c>
      <c r="F4556" s="294" t="s">
        <v>374</v>
      </c>
    </row>
    <row r="4557" spans="1:6" collapsed="1" x14ac:dyDescent="0.25">
      <c r="A4557" s="560" t="s">
        <v>1680</v>
      </c>
      <c r="B4557" s="561"/>
      <c r="C4557" s="292">
        <v>0</v>
      </c>
      <c r="D4557" s="293">
        <v>25200</v>
      </c>
      <c r="E4557" s="293">
        <v>25200</v>
      </c>
      <c r="F4557" s="294" t="s">
        <v>298</v>
      </c>
    </row>
    <row r="4558" spans="1:6" hidden="1" outlineLevel="1" collapsed="1" x14ac:dyDescent="0.25">
      <c r="A4558" s="295" t="s">
        <v>282</v>
      </c>
      <c r="B4558" s="295" t="s">
        <v>376</v>
      </c>
      <c r="C4558" s="293">
        <v>0</v>
      </c>
      <c r="D4558" s="293">
        <v>5000</v>
      </c>
      <c r="E4558" s="293">
        <v>5000</v>
      </c>
      <c r="F4558" s="294" t="s">
        <v>298</v>
      </c>
    </row>
    <row r="4559" spans="1:6" hidden="1" outlineLevel="1" collapsed="1" x14ac:dyDescent="0.25">
      <c r="A4559" s="295" t="s">
        <v>282</v>
      </c>
      <c r="B4559" s="295" t="s">
        <v>1046</v>
      </c>
      <c r="C4559" s="293">
        <v>0</v>
      </c>
      <c r="D4559" s="293">
        <v>3000</v>
      </c>
      <c r="E4559" s="293">
        <v>3000</v>
      </c>
      <c r="F4559" s="294" t="s">
        <v>298</v>
      </c>
    </row>
    <row r="4560" spans="1:6" hidden="1" outlineLevel="1" collapsed="1" x14ac:dyDescent="0.25">
      <c r="A4560" s="295" t="s">
        <v>282</v>
      </c>
      <c r="B4560" s="295" t="s">
        <v>1075</v>
      </c>
      <c r="C4560" s="293">
        <v>0</v>
      </c>
      <c r="D4560" s="293">
        <v>3700</v>
      </c>
      <c r="E4560" s="293">
        <v>3700</v>
      </c>
      <c r="F4560" s="294" t="s">
        <v>298</v>
      </c>
    </row>
    <row r="4561" spans="1:6" hidden="1" outlineLevel="1" collapsed="1" x14ac:dyDescent="0.25">
      <c r="A4561" s="295" t="s">
        <v>282</v>
      </c>
      <c r="B4561" s="295" t="s">
        <v>403</v>
      </c>
      <c r="C4561" s="293">
        <v>0</v>
      </c>
      <c r="D4561" s="293">
        <v>4500</v>
      </c>
      <c r="E4561" s="293">
        <v>4500</v>
      </c>
      <c r="F4561" s="294" t="s">
        <v>298</v>
      </c>
    </row>
    <row r="4562" spans="1:6" hidden="1" outlineLevel="1" collapsed="1" x14ac:dyDescent="0.25">
      <c r="A4562" s="295" t="s">
        <v>282</v>
      </c>
      <c r="B4562" s="295" t="s">
        <v>405</v>
      </c>
      <c r="C4562" s="293">
        <v>0</v>
      </c>
      <c r="D4562" s="293">
        <v>9000</v>
      </c>
      <c r="E4562" s="293">
        <v>9000</v>
      </c>
      <c r="F4562" s="294" t="s">
        <v>298</v>
      </c>
    </row>
    <row r="4563" spans="1:6" collapsed="1" x14ac:dyDescent="0.25">
      <c r="A4563" s="560" t="s">
        <v>1681</v>
      </c>
      <c r="B4563" s="561"/>
      <c r="C4563" s="292">
        <v>138379.965792</v>
      </c>
      <c r="D4563" s="293">
        <v>143898.92430000001</v>
      </c>
      <c r="E4563" s="293">
        <v>5518.9585079999997</v>
      </c>
      <c r="F4563" s="294" t="s">
        <v>1682</v>
      </c>
    </row>
    <row r="4564" spans="1:6" hidden="1" outlineLevel="1" collapsed="1" x14ac:dyDescent="0.25">
      <c r="A4564" s="295" t="s">
        <v>282</v>
      </c>
      <c r="B4564" s="295" t="s">
        <v>780</v>
      </c>
      <c r="C4564" s="293">
        <v>110159.97823199999</v>
      </c>
      <c r="D4564" s="293">
        <v>111812.375988</v>
      </c>
      <c r="E4564" s="293">
        <v>1652.3977560000001</v>
      </c>
      <c r="F4564" s="294" t="s">
        <v>510</v>
      </c>
    </row>
    <row r="4565" spans="1:6" hidden="1" outlineLevel="1" collapsed="1" x14ac:dyDescent="0.25">
      <c r="A4565" s="295" t="s">
        <v>282</v>
      </c>
      <c r="B4565" s="295" t="s">
        <v>384</v>
      </c>
      <c r="C4565" s="293">
        <v>13858.125252</v>
      </c>
      <c r="D4565" s="293">
        <v>0</v>
      </c>
      <c r="E4565" s="293">
        <v>-13858.125252</v>
      </c>
      <c r="F4565" s="294" t="s">
        <v>286</v>
      </c>
    </row>
    <row r="4566" spans="1:6" hidden="1" outlineLevel="1" collapsed="1" x14ac:dyDescent="0.25">
      <c r="A4566" s="295" t="s">
        <v>282</v>
      </c>
      <c r="B4566" s="295" t="s">
        <v>385</v>
      </c>
      <c r="C4566" s="293">
        <v>0</v>
      </c>
      <c r="D4566" s="293">
        <v>17666.355395999999</v>
      </c>
      <c r="E4566" s="293">
        <v>17666.355395999999</v>
      </c>
      <c r="F4566" s="294" t="s">
        <v>298</v>
      </c>
    </row>
    <row r="4567" spans="1:6" hidden="1" outlineLevel="1" collapsed="1" x14ac:dyDescent="0.25">
      <c r="A4567" s="295" t="s">
        <v>282</v>
      </c>
      <c r="B4567" s="295" t="s">
        <v>753</v>
      </c>
      <c r="C4567" s="293">
        <v>6867.1186440000001</v>
      </c>
      <c r="D4567" s="293">
        <v>6969.5672999999997</v>
      </c>
      <c r="E4567" s="293">
        <v>102.448656</v>
      </c>
      <c r="F4567" s="294" t="s">
        <v>781</v>
      </c>
    </row>
    <row r="4568" spans="1:6" hidden="1" outlineLevel="1" collapsed="1" x14ac:dyDescent="0.25">
      <c r="A4568" s="295" t="s">
        <v>282</v>
      </c>
      <c r="B4568" s="295" t="s">
        <v>388</v>
      </c>
      <c r="C4568" s="293">
        <v>1606.0196759999999</v>
      </c>
      <c r="D4568" s="293">
        <v>1629.9794400000001</v>
      </c>
      <c r="E4568" s="293">
        <v>23.959764</v>
      </c>
      <c r="F4568" s="294" t="s">
        <v>781</v>
      </c>
    </row>
    <row r="4569" spans="1:6" hidden="1" outlineLevel="1" collapsed="1" x14ac:dyDescent="0.25">
      <c r="A4569" s="295" t="s">
        <v>282</v>
      </c>
      <c r="B4569" s="295" t="s">
        <v>755</v>
      </c>
      <c r="C4569" s="293">
        <v>426.12479999999999</v>
      </c>
      <c r="D4569" s="293">
        <v>422.04</v>
      </c>
      <c r="E4569" s="293">
        <v>-4.0848000000000004</v>
      </c>
      <c r="F4569" s="294" t="s">
        <v>364</v>
      </c>
    </row>
    <row r="4570" spans="1:6" hidden="1" outlineLevel="1" collapsed="1" x14ac:dyDescent="0.25">
      <c r="A4570" s="295" t="s">
        <v>282</v>
      </c>
      <c r="B4570" s="295" t="s">
        <v>756</v>
      </c>
      <c r="C4570" s="293">
        <v>233.53919999999999</v>
      </c>
      <c r="D4570" s="293">
        <v>182.88</v>
      </c>
      <c r="E4570" s="293">
        <v>-50.659199999999998</v>
      </c>
      <c r="F4570" s="294" t="s">
        <v>368</v>
      </c>
    </row>
    <row r="4571" spans="1:6" hidden="1" outlineLevel="1" collapsed="1" x14ac:dyDescent="0.25">
      <c r="A4571" s="295" t="s">
        <v>282</v>
      </c>
      <c r="B4571" s="295" t="s">
        <v>757</v>
      </c>
      <c r="C4571" s="293">
        <v>55.379987999999997</v>
      </c>
      <c r="D4571" s="293">
        <v>0</v>
      </c>
      <c r="E4571" s="293">
        <v>-55.379987999999997</v>
      </c>
      <c r="F4571" s="294" t="s">
        <v>286</v>
      </c>
    </row>
    <row r="4572" spans="1:6" hidden="1" outlineLevel="1" collapsed="1" x14ac:dyDescent="0.25">
      <c r="A4572" s="295" t="s">
        <v>282</v>
      </c>
      <c r="B4572" s="295" t="s">
        <v>758</v>
      </c>
      <c r="C4572" s="293">
        <v>0</v>
      </c>
      <c r="D4572" s="293">
        <v>56.206175999999999</v>
      </c>
      <c r="E4572" s="293">
        <v>56.206175999999999</v>
      </c>
      <c r="F4572" s="294" t="s">
        <v>298</v>
      </c>
    </row>
    <row r="4573" spans="1:6" hidden="1" outlineLevel="1" collapsed="1" x14ac:dyDescent="0.25">
      <c r="A4573" s="295" t="s">
        <v>282</v>
      </c>
      <c r="B4573" s="295" t="s">
        <v>759</v>
      </c>
      <c r="C4573" s="293">
        <v>1500</v>
      </c>
      <c r="D4573" s="293">
        <v>0</v>
      </c>
      <c r="E4573" s="293">
        <v>-1500</v>
      </c>
      <c r="F4573" s="294" t="s">
        <v>286</v>
      </c>
    </row>
    <row r="4574" spans="1:6" hidden="1" outlineLevel="1" collapsed="1" x14ac:dyDescent="0.25">
      <c r="A4574" s="295" t="s">
        <v>282</v>
      </c>
      <c r="B4574" s="295" t="s">
        <v>760</v>
      </c>
      <c r="C4574" s="293">
        <v>0</v>
      </c>
      <c r="D4574" s="293">
        <v>1500</v>
      </c>
      <c r="E4574" s="293">
        <v>1500</v>
      </c>
      <c r="F4574" s="294" t="s">
        <v>298</v>
      </c>
    </row>
    <row r="4575" spans="1:6" hidden="1" outlineLevel="1" collapsed="1" x14ac:dyDescent="0.25">
      <c r="A4575" s="295" t="s">
        <v>282</v>
      </c>
      <c r="B4575" s="295" t="s">
        <v>761</v>
      </c>
      <c r="C4575" s="293">
        <v>49.68</v>
      </c>
      <c r="D4575" s="293">
        <v>0</v>
      </c>
      <c r="E4575" s="293">
        <v>-49.68</v>
      </c>
      <c r="F4575" s="294" t="s">
        <v>286</v>
      </c>
    </row>
    <row r="4576" spans="1:6" hidden="1" outlineLevel="1" collapsed="1" x14ac:dyDescent="0.25">
      <c r="A4576" s="295" t="s">
        <v>282</v>
      </c>
      <c r="B4576" s="295" t="s">
        <v>762</v>
      </c>
      <c r="C4576" s="293">
        <v>0</v>
      </c>
      <c r="D4576" s="293">
        <v>48.48</v>
      </c>
      <c r="E4576" s="293">
        <v>48.48</v>
      </c>
      <c r="F4576" s="294" t="s">
        <v>298</v>
      </c>
    </row>
    <row r="4577" spans="1:6" hidden="1" outlineLevel="1" collapsed="1" x14ac:dyDescent="0.25">
      <c r="A4577" s="295" t="s">
        <v>282</v>
      </c>
      <c r="B4577" s="295" t="s">
        <v>763</v>
      </c>
      <c r="C4577" s="293">
        <v>24</v>
      </c>
      <c r="D4577" s="293">
        <v>11.04</v>
      </c>
      <c r="E4577" s="293">
        <v>-12.96</v>
      </c>
      <c r="F4577" s="294" t="s">
        <v>374</v>
      </c>
    </row>
    <row r="4578" spans="1:6" hidden="1" outlineLevel="1" collapsed="1" x14ac:dyDescent="0.25">
      <c r="A4578" s="295" t="s">
        <v>282</v>
      </c>
      <c r="B4578" s="295" t="s">
        <v>522</v>
      </c>
      <c r="C4578" s="293">
        <v>3000</v>
      </c>
      <c r="D4578" s="293">
        <v>3000</v>
      </c>
      <c r="E4578" s="293">
        <v>0</v>
      </c>
      <c r="F4578" s="294" t="s">
        <v>316</v>
      </c>
    </row>
    <row r="4579" spans="1:6" hidden="1" outlineLevel="1" collapsed="1" x14ac:dyDescent="0.25">
      <c r="A4579" s="295" t="s">
        <v>282</v>
      </c>
      <c r="B4579" s="295" t="s">
        <v>376</v>
      </c>
      <c r="C4579" s="293">
        <v>0</v>
      </c>
      <c r="D4579" s="293">
        <v>0</v>
      </c>
      <c r="E4579" s="293">
        <v>0</v>
      </c>
      <c r="F4579" s="294" t="s">
        <v>316</v>
      </c>
    </row>
    <row r="4580" spans="1:6" hidden="1" outlineLevel="1" collapsed="1" x14ac:dyDescent="0.25">
      <c r="A4580" s="295" t="s">
        <v>282</v>
      </c>
      <c r="B4580" s="295" t="s">
        <v>707</v>
      </c>
      <c r="C4580" s="293">
        <v>600</v>
      </c>
      <c r="D4580" s="293">
        <v>600</v>
      </c>
      <c r="E4580" s="293">
        <v>0</v>
      </c>
      <c r="F4580" s="294" t="s">
        <v>316</v>
      </c>
    </row>
    <row r="4581" spans="1:6" collapsed="1" x14ac:dyDescent="0.25">
      <c r="A4581" s="560" t="s">
        <v>1683</v>
      </c>
      <c r="B4581" s="561"/>
      <c r="C4581" s="292">
        <v>704.10592099999997</v>
      </c>
      <c r="D4581" s="293">
        <v>738.21089500000005</v>
      </c>
      <c r="E4581" s="293">
        <v>34.104973999999999</v>
      </c>
      <c r="F4581" s="294" t="s">
        <v>1684</v>
      </c>
    </row>
    <row r="4582" spans="1:6" hidden="1" outlineLevel="1" collapsed="1" x14ac:dyDescent="0.25">
      <c r="A4582" s="295" t="s">
        <v>282</v>
      </c>
      <c r="B4582" s="295" t="s">
        <v>464</v>
      </c>
      <c r="C4582" s="293">
        <v>438.75746700000002</v>
      </c>
      <c r="D4582" s="293">
        <v>451.82242600000001</v>
      </c>
      <c r="E4582" s="293">
        <v>13.064959</v>
      </c>
      <c r="F4582" s="294" t="s">
        <v>381</v>
      </c>
    </row>
    <row r="4583" spans="1:6" hidden="1" outlineLevel="1" collapsed="1" x14ac:dyDescent="0.25">
      <c r="A4583" s="295" t="s">
        <v>282</v>
      </c>
      <c r="B4583" s="295" t="s">
        <v>384</v>
      </c>
      <c r="C4583" s="293">
        <v>54.377988999999999</v>
      </c>
      <c r="D4583" s="293">
        <v>0</v>
      </c>
      <c r="E4583" s="293">
        <v>-54.377988999999999</v>
      </c>
      <c r="F4583" s="294" t="s">
        <v>286</v>
      </c>
    </row>
    <row r="4584" spans="1:6" hidden="1" outlineLevel="1" collapsed="1" x14ac:dyDescent="0.25">
      <c r="A4584" s="295" t="s">
        <v>282</v>
      </c>
      <c r="B4584" s="295" t="s">
        <v>385</v>
      </c>
      <c r="C4584" s="293">
        <v>0</v>
      </c>
      <c r="D4584" s="293">
        <v>70.360943000000006</v>
      </c>
      <c r="E4584" s="293">
        <v>70.360943000000006</v>
      </c>
      <c r="F4584" s="294" t="s">
        <v>298</v>
      </c>
    </row>
    <row r="4585" spans="1:6" hidden="1" outlineLevel="1" collapsed="1" x14ac:dyDescent="0.25">
      <c r="A4585" s="295" t="s">
        <v>282</v>
      </c>
      <c r="B4585" s="295" t="s">
        <v>386</v>
      </c>
      <c r="C4585" s="293">
        <v>27.202963</v>
      </c>
      <c r="D4585" s="293">
        <v>0</v>
      </c>
      <c r="E4585" s="293">
        <v>-27.202963</v>
      </c>
      <c r="F4585" s="294" t="s">
        <v>286</v>
      </c>
    </row>
    <row r="4586" spans="1:6" hidden="1" outlineLevel="1" collapsed="1" x14ac:dyDescent="0.25">
      <c r="A4586" s="295" t="s">
        <v>282</v>
      </c>
      <c r="B4586" s="295" t="s">
        <v>387</v>
      </c>
      <c r="C4586" s="293">
        <v>0</v>
      </c>
      <c r="D4586" s="293">
        <v>28.012989999999999</v>
      </c>
      <c r="E4586" s="293">
        <v>28.012989999999999</v>
      </c>
      <c r="F4586" s="294" t="s">
        <v>298</v>
      </c>
    </row>
    <row r="4587" spans="1:6" hidden="1" outlineLevel="1" collapsed="1" x14ac:dyDescent="0.25">
      <c r="A4587" s="295" t="s">
        <v>282</v>
      </c>
      <c r="B4587" s="295" t="s">
        <v>388</v>
      </c>
      <c r="C4587" s="293">
        <v>6.3619830000000004</v>
      </c>
      <c r="D4587" s="293">
        <v>6.5514250000000001</v>
      </c>
      <c r="E4587" s="293">
        <v>0.189442</v>
      </c>
      <c r="F4587" s="294" t="s">
        <v>381</v>
      </c>
    </row>
    <row r="4588" spans="1:6" hidden="1" outlineLevel="1" collapsed="1" x14ac:dyDescent="0.25">
      <c r="A4588" s="295" t="s">
        <v>282</v>
      </c>
      <c r="B4588" s="295" t="s">
        <v>389</v>
      </c>
      <c r="C4588" s="293">
        <v>4.2612480000000001</v>
      </c>
      <c r="D4588" s="293">
        <v>4.2203999999999997</v>
      </c>
      <c r="E4588" s="293">
        <v>-4.0848000000000002E-2</v>
      </c>
      <c r="F4588" s="294" t="s">
        <v>364</v>
      </c>
    </row>
    <row r="4589" spans="1:6" hidden="1" outlineLevel="1" collapsed="1" x14ac:dyDescent="0.25">
      <c r="A4589" s="295" t="s">
        <v>282</v>
      </c>
      <c r="B4589" s="295" t="s">
        <v>390</v>
      </c>
      <c r="C4589" s="293">
        <v>154.8527</v>
      </c>
      <c r="D4589" s="293">
        <v>159.59280000000001</v>
      </c>
      <c r="E4589" s="293">
        <v>4.7401</v>
      </c>
      <c r="F4589" s="294" t="s">
        <v>391</v>
      </c>
    </row>
    <row r="4590" spans="1:6" hidden="1" outlineLevel="1" collapsed="1" x14ac:dyDescent="0.25">
      <c r="A4590" s="295" t="s">
        <v>282</v>
      </c>
      <c r="B4590" s="295" t="s">
        <v>392</v>
      </c>
      <c r="C4590" s="293">
        <v>2.3353920000000001</v>
      </c>
      <c r="D4590" s="293">
        <v>1.8288</v>
      </c>
      <c r="E4590" s="293">
        <v>-0.50659200000000004</v>
      </c>
      <c r="F4590" s="294" t="s">
        <v>368</v>
      </c>
    </row>
    <row r="4591" spans="1:6" hidden="1" outlineLevel="1" collapsed="1" x14ac:dyDescent="0.25">
      <c r="A4591" s="295" t="s">
        <v>282</v>
      </c>
      <c r="B4591" s="295" t="s">
        <v>393</v>
      </c>
      <c r="C4591" s="293">
        <v>0.21937899999999999</v>
      </c>
      <c r="D4591" s="293">
        <v>0.225911</v>
      </c>
      <c r="E4591" s="293">
        <v>6.5319999999999996E-3</v>
      </c>
      <c r="F4591" s="294" t="s">
        <v>381</v>
      </c>
    </row>
    <row r="4592" spans="1:6" hidden="1" outlineLevel="1" collapsed="1" x14ac:dyDescent="0.25">
      <c r="A4592" s="295" t="s">
        <v>282</v>
      </c>
      <c r="B4592" s="295" t="s">
        <v>394</v>
      </c>
      <c r="C4592" s="293">
        <v>15</v>
      </c>
      <c r="D4592" s="293">
        <v>0</v>
      </c>
      <c r="E4592" s="293">
        <v>-15</v>
      </c>
      <c r="F4592" s="294" t="s">
        <v>286</v>
      </c>
    </row>
    <row r="4593" spans="1:6" hidden="1" outlineLevel="1" collapsed="1" x14ac:dyDescent="0.25">
      <c r="A4593" s="295" t="s">
        <v>282</v>
      </c>
      <c r="B4593" s="295" t="s">
        <v>395</v>
      </c>
      <c r="C4593" s="293">
        <v>0</v>
      </c>
      <c r="D4593" s="293">
        <v>15</v>
      </c>
      <c r="E4593" s="293">
        <v>15</v>
      </c>
      <c r="F4593" s="294" t="s">
        <v>298</v>
      </c>
    </row>
    <row r="4594" spans="1:6" hidden="1" outlineLevel="1" collapsed="1" x14ac:dyDescent="0.25">
      <c r="A4594" s="295" t="s">
        <v>282</v>
      </c>
      <c r="B4594" s="295" t="s">
        <v>396</v>
      </c>
      <c r="C4594" s="293">
        <v>0.49680000000000002</v>
      </c>
      <c r="D4594" s="293">
        <v>0</v>
      </c>
      <c r="E4594" s="293">
        <v>-0.49680000000000002</v>
      </c>
      <c r="F4594" s="294" t="s">
        <v>286</v>
      </c>
    </row>
    <row r="4595" spans="1:6" hidden="1" outlineLevel="1" collapsed="1" x14ac:dyDescent="0.25">
      <c r="A4595" s="295" t="s">
        <v>282</v>
      </c>
      <c r="B4595" s="295" t="s">
        <v>397</v>
      </c>
      <c r="C4595" s="293">
        <v>0</v>
      </c>
      <c r="D4595" s="293">
        <v>0.48480000000000001</v>
      </c>
      <c r="E4595" s="293">
        <v>0.48480000000000001</v>
      </c>
      <c r="F4595" s="294" t="s">
        <v>298</v>
      </c>
    </row>
    <row r="4596" spans="1:6" hidden="1" outlineLevel="1" collapsed="1" x14ac:dyDescent="0.25">
      <c r="A4596" s="295" t="s">
        <v>282</v>
      </c>
      <c r="B4596" s="295" t="s">
        <v>398</v>
      </c>
      <c r="C4596" s="293">
        <v>0.24</v>
      </c>
      <c r="D4596" s="293">
        <v>0.1104</v>
      </c>
      <c r="E4596" s="293">
        <v>-0.12959999999999999</v>
      </c>
      <c r="F4596" s="294" t="s">
        <v>374</v>
      </c>
    </row>
    <row r="4597" spans="1:6" collapsed="1" x14ac:dyDescent="0.25">
      <c r="A4597" s="560" t="s">
        <v>1685</v>
      </c>
      <c r="B4597" s="561"/>
      <c r="C4597" s="292">
        <v>9509</v>
      </c>
      <c r="D4597" s="293">
        <v>22816.06</v>
      </c>
      <c r="E4597" s="293">
        <v>13307.06</v>
      </c>
      <c r="F4597" s="294" t="s">
        <v>1686</v>
      </c>
    </row>
    <row r="4598" spans="1:6" hidden="1" outlineLevel="1" collapsed="1" x14ac:dyDescent="0.25">
      <c r="A4598" s="295" t="s">
        <v>282</v>
      </c>
      <c r="B4598" s="295" t="s">
        <v>735</v>
      </c>
      <c r="C4598" s="293">
        <v>0</v>
      </c>
      <c r="D4598" s="293">
        <v>7200</v>
      </c>
      <c r="E4598" s="293">
        <v>7200</v>
      </c>
      <c r="F4598" s="294" t="s">
        <v>298</v>
      </c>
    </row>
    <row r="4599" spans="1:6" hidden="1" outlineLevel="1" collapsed="1" x14ac:dyDescent="0.25">
      <c r="A4599" s="295" t="s">
        <v>282</v>
      </c>
      <c r="B4599" s="295" t="s">
        <v>470</v>
      </c>
      <c r="C4599" s="293">
        <v>0</v>
      </c>
      <c r="D4599" s="293">
        <v>3500</v>
      </c>
      <c r="E4599" s="293">
        <v>3500</v>
      </c>
      <c r="F4599" s="294" t="s">
        <v>298</v>
      </c>
    </row>
    <row r="4600" spans="1:6" hidden="1" outlineLevel="1" collapsed="1" x14ac:dyDescent="0.25">
      <c r="A4600" s="295" t="s">
        <v>282</v>
      </c>
      <c r="B4600" s="295" t="s">
        <v>471</v>
      </c>
      <c r="C4600" s="293">
        <v>2081</v>
      </c>
      <c r="D4600" s="293">
        <v>2500</v>
      </c>
      <c r="E4600" s="293">
        <v>419</v>
      </c>
      <c r="F4600" s="294" t="s">
        <v>1687</v>
      </c>
    </row>
    <row r="4601" spans="1:6" hidden="1" outlineLevel="1" collapsed="1" x14ac:dyDescent="0.25">
      <c r="A4601" s="295" t="s">
        <v>282</v>
      </c>
      <c r="B4601" s="295" t="s">
        <v>441</v>
      </c>
      <c r="C4601" s="293">
        <v>735</v>
      </c>
      <c r="D4601" s="293">
        <v>0</v>
      </c>
      <c r="E4601" s="293">
        <v>-735</v>
      </c>
      <c r="F4601" s="294" t="s">
        <v>286</v>
      </c>
    </row>
    <row r="4602" spans="1:6" hidden="1" outlineLevel="1" collapsed="1" x14ac:dyDescent="0.25">
      <c r="A4602" s="295" t="s">
        <v>282</v>
      </c>
      <c r="B4602" s="295" t="s">
        <v>935</v>
      </c>
      <c r="C4602" s="293">
        <v>336</v>
      </c>
      <c r="D4602" s="293">
        <v>0</v>
      </c>
      <c r="E4602" s="293">
        <v>-336</v>
      </c>
      <c r="F4602" s="294" t="s">
        <v>286</v>
      </c>
    </row>
    <row r="4603" spans="1:6" hidden="1" outlineLevel="1" collapsed="1" x14ac:dyDescent="0.25">
      <c r="A4603" s="295" t="s">
        <v>282</v>
      </c>
      <c r="B4603" s="295" t="s">
        <v>453</v>
      </c>
      <c r="C4603" s="293">
        <v>0</v>
      </c>
      <c r="D4603" s="293">
        <v>0</v>
      </c>
      <c r="E4603" s="293">
        <v>0</v>
      </c>
      <c r="F4603" s="294" t="s">
        <v>316</v>
      </c>
    </row>
    <row r="4604" spans="1:6" hidden="1" outlineLevel="1" collapsed="1" x14ac:dyDescent="0.25">
      <c r="A4604" s="295" t="s">
        <v>282</v>
      </c>
      <c r="B4604" s="295" t="s">
        <v>444</v>
      </c>
      <c r="C4604" s="293">
        <v>1726</v>
      </c>
      <c r="D4604" s="293">
        <v>1548</v>
      </c>
      <c r="E4604" s="293">
        <v>-178</v>
      </c>
      <c r="F4604" s="294" t="s">
        <v>1688</v>
      </c>
    </row>
    <row r="4605" spans="1:6" hidden="1" outlineLevel="1" collapsed="1" x14ac:dyDescent="0.25">
      <c r="A4605" s="295" t="s">
        <v>282</v>
      </c>
      <c r="B4605" s="295" t="s">
        <v>375</v>
      </c>
      <c r="C4605" s="293">
        <v>250</v>
      </c>
      <c r="D4605" s="293">
        <v>400</v>
      </c>
      <c r="E4605" s="293">
        <v>150</v>
      </c>
      <c r="F4605" s="294" t="s">
        <v>1689</v>
      </c>
    </row>
    <row r="4606" spans="1:6" hidden="1" outlineLevel="1" collapsed="1" x14ac:dyDescent="0.25">
      <c r="A4606" s="295" t="s">
        <v>282</v>
      </c>
      <c r="B4606" s="295" t="s">
        <v>431</v>
      </c>
      <c r="C4606" s="293">
        <v>450</v>
      </c>
      <c r="D4606" s="293">
        <v>0</v>
      </c>
      <c r="E4606" s="293">
        <v>-450</v>
      </c>
      <c r="F4606" s="294" t="s">
        <v>286</v>
      </c>
    </row>
    <row r="4607" spans="1:6" hidden="1" outlineLevel="1" collapsed="1" x14ac:dyDescent="0.25">
      <c r="A4607" s="295" t="s">
        <v>282</v>
      </c>
      <c r="B4607" s="295" t="s">
        <v>376</v>
      </c>
      <c r="C4607" s="293">
        <v>200</v>
      </c>
      <c r="D4607" s="293">
        <v>200</v>
      </c>
      <c r="E4607" s="293">
        <v>0</v>
      </c>
      <c r="F4607" s="294" t="s">
        <v>316</v>
      </c>
    </row>
    <row r="4608" spans="1:6" hidden="1" outlineLevel="1" collapsed="1" x14ac:dyDescent="0.25">
      <c r="A4608" s="295" t="s">
        <v>282</v>
      </c>
      <c r="B4608" s="295" t="s">
        <v>1202</v>
      </c>
      <c r="C4608" s="293">
        <v>500</v>
      </c>
      <c r="D4608" s="293">
        <v>375</v>
      </c>
      <c r="E4608" s="293">
        <v>-125</v>
      </c>
      <c r="F4608" s="294" t="s">
        <v>1321</v>
      </c>
    </row>
    <row r="4609" spans="1:6" hidden="1" outlineLevel="1" collapsed="1" x14ac:dyDescent="0.25">
      <c r="A4609" s="295" t="s">
        <v>282</v>
      </c>
      <c r="B4609" s="295" t="s">
        <v>426</v>
      </c>
      <c r="C4609" s="293">
        <v>76</v>
      </c>
      <c r="D4609" s="293">
        <v>0</v>
      </c>
      <c r="E4609" s="293">
        <v>-76</v>
      </c>
      <c r="F4609" s="294" t="s">
        <v>286</v>
      </c>
    </row>
    <row r="4610" spans="1:6" hidden="1" outlineLevel="1" collapsed="1" x14ac:dyDescent="0.25">
      <c r="A4610" s="295" t="s">
        <v>282</v>
      </c>
      <c r="B4610" s="295" t="s">
        <v>597</v>
      </c>
      <c r="C4610" s="293">
        <v>0</v>
      </c>
      <c r="D4610" s="293">
        <v>1500</v>
      </c>
      <c r="E4610" s="293">
        <v>1500</v>
      </c>
      <c r="F4610" s="294" t="s">
        <v>298</v>
      </c>
    </row>
    <row r="4611" spans="1:6" hidden="1" outlineLevel="1" collapsed="1" x14ac:dyDescent="0.25">
      <c r="A4611" s="295" t="s">
        <v>282</v>
      </c>
      <c r="B4611" s="295" t="s">
        <v>401</v>
      </c>
      <c r="C4611" s="293">
        <v>1455</v>
      </c>
      <c r="D4611" s="293">
        <v>1170</v>
      </c>
      <c r="E4611" s="293">
        <v>-285</v>
      </c>
      <c r="F4611" s="294" t="s">
        <v>1690</v>
      </c>
    </row>
    <row r="4612" spans="1:6" hidden="1" outlineLevel="1" collapsed="1" x14ac:dyDescent="0.25">
      <c r="A4612" s="295" t="s">
        <v>282</v>
      </c>
      <c r="B4612" s="295" t="s">
        <v>448</v>
      </c>
      <c r="C4612" s="293">
        <v>100</v>
      </c>
      <c r="D4612" s="293">
        <v>100</v>
      </c>
      <c r="E4612" s="293">
        <v>0</v>
      </c>
      <c r="F4612" s="294" t="s">
        <v>316</v>
      </c>
    </row>
    <row r="4613" spans="1:6" hidden="1" outlineLevel="1" collapsed="1" x14ac:dyDescent="0.25">
      <c r="A4613" s="295" t="s">
        <v>282</v>
      </c>
      <c r="B4613" s="295" t="s">
        <v>405</v>
      </c>
      <c r="C4613" s="293">
        <v>500</v>
      </c>
      <c r="D4613" s="293">
        <v>2503.06</v>
      </c>
      <c r="E4613" s="293">
        <v>2003.06</v>
      </c>
      <c r="F4613" s="294" t="s">
        <v>1691</v>
      </c>
    </row>
    <row r="4614" spans="1:6" hidden="1" outlineLevel="1" collapsed="1" x14ac:dyDescent="0.25">
      <c r="A4614" s="295" t="s">
        <v>282</v>
      </c>
      <c r="B4614" s="295" t="s">
        <v>1206</v>
      </c>
      <c r="C4614" s="293">
        <v>500</v>
      </c>
      <c r="D4614" s="293">
        <v>500</v>
      </c>
      <c r="E4614" s="293">
        <v>0</v>
      </c>
      <c r="F4614" s="294" t="s">
        <v>316</v>
      </c>
    </row>
    <row r="4615" spans="1:6" hidden="1" outlineLevel="1" collapsed="1" x14ac:dyDescent="0.25">
      <c r="A4615" s="295" t="s">
        <v>282</v>
      </c>
      <c r="B4615" s="295" t="s">
        <v>557</v>
      </c>
      <c r="C4615" s="293">
        <v>600</v>
      </c>
      <c r="D4615" s="293">
        <v>1320</v>
      </c>
      <c r="E4615" s="293">
        <v>720</v>
      </c>
      <c r="F4615" s="294" t="s">
        <v>1692</v>
      </c>
    </row>
    <row r="4616" spans="1:6" collapsed="1" x14ac:dyDescent="0.25">
      <c r="A4616" s="560" t="s">
        <v>1693</v>
      </c>
      <c r="B4616" s="561"/>
      <c r="C4616" s="292">
        <v>12188</v>
      </c>
      <c r="D4616" s="293">
        <v>38331</v>
      </c>
      <c r="E4616" s="293">
        <v>26143</v>
      </c>
      <c r="F4616" s="294" t="s">
        <v>1694</v>
      </c>
    </row>
    <row r="4617" spans="1:6" hidden="1" outlineLevel="1" collapsed="1" x14ac:dyDescent="0.25">
      <c r="A4617" s="295" t="s">
        <v>282</v>
      </c>
      <c r="B4617" s="295" t="s">
        <v>735</v>
      </c>
      <c r="C4617" s="293">
        <v>0</v>
      </c>
      <c r="D4617" s="293">
        <v>7200</v>
      </c>
      <c r="E4617" s="293">
        <v>7200</v>
      </c>
      <c r="F4617" s="294" t="s">
        <v>298</v>
      </c>
    </row>
    <row r="4618" spans="1:6" hidden="1" outlineLevel="1" collapsed="1" x14ac:dyDescent="0.25">
      <c r="A4618" s="295" t="s">
        <v>282</v>
      </c>
      <c r="B4618" s="295" t="s">
        <v>470</v>
      </c>
      <c r="C4618" s="293">
        <v>0</v>
      </c>
      <c r="D4618" s="293">
        <v>10500</v>
      </c>
      <c r="E4618" s="293">
        <v>10500</v>
      </c>
      <c r="F4618" s="294" t="s">
        <v>298</v>
      </c>
    </row>
    <row r="4619" spans="1:6" hidden="1" outlineLevel="1" collapsed="1" x14ac:dyDescent="0.25">
      <c r="A4619" s="295" t="s">
        <v>282</v>
      </c>
      <c r="B4619" s="295" t="s">
        <v>471</v>
      </c>
      <c r="C4619" s="293">
        <v>2081</v>
      </c>
      <c r="D4619" s="293">
        <v>2500</v>
      </c>
      <c r="E4619" s="293">
        <v>419</v>
      </c>
      <c r="F4619" s="294" t="s">
        <v>1687</v>
      </c>
    </row>
    <row r="4620" spans="1:6" hidden="1" outlineLevel="1" collapsed="1" x14ac:dyDescent="0.25">
      <c r="A4620" s="295" t="s">
        <v>282</v>
      </c>
      <c r="B4620" s="295" t="s">
        <v>441</v>
      </c>
      <c r="C4620" s="293">
        <v>735</v>
      </c>
      <c r="D4620" s="293">
        <v>0</v>
      </c>
      <c r="E4620" s="293">
        <v>-735</v>
      </c>
      <c r="F4620" s="294" t="s">
        <v>286</v>
      </c>
    </row>
    <row r="4621" spans="1:6" hidden="1" outlineLevel="1" collapsed="1" x14ac:dyDescent="0.25">
      <c r="A4621" s="295" t="s">
        <v>282</v>
      </c>
      <c r="B4621" s="295" t="s">
        <v>935</v>
      </c>
      <c r="C4621" s="293">
        <v>1152</v>
      </c>
      <c r="D4621" s="293">
        <v>0</v>
      </c>
      <c r="E4621" s="293">
        <v>-1152</v>
      </c>
      <c r="F4621" s="294" t="s">
        <v>286</v>
      </c>
    </row>
    <row r="4622" spans="1:6" hidden="1" outlineLevel="1" collapsed="1" x14ac:dyDescent="0.25">
      <c r="A4622" s="295" t="s">
        <v>282</v>
      </c>
      <c r="B4622" s="295" t="s">
        <v>453</v>
      </c>
      <c r="C4622" s="293">
        <v>1739</v>
      </c>
      <c r="D4622" s="293">
        <v>0</v>
      </c>
      <c r="E4622" s="293">
        <v>-1739</v>
      </c>
      <c r="F4622" s="294" t="s">
        <v>286</v>
      </c>
    </row>
    <row r="4623" spans="1:6" hidden="1" outlineLevel="1" collapsed="1" x14ac:dyDescent="0.25">
      <c r="A4623" s="295" t="s">
        <v>282</v>
      </c>
      <c r="B4623" s="295" t="s">
        <v>444</v>
      </c>
      <c r="C4623" s="293">
        <v>1726</v>
      </c>
      <c r="D4623" s="293">
        <v>2375</v>
      </c>
      <c r="E4623" s="293">
        <v>649</v>
      </c>
      <c r="F4623" s="294" t="s">
        <v>1695</v>
      </c>
    </row>
    <row r="4624" spans="1:6" hidden="1" outlineLevel="1" collapsed="1" x14ac:dyDescent="0.25">
      <c r="A4624" s="295" t="s">
        <v>282</v>
      </c>
      <c r="B4624" s="295" t="s">
        <v>375</v>
      </c>
      <c r="C4624" s="293">
        <v>450</v>
      </c>
      <c r="D4624" s="293">
        <v>800</v>
      </c>
      <c r="E4624" s="293">
        <v>350</v>
      </c>
      <c r="F4624" s="294" t="s">
        <v>965</v>
      </c>
    </row>
    <row r="4625" spans="1:6" hidden="1" outlineLevel="1" collapsed="1" x14ac:dyDescent="0.25">
      <c r="A4625" s="295" t="s">
        <v>282</v>
      </c>
      <c r="B4625" s="295" t="s">
        <v>431</v>
      </c>
      <c r="C4625" s="293">
        <v>450</v>
      </c>
      <c r="D4625" s="293">
        <v>0</v>
      </c>
      <c r="E4625" s="293">
        <v>-450</v>
      </c>
      <c r="F4625" s="294" t="s">
        <v>286</v>
      </c>
    </row>
    <row r="4626" spans="1:6" hidden="1" outlineLevel="1" collapsed="1" x14ac:dyDescent="0.25">
      <c r="A4626" s="295" t="s">
        <v>282</v>
      </c>
      <c r="B4626" s="295" t="s">
        <v>376</v>
      </c>
      <c r="C4626" s="293">
        <v>200</v>
      </c>
      <c r="D4626" s="293">
        <v>600</v>
      </c>
      <c r="E4626" s="293">
        <v>400</v>
      </c>
      <c r="F4626" s="294" t="s">
        <v>787</v>
      </c>
    </row>
    <row r="4627" spans="1:6" hidden="1" outlineLevel="1" collapsed="1" x14ac:dyDescent="0.25">
      <c r="A4627" s="295" t="s">
        <v>282</v>
      </c>
      <c r="B4627" s="295" t="s">
        <v>1202</v>
      </c>
      <c r="C4627" s="293">
        <v>500</v>
      </c>
      <c r="D4627" s="293">
        <v>375</v>
      </c>
      <c r="E4627" s="293">
        <v>-125</v>
      </c>
      <c r="F4627" s="294" t="s">
        <v>1321</v>
      </c>
    </row>
    <row r="4628" spans="1:6" hidden="1" outlineLevel="1" collapsed="1" x14ac:dyDescent="0.25">
      <c r="A4628" s="295" t="s">
        <v>282</v>
      </c>
      <c r="B4628" s="295" t="s">
        <v>426</v>
      </c>
      <c r="C4628" s="293">
        <v>0</v>
      </c>
      <c r="D4628" s="293">
        <v>0</v>
      </c>
      <c r="E4628" s="293">
        <v>0</v>
      </c>
      <c r="F4628" s="294" t="s">
        <v>316</v>
      </c>
    </row>
    <row r="4629" spans="1:6" hidden="1" outlineLevel="1" collapsed="1" x14ac:dyDescent="0.25">
      <c r="A4629" s="295" t="s">
        <v>282</v>
      </c>
      <c r="B4629" s="295" t="s">
        <v>597</v>
      </c>
      <c r="C4629" s="293">
        <v>0</v>
      </c>
      <c r="D4629" s="293">
        <v>3500</v>
      </c>
      <c r="E4629" s="293">
        <v>3500</v>
      </c>
      <c r="F4629" s="294" t="s">
        <v>298</v>
      </c>
    </row>
    <row r="4630" spans="1:6" hidden="1" outlineLevel="1" collapsed="1" x14ac:dyDescent="0.25">
      <c r="A4630" s="295" t="s">
        <v>282</v>
      </c>
      <c r="B4630" s="295" t="s">
        <v>416</v>
      </c>
      <c r="C4630" s="293">
        <v>0</v>
      </c>
      <c r="D4630" s="293">
        <v>1000</v>
      </c>
      <c r="E4630" s="293">
        <v>1000</v>
      </c>
      <c r="F4630" s="294" t="s">
        <v>298</v>
      </c>
    </row>
    <row r="4631" spans="1:6" hidden="1" outlineLevel="1" collapsed="1" x14ac:dyDescent="0.25">
      <c r="A4631" s="295" t="s">
        <v>282</v>
      </c>
      <c r="B4631" s="295" t="s">
        <v>401</v>
      </c>
      <c r="C4631" s="293">
        <v>1455</v>
      </c>
      <c r="D4631" s="293">
        <v>2370</v>
      </c>
      <c r="E4631" s="293">
        <v>915</v>
      </c>
      <c r="F4631" s="294" t="s">
        <v>1696</v>
      </c>
    </row>
    <row r="4632" spans="1:6" hidden="1" outlineLevel="1" collapsed="1" x14ac:dyDescent="0.25">
      <c r="A4632" s="295" t="s">
        <v>282</v>
      </c>
      <c r="B4632" s="295" t="s">
        <v>448</v>
      </c>
      <c r="C4632" s="293">
        <v>100</v>
      </c>
      <c r="D4632" s="293">
        <v>0</v>
      </c>
      <c r="E4632" s="293">
        <v>-100</v>
      </c>
      <c r="F4632" s="294" t="s">
        <v>286</v>
      </c>
    </row>
    <row r="4633" spans="1:6" hidden="1" outlineLevel="1" collapsed="1" x14ac:dyDescent="0.25">
      <c r="A4633" s="295" t="s">
        <v>282</v>
      </c>
      <c r="B4633" s="295" t="s">
        <v>405</v>
      </c>
      <c r="C4633" s="293">
        <v>500</v>
      </c>
      <c r="D4633" s="293">
        <v>2951</v>
      </c>
      <c r="E4633" s="293">
        <v>2451</v>
      </c>
      <c r="F4633" s="294" t="s">
        <v>1697</v>
      </c>
    </row>
    <row r="4634" spans="1:6" hidden="1" outlineLevel="1" collapsed="1" x14ac:dyDescent="0.25">
      <c r="A4634" s="295" t="s">
        <v>282</v>
      </c>
      <c r="B4634" s="295" t="s">
        <v>1206</v>
      </c>
      <c r="C4634" s="293">
        <v>500</v>
      </c>
      <c r="D4634" s="293">
        <v>2200</v>
      </c>
      <c r="E4634" s="293">
        <v>1700</v>
      </c>
      <c r="F4634" s="294" t="s">
        <v>1698</v>
      </c>
    </row>
    <row r="4635" spans="1:6" hidden="1" outlineLevel="1" collapsed="1" x14ac:dyDescent="0.25">
      <c r="A4635" s="295" t="s">
        <v>282</v>
      </c>
      <c r="B4635" s="295" t="s">
        <v>557</v>
      </c>
      <c r="C4635" s="293">
        <v>600</v>
      </c>
      <c r="D4635" s="293">
        <v>1960</v>
      </c>
      <c r="E4635" s="293">
        <v>1360</v>
      </c>
      <c r="F4635" s="294" t="s">
        <v>1699</v>
      </c>
    </row>
    <row r="4636" spans="1:6" collapsed="1" x14ac:dyDescent="0.25">
      <c r="A4636" s="560" t="s">
        <v>1700</v>
      </c>
      <c r="B4636" s="561"/>
      <c r="C4636" s="292">
        <v>6927.6525920000004</v>
      </c>
      <c r="D4636" s="293">
        <v>7201.3393139999998</v>
      </c>
      <c r="E4636" s="293">
        <v>273.68672199999997</v>
      </c>
      <c r="F4636" s="294" t="s">
        <v>1093</v>
      </c>
    </row>
    <row r="4637" spans="1:6" hidden="1" outlineLevel="1" collapsed="1" x14ac:dyDescent="0.25">
      <c r="A4637" s="295" t="s">
        <v>282</v>
      </c>
      <c r="B4637" s="295" t="s">
        <v>942</v>
      </c>
      <c r="C4637" s="293">
        <v>4996.1854789999998</v>
      </c>
      <c r="D4637" s="293">
        <v>5071.1281909999998</v>
      </c>
      <c r="E4637" s="293">
        <v>74.942712</v>
      </c>
      <c r="F4637" s="294" t="s">
        <v>510</v>
      </c>
    </row>
    <row r="4638" spans="1:6" hidden="1" outlineLevel="1" collapsed="1" x14ac:dyDescent="0.25">
      <c r="A4638" s="295" t="s">
        <v>282</v>
      </c>
      <c r="B4638" s="295" t="s">
        <v>384</v>
      </c>
      <c r="C4638" s="293">
        <v>628.52013299999999</v>
      </c>
      <c r="D4638" s="293">
        <v>0</v>
      </c>
      <c r="E4638" s="293">
        <v>-628.52013299999999</v>
      </c>
      <c r="F4638" s="294" t="s">
        <v>286</v>
      </c>
    </row>
    <row r="4639" spans="1:6" hidden="1" outlineLevel="1" collapsed="1" x14ac:dyDescent="0.25">
      <c r="A4639" s="295" t="s">
        <v>282</v>
      </c>
      <c r="B4639" s="295" t="s">
        <v>385</v>
      </c>
      <c r="C4639" s="293">
        <v>0</v>
      </c>
      <c r="D4639" s="293">
        <v>801.23825399999998</v>
      </c>
      <c r="E4639" s="293">
        <v>801.23825399999998</v>
      </c>
      <c r="F4639" s="294" t="s">
        <v>298</v>
      </c>
    </row>
    <row r="4640" spans="1:6" hidden="1" outlineLevel="1" collapsed="1" x14ac:dyDescent="0.25">
      <c r="A4640" s="295" t="s">
        <v>282</v>
      </c>
      <c r="B4640" s="295" t="s">
        <v>386</v>
      </c>
      <c r="C4640" s="293">
        <v>311.62349899999998</v>
      </c>
      <c r="D4640" s="293">
        <v>0</v>
      </c>
      <c r="E4640" s="293">
        <v>-311.62349899999998</v>
      </c>
      <c r="F4640" s="294" t="s">
        <v>286</v>
      </c>
    </row>
    <row r="4641" spans="1:6" hidden="1" outlineLevel="1" collapsed="1" x14ac:dyDescent="0.25">
      <c r="A4641" s="295" t="s">
        <v>282</v>
      </c>
      <c r="B4641" s="295" t="s">
        <v>387</v>
      </c>
      <c r="C4641" s="293">
        <v>0</v>
      </c>
      <c r="D4641" s="293">
        <v>316.269947</v>
      </c>
      <c r="E4641" s="293">
        <v>316.269947</v>
      </c>
      <c r="F4641" s="294" t="s">
        <v>298</v>
      </c>
    </row>
    <row r="4642" spans="1:6" hidden="1" outlineLevel="1" collapsed="1" x14ac:dyDescent="0.25">
      <c r="A4642" s="295" t="s">
        <v>282</v>
      </c>
      <c r="B4642" s="295" t="s">
        <v>388</v>
      </c>
      <c r="C4642" s="293">
        <v>72.879688999999999</v>
      </c>
      <c r="D4642" s="293">
        <v>73.966358</v>
      </c>
      <c r="E4642" s="293">
        <v>1.0866690000000001</v>
      </c>
      <c r="F4642" s="294" t="s">
        <v>781</v>
      </c>
    </row>
    <row r="4643" spans="1:6" hidden="1" outlineLevel="1" collapsed="1" x14ac:dyDescent="0.25">
      <c r="A4643" s="295" t="s">
        <v>282</v>
      </c>
      <c r="B4643" s="295" t="s">
        <v>389</v>
      </c>
      <c r="C4643" s="293">
        <v>21.306239999999999</v>
      </c>
      <c r="D4643" s="293">
        <v>21.102</v>
      </c>
      <c r="E4643" s="293">
        <v>-0.20424</v>
      </c>
      <c r="F4643" s="294" t="s">
        <v>364</v>
      </c>
    </row>
    <row r="4644" spans="1:6" hidden="1" outlineLevel="1" collapsed="1" x14ac:dyDescent="0.25">
      <c r="A4644" s="295" t="s">
        <v>282</v>
      </c>
      <c r="B4644" s="295" t="s">
        <v>390</v>
      </c>
      <c r="C4644" s="293">
        <v>774.26350000000002</v>
      </c>
      <c r="D4644" s="293">
        <v>797.96400000000006</v>
      </c>
      <c r="E4644" s="293">
        <v>23.700500000000002</v>
      </c>
      <c r="F4644" s="294" t="s">
        <v>391</v>
      </c>
    </row>
    <row r="4645" spans="1:6" hidden="1" outlineLevel="1" collapsed="1" x14ac:dyDescent="0.25">
      <c r="A4645" s="295" t="s">
        <v>282</v>
      </c>
      <c r="B4645" s="295" t="s">
        <v>392</v>
      </c>
      <c r="C4645" s="293">
        <v>11.676959999999999</v>
      </c>
      <c r="D4645" s="293">
        <v>9.1440000000000001</v>
      </c>
      <c r="E4645" s="293">
        <v>-2.5329600000000001</v>
      </c>
      <c r="F4645" s="294" t="s">
        <v>368</v>
      </c>
    </row>
    <row r="4646" spans="1:6" hidden="1" outlineLevel="1" collapsed="1" x14ac:dyDescent="0.25">
      <c r="A4646" s="295" t="s">
        <v>282</v>
      </c>
      <c r="B4646" s="295" t="s">
        <v>393</v>
      </c>
      <c r="C4646" s="293">
        <v>2.5130919999999999</v>
      </c>
      <c r="D4646" s="293">
        <v>2.5505640000000001</v>
      </c>
      <c r="E4646" s="293">
        <v>3.7471999999999998E-2</v>
      </c>
      <c r="F4646" s="294" t="s">
        <v>781</v>
      </c>
    </row>
    <row r="4647" spans="1:6" hidden="1" outlineLevel="1" collapsed="1" x14ac:dyDescent="0.25">
      <c r="A4647" s="295" t="s">
        <v>282</v>
      </c>
      <c r="B4647" s="295" t="s">
        <v>394</v>
      </c>
      <c r="C4647" s="293">
        <v>75</v>
      </c>
      <c r="D4647" s="293">
        <v>0</v>
      </c>
      <c r="E4647" s="293">
        <v>-75</v>
      </c>
      <c r="F4647" s="294" t="s">
        <v>286</v>
      </c>
    </row>
    <row r="4648" spans="1:6" hidden="1" outlineLevel="1" collapsed="1" x14ac:dyDescent="0.25">
      <c r="A4648" s="295" t="s">
        <v>282</v>
      </c>
      <c r="B4648" s="295" t="s">
        <v>395</v>
      </c>
      <c r="C4648" s="293">
        <v>0</v>
      </c>
      <c r="D4648" s="293">
        <v>75</v>
      </c>
      <c r="E4648" s="293">
        <v>75</v>
      </c>
      <c r="F4648" s="294" t="s">
        <v>298</v>
      </c>
    </row>
    <row r="4649" spans="1:6" hidden="1" outlineLevel="1" collapsed="1" x14ac:dyDescent="0.25">
      <c r="A4649" s="295" t="s">
        <v>282</v>
      </c>
      <c r="B4649" s="295" t="s">
        <v>396</v>
      </c>
      <c r="C4649" s="293">
        <v>2.484</v>
      </c>
      <c r="D4649" s="293">
        <v>0</v>
      </c>
      <c r="E4649" s="293">
        <v>-2.484</v>
      </c>
      <c r="F4649" s="294" t="s">
        <v>286</v>
      </c>
    </row>
    <row r="4650" spans="1:6" hidden="1" outlineLevel="1" collapsed="1" x14ac:dyDescent="0.25">
      <c r="A4650" s="295" t="s">
        <v>282</v>
      </c>
      <c r="B4650" s="295" t="s">
        <v>397</v>
      </c>
      <c r="C4650" s="293">
        <v>0</v>
      </c>
      <c r="D4650" s="293">
        <v>2.4239999999999999</v>
      </c>
      <c r="E4650" s="293">
        <v>2.4239999999999999</v>
      </c>
      <c r="F4650" s="294" t="s">
        <v>298</v>
      </c>
    </row>
    <row r="4651" spans="1:6" hidden="1" outlineLevel="1" collapsed="1" x14ac:dyDescent="0.25">
      <c r="A4651" s="295" t="s">
        <v>282</v>
      </c>
      <c r="B4651" s="295" t="s">
        <v>398</v>
      </c>
      <c r="C4651" s="293">
        <v>1.2</v>
      </c>
      <c r="D4651" s="293">
        <v>0.55200000000000005</v>
      </c>
      <c r="E4651" s="293">
        <v>-0.64800000000000002</v>
      </c>
      <c r="F4651" s="294" t="s">
        <v>374</v>
      </c>
    </row>
    <row r="4652" spans="1:6" hidden="1" outlineLevel="1" collapsed="1" x14ac:dyDescent="0.25">
      <c r="A4652" s="295" t="s">
        <v>282</v>
      </c>
      <c r="B4652" s="295" t="s">
        <v>952</v>
      </c>
      <c r="C4652" s="293">
        <v>30</v>
      </c>
      <c r="D4652" s="293">
        <v>30</v>
      </c>
      <c r="E4652" s="293">
        <v>0</v>
      </c>
      <c r="F4652" s="294" t="s">
        <v>316</v>
      </c>
    </row>
    <row r="4653" spans="1:6" collapsed="1" x14ac:dyDescent="0.25">
      <c r="A4653" s="560" t="s">
        <v>1701</v>
      </c>
      <c r="B4653" s="561"/>
      <c r="C4653" s="292">
        <v>37716.308947999998</v>
      </c>
      <c r="D4653" s="293">
        <v>39214.551075000003</v>
      </c>
      <c r="E4653" s="293">
        <v>1498.242127</v>
      </c>
      <c r="F4653" s="294" t="s">
        <v>628</v>
      </c>
    </row>
    <row r="4654" spans="1:6" hidden="1" outlineLevel="1" collapsed="1" x14ac:dyDescent="0.25">
      <c r="A4654" s="295" t="s">
        <v>282</v>
      </c>
      <c r="B4654" s="295" t="s">
        <v>942</v>
      </c>
      <c r="C4654" s="293">
        <v>27539.994557999999</v>
      </c>
      <c r="D4654" s="293">
        <v>27953.093997</v>
      </c>
      <c r="E4654" s="293">
        <v>413.09943900000002</v>
      </c>
      <c r="F4654" s="294" t="s">
        <v>510</v>
      </c>
    </row>
    <row r="4655" spans="1:6" hidden="1" outlineLevel="1" collapsed="1" x14ac:dyDescent="0.25">
      <c r="A4655" s="295" t="s">
        <v>282</v>
      </c>
      <c r="B4655" s="295" t="s">
        <v>384</v>
      </c>
      <c r="C4655" s="293">
        <v>3464.531313</v>
      </c>
      <c r="D4655" s="293">
        <v>0</v>
      </c>
      <c r="E4655" s="293">
        <v>-3464.531313</v>
      </c>
      <c r="F4655" s="294" t="s">
        <v>286</v>
      </c>
    </row>
    <row r="4656" spans="1:6" hidden="1" outlineLevel="1" collapsed="1" x14ac:dyDescent="0.25">
      <c r="A4656" s="295" t="s">
        <v>282</v>
      </c>
      <c r="B4656" s="295" t="s">
        <v>385</v>
      </c>
      <c r="C4656" s="293">
        <v>0</v>
      </c>
      <c r="D4656" s="293">
        <v>4416.5888489999998</v>
      </c>
      <c r="E4656" s="293">
        <v>4416.5888489999998</v>
      </c>
      <c r="F4656" s="294" t="s">
        <v>298</v>
      </c>
    </row>
    <row r="4657" spans="1:6" hidden="1" outlineLevel="1" collapsed="1" x14ac:dyDescent="0.25">
      <c r="A4657" s="295" t="s">
        <v>282</v>
      </c>
      <c r="B4657" s="295" t="s">
        <v>386</v>
      </c>
      <c r="C4657" s="293">
        <v>1716.779661</v>
      </c>
      <c r="D4657" s="293">
        <v>0</v>
      </c>
      <c r="E4657" s="293">
        <v>-1716.779661</v>
      </c>
      <c r="F4657" s="294" t="s">
        <v>286</v>
      </c>
    </row>
    <row r="4658" spans="1:6" hidden="1" outlineLevel="1" collapsed="1" x14ac:dyDescent="0.25">
      <c r="A4658" s="295" t="s">
        <v>282</v>
      </c>
      <c r="B4658" s="295" t="s">
        <v>387</v>
      </c>
      <c r="C4658" s="293">
        <v>0</v>
      </c>
      <c r="D4658" s="293">
        <v>1742.3918249999999</v>
      </c>
      <c r="E4658" s="293">
        <v>1742.3918249999999</v>
      </c>
      <c r="F4658" s="294" t="s">
        <v>298</v>
      </c>
    </row>
    <row r="4659" spans="1:6" hidden="1" outlineLevel="1" collapsed="1" x14ac:dyDescent="0.25">
      <c r="A4659" s="295" t="s">
        <v>282</v>
      </c>
      <c r="B4659" s="295" t="s">
        <v>388</v>
      </c>
      <c r="C4659" s="293">
        <v>401.50491899999997</v>
      </c>
      <c r="D4659" s="293">
        <v>407.49486000000002</v>
      </c>
      <c r="E4659" s="293">
        <v>5.989941</v>
      </c>
      <c r="F4659" s="294" t="s">
        <v>781</v>
      </c>
    </row>
    <row r="4660" spans="1:6" hidden="1" outlineLevel="1" collapsed="1" x14ac:dyDescent="0.25">
      <c r="A4660" s="295" t="s">
        <v>282</v>
      </c>
      <c r="B4660" s="295" t="s">
        <v>389</v>
      </c>
      <c r="C4660" s="293">
        <v>106.5312</v>
      </c>
      <c r="D4660" s="293">
        <v>105.51</v>
      </c>
      <c r="E4660" s="293">
        <v>-1.0212000000000001</v>
      </c>
      <c r="F4660" s="294" t="s">
        <v>364</v>
      </c>
    </row>
    <row r="4661" spans="1:6" hidden="1" outlineLevel="1" collapsed="1" x14ac:dyDescent="0.25">
      <c r="A4661" s="295" t="s">
        <v>282</v>
      </c>
      <c r="B4661" s="295" t="s">
        <v>390</v>
      </c>
      <c r="C4661" s="293">
        <v>3871.3175000000001</v>
      </c>
      <c r="D4661" s="293">
        <v>3989.82</v>
      </c>
      <c r="E4661" s="293">
        <v>118.5025</v>
      </c>
      <c r="F4661" s="294" t="s">
        <v>391</v>
      </c>
    </row>
    <row r="4662" spans="1:6" hidden="1" outlineLevel="1" collapsed="1" x14ac:dyDescent="0.25">
      <c r="A4662" s="295" t="s">
        <v>282</v>
      </c>
      <c r="B4662" s="295" t="s">
        <v>392</v>
      </c>
      <c r="C4662" s="293">
        <v>58.384799999999998</v>
      </c>
      <c r="D4662" s="293">
        <v>45.72</v>
      </c>
      <c r="E4662" s="293">
        <v>-12.6648</v>
      </c>
      <c r="F4662" s="294" t="s">
        <v>368</v>
      </c>
    </row>
    <row r="4663" spans="1:6" hidden="1" outlineLevel="1" collapsed="1" x14ac:dyDescent="0.25">
      <c r="A4663" s="295" t="s">
        <v>282</v>
      </c>
      <c r="B4663" s="295" t="s">
        <v>393</v>
      </c>
      <c r="C4663" s="293">
        <v>13.844996999999999</v>
      </c>
      <c r="D4663" s="293">
        <v>14.051544</v>
      </c>
      <c r="E4663" s="293">
        <v>0.20654700000000001</v>
      </c>
      <c r="F4663" s="294" t="s">
        <v>781</v>
      </c>
    </row>
    <row r="4664" spans="1:6" hidden="1" outlineLevel="1" collapsed="1" x14ac:dyDescent="0.25">
      <c r="A4664" s="295" t="s">
        <v>282</v>
      </c>
      <c r="B4664" s="295" t="s">
        <v>394</v>
      </c>
      <c r="C4664" s="293">
        <v>375</v>
      </c>
      <c r="D4664" s="293">
        <v>0</v>
      </c>
      <c r="E4664" s="293">
        <v>-375</v>
      </c>
      <c r="F4664" s="294" t="s">
        <v>286</v>
      </c>
    </row>
    <row r="4665" spans="1:6" hidden="1" outlineLevel="1" collapsed="1" x14ac:dyDescent="0.25">
      <c r="A4665" s="295" t="s">
        <v>282</v>
      </c>
      <c r="B4665" s="295" t="s">
        <v>395</v>
      </c>
      <c r="C4665" s="293">
        <v>0</v>
      </c>
      <c r="D4665" s="293">
        <v>375</v>
      </c>
      <c r="E4665" s="293">
        <v>375</v>
      </c>
      <c r="F4665" s="294" t="s">
        <v>298</v>
      </c>
    </row>
    <row r="4666" spans="1:6" hidden="1" outlineLevel="1" collapsed="1" x14ac:dyDescent="0.25">
      <c r="A4666" s="295" t="s">
        <v>282</v>
      </c>
      <c r="B4666" s="295" t="s">
        <v>396</v>
      </c>
      <c r="C4666" s="293">
        <v>12.42</v>
      </c>
      <c r="D4666" s="293">
        <v>0</v>
      </c>
      <c r="E4666" s="293">
        <v>-12.42</v>
      </c>
      <c r="F4666" s="294" t="s">
        <v>286</v>
      </c>
    </row>
    <row r="4667" spans="1:6" hidden="1" outlineLevel="1" collapsed="1" x14ac:dyDescent="0.25">
      <c r="A4667" s="295" t="s">
        <v>282</v>
      </c>
      <c r="B4667" s="295" t="s">
        <v>397</v>
      </c>
      <c r="C4667" s="293">
        <v>0</v>
      </c>
      <c r="D4667" s="293">
        <v>12.12</v>
      </c>
      <c r="E4667" s="293">
        <v>12.12</v>
      </c>
      <c r="F4667" s="294" t="s">
        <v>298</v>
      </c>
    </row>
    <row r="4668" spans="1:6" hidden="1" outlineLevel="1" collapsed="1" x14ac:dyDescent="0.25">
      <c r="A4668" s="295" t="s">
        <v>282</v>
      </c>
      <c r="B4668" s="295" t="s">
        <v>398</v>
      </c>
      <c r="C4668" s="293">
        <v>6</v>
      </c>
      <c r="D4668" s="293">
        <v>2.76</v>
      </c>
      <c r="E4668" s="293">
        <v>-3.24</v>
      </c>
      <c r="F4668" s="294" t="s">
        <v>374</v>
      </c>
    </row>
    <row r="4669" spans="1:6" hidden="1" outlineLevel="1" collapsed="1" x14ac:dyDescent="0.25">
      <c r="A4669" s="295" t="s">
        <v>282</v>
      </c>
      <c r="B4669" s="295" t="s">
        <v>952</v>
      </c>
      <c r="C4669" s="293">
        <v>150</v>
      </c>
      <c r="D4669" s="293">
        <v>150</v>
      </c>
      <c r="E4669" s="293">
        <v>0</v>
      </c>
      <c r="F4669" s="294" t="s">
        <v>316</v>
      </c>
    </row>
    <row r="4670" spans="1:6" collapsed="1" x14ac:dyDescent="0.25">
      <c r="A4670" s="560" t="s">
        <v>335</v>
      </c>
      <c r="B4670" s="561"/>
      <c r="C4670" s="292">
        <v>53530.182089000002</v>
      </c>
      <c r="D4670" s="293">
        <v>55695.334175999997</v>
      </c>
      <c r="E4670" s="293">
        <v>2165.1520869999999</v>
      </c>
      <c r="F4670" s="294" t="s">
        <v>1702</v>
      </c>
    </row>
    <row r="4671" spans="1:6" hidden="1" outlineLevel="1" collapsed="1" x14ac:dyDescent="0.25">
      <c r="A4671" s="295" t="s">
        <v>282</v>
      </c>
      <c r="B4671" s="295" t="s">
        <v>942</v>
      </c>
      <c r="C4671" s="293">
        <v>40687.544559000002</v>
      </c>
      <c r="D4671" s="293">
        <v>41297.857638000001</v>
      </c>
      <c r="E4671" s="293">
        <v>610.31307900000002</v>
      </c>
      <c r="F4671" s="294" t="s">
        <v>510</v>
      </c>
    </row>
    <row r="4672" spans="1:6" hidden="1" outlineLevel="1" collapsed="1" x14ac:dyDescent="0.25">
      <c r="A4672" s="295" t="s">
        <v>282</v>
      </c>
      <c r="B4672" s="295" t="s">
        <v>384</v>
      </c>
      <c r="C4672" s="293">
        <v>5118.4931040000001</v>
      </c>
      <c r="D4672" s="293">
        <v>0</v>
      </c>
      <c r="E4672" s="293">
        <v>-5118.4931040000001</v>
      </c>
      <c r="F4672" s="294" t="s">
        <v>286</v>
      </c>
    </row>
    <row r="4673" spans="1:6" hidden="1" outlineLevel="1" collapsed="1" x14ac:dyDescent="0.25">
      <c r="A4673" s="295" t="s">
        <v>282</v>
      </c>
      <c r="B4673" s="295" t="s">
        <v>385</v>
      </c>
      <c r="C4673" s="293">
        <v>0</v>
      </c>
      <c r="D4673" s="293">
        <v>6525.061506</v>
      </c>
      <c r="E4673" s="293">
        <v>6525.061506</v>
      </c>
      <c r="F4673" s="294" t="s">
        <v>298</v>
      </c>
    </row>
    <row r="4674" spans="1:6" hidden="1" outlineLevel="1" collapsed="1" x14ac:dyDescent="0.25">
      <c r="A4674" s="295" t="s">
        <v>282</v>
      </c>
      <c r="B4674" s="295" t="s">
        <v>386</v>
      </c>
      <c r="C4674" s="293">
        <v>2531.92776</v>
      </c>
      <c r="D4674" s="293">
        <v>0</v>
      </c>
      <c r="E4674" s="293">
        <v>-2531.92776</v>
      </c>
      <c r="F4674" s="294" t="s">
        <v>286</v>
      </c>
    </row>
    <row r="4675" spans="1:6" hidden="1" outlineLevel="1" collapsed="1" x14ac:dyDescent="0.25">
      <c r="A4675" s="295" t="s">
        <v>282</v>
      </c>
      <c r="B4675" s="295" t="s">
        <v>387</v>
      </c>
      <c r="C4675" s="293">
        <v>0</v>
      </c>
      <c r="D4675" s="293">
        <v>2569.767171</v>
      </c>
      <c r="E4675" s="293">
        <v>2569.767171</v>
      </c>
      <c r="F4675" s="294" t="s">
        <v>298</v>
      </c>
    </row>
    <row r="4676" spans="1:6" hidden="1" outlineLevel="1" collapsed="1" x14ac:dyDescent="0.25">
      <c r="A4676" s="295" t="s">
        <v>282</v>
      </c>
      <c r="B4676" s="295" t="s">
        <v>388</v>
      </c>
      <c r="C4676" s="293">
        <v>592.14439500000003</v>
      </c>
      <c r="D4676" s="293">
        <v>600.99393299999997</v>
      </c>
      <c r="E4676" s="293">
        <v>8.8495380000000008</v>
      </c>
      <c r="F4676" s="294" t="s">
        <v>781</v>
      </c>
    </row>
    <row r="4677" spans="1:6" hidden="1" outlineLevel="1" collapsed="1" x14ac:dyDescent="0.25">
      <c r="A4677" s="295" t="s">
        <v>282</v>
      </c>
      <c r="B4677" s="295" t="s">
        <v>389</v>
      </c>
      <c r="C4677" s="293">
        <v>106.5312</v>
      </c>
      <c r="D4677" s="293">
        <v>105.51</v>
      </c>
      <c r="E4677" s="293">
        <v>-1.0212000000000001</v>
      </c>
      <c r="F4677" s="294" t="s">
        <v>364</v>
      </c>
    </row>
    <row r="4678" spans="1:6" hidden="1" outlineLevel="1" collapsed="1" x14ac:dyDescent="0.25">
      <c r="A4678" s="295" t="s">
        <v>282</v>
      </c>
      <c r="B4678" s="295" t="s">
        <v>390</v>
      </c>
      <c r="C4678" s="293">
        <v>3871.3175000000001</v>
      </c>
      <c r="D4678" s="293">
        <v>3989.82</v>
      </c>
      <c r="E4678" s="293">
        <v>118.5025</v>
      </c>
      <c r="F4678" s="294" t="s">
        <v>391</v>
      </c>
    </row>
    <row r="4679" spans="1:6" hidden="1" outlineLevel="1" collapsed="1" x14ac:dyDescent="0.25">
      <c r="A4679" s="295" t="s">
        <v>282</v>
      </c>
      <c r="B4679" s="295" t="s">
        <v>392</v>
      </c>
      <c r="C4679" s="293">
        <v>58.384799999999998</v>
      </c>
      <c r="D4679" s="293">
        <v>45.72</v>
      </c>
      <c r="E4679" s="293">
        <v>-12.6648</v>
      </c>
      <c r="F4679" s="294" t="s">
        <v>368</v>
      </c>
    </row>
    <row r="4680" spans="1:6" hidden="1" outlineLevel="1" collapsed="1" x14ac:dyDescent="0.25">
      <c r="A4680" s="295" t="s">
        <v>282</v>
      </c>
      <c r="B4680" s="295" t="s">
        <v>393</v>
      </c>
      <c r="C4680" s="293">
        <v>20.418771</v>
      </c>
      <c r="D4680" s="293">
        <v>20.723928000000001</v>
      </c>
      <c r="E4680" s="293">
        <v>0.30515700000000001</v>
      </c>
      <c r="F4680" s="294" t="s">
        <v>781</v>
      </c>
    </row>
    <row r="4681" spans="1:6" hidden="1" outlineLevel="1" collapsed="1" x14ac:dyDescent="0.25">
      <c r="A4681" s="295" t="s">
        <v>282</v>
      </c>
      <c r="B4681" s="295" t="s">
        <v>394</v>
      </c>
      <c r="C4681" s="293">
        <v>375</v>
      </c>
      <c r="D4681" s="293">
        <v>0</v>
      </c>
      <c r="E4681" s="293">
        <v>-375</v>
      </c>
      <c r="F4681" s="294" t="s">
        <v>286</v>
      </c>
    </row>
    <row r="4682" spans="1:6" hidden="1" outlineLevel="1" collapsed="1" x14ac:dyDescent="0.25">
      <c r="A4682" s="295" t="s">
        <v>282</v>
      </c>
      <c r="B4682" s="295" t="s">
        <v>395</v>
      </c>
      <c r="C4682" s="293">
        <v>0</v>
      </c>
      <c r="D4682" s="293">
        <v>375</v>
      </c>
      <c r="E4682" s="293">
        <v>375</v>
      </c>
      <c r="F4682" s="294" t="s">
        <v>298</v>
      </c>
    </row>
    <row r="4683" spans="1:6" hidden="1" outlineLevel="1" collapsed="1" x14ac:dyDescent="0.25">
      <c r="A4683" s="295" t="s">
        <v>282</v>
      </c>
      <c r="B4683" s="295" t="s">
        <v>396</v>
      </c>
      <c r="C4683" s="293">
        <v>12.42</v>
      </c>
      <c r="D4683" s="293">
        <v>0</v>
      </c>
      <c r="E4683" s="293">
        <v>-12.42</v>
      </c>
      <c r="F4683" s="294" t="s">
        <v>286</v>
      </c>
    </row>
    <row r="4684" spans="1:6" hidden="1" outlineLevel="1" collapsed="1" x14ac:dyDescent="0.25">
      <c r="A4684" s="295" t="s">
        <v>282</v>
      </c>
      <c r="B4684" s="295" t="s">
        <v>397</v>
      </c>
      <c r="C4684" s="293">
        <v>0</v>
      </c>
      <c r="D4684" s="293">
        <v>12.12</v>
      </c>
      <c r="E4684" s="293">
        <v>12.12</v>
      </c>
      <c r="F4684" s="294" t="s">
        <v>298</v>
      </c>
    </row>
    <row r="4685" spans="1:6" hidden="1" outlineLevel="1" collapsed="1" x14ac:dyDescent="0.25">
      <c r="A4685" s="295" t="s">
        <v>282</v>
      </c>
      <c r="B4685" s="295" t="s">
        <v>398</v>
      </c>
      <c r="C4685" s="293">
        <v>6</v>
      </c>
      <c r="D4685" s="293">
        <v>2.76</v>
      </c>
      <c r="E4685" s="293">
        <v>-3.24</v>
      </c>
      <c r="F4685" s="294" t="s">
        <v>374</v>
      </c>
    </row>
    <row r="4686" spans="1:6" hidden="1" outlineLevel="1" collapsed="1" x14ac:dyDescent="0.25">
      <c r="A4686" s="295" t="s">
        <v>282</v>
      </c>
      <c r="B4686" s="295" t="s">
        <v>399</v>
      </c>
      <c r="C4686" s="293">
        <v>0</v>
      </c>
      <c r="D4686" s="293">
        <v>0</v>
      </c>
      <c r="E4686" s="293">
        <v>0</v>
      </c>
      <c r="F4686" s="294" t="s">
        <v>316</v>
      </c>
    </row>
    <row r="4687" spans="1:6" hidden="1" outlineLevel="1" collapsed="1" x14ac:dyDescent="0.25">
      <c r="A4687" s="295" t="s">
        <v>282</v>
      </c>
      <c r="B4687" s="295" t="s">
        <v>952</v>
      </c>
      <c r="C4687" s="293">
        <v>150</v>
      </c>
      <c r="D4687" s="293">
        <v>150</v>
      </c>
      <c r="E4687" s="293">
        <v>0</v>
      </c>
      <c r="F4687" s="294" t="s">
        <v>316</v>
      </c>
    </row>
    <row r="4688" spans="1:6" collapsed="1" x14ac:dyDescent="0.25">
      <c r="A4688" s="560" t="s">
        <v>1703</v>
      </c>
      <c r="B4688" s="561"/>
      <c r="C4688" s="292">
        <v>424812.831458</v>
      </c>
      <c r="D4688" s="293">
        <v>368358.25067899999</v>
      </c>
      <c r="E4688" s="293">
        <v>-56454.580779000004</v>
      </c>
      <c r="F4688" s="294" t="s">
        <v>1704</v>
      </c>
    </row>
    <row r="4689" spans="1:6" hidden="1" outlineLevel="1" collapsed="1" x14ac:dyDescent="0.25">
      <c r="A4689" s="295" t="s">
        <v>282</v>
      </c>
      <c r="B4689" s="295" t="s">
        <v>358</v>
      </c>
      <c r="C4689" s="293">
        <v>160087.46591999999</v>
      </c>
      <c r="D4689" s="293">
        <v>110838.51156</v>
      </c>
      <c r="E4689" s="293">
        <v>-49248.954360000003</v>
      </c>
      <c r="F4689" s="294" t="s">
        <v>1705</v>
      </c>
    </row>
    <row r="4690" spans="1:6" hidden="1" outlineLevel="1" collapsed="1" x14ac:dyDescent="0.25">
      <c r="A4690" s="295" t="s">
        <v>282</v>
      </c>
      <c r="B4690" s="295" t="s">
        <v>675</v>
      </c>
      <c r="C4690" s="293">
        <v>39330.815999999999</v>
      </c>
      <c r="D4690" s="293">
        <v>40593.406560000003</v>
      </c>
      <c r="E4690" s="293">
        <v>1262.5905600000001</v>
      </c>
      <c r="F4690" s="294" t="s">
        <v>359</v>
      </c>
    </row>
    <row r="4691" spans="1:6" hidden="1" outlineLevel="1" collapsed="1" x14ac:dyDescent="0.25">
      <c r="A4691" s="295" t="s">
        <v>282</v>
      </c>
      <c r="B4691" s="295" t="s">
        <v>646</v>
      </c>
      <c r="C4691" s="293">
        <v>116320.7184</v>
      </c>
      <c r="D4691" s="293">
        <v>120069.415418</v>
      </c>
      <c r="E4691" s="293">
        <v>3748.6970179999998</v>
      </c>
      <c r="F4691" s="294" t="s">
        <v>647</v>
      </c>
    </row>
    <row r="4692" spans="1:6" hidden="1" outlineLevel="1" collapsed="1" x14ac:dyDescent="0.25">
      <c r="A4692" s="295" t="s">
        <v>282</v>
      </c>
      <c r="B4692" s="295" t="s">
        <v>412</v>
      </c>
      <c r="C4692" s="293">
        <v>6340</v>
      </c>
      <c r="D4692" s="293">
        <v>5800</v>
      </c>
      <c r="E4692" s="293">
        <v>-540</v>
      </c>
      <c r="F4692" s="294" t="s">
        <v>1706</v>
      </c>
    </row>
    <row r="4693" spans="1:6" hidden="1" outlineLevel="1" collapsed="1" x14ac:dyDescent="0.25">
      <c r="A4693" s="295" t="s">
        <v>282</v>
      </c>
      <c r="B4693" s="295" t="s">
        <v>360</v>
      </c>
      <c r="C4693" s="293">
        <v>41203.939541</v>
      </c>
      <c r="D4693" s="293">
        <v>39177.642414000002</v>
      </c>
      <c r="E4693" s="293">
        <v>-2026.297127</v>
      </c>
      <c r="F4693" s="294" t="s">
        <v>1707</v>
      </c>
    </row>
    <row r="4694" spans="1:6" hidden="1" outlineLevel="1" collapsed="1" x14ac:dyDescent="0.25">
      <c r="A4694" s="295" t="s">
        <v>282</v>
      </c>
      <c r="B4694" s="295" t="s">
        <v>362</v>
      </c>
      <c r="C4694" s="293">
        <v>4670.1455059999998</v>
      </c>
      <c r="D4694" s="293">
        <v>4020.8693189999999</v>
      </c>
      <c r="E4694" s="293">
        <v>-649.27618700000005</v>
      </c>
      <c r="F4694" s="294" t="s">
        <v>1708</v>
      </c>
    </row>
    <row r="4695" spans="1:6" hidden="1" outlineLevel="1" collapsed="1" x14ac:dyDescent="0.25">
      <c r="A4695" s="295" t="s">
        <v>282</v>
      </c>
      <c r="B4695" s="295" t="s">
        <v>363</v>
      </c>
      <c r="C4695" s="293">
        <v>1373.40023</v>
      </c>
      <c r="D4695" s="293">
        <v>1111.2313200000001</v>
      </c>
      <c r="E4695" s="293">
        <v>-262.16890999999998</v>
      </c>
      <c r="F4695" s="294" t="s">
        <v>1709</v>
      </c>
    </row>
    <row r="4696" spans="1:6" hidden="1" outlineLevel="1" collapsed="1" x14ac:dyDescent="0.25">
      <c r="A4696" s="295" t="s">
        <v>282</v>
      </c>
      <c r="B4696" s="295" t="s">
        <v>365</v>
      </c>
      <c r="C4696" s="293">
        <v>49500.638879999999</v>
      </c>
      <c r="D4696" s="293">
        <v>42020.784240000001</v>
      </c>
      <c r="E4696" s="293">
        <v>-7479.8546399999996</v>
      </c>
      <c r="F4696" s="294" t="s">
        <v>1710</v>
      </c>
    </row>
    <row r="4697" spans="1:6" hidden="1" outlineLevel="1" collapsed="1" x14ac:dyDescent="0.25">
      <c r="A4697" s="295" t="s">
        <v>282</v>
      </c>
      <c r="B4697" s="295" t="s">
        <v>367</v>
      </c>
      <c r="C4697" s="293">
        <v>752.69684199999995</v>
      </c>
      <c r="D4697" s="293">
        <v>481.52303999999998</v>
      </c>
      <c r="E4697" s="293">
        <v>-271.17380200000002</v>
      </c>
      <c r="F4697" s="294" t="s">
        <v>1711</v>
      </c>
    </row>
    <row r="4698" spans="1:6" hidden="1" outlineLevel="1" collapsed="1" x14ac:dyDescent="0.25">
      <c r="A4698" s="295" t="s">
        <v>282</v>
      </c>
      <c r="B4698" s="295" t="s">
        <v>369</v>
      </c>
      <c r="C4698" s="293">
        <v>161.03949900000001</v>
      </c>
      <c r="D4698" s="293">
        <v>138.65064799999999</v>
      </c>
      <c r="E4698" s="293">
        <v>-22.388850999999999</v>
      </c>
      <c r="F4698" s="294" t="s">
        <v>1708</v>
      </c>
    </row>
    <row r="4699" spans="1:6" hidden="1" outlineLevel="1" collapsed="1" x14ac:dyDescent="0.25">
      <c r="A4699" s="295" t="s">
        <v>282</v>
      </c>
      <c r="B4699" s="295" t="s">
        <v>370</v>
      </c>
      <c r="C4699" s="293">
        <v>4834.5</v>
      </c>
      <c r="D4699" s="293">
        <v>3949.5</v>
      </c>
      <c r="E4699" s="293">
        <v>-885</v>
      </c>
      <c r="F4699" s="294" t="s">
        <v>1712</v>
      </c>
    </row>
    <row r="4700" spans="1:6" hidden="1" outlineLevel="1" collapsed="1" x14ac:dyDescent="0.25">
      <c r="A4700" s="295" t="s">
        <v>282</v>
      </c>
      <c r="B4700" s="295" t="s">
        <v>371</v>
      </c>
      <c r="C4700" s="293">
        <v>160.11864</v>
      </c>
      <c r="D4700" s="293">
        <v>127.64784</v>
      </c>
      <c r="E4700" s="293">
        <v>-32.470799999999997</v>
      </c>
      <c r="F4700" s="294" t="s">
        <v>1713</v>
      </c>
    </row>
    <row r="4701" spans="1:6" hidden="1" outlineLevel="1" collapsed="1" x14ac:dyDescent="0.25">
      <c r="A4701" s="295" t="s">
        <v>282</v>
      </c>
      <c r="B4701" s="295" t="s">
        <v>373</v>
      </c>
      <c r="C4701" s="293">
        <v>77.352000000000004</v>
      </c>
      <c r="D4701" s="293">
        <v>29.06832</v>
      </c>
      <c r="E4701" s="293">
        <v>-48.283679999999997</v>
      </c>
      <c r="F4701" s="294" t="s">
        <v>1714</v>
      </c>
    </row>
    <row r="4702" spans="1:6" collapsed="1" x14ac:dyDescent="0.25">
      <c r="A4702" s="560" t="s">
        <v>1715</v>
      </c>
      <c r="B4702" s="561"/>
      <c r="C4702" s="292">
        <v>624561.31361399998</v>
      </c>
      <c r="D4702" s="293">
        <v>810575.21135500004</v>
      </c>
      <c r="E4702" s="293">
        <v>186013.89774099999</v>
      </c>
      <c r="F4702" s="294" t="s">
        <v>1716</v>
      </c>
    </row>
    <row r="4703" spans="1:6" hidden="1" outlineLevel="1" collapsed="1" x14ac:dyDescent="0.25">
      <c r="A4703" s="295" t="s">
        <v>282</v>
      </c>
      <c r="B4703" s="295" t="s">
        <v>942</v>
      </c>
      <c r="C4703" s="293">
        <v>126407.675434</v>
      </c>
      <c r="D4703" s="293">
        <v>110928.845546</v>
      </c>
      <c r="E4703" s="293">
        <v>-15478.829888</v>
      </c>
      <c r="F4703" s="294" t="s">
        <v>1717</v>
      </c>
    </row>
    <row r="4704" spans="1:6" hidden="1" outlineLevel="1" collapsed="1" x14ac:dyDescent="0.25">
      <c r="A4704" s="295" t="s">
        <v>282</v>
      </c>
      <c r="B4704" s="295" t="s">
        <v>464</v>
      </c>
      <c r="C4704" s="293">
        <v>238774.408987</v>
      </c>
      <c r="D4704" s="293">
        <v>381964.84797</v>
      </c>
      <c r="E4704" s="293">
        <v>143190.438983</v>
      </c>
      <c r="F4704" s="294" t="s">
        <v>1718</v>
      </c>
    </row>
    <row r="4705" spans="1:6" hidden="1" outlineLevel="1" collapsed="1" x14ac:dyDescent="0.25">
      <c r="A4705" s="295" t="s">
        <v>282</v>
      </c>
      <c r="B4705" s="295" t="s">
        <v>799</v>
      </c>
      <c r="C4705" s="293">
        <v>8000</v>
      </c>
      <c r="D4705" s="293">
        <v>0</v>
      </c>
      <c r="E4705" s="293">
        <v>-8000</v>
      </c>
      <c r="F4705" s="294" t="s">
        <v>286</v>
      </c>
    </row>
    <row r="4706" spans="1:6" hidden="1" outlineLevel="1" collapsed="1" x14ac:dyDescent="0.25">
      <c r="A4706" s="295" t="s">
        <v>282</v>
      </c>
      <c r="B4706" s="295" t="s">
        <v>384</v>
      </c>
      <c r="C4706" s="293">
        <v>39855.415990000001</v>
      </c>
      <c r="D4706" s="293">
        <v>0</v>
      </c>
      <c r="E4706" s="293">
        <v>-39855.415990000001</v>
      </c>
      <c r="F4706" s="294" t="s">
        <v>286</v>
      </c>
    </row>
    <row r="4707" spans="1:6" hidden="1" outlineLevel="1" collapsed="1" x14ac:dyDescent="0.25">
      <c r="A4707" s="295" t="s">
        <v>282</v>
      </c>
      <c r="B4707" s="295" t="s">
        <v>385</v>
      </c>
      <c r="C4707" s="293">
        <v>0</v>
      </c>
      <c r="D4707" s="293">
        <v>64882.019543000002</v>
      </c>
      <c r="E4707" s="293">
        <v>64882.019543000002</v>
      </c>
      <c r="F4707" s="294" t="s">
        <v>298</v>
      </c>
    </row>
    <row r="4708" spans="1:6" hidden="1" outlineLevel="1" collapsed="1" x14ac:dyDescent="0.25">
      <c r="A4708" s="295" t="s">
        <v>282</v>
      </c>
      <c r="B4708" s="295" t="s">
        <v>386</v>
      </c>
      <c r="C4708" s="293">
        <v>16833.367203999998</v>
      </c>
      <c r="D4708" s="293">
        <v>0</v>
      </c>
      <c r="E4708" s="293">
        <v>-16833.367203999998</v>
      </c>
      <c r="F4708" s="294" t="s">
        <v>286</v>
      </c>
    </row>
    <row r="4709" spans="1:6" hidden="1" outlineLevel="1" collapsed="1" x14ac:dyDescent="0.25">
      <c r="A4709" s="295" t="s">
        <v>282</v>
      </c>
      <c r="B4709" s="295" t="s">
        <v>387</v>
      </c>
      <c r="C4709" s="293">
        <v>0</v>
      </c>
      <c r="D4709" s="293">
        <v>26172.288960000002</v>
      </c>
      <c r="E4709" s="293">
        <v>26172.288960000002</v>
      </c>
      <c r="F4709" s="294" t="s">
        <v>298</v>
      </c>
    </row>
    <row r="4710" spans="1:6" hidden="1" outlineLevel="1" collapsed="1" x14ac:dyDescent="0.25">
      <c r="A4710" s="295" t="s">
        <v>282</v>
      </c>
      <c r="B4710" s="295" t="s">
        <v>388</v>
      </c>
      <c r="C4710" s="293">
        <v>5106.1906900000004</v>
      </c>
      <c r="D4710" s="293">
        <v>6120.9385169999996</v>
      </c>
      <c r="E4710" s="293">
        <v>1014.747827</v>
      </c>
      <c r="F4710" s="294" t="s">
        <v>1719</v>
      </c>
    </row>
    <row r="4711" spans="1:6" hidden="1" outlineLevel="1" collapsed="1" x14ac:dyDescent="0.25">
      <c r="A4711" s="295" t="s">
        <v>282</v>
      </c>
      <c r="B4711" s="295" t="s">
        <v>389</v>
      </c>
      <c r="C4711" s="293">
        <v>2073.8073599999998</v>
      </c>
      <c r="D4711" s="293">
        <v>2405.6280000000002</v>
      </c>
      <c r="E4711" s="293">
        <v>331.82064000000003</v>
      </c>
      <c r="F4711" s="294" t="s">
        <v>632</v>
      </c>
    </row>
    <row r="4712" spans="1:6" hidden="1" outlineLevel="1" collapsed="1" x14ac:dyDescent="0.25">
      <c r="A4712" s="295" t="s">
        <v>282</v>
      </c>
      <c r="B4712" s="295" t="s">
        <v>390</v>
      </c>
      <c r="C4712" s="293">
        <v>75467.239000000001</v>
      </c>
      <c r="D4712" s="293">
        <v>90967.895999999993</v>
      </c>
      <c r="E4712" s="293">
        <v>15500.656999999999</v>
      </c>
      <c r="F4712" s="294" t="s">
        <v>1720</v>
      </c>
    </row>
    <row r="4713" spans="1:6" hidden="1" outlineLevel="1" collapsed="1" x14ac:dyDescent="0.25">
      <c r="A4713" s="295" t="s">
        <v>282</v>
      </c>
      <c r="B4713" s="295" t="s">
        <v>392</v>
      </c>
      <c r="C4713" s="293">
        <v>1136.55744</v>
      </c>
      <c r="D4713" s="293">
        <v>1042.4159999999999</v>
      </c>
      <c r="E4713" s="293">
        <v>-94.141440000000003</v>
      </c>
      <c r="F4713" s="294" t="s">
        <v>1721</v>
      </c>
    </row>
    <row r="4714" spans="1:6" hidden="1" outlineLevel="1" collapsed="1" x14ac:dyDescent="0.25">
      <c r="A4714" s="295" t="s">
        <v>282</v>
      </c>
      <c r="B4714" s="295" t="s">
        <v>393</v>
      </c>
      <c r="C4714" s="293">
        <v>176.07550900000001</v>
      </c>
      <c r="D4714" s="293">
        <v>211.06681900000001</v>
      </c>
      <c r="E4714" s="293">
        <v>34.991309999999999</v>
      </c>
      <c r="F4714" s="294" t="s">
        <v>1719</v>
      </c>
    </row>
    <row r="4715" spans="1:6" hidden="1" outlineLevel="1" collapsed="1" x14ac:dyDescent="0.25">
      <c r="A4715" s="295" t="s">
        <v>282</v>
      </c>
      <c r="B4715" s="295" t="s">
        <v>394</v>
      </c>
      <c r="C4715" s="293">
        <v>7300</v>
      </c>
      <c r="D4715" s="293">
        <v>0</v>
      </c>
      <c r="E4715" s="293">
        <v>-7300</v>
      </c>
      <c r="F4715" s="294" t="s">
        <v>286</v>
      </c>
    </row>
    <row r="4716" spans="1:6" hidden="1" outlineLevel="1" collapsed="1" x14ac:dyDescent="0.25">
      <c r="A4716" s="295" t="s">
        <v>282</v>
      </c>
      <c r="B4716" s="295" t="s">
        <v>395</v>
      </c>
      <c r="C4716" s="293">
        <v>0</v>
      </c>
      <c r="D4716" s="293">
        <v>8550</v>
      </c>
      <c r="E4716" s="293">
        <v>8550</v>
      </c>
      <c r="F4716" s="294" t="s">
        <v>298</v>
      </c>
    </row>
    <row r="4717" spans="1:6" hidden="1" outlineLevel="1" collapsed="1" x14ac:dyDescent="0.25">
      <c r="A4717" s="295" t="s">
        <v>282</v>
      </c>
      <c r="B4717" s="295" t="s">
        <v>396</v>
      </c>
      <c r="C4717" s="293">
        <v>241.77600000000001</v>
      </c>
      <c r="D4717" s="293">
        <v>0</v>
      </c>
      <c r="E4717" s="293">
        <v>-241.77600000000001</v>
      </c>
      <c r="F4717" s="294" t="s">
        <v>286</v>
      </c>
    </row>
    <row r="4718" spans="1:6" hidden="1" outlineLevel="1" collapsed="1" x14ac:dyDescent="0.25">
      <c r="A4718" s="295" t="s">
        <v>282</v>
      </c>
      <c r="B4718" s="295" t="s">
        <v>397</v>
      </c>
      <c r="C4718" s="293">
        <v>0</v>
      </c>
      <c r="D4718" s="293">
        <v>276.33600000000001</v>
      </c>
      <c r="E4718" s="293">
        <v>276.33600000000001</v>
      </c>
      <c r="F4718" s="294" t="s">
        <v>298</v>
      </c>
    </row>
    <row r="4719" spans="1:6" hidden="1" outlineLevel="1" collapsed="1" x14ac:dyDescent="0.25">
      <c r="A4719" s="295" t="s">
        <v>282</v>
      </c>
      <c r="B4719" s="295" t="s">
        <v>398</v>
      </c>
      <c r="C4719" s="293">
        <v>116.8</v>
      </c>
      <c r="D4719" s="293">
        <v>62.927999999999997</v>
      </c>
      <c r="E4719" s="293">
        <v>-53.872</v>
      </c>
      <c r="F4719" s="294" t="s">
        <v>1722</v>
      </c>
    </row>
    <row r="4720" spans="1:6" hidden="1" outlineLevel="1" collapsed="1" x14ac:dyDescent="0.25">
      <c r="A4720" s="295" t="s">
        <v>282</v>
      </c>
      <c r="B4720" s="295" t="s">
        <v>523</v>
      </c>
      <c r="C4720" s="293">
        <v>450</v>
      </c>
      <c r="D4720" s="293">
        <v>450</v>
      </c>
      <c r="E4720" s="293">
        <v>0</v>
      </c>
      <c r="F4720" s="294" t="s">
        <v>316</v>
      </c>
    </row>
    <row r="4721" spans="1:6" hidden="1" outlineLevel="1" collapsed="1" x14ac:dyDescent="0.25">
      <c r="A4721" s="295" t="s">
        <v>282</v>
      </c>
      <c r="B4721" s="295" t="s">
        <v>399</v>
      </c>
      <c r="C4721" s="293">
        <v>450</v>
      </c>
      <c r="D4721" s="293">
        <v>450</v>
      </c>
      <c r="E4721" s="293">
        <v>0</v>
      </c>
      <c r="F4721" s="294" t="s">
        <v>316</v>
      </c>
    </row>
    <row r="4722" spans="1:6" hidden="1" outlineLevel="1" collapsed="1" x14ac:dyDescent="0.25">
      <c r="A4722" s="295" t="s">
        <v>282</v>
      </c>
      <c r="B4722" s="295" t="s">
        <v>431</v>
      </c>
      <c r="C4722" s="293">
        <v>1800</v>
      </c>
      <c r="D4722" s="293">
        <v>1800</v>
      </c>
      <c r="E4722" s="293">
        <v>0</v>
      </c>
      <c r="F4722" s="294" t="s">
        <v>316</v>
      </c>
    </row>
    <row r="4723" spans="1:6" hidden="1" outlineLevel="1" collapsed="1" x14ac:dyDescent="0.25">
      <c r="A4723" s="295" t="s">
        <v>282</v>
      </c>
      <c r="B4723" s="295" t="s">
        <v>376</v>
      </c>
      <c r="C4723" s="293">
        <v>3600</v>
      </c>
      <c r="D4723" s="293">
        <v>3600</v>
      </c>
      <c r="E4723" s="293">
        <v>0</v>
      </c>
      <c r="F4723" s="294" t="s">
        <v>316</v>
      </c>
    </row>
    <row r="4724" spans="1:6" hidden="1" outlineLevel="1" collapsed="1" x14ac:dyDescent="0.25">
      <c r="A4724" s="295" t="s">
        <v>282</v>
      </c>
      <c r="B4724" s="295" t="s">
        <v>506</v>
      </c>
      <c r="C4724" s="293">
        <v>1000</v>
      </c>
      <c r="D4724" s="293">
        <v>1000</v>
      </c>
      <c r="E4724" s="293">
        <v>0</v>
      </c>
      <c r="F4724" s="294" t="s">
        <v>316</v>
      </c>
    </row>
    <row r="4725" spans="1:6" hidden="1" outlineLevel="1" collapsed="1" x14ac:dyDescent="0.25">
      <c r="A4725" s="295" t="s">
        <v>282</v>
      </c>
      <c r="B4725" s="295" t="s">
        <v>426</v>
      </c>
      <c r="C4725" s="293">
        <v>9741</v>
      </c>
      <c r="D4725" s="293">
        <v>16000</v>
      </c>
      <c r="E4725" s="293">
        <v>6259</v>
      </c>
      <c r="F4725" s="294" t="s">
        <v>1723</v>
      </c>
    </row>
    <row r="4726" spans="1:6" hidden="1" outlineLevel="1" collapsed="1" x14ac:dyDescent="0.25">
      <c r="A4726" s="295" t="s">
        <v>282</v>
      </c>
      <c r="B4726" s="295" t="s">
        <v>1103</v>
      </c>
      <c r="C4726" s="293">
        <v>8400</v>
      </c>
      <c r="D4726" s="293">
        <v>8400</v>
      </c>
      <c r="E4726" s="293">
        <v>0</v>
      </c>
      <c r="F4726" s="294" t="s">
        <v>316</v>
      </c>
    </row>
    <row r="4727" spans="1:6" hidden="1" outlineLevel="1" collapsed="1" x14ac:dyDescent="0.25">
      <c r="A4727" s="295" t="s">
        <v>282</v>
      </c>
      <c r="B4727" s="295" t="s">
        <v>952</v>
      </c>
      <c r="C4727" s="293">
        <v>840</v>
      </c>
      <c r="D4727" s="293">
        <v>840</v>
      </c>
      <c r="E4727" s="293">
        <v>0</v>
      </c>
      <c r="F4727" s="294" t="s">
        <v>316</v>
      </c>
    </row>
    <row r="4728" spans="1:6" hidden="1" outlineLevel="1" collapsed="1" x14ac:dyDescent="0.25">
      <c r="A4728" s="295" t="s">
        <v>282</v>
      </c>
      <c r="B4728" s="295" t="s">
        <v>482</v>
      </c>
      <c r="C4728" s="293">
        <v>2900</v>
      </c>
      <c r="D4728" s="293">
        <v>1000</v>
      </c>
      <c r="E4728" s="293">
        <v>-1900</v>
      </c>
      <c r="F4728" s="294" t="s">
        <v>1724</v>
      </c>
    </row>
    <row r="4729" spans="1:6" hidden="1" outlineLevel="1" collapsed="1" x14ac:dyDescent="0.25">
      <c r="A4729" s="295" t="s">
        <v>282</v>
      </c>
      <c r="B4729" s="295" t="s">
        <v>597</v>
      </c>
      <c r="C4729" s="293">
        <v>1800</v>
      </c>
      <c r="D4729" s="293">
        <v>1500</v>
      </c>
      <c r="E4729" s="293">
        <v>-300</v>
      </c>
      <c r="F4729" s="294" t="s">
        <v>852</v>
      </c>
    </row>
    <row r="4730" spans="1:6" hidden="1" outlineLevel="1" collapsed="1" x14ac:dyDescent="0.25">
      <c r="A4730" s="295" t="s">
        <v>282</v>
      </c>
      <c r="B4730" s="295" t="s">
        <v>842</v>
      </c>
      <c r="C4730" s="293">
        <v>450</v>
      </c>
      <c r="D4730" s="293">
        <v>450</v>
      </c>
      <c r="E4730" s="293">
        <v>0</v>
      </c>
      <c r="F4730" s="294" t="s">
        <v>316</v>
      </c>
    </row>
    <row r="4731" spans="1:6" hidden="1" outlineLevel="1" collapsed="1" x14ac:dyDescent="0.25">
      <c r="A4731" s="295" t="s">
        <v>282</v>
      </c>
      <c r="B4731" s="295" t="s">
        <v>448</v>
      </c>
      <c r="C4731" s="293">
        <v>17141</v>
      </c>
      <c r="D4731" s="293">
        <v>60000</v>
      </c>
      <c r="E4731" s="293">
        <v>42859</v>
      </c>
      <c r="F4731" s="294" t="s">
        <v>1725</v>
      </c>
    </row>
    <row r="4732" spans="1:6" hidden="1" outlineLevel="1" collapsed="1" x14ac:dyDescent="0.25">
      <c r="A4732" s="295" t="s">
        <v>282</v>
      </c>
      <c r="B4732" s="295" t="s">
        <v>1726</v>
      </c>
      <c r="C4732" s="293">
        <v>0</v>
      </c>
      <c r="D4732" s="293">
        <v>4500</v>
      </c>
      <c r="E4732" s="293">
        <v>4500</v>
      </c>
      <c r="F4732" s="294" t="s">
        <v>298</v>
      </c>
    </row>
    <row r="4733" spans="1:6" hidden="1" outlineLevel="1" collapsed="1" x14ac:dyDescent="0.25">
      <c r="A4733" s="295" t="s">
        <v>282</v>
      </c>
      <c r="B4733" s="295" t="s">
        <v>422</v>
      </c>
      <c r="C4733" s="293">
        <v>42000</v>
      </c>
      <c r="D4733" s="293">
        <v>2000</v>
      </c>
      <c r="E4733" s="293">
        <v>-40000</v>
      </c>
      <c r="F4733" s="294" t="s">
        <v>1727</v>
      </c>
    </row>
    <row r="4734" spans="1:6" hidden="1" outlineLevel="1" collapsed="1" x14ac:dyDescent="0.25">
      <c r="A4734" s="295" t="s">
        <v>282</v>
      </c>
      <c r="B4734" s="295" t="s">
        <v>770</v>
      </c>
      <c r="C4734" s="293">
        <v>12500</v>
      </c>
      <c r="D4734" s="293">
        <v>15000</v>
      </c>
      <c r="E4734" s="293">
        <v>2500</v>
      </c>
      <c r="F4734" s="294" t="s">
        <v>882</v>
      </c>
    </row>
    <row r="4735" spans="1:6" collapsed="1" x14ac:dyDescent="0.25">
      <c r="A4735" s="560" t="s">
        <v>338</v>
      </c>
      <c r="B4735" s="561"/>
      <c r="C4735" s="292">
        <v>148000</v>
      </c>
      <c r="D4735" s="293">
        <v>0</v>
      </c>
      <c r="E4735" s="293">
        <v>-148000</v>
      </c>
      <c r="F4735" s="294" t="s">
        <v>286</v>
      </c>
    </row>
    <row r="4736" spans="1:6" hidden="1" outlineLevel="1" collapsed="1" x14ac:dyDescent="0.25">
      <c r="A4736" s="295" t="s">
        <v>282</v>
      </c>
      <c r="B4736" s="295" t="s">
        <v>355</v>
      </c>
      <c r="C4736" s="293">
        <v>148000</v>
      </c>
      <c r="D4736" s="293">
        <v>0</v>
      </c>
      <c r="E4736" s="293">
        <v>-148000</v>
      </c>
      <c r="F4736" s="294" t="s">
        <v>286</v>
      </c>
    </row>
    <row r="4737" spans="1:6" collapsed="1" x14ac:dyDescent="0.25">
      <c r="A4737" s="560" t="s">
        <v>1728</v>
      </c>
      <c r="B4737" s="561"/>
      <c r="C4737" s="292">
        <v>88350</v>
      </c>
      <c r="D4737" s="293">
        <v>50000</v>
      </c>
      <c r="E4737" s="293">
        <v>-38350</v>
      </c>
      <c r="F4737" s="294" t="s">
        <v>1729</v>
      </c>
    </row>
    <row r="4738" spans="1:6" hidden="1" outlineLevel="1" collapsed="1" x14ac:dyDescent="0.25">
      <c r="A4738" s="295" t="s">
        <v>282</v>
      </c>
      <c r="B4738" s="295" t="s">
        <v>523</v>
      </c>
      <c r="C4738" s="293">
        <v>500</v>
      </c>
      <c r="D4738" s="293">
        <v>0</v>
      </c>
      <c r="E4738" s="293">
        <v>-500</v>
      </c>
      <c r="F4738" s="294" t="s">
        <v>286</v>
      </c>
    </row>
    <row r="4739" spans="1:6" hidden="1" outlineLevel="1" collapsed="1" x14ac:dyDescent="0.25">
      <c r="A4739" s="295" t="s">
        <v>282</v>
      </c>
      <c r="B4739" s="295" t="s">
        <v>399</v>
      </c>
      <c r="C4739" s="293">
        <v>500</v>
      </c>
      <c r="D4739" s="293">
        <v>0</v>
      </c>
      <c r="E4739" s="293">
        <v>-500</v>
      </c>
      <c r="F4739" s="294" t="s">
        <v>286</v>
      </c>
    </row>
    <row r="4740" spans="1:6" hidden="1" outlineLevel="1" collapsed="1" x14ac:dyDescent="0.25">
      <c r="A4740" s="295" t="s">
        <v>282</v>
      </c>
      <c r="B4740" s="295" t="s">
        <v>376</v>
      </c>
      <c r="C4740" s="293">
        <v>3000</v>
      </c>
      <c r="D4740" s="293">
        <v>0</v>
      </c>
      <c r="E4740" s="293">
        <v>-3000</v>
      </c>
      <c r="F4740" s="294" t="s">
        <v>286</v>
      </c>
    </row>
    <row r="4741" spans="1:6" hidden="1" outlineLevel="1" collapsed="1" x14ac:dyDescent="0.25">
      <c r="A4741" s="295" t="s">
        <v>282</v>
      </c>
      <c r="B4741" s="295" t="s">
        <v>662</v>
      </c>
      <c r="C4741" s="293">
        <v>0</v>
      </c>
      <c r="D4741" s="293">
        <v>0</v>
      </c>
      <c r="E4741" s="293">
        <v>0</v>
      </c>
      <c r="F4741" s="294" t="s">
        <v>316</v>
      </c>
    </row>
    <row r="4742" spans="1:6" hidden="1" outlineLevel="1" collapsed="1" x14ac:dyDescent="0.25">
      <c r="A4742" s="295" t="s">
        <v>282</v>
      </c>
      <c r="B4742" s="295" t="s">
        <v>506</v>
      </c>
      <c r="C4742" s="293">
        <v>2000</v>
      </c>
      <c r="D4742" s="293">
        <v>0</v>
      </c>
      <c r="E4742" s="293">
        <v>-2000</v>
      </c>
      <c r="F4742" s="294" t="s">
        <v>286</v>
      </c>
    </row>
    <row r="4743" spans="1:6" hidden="1" outlineLevel="1" collapsed="1" x14ac:dyDescent="0.25">
      <c r="A4743" s="295" t="s">
        <v>282</v>
      </c>
      <c r="B4743" s="295" t="s">
        <v>567</v>
      </c>
      <c r="C4743" s="293">
        <v>19000</v>
      </c>
      <c r="D4743" s="293">
        <v>50000</v>
      </c>
      <c r="E4743" s="293">
        <v>31000</v>
      </c>
      <c r="F4743" s="294" t="s">
        <v>1730</v>
      </c>
    </row>
    <row r="4744" spans="1:6" hidden="1" outlineLevel="1" collapsed="1" x14ac:dyDescent="0.25">
      <c r="A4744" s="295" t="s">
        <v>282</v>
      </c>
      <c r="B4744" s="295" t="s">
        <v>426</v>
      </c>
      <c r="C4744" s="293">
        <v>18000</v>
      </c>
      <c r="D4744" s="293">
        <v>0</v>
      </c>
      <c r="E4744" s="293">
        <v>-18000</v>
      </c>
      <c r="F4744" s="294" t="s">
        <v>286</v>
      </c>
    </row>
    <row r="4745" spans="1:6" hidden="1" outlineLevel="1" collapsed="1" x14ac:dyDescent="0.25">
      <c r="A4745" s="295" t="s">
        <v>282</v>
      </c>
      <c r="B4745" s="295" t="s">
        <v>597</v>
      </c>
      <c r="C4745" s="293">
        <v>4000</v>
      </c>
      <c r="D4745" s="293">
        <v>0</v>
      </c>
      <c r="E4745" s="293">
        <v>-4000</v>
      </c>
      <c r="F4745" s="294" t="s">
        <v>286</v>
      </c>
    </row>
    <row r="4746" spans="1:6" hidden="1" outlineLevel="1" collapsed="1" x14ac:dyDescent="0.25">
      <c r="A4746" s="295" t="s">
        <v>282</v>
      </c>
      <c r="B4746" s="295" t="s">
        <v>842</v>
      </c>
      <c r="C4746" s="293">
        <v>1000</v>
      </c>
      <c r="D4746" s="293">
        <v>0</v>
      </c>
      <c r="E4746" s="293">
        <v>-1000</v>
      </c>
      <c r="F4746" s="294" t="s">
        <v>286</v>
      </c>
    </row>
    <row r="4747" spans="1:6" hidden="1" outlineLevel="1" collapsed="1" x14ac:dyDescent="0.25">
      <c r="A4747" s="295" t="s">
        <v>282</v>
      </c>
      <c r="B4747" s="295" t="s">
        <v>401</v>
      </c>
      <c r="C4747" s="293">
        <v>4000</v>
      </c>
      <c r="D4747" s="293">
        <v>0</v>
      </c>
      <c r="E4747" s="293">
        <v>-4000</v>
      </c>
      <c r="F4747" s="294" t="s">
        <v>286</v>
      </c>
    </row>
    <row r="4748" spans="1:6" hidden="1" outlineLevel="1" collapsed="1" x14ac:dyDescent="0.25">
      <c r="A4748" s="295" t="s">
        <v>282</v>
      </c>
      <c r="B4748" s="295" t="s">
        <v>626</v>
      </c>
      <c r="C4748" s="293">
        <v>0</v>
      </c>
      <c r="D4748" s="293">
        <v>0</v>
      </c>
      <c r="E4748" s="293">
        <v>0</v>
      </c>
      <c r="F4748" s="294" t="s">
        <v>316</v>
      </c>
    </row>
    <row r="4749" spans="1:6" hidden="1" outlineLevel="1" collapsed="1" x14ac:dyDescent="0.25">
      <c r="A4749" s="295" t="s">
        <v>282</v>
      </c>
      <c r="B4749" s="295" t="s">
        <v>405</v>
      </c>
      <c r="C4749" s="293">
        <v>1000</v>
      </c>
      <c r="D4749" s="293">
        <v>0</v>
      </c>
      <c r="E4749" s="293">
        <v>-1000</v>
      </c>
      <c r="F4749" s="294" t="s">
        <v>286</v>
      </c>
    </row>
    <row r="4750" spans="1:6" hidden="1" outlineLevel="1" collapsed="1" x14ac:dyDescent="0.25">
      <c r="A4750" s="295" t="s">
        <v>282</v>
      </c>
      <c r="B4750" s="295" t="s">
        <v>557</v>
      </c>
      <c r="C4750" s="293">
        <v>350</v>
      </c>
      <c r="D4750" s="293">
        <v>0</v>
      </c>
      <c r="E4750" s="293">
        <v>-350</v>
      </c>
      <c r="F4750" s="294" t="s">
        <v>286</v>
      </c>
    </row>
    <row r="4751" spans="1:6" hidden="1" outlineLevel="1" collapsed="1" x14ac:dyDescent="0.25">
      <c r="A4751" s="295" t="s">
        <v>282</v>
      </c>
      <c r="B4751" s="295" t="s">
        <v>770</v>
      </c>
      <c r="C4751" s="293">
        <v>35000</v>
      </c>
      <c r="D4751" s="293">
        <v>0</v>
      </c>
      <c r="E4751" s="293">
        <v>-35000</v>
      </c>
      <c r="F4751" s="294" t="s">
        <v>286</v>
      </c>
    </row>
    <row r="4752" spans="1:6" collapsed="1" x14ac:dyDescent="0.25">
      <c r="A4752" s="560" t="s">
        <v>1731</v>
      </c>
      <c r="B4752" s="561"/>
      <c r="C4752" s="292">
        <v>105049.76</v>
      </c>
      <c r="D4752" s="293">
        <v>334666.96660699998</v>
      </c>
      <c r="E4752" s="293">
        <v>229617.206607</v>
      </c>
      <c r="F4752" s="294" t="s">
        <v>1732</v>
      </c>
    </row>
    <row r="4753" spans="1:6" hidden="1" outlineLevel="1" collapsed="1" x14ac:dyDescent="0.25">
      <c r="A4753" s="295" t="s">
        <v>282</v>
      </c>
      <c r="B4753" s="295" t="s">
        <v>464</v>
      </c>
      <c r="C4753" s="293">
        <v>0</v>
      </c>
      <c r="D4753" s="293">
        <v>104481.366612</v>
      </c>
      <c r="E4753" s="293">
        <v>104481.366612</v>
      </c>
      <c r="F4753" s="294" t="s">
        <v>298</v>
      </c>
    </row>
    <row r="4754" spans="1:6" hidden="1" outlineLevel="1" collapsed="1" x14ac:dyDescent="0.25">
      <c r="A4754" s="295" t="s">
        <v>282</v>
      </c>
      <c r="B4754" s="295" t="s">
        <v>385</v>
      </c>
      <c r="C4754" s="293">
        <v>0</v>
      </c>
      <c r="D4754" s="293">
        <v>13745.289768000001</v>
      </c>
      <c r="E4754" s="293">
        <v>13745.289768000001</v>
      </c>
      <c r="F4754" s="294" t="s">
        <v>298</v>
      </c>
    </row>
    <row r="4755" spans="1:6" hidden="1" outlineLevel="1" collapsed="1" x14ac:dyDescent="0.25">
      <c r="A4755" s="295" t="s">
        <v>282</v>
      </c>
      <c r="B4755" s="295" t="s">
        <v>387</v>
      </c>
      <c r="C4755" s="293">
        <v>0</v>
      </c>
      <c r="D4755" s="293">
        <v>6515.044715</v>
      </c>
      <c r="E4755" s="293">
        <v>6515.044715</v>
      </c>
      <c r="F4755" s="294" t="s">
        <v>298</v>
      </c>
    </row>
    <row r="4756" spans="1:6" hidden="1" outlineLevel="1" collapsed="1" x14ac:dyDescent="0.25">
      <c r="A4756" s="295" t="s">
        <v>282</v>
      </c>
      <c r="B4756" s="295" t="s">
        <v>388</v>
      </c>
      <c r="C4756" s="293">
        <v>0</v>
      </c>
      <c r="D4756" s="293">
        <v>1523.6798040000001</v>
      </c>
      <c r="E4756" s="293">
        <v>1523.6798040000001</v>
      </c>
      <c r="F4756" s="294" t="s">
        <v>298</v>
      </c>
    </row>
    <row r="4757" spans="1:6" hidden="1" outlineLevel="1" collapsed="1" x14ac:dyDescent="0.25">
      <c r="A4757" s="295" t="s">
        <v>282</v>
      </c>
      <c r="B4757" s="295" t="s">
        <v>480</v>
      </c>
      <c r="C4757" s="293">
        <v>0</v>
      </c>
      <c r="D4757" s="293">
        <v>201.605052</v>
      </c>
      <c r="E4757" s="293">
        <v>201.605052</v>
      </c>
      <c r="F4757" s="294" t="s">
        <v>298</v>
      </c>
    </row>
    <row r="4758" spans="1:6" hidden="1" outlineLevel="1" collapsed="1" x14ac:dyDescent="0.25">
      <c r="A4758" s="295" t="s">
        <v>282</v>
      </c>
      <c r="B4758" s="295" t="s">
        <v>389</v>
      </c>
      <c r="C4758" s="293">
        <v>0</v>
      </c>
      <c r="D4758" s="293">
        <v>844.08</v>
      </c>
      <c r="E4758" s="293">
        <v>844.08</v>
      </c>
      <c r="F4758" s="294" t="s">
        <v>298</v>
      </c>
    </row>
    <row r="4759" spans="1:6" hidden="1" outlineLevel="1" collapsed="1" x14ac:dyDescent="0.25">
      <c r="A4759" s="295" t="s">
        <v>282</v>
      </c>
      <c r="B4759" s="295" t="s">
        <v>390</v>
      </c>
      <c r="C4759" s="293">
        <v>0</v>
      </c>
      <c r="D4759" s="293">
        <v>31918.560000000001</v>
      </c>
      <c r="E4759" s="293">
        <v>31918.560000000001</v>
      </c>
      <c r="F4759" s="294" t="s">
        <v>298</v>
      </c>
    </row>
    <row r="4760" spans="1:6" hidden="1" outlineLevel="1" collapsed="1" x14ac:dyDescent="0.25">
      <c r="A4760" s="295" t="s">
        <v>282</v>
      </c>
      <c r="B4760" s="295" t="s">
        <v>392</v>
      </c>
      <c r="C4760" s="293">
        <v>0</v>
      </c>
      <c r="D4760" s="293">
        <v>365.76</v>
      </c>
      <c r="E4760" s="293">
        <v>365.76</v>
      </c>
      <c r="F4760" s="294" t="s">
        <v>298</v>
      </c>
    </row>
    <row r="4761" spans="1:6" hidden="1" outlineLevel="1" collapsed="1" x14ac:dyDescent="0.25">
      <c r="A4761" s="295" t="s">
        <v>282</v>
      </c>
      <c r="B4761" s="295" t="s">
        <v>393</v>
      </c>
      <c r="C4761" s="293">
        <v>0</v>
      </c>
      <c r="D4761" s="293">
        <v>52.540655999999998</v>
      </c>
      <c r="E4761" s="293">
        <v>52.540655999999998</v>
      </c>
      <c r="F4761" s="294" t="s">
        <v>298</v>
      </c>
    </row>
    <row r="4762" spans="1:6" hidden="1" outlineLevel="1" collapsed="1" x14ac:dyDescent="0.25">
      <c r="A4762" s="295" t="s">
        <v>282</v>
      </c>
      <c r="B4762" s="295" t="s">
        <v>395</v>
      </c>
      <c r="C4762" s="293">
        <v>0</v>
      </c>
      <c r="D4762" s="293">
        <v>3000</v>
      </c>
      <c r="E4762" s="293">
        <v>3000</v>
      </c>
      <c r="F4762" s="294" t="s">
        <v>298</v>
      </c>
    </row>
    <row r="4763" spans="1:6" hidden="1" outlineLevel="1" collapsed="1" x14ac:dyDescent="0.25">
      <c r="A4763" s="295" t="s">
        <v>282</v>
      </c>
      <c r="B4763" s="295" t="s">
        <v>397</v>
      </c>
      <c r="C4763" s="293">
        <v>0</v>
      </c>
      <c r="D4763" s="293">
        <v>96.96</v>
      </c>
      <c r="E4763" s="293">
        <v>96.96</v>
      </c>
      <c r="F4763" s="294" t="s">
        <v>298</v>
      </c>
    </row>
    <row r="4764" spans="1:6" hidden="1" outlineLevel="1" collapsed="1" x14ac:dyDescent="0.25">
      <c r="A4764" s="295" t="s">
        <v>282</v>
      </c>
      <c r="B4764" s="295" t="s">
        <v>398</v>
      </c>
      <c r="C4764" s="293">
        <v>0</v>
      </c>
      <c r="D4764" s="293">
        <v>22.08</v>
      </c>
      <c r="E4764" s="293">
        <v>22.08</v>
      </c>
      <c r="F4764" s="294" t="s">
        <v>298</v>
      </c>
    </row>
    <row r="4765" spans="1:6" hidden="1" outlineLevel="1" collapsed="1" x14ac:dyDescent="0.25">
      <c r="A4765" s="295" t="s">
        <v>282</v>
      </c>
      <c r="B4765" s="295" t="s">
        <v>376</v>
      </c>
      <c r="C4765" s="293">
        <v>0</v>
      </c>
      <c r="D4765" s="293">
        <v>6000</v>
      </c>
      <c r="E4765" s="293">
        <v>6000</v>
      </c>
      <c r="F4765" s="294" t="s">
        <v>298</v>
      </c>
    </row>
    <row r="4766" spans="1:6" hidden="1" outlineLevel="1" collapsed="1" x14ac:dyDescent="0.25">
      <c r="A4766" s="295" t="s">
        <v>282</v>
      </c>
      <c r="B4766" s="295" t="s">
        <v>1046</v>
      </c>
      <c r="C4766" s="293">
        <v>1034.76</v>
      </c>
      <c r="D4766" s="293">
        <v>5000</v>
      </c>
      <c r="E4766" s="293">
        <v>3965.24</v>
      </c>
      <c r="F4766" s="294" t="s">
        <v>1733</v>
      </c>
    </row>
    <row r="4767" spans="1:6" hidden="1" outlineLevel="1" collapsed="1" x14ac:dyDescent="0.25">
      <c r="A4767" s="295" t="s">
        <v>282</v>
      </c>
      <c r="B4767" s="295" t="s">
        <v>1067</v>
      </c>
      <c r="C4767" s="293">
        <v>0</v>
      </c>
      <c r="D4767" s="293">
        <v>13500</v>
      </c>
      <c r="E4767" s="293">
        <v>13500</v>
      </c>
      <c r="F4767" s="294" t="s">
        <v>298</v>
      </c>
    </row>
    <row r="4768" spans="1:6" hidden="1" outlineLevel="1" collapsed="1" x14ac:dyDescent="0.25">
      <c r="A4768" s="295" t="s">
        <v>282</v>
      </c>
      <c r="B4768" s="295" t="s">
        <v>567</v>
      </c>
      <c r="C4768" s="293">
        <v>20520</v>
      </c>
      <c r="D4768" s="293">
        <v>20000</v>
      </c>
      <c r="E4768" s="293">
        <v>-520</v>
      </c>
      <c r="F4768" s="294" t="s">
        <v>1734</v>
      </c>
    </row>
    <row r="4769" spans="1:6" hidden="1" outlineLevel="1" collapsed="1" x14ac:dyDescent="0.25">
      <c r="A4769" s="295" t="s">
        <v>282</v>
      </c>
      <c r="B4769" s="295" t="s">
        <v>952</v>
      </c>
      <c r="C4769" s="293">
        <v>0</v>
      </c>
      <c r="D4769" s="293">
        <v>1800</v>
      </c>
      <c r="E4769" s="293">
        <v>1800</v>
      </c>
      <c r="F4769" s="294" t="s">
        <v>298</v>
      </c>
    </row>
    <row r="4770" spans="1:6" hidden="1" outlineLevel="1" collapsed="1" x14ac:dyDescent="0.25">
      <c r="A4770" s="295" t="s">
        <v>282</v>
      </c>
      <c r="B4770" s="295" t="s">
        <v>482</v>
      </c>
      <c r="C4770" s="293">
        <v>0</v>
      </c>
      <c r="D4770" s="293">
        <v>600</v>
      </c>
      <c r="E4770" s="293">
        <v>600</v>
      </c>
      <c r="F4770" s="294" t="s">
        <v>298</v>
      </c>
    </row>
    <row r="4771" spans="1:6" hidden="1" outlineLevel="1" collapsed="1" x14ac:dyDescent="0.25">
      <c r="A4771" s="295" t="s">
        <v>282</v>
      </c>
      <c r="B4771" s="295" t="s">
        <v>597</v>
      </c>
      <c r="C4771" s="293">
        <v>0</v>
      </c>
      <c r="D4771" s="293">
        <v>500</v>
      </c>
      <c r="E4771" s="293">
        <v>500</v>
      </c>
      <c r="F4771" s="294" t="s">
        <v>298</v>
      </c>
    </row>
    <row r="4772" spans="1:6" hidden="1" outlineLevel="1" collapsed="1" x14ac:dyDescent="0.25">
      <c r="A4772" s="295" t="s">
        <v>282</v>
      </c>
      <c r="B4772" s="295" t="s">
        <v>604</v>
      </c>
      <c r="C4772" s="293">
        <v>0</v>
      </c>
      <c r="D4772" s="293">
        <v>1000</v>
      </c>
      <c r="E4772" s="293">
        <v>1000</v>
      </c>
      <c r="F4772" s="294" t="s">
        <v>298</v>
      </c>
    </row>
    <row r="4773" spans="1:6" hidden="1" outlineLevel="1" collapsed="1" x14ac:dyDescent="0.25">
      <c r="A4773" s="295" t="s">
        <v>282</v>
      </c>
      <c r="B4773" s="295" t="s">
        <v>483</v>
      </c>
      <c r="C4773" s="293">
        <v>0</v>
      </c>
      <c r="D4773" s="293">
        <v>1800</v>
      </c>
      <c r="E4773" s="293">
        <v>1800</v>
      </c>
      <c r="F4773" s="294" t="s">
        <v>298</v>
      </c>
    </row>
    <row r="4774" spans="1:6" hidden="1" outlineLevel="1" collapsed="1" x14ac:dyDescent="0.25">
      <c r="A4774" s="295" t="s">
        <v>282</v>
      </c>
      <c r="B4774" s="295" t="s">
        <v>1165</v>
      </c>
      <c r="C4774" s="293">
        <v>4200</v>
      </c>
      <c r="D4774" s="293">
        <v>5000</v>
      </c>
      <c r="E4774" s="293">
        <v>800</v>
      </c>
      <c r="F4774" s="294" t="s">
        <v>1735</v>
      </c>
    </row>
    <row r="4775" spans="1:6" hidden="1" outlineLevel="1" collapsed="1" x14ac:dyDescent="0.25">
      <c r="A4775" s="295" t="s">
        <v>282</v>
      </c>
      <c r="B4775" s="295" t="s">
        <v>1167</v>
      </c>
      <c r="C4775" s="293">
        <v>1200</v>
      </c>
      <c r="D4775" s="293">
        <v>1200</v>
      </c>
      <c r="E4775" s="293">
        <v>0</v>
      </c>
      <c r="F4775" s="294" t="s">
        <v>316</v>
      </c>
    </row>
    <row r="4776" spans="1:6" hidden="1" outlineLevel="1" collapsed="1" x14ac:dyDescent="0.25">
      <c r="A4776" s="295" t="s">
        <v>282</v>
      </c>
      <c r="B4776" s="295" t="s">
        <v>884</v>
      </c>
      <c r="C4776" s="293">
        <v>19710</v>
      </c>
      <c r="D4776" s="293">
        <v>57000</v>
      </c>
      <c r="E4776" s="293">
        <v>37290</v>
      </c>
      <c r="F4776" s="294" t="s">
        <v>1736</v>
      </c>
    </row>
    <row r="4777" spans="1:6" hidden="1" outlineLevel="1" collapsed="1" x14ac:dyDescent="0.25">
      <c r="A4777" s="295" t="s">
        <v>282</v>
      </c>
      <c r="B4777" s="295" t="s">
        <v>1172</v>
      </c>
      <c r="C4777" s="293">
        <v>20900</v>
      </c>
      <c r="D4777" s="293">
        <v>17500</v>
      </c>
      <c r="E4777" s="293">
        <v>-3400</v>
      </c>
      <c r="F4777" s="294" t="s">
        <v>1737</v>
      </c>
    </row>
    <row r="4778" spans="1:6" hidden="1" outlineLevel="1" collapsed="1" x14ac:dyDescent="0.25">
      <c r="A4778" s="295" t="s">
        <v>282</v>
      </c>
      <c r="B4778" s="295" t="s">
        <v>403</v>
      </c>
      <c r="C4778" s="293">
        <v>37485</v>
      </c>
      <c r="D4778" s="293">
        <v>41000</v>
      </c>
      <c r="E4778" s="293">
        <v>3515</v>
      </c>
      <c r="F4778" s="294" t="s">
        <v>1738</v>
      </c>
    </row>
    <row r="4779" spans="1:6" hidden="1" outlineLevel="1" collapsed="1" x14ac:dyDescent="0.25">
      <c r="A4779" s="295" t="s">
        <v>282</v>
      </c>
      <c r="B4779" s="295" t="s">
        <v>405</v>
      </c>
      <c r="C4779" s="293">
        <v>0</v>
      </c>
      <c r="D4779" s="293">
        <v>0</v>
      </c>
      <c r="E4779" s="293">
        <v>0</v>
      </c>
      <c r="F4779" s="294" t="s">
        <v>316</v>
      </c>
    </row>
    <row r="4780" spans="1:6" collapsed="1" x14ac:dyDescent="0.25">
      <c r="A4780" s="560" t="s">
        <v>1739</v>
      </c>
      <c r="B4780" s="561"/>
      <c r="C4780" s="292">
        <v>733752.5</v>
      </c>
      <c r="D4780" s="293">
        <v>463093</v>
      </c>
      <c r="E4780" s="293">
        <v>-270659.5</v>
      </c>
      <c r="F4780" s="294" t="s">
        <v>1740</v>
      </c>
    </row>
    <row r="4781" spans="1:6" hidden="1" outlineLevel="1" collapsed="1" x14ac:dyDescent="0.25">
      <c r="A4781" s="295" t="s">
        <v>282</v>
      </c>
      <c r="B4781" s="295" t="s">
        <v>567</v>
      </c>
      <c r="C4781" s="293">
        <v>596059.5</v>
      </c>
      <c r="D4781" s="293">
        <v>310500</v>
      </c>
      <c r="E4781" s="293">
        <v>-285559.5</v>
      </c>
      <c r="F4781" s="294" t="s">
        <v>1741</v>
      </c>
    </row>
    <row r="4782" spans="1:6" hidden="1" outlineLevel="1" collapsed="1" x14ac:dyDescent="0.25">
      <c r="A4782" s="295" t="s">
        <v>282</v>
      </c>
      <c r="B4782" s="295" t="s">
        <v>1087</v>
      </c>
      <c r="C4782" s="293">
        <v>4500</v>
      </c>
      <c r="D4782" s="293">
        <v>5000</v>
      </c>
      <c r="E4782" s="293">
        <v>500</v>
      </c>
      <c r="F4782" s="294" t="s">
        <v>610</v>
      </c>
    </row>
    <row r="4783" spans="1:6" hidden="1" outlineLevel="1" collapsed="1" x14ac:dyDescent="0.25">
      <c r="A4783" s="295" t="s">
        <v>282</v>
      </c>
      <c r="B4783" s="295" t="s">
        <v>1090</v>
      </c>
      <c r="C4783" s="293">
        <v>85500</v>
      </c>
      <c r="D4783" s="293">
        <v>87000</v>
      </c>
      <c r="E4783" s="293">
        <v>1500</v>
      </c>
      <c r="F4783" s="294" t="s">
        <v>1742</v>
      </c>
    </row>
    <row r="4784" spans="1:6" hidden="1" outlineLevel="1" collapsed="1" x14ac:dyDescent="0.25">
      <c r="A4784" s="295" t="s">
        <v>282</v>
      </c>
      <c r="B4784" s="295" t="s">
        <v>1083</v>
      </c>
      <c r="C4784" s="293">
        <v>18000</v>
      </c>
      <c r="D4784" s="293">
        <v>18000</v>
      </c>
      <c r="E4784" s="293">
        <v>0</v>
      </c>
      <c r="F4784" s="294" t="s">
        <v>316</v>
      </c>
    </row>
    <row r="4785" spans="1:6" hidden="1" outlineLevel="1" collapsed="1" x14ac:dyDescent="0.25">
      <c r="A4785" s="295" t="s">
        <v>282</v>
      </c>
      <c r="B4785" s="295" t="s">
        <v>1163</v>
      </c>
      <c r="C4785" s="293">
        <v>0</v>
      </c>
      <c r="D4785" s="293">
        <v>10000</v>
      </c>
      <c r="E4785" s="293">
        <v>10000</v>
      </c>
      <c r="F4785" s="294" t="s">
        <v>298</v>
      </c>
    </row>
    <row r="4786" spans="1:6" hidden="1" outlineLevel="1" collapsed="1" x14ac:dyDescent="0.25">
      <c r="A4786" s="295" t="s">
        <v>282</v>
      </c>
      <c r="B4786" s="295" t="s">
        <v>843</v>
      </c>
      <c r="C4786" s="293">
        <v>27100</v>
      </c>
      <c r="D4786" s="293">
        <v>30000</v>
      </c>
      <c r="E4786" s="293">
        <v>2900</v>
      </c>
      <c r="F4786" s="294" t="s">
        <v>1743</v>
      </c>
    </row>
    <row r="4787" spans="1:6" hidden="1" outlineLevel="1" collapsed="1" x14ac:dyDescent="0.25">
      <c r="A4787" s="295" t="s">
        <v>282</v>
      </c>
      <c r="B4787" s="295" t="s">
        <v>448</v>
      </c>
      <c r="C4787" s="293">
        <v>2593</v>
      </c>
      <c r="D4787" s="293">
        <v>2593</v>
      </c>
      <c r="E4787" s="293">
        <v>0</v>
      </c>
      <c r="F4787" s="294" t="s">
        <v>316</v>
      </c>
    </row>
    <row r="4788" spans="1:6" collapsed="1" x14ac:dyDescent="0.25">
      <c r="A4788" s="560" t="s">
        <v>1744</v>
      </c>
      <c r="B4788" s="561"/>
      <c r="C4788" s="292">
        <v>864816.991866</v>
      </c>
      <c r="D4788" s="293">
        <v>777114.16554399999</v>
      </c>
      <c r="E4788" s="293">
        <v>-87702.826321999994</v>
      </c>
      <c r="F4788" s="294" t="s">
        <v>1745</v>
      </c>
    </row>
    <row r="4789" spans="1:6" hidden="1" outlineLevel="1" collapsed="1" x14ac:dyDescent="0.25">
      <c r="A4789" s="295" t="s">
        <v>282</v>
      </c>
      <c r="B4789" s="295" t="s">
        <v>1096</v>
      </c>
      <c r="C4789" s="293">
        <v>239999.999988</v>
      </c>
      <c r="D4789" s="293">
        <v>239999.999988</v>
      </c>
      <c r="E4789" s="293">
        <v>0</v>
      </c>
      <c r="F4789" s="294" t="s">
        <v>316</v>
      </c>
    </row>
    <row r="4790" spans="1:6" hidden="1" outlineLevel="1" collapsed="1" x14ac:dyDescent="0.25">
      <c r="A4790" s="295" t="s">
        <v>282</v>
      </c>
      <c r="B4790" s="295" t="s">
        <v>1097</v>
      </c>
      <c r="C4790" s="293">
        <v>88819.316550000003</v>
      </c>
      <c r="D4790" s="293">
        <v>93668.117916000003</v>
      </c>
      <c r="E4790" s="293">
        <v>4848.8013659999997</v>
      </c>
      <c r="F4790" s="294" t="s">
        <v>1746</v>
      </c>
    </row>
    <row r="4791" spans="1:6" hidden="1" outlineLevel="1" collapsed="1" x14ac:dyDescent="0.25">
      <c r="A4791" s="295" t="s">
        <v>282</v>
      </c>
      <c r="B4791" s="295" t="s">
        <v>384</v>
      </c>
      <c r="C4791" s="293">
        <v>41365.470003000002</v>
      </c>
      <c r="D4791" s="293">
        <v>0</v>
      </c>
      <c r="E4791" s="293">
        <v>-41365.470003000002</v>
      </c>
      <c r="F4791" s="294" t="s">
        <v>286</v>
      </c>
    </row>
    <row r="4792" spans="1:6" hidden="1" outlineLevel="1" collapsed="1" x14ac:dyDescent="0.25">
      <c r="A4792" s="295" t="s">
        <v>282</v>
      </c>
      <c r="B4792" s="295" t="s">
        <v>385</v>
      </c>
      <c r="C4792" s="293">
        <v>0</v>
      </c>
      <c r="D4792" s="293">
        <v>52719.562608</v>
      </c>
      <c r="E4792" s="293">
        <v>52719.562608</v>
      </c>
      <c r="F4792" s="294" t="s">
        <v>298</v>
      </c>
    </row>
    <row r="4793" spans="1:6" hidden="1" outlineLevel="1" collapsed="1" x14ac:dyDescent="0.25">
      <c r="A4793" s="295" t="s">
        <v>282</v>
      </c>
      <c r="B4793" s="295" t="s">
        <v>386</v>
      </c>
      <c r="C4793" s="293">
        <v>5543.9976210000004</v>
      </c>
      <c r="D4793" s="293">
        <v>0</v>
      </c>
      <c r="E4793" s="293">
        <v>-5543.9976210000004</v>
      </c>
      <c r="F4793" s="294" t="s">
        <v>286</v>
      </c>
    </row>
    <row r="4794" spans="1:6" hidden="1" outlineLevel="1" collapsed="1" x14ac:dyDescent="0.25">
      <c r="A4794" s="295" t="s">
        <v>282</v>
      </c>
      <c r="B4794" s="295" t="s">
        <v>387</v>
      </c>
      <c r="C4794" s="293">
        <v>0</v>
      </c>
      <c r="D4794" s="293">
        <v>5844.6233039999997</v>
      </c>
      <c r="E4794" s="293">
        <v>5844.6233039999997</v>
      </c>
      <c r="F4794" s="294" t="s">
        <v>298</v>
      </c>
    </row>
    <row r="4795" spans="1:6" hidden="1" outlineLevel="1" collapsed="1" x14ac:dyDescent="0.25">
      <c r="A4795" s="295" t="s">
        <v>282</v>
      </c>
      <c r="B4795" s="295" t="s">
        <v>753</v>
      </c>
      <c r="C4795" s="293">
        <v>16442.399988000001</v>
      </c>
      <c r="D4795" s="293">
        <v>16442.399988000001</v>
      </c>
      <c r="E4795" s="293">
        <v>0</v>
      </c>
      <c r="F4795" s="294" t="s">
        <v>316</v>
      </c>
    </row>
    <row r="4796" spans="1:6" hidden="1" outlineLevel="1" collapsed="1" x14ac:dyDescent="0.25">
      <c r="A4796" s="295" t="s">
        <v>282</v>
      </c>
      <c r="B4796" s="295" t="s">
        <v>388</v>
      </c>
      <c r="C4796" s="293">
        <v>5141.9800740000001</v>
      </c>
      <c r="D4796" s="293">
        <v>5212.2876960000003</v>
      </c>
      <c r="E4796" s="293">
        <v>70.307621999999995</v>
      </c>
      <c r="F4796" s="294" t="s">
        <v>1747</v>
      </c>
    </row>
    <row r="4797" spans="1:6" hidden="1" outlineLevel="1" collapsed="1" x14ac:dyDescent="0.25">
      <c r="A4797" s="295" t="s">
        <v>282</v>
      </c>
      <c r="B4797" s="295" t="s">
        <v>389</v>
      </c>
      <c r="C4797" s="293">
        <v>426.12479999999999</v>
      </c>
      <c r="D4797" s="293">
        <v>422.04</v>
      </c>
      <c r="E4797" s="293">
        <v>-4.0848000000000004</v>
      </c>
      <c r="F4797" s="294" t="s">
        <v>364</v>
      </c>
    </row>
    <row r="4798" spans="1:6" hidden="1" outlineLevel="1" collapsed="1" x14ac:dyDescent="0.25">
      <c r="A4798" s="295" t="s">
        <v>282</v>
      </c>
      <c r="B4798" s="295" t="s">
        <v>390</v>
      </c>
      <c r="C4798" s="293">
        <v>15485.27</v>
      </c>
      <c r="D4798" s="293">
        <v>15959.28</v>
      </c>
      <c r="E4798" s="293">
        <v>474.01</v>
      </c>
      <c r="F4798" s="294" t="s">
        <v>391</v>
      </c>
    </row>
    <row r="4799" spans="1:6" hidden="1" outlineLevel="1" collapsed="1" x14ac:dyDescent="0.25">
      <c r="A4799" s="295" t="s">
        <v>282</v>
      </c>
      <c r="B4799" s="295" t="s">
        <v>392</v>
      </c>
      <c r="C4799" s="293">
        <v>233.53919999999999</v>
      </c>
      <c r="D4799" s="293">
        <v>182.88</v>
      </c>
      <c r="E4799" s="293">
        <v>-50.659199999999998</v>
      </c>
      <c r="F4799" s="294" t="s">
        <v>368</v>
      </c>
    </row>
    <row r="4800" spans="1:6" hidden="1" outlineLevel="1" collapsed="1" x14ac:dyDescent="0.25">
      <c r="A4800" s="295" t="s">
        <v>282</v>
      </c>
      <c r="B4800" s="295" t="s">
        <v>754</v>
      </c>
      <c r="C4800" s="293">
        <v>15358.56</v>
      </c>
      <c r="D4800" s="293">
        <v>15959.28</v>
      </c>
      <c r="E4800" s="293">
        <v>600.72</v>
      </c>
      <c r="F4800" s="294" t="s">
        <v>366</v>
      </c>
    </row>
    <row r="4801" spans="1:6" hidden="1" outlineLevel="1" collapsed="1" x14ac:dyDescent="0.25">
      <c r="A4801" s="295" t="s">
        <v>282</v>
      </c>
      <c r="B4801" s="295" t="s">
        <v>755</v>
      </c>
      <c r="C4801" s="293">
        <v>426.12479999999999</v>
      </c>
      <c r="D4801" s="293">
        <v>422.04</v>
      </c>
      <c r="E4801" s="293">
        <v>-4.0848000000000004</v>
      </c>
      <c r="F4801" s="294" t="s">
        <v>364</v>
      </c>
    </row>
    <row r="4802" spans="1:6" hidden="1" outlineLevel="1" collapsed="1" x14ac:dyDescent="0.25">
      <c r="A4802" s="295" t="s">
        <v>282</v>
      </c>
      <c r="B4802" s="295" t="s">
        <v>756</v>
      </c>
      <c r="C4802" s="293">
        <v>233.53919999999999</v>
      </c>
      <c r="D4802" s="293">
        <v>182.88</v>
      </c>
      <c r="E4802" s="293">
        <v>-50.659199999999998</v>
      </c>
      <c r="F4802" s="294" t="s">
        <v>368</v>
      </c>
    </row>
    <row r="4803" spans="1:6" hidden="1" outlineLevel="1" collapsed="1" x14ac:dyDescent="0.25">
      <c r="A4803" s="295" t="s">
        <v>282</v>
      </c>
      <c r="B4803" s="295" t="s">
        <v>393</v>
      </c>
      <c r="C4803" s="293">
        <v>44.709654</v>
      </c>
      <c r="D4803" s="293">
        <v>47.134056000000001</v>
      </c>
      <c r="E4803" s="293">
        <v>2.4244020000000002</v>
      </c>
      <c r="F4803" s="294" t="s">
        <v>1748</v>
      </c>
    </row>
    <row r="4804" spans="1:6" hidden="1" outlineLevel="1" collapsed="1" x14ac:dyDescent="0.25">
      <c r="A4804" s="295" t="s">
        <v>282</v>
      </c>
      <c r="B4804" s="295" t="s">
        <v>757</v>
      </c>
      <c r="C4804" s="293">
        <v>132.599988</v>
      </c>
      <c r="D4804" s="293">
        <v>0</v>
      </c>
      <c r="E4804" s="293">
        <v>-132.599988</v>
      </c>
      <c r="F4804" s="294" t="s">
        <v>286</v>
      </c>
    </row>
    <row r="4805" spans="1:6" hidden="1" outlineLevel="1" collapsed="1" x14ac:dyDescent="0.25">
      <c r="A4805" s="295" t="s">
        <v>282</v>
      </c>
      <c r="B4805" s="295" t="s">
        <v>758</v>
      </c>
      <c r="C4805" s="293">
        <v>0</v>
      </c>
      <c r="D4805" s="293">
        <v>132.599988</v>
      </c>
      <c r="E4805" s="293">
        <v>132.599988</v>
      </c>
      <c r="F4805" s="294" t="s">
        <v>298</v>
      </c>
    </row>
    <row r="4806" spans="1:6" hidden="1" outlineLevel="1" collapsed="1" x14ac:dyDescent="0.25">
      <c r="A4806" s="295" t="s">
        <v>282</v>
      </c>
      <c r="B4806" s="295" t="s">
        <v>394</v>
      </c>
      <c r="C4806" s="293">
        <v>1500</v>
      </c>
      <c r="D4806" s="293">
        <v>0</v>
      </c>
      <c r="E4806" s="293">
        <v>-1500</v>
      </c>
      <c r="F4806" s="294" t="s">
        <v>286</v>
      </c>
    </row>
    <row r="4807" spans="1:6" hidden="1" outlineLevel="1" collapsed="1" x14ac:dyDescent="0.25">
      <c r="A4807" s="295" t="s">
        <v>282</v>
      </c>
      <c r="B4807" s="295" t="s">
        <v>395</v>
      </c>
      <c r="C4807" s="293">
        <v>0</v>
      </c>
      <c r="D4807" s="293">
        <v>1500</v>
      </c>
      <c r="E4807" s="293">
        <v>1500</v>
      </c>
      <c r="F4807" s="294" t="s">
        <v>298</v>
      </c>
    </row>
    <row r="4808" spans="1:6" hidden="1" outlineLevel="1" collapsed="1" x14ac:dyDescent="0.25">
      <c r="A4808" s="295" t="s">
        <v>282</v>
      </c>
      <c r="B4808" s="295" t="s">
        <v>759</v>
      </c>
      <c r="C4808" s="293">
        <v>1500</v>
      </c>
      <c r="D4808" s="293">
        <v>0</v>
      </c>
      <c r="E4808" s="293">
        <v>-1500</v>
      </c>
      <c r="F4808" s="294" t="s">
        <v>286</v>
      </c>
    </row>
    <row r="4809" spans="1:6" hidden="1" outlineLevel="1" collapsed="1" x14ac:dyDescent="0.25">
      <c r="A4809" s="295" t="s">
        <v>282</v>
      </c>
      <c r="B4809" s="295" t="s">
        <v>760</v>
      </c>
      <c r="C4809" s="293">
        <v>0</v>
      </c>
      <c r="D4809" s="293">
        <v>1500</v>
      </c>
      <c r="E4809" s="293">
        <v>1500</v>
      </c>
      <c r="F4809" s="294" t="s">
        <v>298</v>
      </c>
    </row>
    <row r="4810" spans="1:6" hidden="1" outlineLevel="1" collapsed="1" x14ac:dyDescent="0.25">
      <c r="A4810" s="295" t="s">
        <v>282</v>
      </c>
      <c r="B4810" s="295" t="s">
        <v>396</v>
      </c>
      <c r="C4810" s="293">
        <v>49.68</v>
      </c>
      <c r="D4810" s="293">
        <v>0</v>
      </c>
      <c r="E4810" s="293">
        <v>-49.68</v>
      </c>
      <c r="F4810" s="294" t="s">
        <v>286</v>
      </c>
    </row>
    <row r="4811" spans="1:6" hidden="1" outlineLevel="1" collapsed="1" x14ac:dyDescent="0.25">
      <c r="A4811" s="295" t="s">
        <v>282</v>
      </c>
      <c r="B4811" s="295" t="s">
        <v>397</v>
      </c>
      <c r="C4811" s="293">
        <v>0</v>
      </c>
      <c r="D4811" s="293">
        <v>48.48</v>
      </c>
      <c r="E4811" s="293">
        <v>48.48</v>
      </c>
      <c r="F4811" s="294" t="s">
        <v>298</v>
      </c>
    </row>
    <row r="4812" spans="1:6" hidden="1" outlineLevel="1" collapsed="1" x14ac:dyDescent="0.25">
      <c r="A4812" s="295" t="s">
        <v>282</v>
      </c>
      <c r="B4812" s="295" t="s">
        <v>761</v>
      </c>
      <c r="C4812" s="293">
        <v>49.68</v>
      </c>
      <c r="D4812" s="293">
        <v>0</v>
      </c>
      <c r="E4812" s="293">
        <v>-49.68</v>
      </c>
      <c r="F4812" s="294" t="s">
        <v>286</v>
      </c>
    </row>
    <row r="4813" spans="1:6" hidden="1" outlineLevel="1" collapsed="1" x14ac:dyDescent="0.25">
      <c r="A4813" s="295" t="s">
        <v>282</v>
      </c>
      <c r="B4813" s="295" t="s">
        <v>762</v>
      </c>
      <c r="C4813" s="293">
        <v>0</v>
      </c>
      <c r="D4813" s="293">
        <v>48.48</v>
      </c>
      <c r="E4813" s="293">
        <v>48.48</v>
      </c>
      <c r="F4813" s="294" t="s">
        <v>298</v>
      </c>
    </row>
    <row r="4814" spans="1:6" hidden="1" outlineLevel="1" collapsed="1" x14ac:dyDescent="0.25">
      <c r="A4814" s="295" t="s">
        <v>282</v>
      </c>
      <c r="B4814" s="295" t="s">
        <v>398</v>
      </c>
      <c r="C4814" s="293">
        <v>24</v>
      </c>
      <c r="D4814" s="293">
        <v>11.04</v>
      </c>
      <c r="E4814" s="293">
        <v>-12.96</v>
      </c>
      <c r="F4814" s="294" t="s">
        <v>374</v>
      </c>
    </row>
    <row r="4815" spans="1:6" hidden="1" outlineLevel="1" collapsed="1" x14ac:dyDescent="0.25">
      <c r="A4815" s="295" t="s">
        <v>282</v>
      </c>
      <c r="B4815" s="295" t="s">
        <v>763</v>
      </c>
      <c r="C4815" s="293">
        <v>24</v>
      </c>
      <c r="D4815" s="293">
        <v>11.04</v>
      </c>
      <c r="E4815" s="293">
        <v>-12.96</v>
      </c>
      <c r="F4815" s="294" t="s">
        <v>374</v>
      </c>
    </row>
    <row r="4816" spans="1:6" hidden="1" outlineLevel="1" collapsed="1" x14ac:dyDescent="0.25">
      <c r="A4816" s="295" t="s">
        <v>282</v>
      </c>
      <c r="B4816" s="295" t="s">
        <v>1749</v>
      </c>
      <c r="C4816" s="293">
        <v>1000</v>
      </c>
      <c r="D4816" s="293">
        <v>0</v>
      </c>
      <c r="E4816" s="293">
        <v>-1000</v>
      </c>
      <c r="F4816" s="294" t="s">
        <v>286</v>
      </c>
    </row>
    <row r="4817" spans="1:6" hidden="1" outlineLevel="1" collapsed="1" x14ac:dyDescent="0.25">
      <c r="A4817" s="295" t="s">
        <v>282</v>
      </c>
      <c r="B4817" s="295" t="s">
        <v>523</v>
      </c>
      <c r="C4817" s="293">
        <v>1545</v>
      </c>
      <c r="D4817" s="293">
        <v>1600</v>
      </c>
      <c r="E4817" s="293">
        <v>55</v>
      </c>
      <c r="F4817" s="294" t="s">
        <v>1750</v>
      </c>
    </row>
    <row r="4818" spans="1:6" hidden="1" outlineLevel="1" collapsed="1" x14ac:dyDescent="0.25">
      <c r="A4818" s="295" t="s">
        <v>282</v>
      </c>
      <c r="B4818" s="295" t="s">
        <v>399</v>
      </c>
      <c r="C4818" s="293">
        <v>1500</v>
      </c>
      <c r="D4818" s="293">
        <v>1500</v>
      </c>
      <c r="E4818" s="293">
        <v>0</v>
      </c>
      <c r="F4818" s="294" t="s">
        <v>316</v>
      </c>
    </row>
    <row r="4819" spans="1:6" hidden="1" outlineLevel="1" collapsed="1" x14ac:dyDescent="0.25">
      <c r="A4819" s="295" t="s">
        <v>282</v>
      </c>
      <c r="B4819" s="295" t="s">
        <v>376</v>
      </c>
      <c r="C4819" s="293">
        <v>4950</v>
      </c>
      <c r="D4819" s="293">
        <v>5500</v>
      </c>
      <c r="E4819" s="293">
        <v>550</v>
      </c>
      <c r="F4819" s="294" t="s">
        <v>610</v>
      </c>
    </row>
    <row r="4820" spans="1:6" hidden="1" outlineLevel="1" collapsed="1" x14ac:dyDescent="0.25">
      <c r="A4820" s="295" t="s">
        <v>282</v>
      </c>
      <c r="B4820" s="295" t="s">
        <v>506</v>
      </c>
      <c r="C4820" s="293">
        <v>0</v>
      </c>
      <c r="D4820" s="293">
        <v>10000</v>
      </c>
      <c r="E4820" s="293">
        <v>10000</v>
      </c>
      <c r="F4820" s="294" t="s">
        <v>298</v>
      </c>
    </row>
    <row r="4821" spans="1:6" hidden="1" outlineLevel="1" collapsed="1" x14ac:dyDescent="0.25">
      <c r="A4821" s="295" t="s">
        <v>282</v>
      </c>
      <c r="B4821" s="295" t="s">
        <v>567</v>
      </c>
      <c r="C4821" s="293">
        <v>64062</v>
      </c>
      <c r="D4821" s="293">
        <v>50000</v>
      </c>
      <c r="E4821" s="293">
        <v>-14062</v>
      </c>
      <c r="F4821" s="294" t="s">
        <v>1751</v>
      </c>
    </row>
    <row r="4822" spans="1:6" hidden="1" outlineLevel="1" collapsed="1" x14ac:dyDescent="0.25">
      <c r="A4822" s="295" t="s">
        <v>282</v>
      </c>
      <c r="B4822" s="295" t="s">
        <v>426</v>
      </c>
      <c r="C4822" s="293">
        <v>26400</v>
      </c>
      <c r="D4822" s="293">
        <v>26400</v>
      </c>
      <c r="E4822" s="293">
        <v>0</v>
      </c>
      <c r="F4822" s="294" t="s">
        <v>316</v>
      </c>
    </row>
    <row r="4823" spans="1:6" hidden="1" outlineLevel="1" collapsed="1" x14ac:dyDescent="0.25">
      <c r="A4823" s="295" t="s">
        <v>282</v>
      </c>
      <c r="B4823" s="295" t="s">
        <v>1103</v>
      </c>
      <c r="C4823" s="293">
        <v>24000</v>
      </c>
      <c r="D4823" s="293">
        <v>24000</v>
      </c>
      <c r="E4823" s="293">
        <v>0</v>
      </c>
      <c r="F4823" s="294" t="s">
        <v>316</v>
      </c>
    </row>
    <row r="4824" spans="1:6" hidden="1" outlineLevel="1" collapsed="1" x14ac:dyDescent="0.25">
      <c r="A4824" s="295" t="s">
        <v>282</v>
      </c>
      <c r="B4824" s="295" t="s">
        <v>707</v>
      </c>
      <c r="C4824" s="293">
        <v>1200</v>
      </c>
      <c r="D4824" s="293">
        <v>1200</v>
      </c>
      <c r="E4824" s="293">
        <v>0</v>
      </c>
      <c r="F4824" s="294" t="s">
        <v>316</v>
      </c>
    </row>
    <row r="4825" spans="1:6" hidden="1" outlineLevel="1" collapsed="1" x14ac:dyDescent="0.25">
      <c r="A4825" s="295" t="s">
        <v>282</v>
      </c>
      <c r="B4825" s="295" t="s">
        <v>952</v>
      </c>
      <c r="C4825" s="293">
        <v>600</v>
      </c>
      <c r="D4825" s="293">
        <v>600</v>
      </c>
      <c r="E4825" s="293">
        <v>0</v>
      </c>
      <c r="F4825" s="294" t="s">
        <v>316</v>
      </c>
    </row>
    <row r="4826" spans="1:6" hidden="1" outlineLevel="1" collapsed="1" x14ac:dyDescent="0.25">
      <c r="A4826" s="295" t="s">
        <v>282</v>
      </c>
      <c r="B4826" s="295" t="s">
        <v>482</v>
      </c>
      <c r="C4826" s="293">
        <v>400</v>
      </c>
      <c r="D4826" s="293">
        <v>500</v>
      </c>
      <c r="E4826" s="293">
        <v>100</v>
      </c>
      <c r="F4826" s="294" t="s">
        <v>1552</v>
      </c>
    </row>
    <row r="4827" spans="1:6" hidden="1" outlineLevel="1" collapsed="1" x14ac:dyDescent="0.25">
      <c r="A4827" s="295" t="s">
        <v>282</v>
      </c>
      <c r="B4827" s="295" t="s">
        <v>597</v>
      </c>
      <c r="C4827" s="293">
        <v>33099</v>
      </c>
      <c r="D4827" s="293">
        <v>33000</v>
      </c>
      <c r="E4827" s="293">
        <v>-99</v>
      </c>
      <c r="F4827" s="294" t="s">
        <v>1652</v>
      </c>
    </row>
    <row r="4828" spans="1:6" hidden="1" outlineLevel="1" collapsed="1" x14ac:dyDescent="0.25">
      <c r="A4828" s="295" t="s">
        <v>282</v>
      </c>
      <c r="B4828" s="295" t="s">
        <v>842</v>
      </c>
      <c r="C4828" s="293">
        <v>100</v>
      </c>
      <c r="D4828" s="293">
        <v>0</v>
      </c>
      <c r="E4828" s="293">
        <v>-100</v>
      </c>
      <c r="F4828" s="294" t="s">
        <v>286</v>
      </c>
    </row>
    <row r="4829" spans="1:6" hidden="1" outlineLevel="1" collapsed="1" x14ac:dyDescent="0.25">
      <c r="A4829" s="295" t="s">
        <v>282</v>
      </c>
      <c r="B4829" s="295" t="s">
        <v>483</v>
      </c>
      <c r="C4829" s="293">
        <v>300</v>
      </c>
      <c r="D4829" s="293">
        <v>300</v>
      </c>
      <c r="E4829" s="293">
        <v>0</v>
      </c>
      <c r="F4829" s="294" t="s">
        <v>316</v>
      </c>
    </row>
    <row r="4830" spans="1:6" hidden="1" outlineLevel="1" collapsed="1" x14ac:dyDescent="0.25">
      <c r="A4830" s="295" t="s">
        <v>282</v>
      </c>
      <c r="B4830" s="295" t="s">
        <v>416</v>
      </c>
      <c r="C4830" s="293">
        <v>2300</v>
      </c>
      <c r="D4830" s="293">
        <v>2500</v>
      </c>
      <c r="E4830" s="293">
        <v>200</v>
      </c>
      <c r="F4830" s="294" t="s">
        <v>1752</v>
      </c>
    </row>
    <row r="4831" spans="1:6" hidden="1" outlineLevel="1" collapsed="1" x14ac:dyDescent="0.25">
      <c r="A4831" s="295" t="s">
        <v>282</v>
      </c>
      <c r="B4831" s="295" t="s">
        <v>448</v>
      </c>
      <c r="C4831" s="293">
        <v>1360</v>
      </c>
      <c r="D4831" s="293">
        <v>500</v>
      </c>
      <c r="E4831" s="293">
        <v>-860</v>
      </c>
      <c r="F4831" s="294" t="s">
        <v>1753</v>
      </c>
    </row>
    <row r="4832" spans="1:6" hidden="1" outlineLevel="1" collapsed="1" x14ac:dyDescent="0.25">
      <c r="A4832" s="295" t="s">
        <v>282</v>
      </c>
      <c r="B4832" s="295" t="s">
        <v>404</v>
      </c>
      <c r="C4832" s="293">
        <v>260000</v>
      </c>
      <c r="D4832" s="293">
        <v>160000</v>
      </c>
      <c r="E4832" s="293">
        <v>-100000</v>
      </c>
      <c r="F4832" s="294" t="s">
        <v>1754</v>
      </c>
    </row>
    <row r="4833" spans="1:6" hidden="1" outlineLevel="1" collapsed="1" x14ac:dyDescent="0.25">
      <c r="A4833" s="295" t="s">
        <v>282</v>
      </c>
      <c r="B4833" s="295" t="s">
        <v>557</v>
      </c>
      <c r="C4833" s="293">
        <v>3200</v>
      </c>
      <c r="D4833" s="293">
        <v>3200</v>
      </c>
      <c r="E4833" s="293">
        <v>0</v>
      </c>
      <c r="F4833" s="294" t="s">
        <v>316</v>
      </c>
    </row>
    <row r="4834" spans="1:6" hidden="1" outlineLevel="1" collapsed="1" x14ac:dyDescent="0.25">
      <c r="A4834" s="295" t="s">
        <v>282</v>
      </c>
      <c r="B4834" s="295" t="s">
        <v>770</v>
      </c>
      <c r="C4834" s="293">
        <v>6000</v>
      </c>
      <c r="D4834" s="293">
        <v>6000</v>
      </c>
      <c r="E4834" s="293">
        <v>0</v>
      </c>
      <c r="F4834" s="294" t="s">
        <v>316</v>
      </c>
    </row>
    <row r="4835" spans="1:6" collapsed="1" x14ac:dyDescent="0.25">
      <c r="A4835" s="560" t="s">
        <v>1755</v>
      </c>
      <c r="B4835" s="561"/>
      <c r="C4835" s="292">
        <v>118411.664737</v>
      </c>
      <c r="D4835" s="293">
        <v>200658.941208</v>
      </c>
      <c r="E4835" s="293">
        <v>82247.276471000005</v>
      </c>
      <c r="F4835" s="294" t="s">
        <v>1756</v>
      </c>
    </row>
    <row r="4836" spans="1:6" hidden="1" outlineLevel="1" collapsed="1" x14ac:dyDescent="0.25">
      <c r="A4836" s="295" t="s">
        <v>282</v>
      </c>
      <c r="B4836" s="295" t="s">
        <v>942</v>
      </c>
      <c r="C4836" s="293">
        <v>73424.864277000001</v>
      </c>
      <c r="D4836" s="293">
        <v>142700.583996</v>
      </c>
      <c r="E4836" s="293">
        <v>69275.719719000001</v>
      </c>
      <c r="F4836" s="294" t="s">
        <v>1757</v>
      </c>
    </row>
    <row r="4837" spans="1:6" hidden="1" outlineLevel="1" collapsed="1" x14ac:dyDescent="0.25">
      <c r="A4837" s="295" t="s">
        <v>282</v>
      </c>
      <c r="B4837" s="295" t="s">
        <v>935</v>
      </c>
      <c r="C4837" s="293">
        <v>5000</v>
      </c>
      <c r="D4837" s="293">
        <v>0</v>
      </c>
      <c r="E4837" s="293">
        <v>-5000</v>
      </c>
      <c r="F4837" s="294" t="s">
        <v>286</v>
      </c>
    </row>
    <row r="4838" spans="1:6" hidden="1" outlineLevel="1" collapsed="1" x14ac:dyDescent="0.25">
      <c r="A4838" s="295" t="s">
        <v>282</v>
      </c>
      <c r="B4838" s="295" t="s">
        <v>384</v>
      </c>
      <c r="C4838" s="293">
        <v>12633.447924</v>
      </c>
      <c r="D4838" s="293">
        <v>0</v>
      </c>
      <c r="E4838" s="293">
        <v>-12633.447924</v>
      </c>
      <c r="F4838" s="294" t="s">
        <v>286</v>
      </c>
    </row>
    <row r="4839" spans="1:6" hidden="1" outlineLevel="1" collapsed="1" x14ac:dyDescent="0.25">
      <c r="A4839" s="295" t="s">
        <v>282</v>
      </c>
      <c r="B4839" s="295" t="s">
        <v>385</v>
      </c>
      <c r="C4839" s="293">
        <v>0</v>
      </c>
      <c r="D4839" s="293">
        <v>22546.692264000001</v>
      </c>
      <c r="E4839" s="293">
        <v>22546.692264000001</v>
      </c>
      <c r="F4839" s="294" t="s">
        <v>298</v>
      </c>
    </row>
    <row r="4840" spans="1:6" hidden="1" outlineLevel="1" collapsed="1" x14ac:dyDescent="0.25">
      <c r="A4840" s="295" t="s">
        <v>282</v>
      </c>
      <c r="B4840" s="295" t="s">
        <v>386</v>
      </c>
      <c r="C4840" s="293">
        <v>6226.3415789999999</v>
      </c>
      <c r="D4840" s="293">
        <v>0</v>
      </c>
      <c r="E4840" s="293">
        <v>-6226.3415789999999</v>
      </c>
      <c r="F4840" s="294" t="s">
        <v>286</v>
      </c>
    </row>
    <row r="4841" spans="1:6" hidden="1" outlineLevel="1" collapsed="1" x14ac:dyDescent="0.25">
      <c r="A4841" s="295" t="s">
        <v>282</v>
      </c>
      <c r="B4841" s="295" t="s">
        <v>387</v>
      </c>
      <c r="C4841" s="293">
        <v>0</v>
      </c>
      <c r="D4841" s="293">
        <v>8847.4362000000001</v>
      </c>
      <c r="E4841" s="293">
        <v>8847.4362000000001</v>
      </c>
      <c r="F4841" s="294" t="s">
        <v>298</v>
      </c>
    </row>
    <row r="4842" spans="1:6" hidden="1" outlineLevel="1" collapsed="1" x14ac:dyDescent="0.25">
      <c r="A4842" s="295" t="s">
        <v>282</v>
      </c>
      <c r="B4842" s="295" t="s">
        <v>388</v>
      </c>
      <c r="C4842" s="293">
        <v>1456.1605259999999</v>
      </c>
      <c r="D4842" s="293">
        <v>2069.1584640000001</v>
      </c>
      <c r="E4842" s="293">
        <v>612.99793799999998</v>
      </c>
      <c r="F4842" s="294" t="s">
        <v>1758</v>
      </c>
    </row>
    <row r="4843" spans="1:6" hidden="1" outlineLevel="1" collapsed="1" x14ac:dyDescent="0.25">
      <c r="A4843" s="295" t="s">
        <v>282</v>
      </c>
      <c r="B4843" s="295" t="s">
        <v>389</v>
      </c>
      <c r="C4843" s="293">
        <v>319.59359999999998</v>
      </c>
      <c r="D4843" s="293">
        <v>422.04</v>
      </c>
      <c r="E4843" s="293">
        <v>102.4464</v>
      </c>
      <c r="F4843" s="294" t="s">
        <v>914</v>
      </c>
    </row>
    <row r="4844" spans="1:6" hidden="1" outlineLevel="1" collapsed="1" x14ac:dyDescent="0.25">
      <c r="A4844" s="295" t="s">
        <v>282</v>
      </c>
      <c r="B4844" s="295" t="s">
        <v>390</v>
      </c>
      <c r="C4844" s="293">
        <v>11645.63</v>
      </c>
      <c r="D4844" s="293">
        <v>15959.28</v>
      </c>
      <c r="E4844" s="293">
        <v>4313.6499999999996</v>
      </c>
      <c r="F4844" s="294" t="s">
        <v>1759</v>
      </c>
    </row>
    <row r="4845" spans="1:6" hidden="1" outlineLevel="1" collapsed="1" x14ac:dyDescent="0.25">
      <c r="A4845" s="295" t="s">
        <v>282</v>
      </c>
      <c r="B4845" s="295" t="s">
        <v>392</v>
      </c>
      <c r="C4845" s="293">
        <v>175.15440000000001</v>
      </c>
      <c r="D4845" s="293">
        <v>182.88</v>
      </c>
      <c r="E4845" s="293">
        <v>7.7256</v>
      </c>
      <c r="F4845" s="294" t="s">
        <v>916</v>
      </c>
    </row>
    <row r="4846" spans="1:6" hidden="1" outlineLevel="1" collapsed="1" x14ac:dyDescent="0.25">
      <c r="A4846" s="295" t="s">
        <v>282</v>
      </c>
      <c r="B4846" s="295" t="s">
        <v>393</v>
      </c>
      <c r="C4846" s="293">
        <v>50.212431000000002</v>
      </c>
      <c r="D4846" s="293">
        <v>71.350284000000002</v>
      </c>
      <c r="E4846" s="293">
        <v>21.137853</v>
      </c>
      <c r="F4846" s="294" t="s">
        <v>1758</v>
      </c>
    </row>
    <row r="4847" spans="1:6" hidden="1" outlineLevel="1" collapsed="1" x14ac:dyDescent="0.25">
      <c r="A4847" s="295" t="s">
        <v>282</v>
      </c>
      <c r="B4847" s="295" t="s">
        <v>394</v>
      </c>
      <c r="C4847" s="293">
        <v>1125</v>
      </c>
      <c r="D4847" s="293">
        <v>0</v>
      </c>
      <c r="E4847" s="293">
        <v>-1125</v>
      </c>
      <c r="F4847" s="294" t="s">
        <v>286</v>
      </c>
    </row>
    <row r="4848" spans="1:6" hidden="1" outlineLevel="1" collapsed="1" x14ac:dyDescent="0.25">
      <c r="A4848" s="295" t="s">
        <v>282</v>
      </c>
      <c r="B4848" s="295" t="s">
        <v>395</v>
      </c>
      <c r="C4848" s="293">
        <v>0</v>
      </c>
      <c r="D4848" s="293">
        <v>1500</v>
      </c>
      <c r="E4848" s="293">
        <v>1500</v>
      </c>
      <c r="F4848" s="294" t="s">
        <v>298</v>
      </c>
    </row>
    <row r="4849" spans="1:6" hidden="1" outlineLevel="1" collapsed="1" x14ac:dyDescent="0.25">
      <c r="A4849" s="295" t="s">
        <v>282</v>
      </c>
      <c r="B4849" s="295" t="s">
        <v>396</v>
      </c>
      <c r="C4849" s="293">
        <v>37.26</v>
      </c>
      <c r="D4849" s="293">
        <v>0</v>
      </c>
      <c r="E4849" s="293">
        <v>-37.26</v>
      </c>
      <c r="F4849" s="294" t="s">
        <v>286</v>
      </c>
    </row>
    <row r="4850" spans="1:6" hidden="1" outlineLevel="1" collapsed="1" x14ac:dyDescent="0.25">
      <c r="A4850" s="295" t="s">
        <v>282</v>
      </c>
      <c r="B4850" s="295" t="s">
        <v>397</v>
      </c>
      <c r="C4850" s="293">
        <v>0</v>
      </c>
      <c r="D4850" s="293">
        <v>48.48</v>
      </c>
      <c r="E4850" s="293">
        <v>48.48</v>
      </c>
      <c r="F4850" s="294" t="s">
        <v>298</v>
      </c>
    </row>
    <row r="4851" spans="1:6" hidden="1" outlineLevel="1" collapsed="1" x14ac:dyDescent="0.25">
      <c r="A4851" s="295" t="s">
        <v>282</v>
      </c>
      <c r="B4851" s="295" t="s">
        <v>398</v>
      </c>
      <c r="C4851" s="293">
        <v>18</v>
      </c>
      <c r="D4851" s="293">
        <v>11.04</v>
      </c>
      <c r="E4851" s="293">
        <v>-6.96</v>
      </c>
      <c r="F4851" s="294" t="s">
        <v>921</v>
      </c>
    </row>
    <row r="4852" spans="1:6" hidden="1" outlineLevel="1" collapsed="1" x14ac:dyDescent="0.25">
      <c r="A4852" s="295" t="s">
        <v>282</v>
      </c>
      <c r="B4852" s="295" t="s">
        <v>426</v>
      </c>
      <c r="C4852" s="293">
        <v>6300</v>
      </c>
      <c r="D4852" s="293">
        <v>6300</v>
      </c>
      <c r="E4852" s="293">
        <v>0</v>
      </c>
      <c r="F4852" s="294" t="s">
        <v>316</v>
      </c>
    </row>
    <row r="4853" spans="1:6" hidden="1" outlineLevel="1" collapsed="1" x14ac:dyDescent="0.25">
      <c r="A4853" s="295" t="s">
        <v>282</v>
      </c>
      <c r="B4853" s="295" t="s">
        <v>597</v>
      </c>
      <c r="C4853" s="293">
        <v>0</v>
      </c>
      <c r="D4853" s="293">
        <v>0</v>
      </c>
      <c r="E4853" s="293">
        <v>0</v>
      </c>
      <c r="F4853" s="294" t="s">
        <v>316</v>
      </c>
    </row>
    <row r="4854" spans="1:6" hidden="1" outlineLevel="1" collapsed="1" x14ac:dyDescent="0.25">
      <c r="A4854" s="295" t="s">
        <v>282</v>
      </c>
      <c r="B4854" s="295" t="s">
        <v>448</v>
      </c>
      <c r="C4854" s="293">
        <v>0</v>
      </c>
      <c r="D4854" s="293">
        <v>0</v>
      </c>
      <c r="E4854" s="293">
        <v>0</v>
      </c>
      <c r="F4854" s="294" t="s">
        <v>316</v>
      </c>
    </row>
    <row r="4855" spans="1:6" collapsed="1" x14ac:dyDescent="0.25">
      <c r="A4855" s="560" t="s">
        <v>1760</v>
      </c>
      <c r="B4855" s="561"/>
      <c r="C4855" s="292">
        <v>355781.75759200001</v>
      </c>
      <c r="D4855" s="293">
        <v>258569.47959199999</v>
      </c>
      <c r="E4855" s="293">
        <v>-97212.278000000006</v>
      </c>
      <c r="F4855" s="294" t="s">
        <v>1761</v>
      </c>
    </row>
    <row r="4856" spans="1:6" hidden="1" outlineLevel="1" collapsed="1" x14ac:dyDescent="0.25">
      <c r="A4856" s="295" t="s">
        <v>282</v>
      </c>
      <c r="B4856" s="295" t="s">
        <v>441</v>
      </c>
      <c r="C4856" s="293">
        <v>250</v>
      </c>
      <c r="D4856" s="293">
        <v>0</v>
      </c>
      <c r="E4856" s="293">
        <v>-250</v>
      </c>
      <c r="F4856" s="294" t="s">
        <v>286</v>
      </c>
    </row>
    <row r="4857" spans="1:6" hidden="1" outlineLevel="1" collapsed="1" x14ac:dyDescent="0.25">
      <c r="A4857" s="295" t="s">
        <v>282</v>
      </c>
      <c r="B4857" s="295" t="s">
        <v>1762</v>
      </c>
      <c r="C4857" s="293">
        <v>35999.999892</v>
      </c>
      <c r="D4857" s="293">
        <v>35999.999892</v>
      </c>
      <c r="E4857" s="293">
        <v>0</v>
      </c>
      <c r="F4857" s="294" t="s">
        <v>316</v>
      </c>
    </row>
    <row r="4858" spans="1:6" hidden="1" outlineLevel="1" collapsed="1" x14ac:dyDescent="0.25">
      <c r="A4858" s="295" t="s">
        <v>282</v>
      </c>
      <c r="B4858" s="295" t="s">
        <v>386</v>
      </c>
      <c r="C4858" s="293">
        <v>2231.9998919999998</v>
      </c>
      <c r="D4858" s="293">
        <v>0</v>
      </c>
      <c r="E4858" s="293">
        <v>-2231.9998919999998</v>
      </c>
      <c r="F4858" s="294" t="s">
        <v>286</v>
      </c>
    </row>
    <row r="4859" spans="1:6" hidden="1" outlineLevel="1" collapsed="1" x14ac:dyDescent="0.25">
      <c r="A4859" s="295" t="s">
        <v>282</v>
      </c>
      <c r="B4859" s="295" t="s">
        <v>387</v>
      </c>
      <c r="C4859" s="293">
        <v>0</v>
      </c>
      <c r="D4859" s="293">
        <v>2231.9998919999998</v>
      </c>
      <c r="E4859" s="293">
        <v>2231.9998919999998</v>
      </c>
      <c r="F4859" s="294" t="s">
        <v>298</v>
      </c>
    </row>
    <row r="4860" spans="1:6" hidden="1" outlineLevel="1" collapsed="1" x14ac:dyDescent="0.25">
      <c r="A4860" s="295" t="s">
        <v>282</v>
      </c>
      <c r="B4860" s="295" t="s">
        <v>388</v>
      </c>
      <c r="C4860" s="293">
        <v>521.99989200000005</v>
      </c>
      <c r="D4860" s="293">
        <v>521.99989200000005</v>
      </c>
      <c r="E4860" s="293">
        <v>0</v>
      </c>
      <c r="F4860" s="294" t="s">
        <v>316</v>
      </c>
    </row>
    <row r="4861" spans="1:6" hidden="1" outlineLevel="1" collapsed="1" x14ac:dyDescent="0.25">
      <c r="A4861" s="295" t="s">
        <v>282</v>
      </c>
      <c r="B4861" s="295" t="s">
        <v>389</v>
      </c>
      <c r="C4861" s="293">
        <v>2982.8735999999999</v>
      </c>
      <c r="D4861" s="293">
        <v>2954.28</v>
      </c>
      <c r="E4861" s="293">
        <v>-28.593599999999999</v>
      </c>
      <c r="F4861" s="294" t="s">
        <v>364</v>
      </c>
    </row>
    <row r="4862" spans="1:6" hidden="1" outlineLevel="1" collapsed="1" x14ac:dyDescent="0.25">
      <c r="A4862" s="295" t="s">
        <v>282</v>
      </c>
      <c r="B4862" s="295" t="s">
        <v>390</v>
      </c>
      <c r="C4862" s="293">
        <v>77426.350000000006</v>
      </c>
      <c r="D4862" s="293">
        <v>79796.399999999994</v>
      </c>
      <c r="E4862" s="293">
        <v>2370.0500000000002</v>
      </c>
      <c r="F4862" s="294" t="s">
        <v>391</v>
      </c>
    </row>
    <row r="4863" spans="1:6" hidden="1" outlineLevel="1" collapsed="1" x14ac:dyDescent="0.25">
      <c r="A4863" s="295" t="s">
        <v>282</v>
      </c>
      <c r="B4863" s="295" t="s">
        <v>392</v>
      </c>
      <c r="C4863" s="293">
        <v>1634.7744</v>
      </c>
      <c r="D4863" s="293">
        <v>1280.1600000000001</v>
      </c>
      <c r="E4863" s="293">
        <v>-354.61439999999999</v>
      </c>
      <c r="F4863" s="294" t="s">
        <v>368</v>
      </c>
    </row>
    <row r="4864" spans="1:6" hidden="1" outlineLevel="1" collapsed="1" x14ac:dyDescent="0.25">
      <c r="A4864" s="295" t="s">
        <v>282</v>
      </c>
      <c r="B4864" s="295" t="s">
        <v>393</v>
      </c>
      <c r="C4864" s="293">
        <v>17.999915999999999</v>
      </c>
      <c r="D4864" s="293">
        <v>17.999915999999999</v>
      </c>
      <c r="E4864" s="293">
        <v>0</v>
      </c>
      <c r="F4864" s="294" t="s">
        <v>316</v>
      </c>
    </row>
    <row r="4865" spans="1:6" hidden="1" outlineLevel="1" collapsed="1" x14ac:dyDescent="0.25">
      <c r="A4865" s="295" t="s">
        <v>282</v>
      </c>
      <c r="B4865" s="295" t="s">
        <v>394</v>
      </c>
      <c r="C4865" s="293">
        <v>10500</v>
      </c>
      <c r="D4865" s="293">
        <v>0</v>
      </c>
      <c r="E4865" s="293">
        <v>-10500</v>
      </c>
      <c r="F4865" s="294" t="s">
        <v>286</v>
      </c>
    </row>
    <row r="4866" spans="1:6" hidden="1" outlineLevel="1" collapsed="1" x14ac:dyDescent="0.25">
      <c r="A4866" s="295" t="s">
        <v>282</v>
      </c>
      <c r="B4866" s="295" t="s">
        <v>395</v>
      </c>
      <c r="C4866" s="293">
        <v>0</v>
      </c>
      <c r="D4866" s="293">
        <v>10500</v>
      </c>
      <c r="E4866" s="293">
        <v>10500</v>
      </c>
      <c r="F4866" s="294" t="s">
        <v>298</v>
      </c>
    </row>
    <row r="4867" spans="1:6" hidden="1" outlineLevel="1" collapsed="1" x14ac:dyDescent="0.25">
      <c r="A4867" s="295" t="s">
        <v>282</v>
      </c>
      <c r="B4867" s="295" t="s">
        <v>396</v>
      </c>
      <c r="C4867" s="293">
        <v>347.76</v>
      </c>
      <c r="D4867" s="293">
        <v>0</v>
      </c>
      <c r="E4867" s="293">
        <v>-347.76</v>
      </c>
      <c r="F4867" s="294" t="s">
        <v>286</v>
      </c>
    </row>
    <row r="4868" spans="1:6" hidden="1" outlineLevel="1" collapsed="1" x14ac:dyDescent="0.25">
      <c r="A4868" s="295" t="s">
        <v>282</v>
      </c>
      <c r="B4868" s="295" t="s">
        <v>397</v>
      </c>
      <c r="C4868" s="293">
        <v>0</v>
      </c>
      <c r="D4868" s="293">
        <v>339.36</v>
      </c>
      <c r="E4868" s="293">
        <v>339.36</v>
      </c>
      <c r="F4868" s="294" t="s">
        <v>298</v>
      </c>
    </row>
    <row r="4869" spans="1:6" hidden="1" outlineLevel="1" collapsed="1" x14ac:dyDescent="0.25">
      <c r="A4869" s="295" t="s">
        <v>282</v>
      </c>
      <c r="B4869" s="295" t="s">
        <v>398</v>
      </c>
      <c r="C4869" s="293">
        <v>168</v>
      </c>
      <c r="D4869" s="293">
        <v>77.28</v>
      </c>
      <c r="E4869" s="293">
        <v>-90.72</v>
      </c>
      <c r="F4869" s="294" t="s">
        <v>374</v>
      </c>
    </row>
    <row r="4870" spans="1:6" hidden="1" outlineLevel="1" collapsed="1" x14ac:dyDescent="0.25">
      <c r="A4870" s="295" t="s">
        <v>282</v>
      </c>
      <c r="B4870" s="295" t="s">
        <v>522</v>
      </c>
      <c r="C4870" s="293">
        <v>6000</v>
      </c>
      <c r="D4870" s="293">
        <v>6000</v>
      </c>
      <c r="E4870" s="293">
        <v>0</v>
      </c>
      <c r="F4870" s="294" t="s">
        <v>316</v>
      </c>
    </row>
    <row r="4871" spans="1:6" hidden="1" outlineLevel="1" collapsed="1" x14ac:dyDescent="0.25">
      <c r="A4871" s="295" t="s">
        <v>282</v>
      </c>
      <c r="B4871" s="295" t="s">
        <v>399</v>
      </c>
      <c r="C4871" s="293">
        <v>700</v>
      </c>
      <c r="D4871" s="293">
        <v>200</v>
      </c>
      <c r="E4871" s="293">
        <v>-500</v>
      </c>
      <c r="F4871" s="294" t="s">
        <v>1108</v>
      </c>
    </row>
    <row r="4872" spans="1:6" hidden="1" outlineLevel="1" collapsed="1" x14ac:dyDescent="0.25">
      <c r="A4872" s="295" t="s">
        <v>282</v>
      </c>
      <c r="B4872" s="295" t="s">
        <v>376</v>
      </c>
      <c r="C4872" s="293">
        <v>1050</v>
      </c>
      <c r="D4872" s="293">
        <v>1000</v>
      </c>
      <c r="E4872" s="293">
        <v>-50</v>
      </c>
      <c r="F4872" s="294" t="s">
        <v>1551</v>
      </c>
    </row>
    <row r="4873" spans="1:6" hidden="1" outlineLevel="1" collapsed="1" x14ac:dyDescent="0.25">
      <c r="A4873" s="295" t="s">
        <v>282</v>
      </c>
      <c r="B4873" s="295" t="s">
        <v>567</v>
      </c>
      <c r="C4873" s="293">
        <v>28000</v>
      </c>
      <c r="D4873" s="293">
        <v>24000</v>
      </c>
      <c r="E4873" s="293">
        <v>-4000</v>
      </c>
      <c r="F4873" s="294" t="s">
        <v>1763</v>
      </c>
    </row>
    <row r="4874" spans="1:6" hidden="1" outlineLevel="1" collapsed="1" x14ac:dyDescent="0.25">
      <c r="A4874" s="295" t="s">
        <v>282</v>
      </c>
      <c r="B4874" s="295" t="s">
        <v>426</v>
      </c>
      <c r="C4874" s="293">
        <v>101920</v>
      </c>
      <c r="D4874" s="293">
        <v>60000</v>
      </c>
      <c r="E4874" s="293">
        <v>-41920</v>
      </c>
      <c r="F4874" s="294" t="s">
        <v>1764</v>
      </c>
    </row>
    <row r="4875" spans="1:6" hidden="1" outlineLevel="1" collapsed="1" x14ac:dyDescent="0.25">
      <c r="A4875" s="295" t="s">
        <v>282</v>
      </c>
      <c r="B4875" s="295" t="s">
        <v>482</v>
      </c>
      <c r="C4875" s="293">
        <v>0</v>
      </c>
      <c r="D4875" s="293">
        <v>500</v>
      </c>
      <c r="E4875" s="293">
        <v>500</v>
      </c>
      <c r="F4875" s="294" t="s">
        <v>298</v>
      </c>
    </row>
    <row r="4876" spans="1:6" hidden="1" outlineLevel="1" collapsed="1" x14ac:dyDescent="0.25">
      <c r="A4876" s="295" t="s">
        <v>282</v>
      </c>
      <c r="B4876" s="295" t="s">
        <v>597</v>
      </c>
      <c r="C4876" s="293">
        <v>32050</v>
      </c>
      <c r="D4876" s="293">
        <v>32000</v>
      </c>
      <c r="E4876" s="293">
        <v>-50</v>
      </c>
      <c r="F4876" s="294" t="s">
        <v>1765</v>
      </c>
    </row>
    <row r="4877" spans="1:6" hidden="1" outlineLevel="1" collapsed="1" x14ac:dyDescent="0.25">
      <c r="A4877" s="295" t="s">
        <v>282</v>
      </c>
      <c r="B4877" s="295" t="s">
        <v>483</v>
      </c>
      <c r="C4877" s="293">
        <v>450</v>
      </c>
      <c r="D4877" s="293">
        <v>450</v>
      </c>
      <c r="E4877" s="293">
        <v>0</v>
      </c>
      <c r="F4877" s="294" t="s">
        <v>316</v>
      </c>
    </row>
    <row r="4878" spans="1:6" hidden="1" outlineLevel="1" collapsed="1" x14ac:dyDescent="0.25">
      <c r="A4878" s="295" t="s">
        <v>282</v>
      </c>
      <c r="B4878" s="295" t="s">
        <v>416</v>
      </c>
      <c r="C4878" s="293">
        <v>450</v>
      </c>
      <c r="D4878" s="293">
        <v>700</v>
      </c>
      <c r="E4878" s="293">
        <v>250</v>
      </c>
      <c r="F4878" s="294" t="s">
        <v>1766</v>
      </c>
    </row>
    <row r="4879" spans="1:6" hidden="1" outlineLevel="1" collapsed="1" x14ac:dyDescent="0.25">
      <c r="A4879" s="295" t="s">
        <v>282</v>
      </c>
      <c r="B4879" s="295" t="s">
        <v>404</v>
      </c>
      <c r="C4879" s="293">
        <v>15000</v>
      </c>
      <c r="D4879" s="293">
        <v>0</v>
      </c>
      <c r="E4879" s="293">
        <v>-15000</v>
      </c>
      <c r="F4879" s="294" t="s">
        <v>286</v>
      </c>
    </row>
    <row r="4880" spans="1:6" hidden="1" outlineLevel="1" collapsed="1" x14ac:dyDescent="0.25">
      <c r="A4880" s="295" t="s">
        <v>282</v>
      </c>
      <c r="B4880" s="295" t="s">
        <v>1767</v>
      </c>
      <c r="C4880" s="293">
        <v>36000</v>
      </c>
      <c r="D4880" s="293">
        <v>0</v>
      </c>
      <c r="E4880" s="293">
        <v>-36000</v>
      </c>
      <c r="F4880" s="294" t="s">
        <v>286</v>
      </c>
    </row>
    <row r="4881" spans="1:6" hidden="1" outlineLevel="1" collapsed="1" x14ac:dyDescent="0.25">
      <c r="A4881" s="295" t="s">
        <v>282</v>
      </c>
      <c r="B4881" s="295" t="s">
        <v>557</v>
      </c>
      <c r="C4881" s="293">
        <v>80</v>
      </c>
      <c r="D4881" s="293">
        <v>0</v>
      </c>
      <c r="E4881" s="293">
        <v>-80</v>
      </c>
      <c r="F4881" s="294" t="s">
        <v>286</v>
      </c>
    </row>
    <row r="4882" spans="1:6" hidden="1" outlineLevel="1" collapsed="1" x14ac:dyDescent="0.25">
      <c r="A4882" s="295" t="s">
        <v>282</v>
      </c>
      <c r="B4882" s="295" t="s">
        <v>770</v>
      </c>
      <c r="C4882" s="293">
        <v>2000</v>
      </c>
      <c r="D4882" s="293">
        <v>0</v>
      </c>
      <c r="E4882" s="293">
        <v>-2000</v>
      </c>
      <c r="F4882" s="294" t="s">
        <v>286</v>
      </c>
    </row>
    <row r="4883" spans="1:6" collapsed="1" x14ac:dyDescent="0.25">
      <c r="A4883" s="560" t="s">
        <v>1768</v>
      </c>
      <c r="B4883" s="561"/>
      <c r="C4883" s="292">
        <v>357764.341976</v>
      </c>
      <c r="D4883" s="293">
        <v>404114.390488</v>
      </c>
      <c r="E4883" s="293">
        <v>46350.048512000001</v>
      </c>
      <c r="F4883" s="294" t="s">
        <v>1769</v>
      </c>
    </row>
    <row r="4884" spans="1:6" hidden="1" outlineLevel="1" collapsed="1" x14ac:dyDescent="0.25">
      <c r="A4884" s="295" t="s">
        <v>282</v>
      </c>
      <c r="B4884" s="295" t="s">
        <v>942</v>
      </c>
      <c r="C4884" s="293">
        <v>100979.980046</v>
      </c>
      <c r="D4884" s="293">
        <v>117401.352636</v>
      </c>
      <c r="E4884" s="293">
        <v>16421.372589999999</v>
      </c>
      <c r="F4884" s="294" t="s">
        <v>1770</v>
      </c>
    </row>
    <row r="4885" spans="1:6" hidden="1" outlineLevel="1" collapsed="1" x14ac:dyDescent="0.25">
      <c r="A4885" s="295" t="s">
        <v>282</v>
      </c>
      <c r="B4885" s="295" t="s">
        <v>935</v>
      </c>
      <c r="C4885" s="293">
        <v>53000</v>
      </c>
      <c r="D4885" s="293">
        <v>0</v>
      </c>
      <c r="E4885" s="293">
        <v>-53000</v>
      </c>
      <c r="F4885" s="294" t="s">
        <v>286</v>
      </c>
    </row>
    <row r="4886" spans="1:6" hidden="1" outlineLevel="1" collapsed="1" x14ac:dyDescent="0.25">
      <c r="A4886" s="295" t="s">
        <v>282</v>
      </c>
      <c r="B4886" s="295" t="s">
        <v>475</v>
      </c>
      <c r="C4886" s="293">
        <v>5000</v>
      </c>
      <c r="D4886" s="293">
        <v>0</v>
      </c>
      <c r="E4886" s="293">
        <v>-5000</v>
      </c>
      <c r="F4886" s="294" t="s">
        <v>286</v>
      </c>
    </row>
    <row r="4887" spans="1:6" hidden="1" outlineLevel="1" collapsed="1" x14ac:dyDescent="0.25">
      <c r="A4887" s="295" t="s">
        <v>282</v>
      </c>
      <c r="B4887" s="295" t="s">
        <v>384</v>
      </c>
      <c r="C4887" s="293">
        <v>12703.281481</v>
      </c>
      <c r="D4887" s="293">
        <v>0</v>
      </c>
      <c r="E4887" s="293">
        <v>-12703.281481</v>
      </c>
      <c r="F4887" s="294" t="s">
        <v>286</v>
      </c>
    </row>
    <row r="4888" spans="1:6" hidden="1" outlineLevel="1" collapsed="1" x14ac:dyDescent="0.25">
      <c r="A4888" s="295" t="s">
        <v>282</v>
      </c>
      <c r="B4888" s="295" t="s">
        <v>385</v>
      </c>
      <c r="C4888" s="293">
        <v>9000</v>
      </c>
      <c r="D4888" s="293">
        <v>18549.413712000001</v>
      </c>
      <c r="E4888" s="293">
        <v>9549.4137119999996</v>
      </c>
      <c r="F4888" s="294" t="s">
        <v>1771</v>
      </c>
    </row>
    <row r="4889" spans="1:6" hidden="1" outlineLevel="1" collapsed="1" x14ac:dyDescent="0.25">
      <c r="A4889" s="295" t="s">
        <v>282</v>
      </c>
      <c r="B4889" s="295" t="s">
        <v>386</v>
      </c>
      <c r="C4889" s="293">
        <v>6260.7587569999996</v>
      </c>
      <c r="D4889" s="293">
        <v>0</v>
      </c>
      <c r="E4889" s="293">
        <v>-6260.7587569999996</v>
      </c>
      <c r="F4889" s="294" t="s">
        <v>286</v>
      </c>
    </row>
    <row r="4890" spans="1:6" hidden="1" outlineLevel="1" collapsed="1" x14ac:dyDescent="0.25">
      <c r="A4890" s="295" t="s">
        <v>282</v>
      </c>
      <c r="B4890" s="295" t="s">
        <v>387</v>
      </c>
      <c r="C4890" s="293">
        <v>0</v>
      </c>
      <c r="D4890" s="293">
        <v>7278.8838599999999</v>
      </c>
      <c r="E4890" s="293">
        <v>7278.8838599999999</v>
      </c>
      <c r="F4890" s="294" t="s">
        <v>298</v>
      </c>
    </row>
    <row r="4891" spans="1:6" hidden="1" outlineLevel="1" collapsed="1" x14ac:dyDescent="0.25">
      <c r="A4891" s="295" t="s">
        <v>282</v>
      </c>
      <c r="B4891" s="295" t="s">
        <v>388</v>
      </c>
      <c r="C4891" s="293">
        <v>3464.209703</v>
      </c>
      <c r="D4891" s="293">
        <v>1702.319604</v>
      </c>
      <c r="E4891" s="293">
        <v>-1761.890099</v>
      </c>
      <c r="F4891" s="294" t="s">
        <v>1772</v>
      </c>
    </row>
    <row r="4892" spans="1:6" hidden="1" outlineLevel="1" collapsed="1" x14ac:dyDescent="0.25">
      <c r="A4892" s="295" t="s">
        <v>282</v>
      </c>
      <c r="B4892" s="295" t="s">
        <v>480</v>
      </c>
      <c r="C4892" s="293">
        <v>800</v>
      </c>
      <c r="D4892" s="293">
        <v>0</v>
      </c>
      <c r="E4892" s="293">
        <v>-800</v>
      </c>
      <c r="F4892" s="294" t="s">
        <v>286</v>
      </c>
    </row>
    <row r="4893" spans="1:6" hidden="1" outlineLevel="1" collapsed="1" x14ac:dyDescent="0.25">
      <c r="A4893" s="295" t="s">
        <v>282</v>
      </c>
      <c r="B4893" s="295" t="s">
        <v>389</v>
      </c>
      <c r="C4893" s="293">
        <v>390.61439999999999</v>
      </c>
      <c r="D4893" s="293">
        <v>422.04</v>
      </c>
      <c r="E4893" s="293">
        <v>31.425599999999999</v>
      </c>
      <c r="F4893" s="294" t="s">
        <v>691</v>
      </c>
    </row>
    <row r="4894" spans="1:6" hidden="1" outlineLevel="1" collapsed="1" x14ac:dyDescent="0.25">
      <c r="A4894" s="295" t="s">
        <v>282</v>
      </c>
      <c r="B4894" s="295" t="s">
        <v>390</v>
      </c>
      <c r="C4894" s="293">
        <v>14205.39</v>
      </c>
      <c r="D4894" s="293">
        <v>15959.28</v>
      </c>
      <c r="E4894" s="293">
        <v>1753.89</v>
      </c>
      <c r="F4894" s="294" t="s">
        <v>1773</v>
      </c>
    </row>
    <row r="4895" spans="1:6" hidden="1" outlineLevel="1" collapsed="1" x14ac:dyDescent="0.25">
      <c r="A4895" s="295" t="s">
        <v>282</v>
      </c>
      <c r="B4895" s="295" t="s">
        <v>392</v>
      </c>
      <c r="C4895" s="293">
        <v>214.07759999999999</v>
      </c>
      <c r="D4895" s="293">
        <v>182.88</v>
      </c>
      <c r="E4895" s="293">
        <v>-31.197600000000001</v>
      </c>
      <c r="F4895" s="294" t="s">
        <v>692</v>
      </c>
    </row>
    <row r="4896" spans="1:6" hidden="1" outlineLevel="1" collapsed="1" x14ac:dyDescent="0.25">
      <c r="A4896" s="295" t="s">
        <v>282</v>
      </c>
      <c r="B4896" s="295" t="s">
        <v>393</v>
      </c>
      <c r="C4896" s="293">
        <v>50.489989000000001</v>
      </c>
      <c r="D4896" s="293">
        <v>58.700676000000001</v>
      </c>
      <c r="E4896" s="293">
        <v>8.2106870000000001</v>
      </c>
      <c r="F4896" s="294" t="s">
        <v>1770</v>
      </c>
    </row>
    <row r="4897" spans="1:6" hidden="1" outlineLevel="1" collapsed="1" x14ac:dyDescent="0.25">
      <c r="A4897" s="295" t="s">
        <v>282</v>
      </c>
      <c r="B4897" s="295" t="s">
        <v>1774</v>
      </c>
      <c r="C4897" s="293">
        <v>75</v>
      </c>
      <c r="D4897" s="293">
        <v>0</v>
      </c>
      <c r="E4897" s="293">
        <v>-75</v>
      </c>
      <c r="F4897" s="294" t="s">
        <v>286</v>
      </c>
    </row>
    <row r="4898" spans="1:6" hidden="1" outlineLevel="1" collapsed="1" x14ac:dyDescent="0.25">
      <c r="A4898" s="295" t="s">
        <v>282</v>
      </c>
      <c r="B4898" s="295" t="s">
        <v>394</v>
      </c>
      <c r="C4898" s="293">
        <v>1375</v>
      </c>
      <c r="D4898" s="293">
        <v>0</v>
      </c>
      <c r="E4898" s="293">
        <v>-1375</v>
      </c>
      <c r="F4898" s="294" t="s">
        <v>286</v>
      </c>
    </row>
    <row r="4899" spans="1:6" hidden="1" outlineLevel="1" collapsed="1" x14ac:dyDescent="0.25">
      <c r="A4899" s="295" t="s">
        <v>282</v>
      </c>
      <c r="B4899" s="295" t="s">
        <v>395</v>
      </c>
      <c r="C4899" s="293">
        <v>0</v>
      </c>
      <c r="D4899" s="293">
        <v>1500</v>
      </c>
      <c r="E4899" s="293">
        <v>1500</v>
      </c>
      <c r="F4899" s="294" t="s">
        <v>298</v>
      </c>
    </row>
    <row r="4900" spans="1:6" hidden="1" outlineLevel="1" collapsed="1" x14ac:dyDescent="0.25">
      <c r="A4900" s="295" t="s">
        <v>282</v>
      </c>
      <c r="B4900" s="295" t="s">
        <v>396</v>
      </c>
      <c r="C4900" s="293">
        <v>45.54</v>
      </c>
      <c r="D4900" s="293">
        <v>0</v>
      </c>
      <c r="E4900" s="293">
        <v>-45.54</v>
      </c>
      <c r="F4900" s="294" t="s">
        <v>286</v>
      </c>
    </row>
    <row r="4901" spans="1:6" hidden="1" outlineLevel="1" collapsed="1" x14ac:dyDescent="0.25">
      <c r="A4901" s="295" t="s">
        <v>282</v>
      </c>
      <c r="B4901" s="295" t="s">
        <v>397</v>
      </c>
      <c r="C4901" s="293">
        <v>0</v>
      </c>
      <c r="D4901" s="293">
        <v>48.48</v>
      </c>
      <c r="E4901" s="293">
        <v>48.48</v>
      </c>
      <c r="F4901" s="294" t="s">
        <v>298</v>
      </c>
    </row>
    <row r="4902" spans="1:6" hidden="1" outlineLevel="1" collapsed="1" x14ac:dyDescent="0.25">
      <c r="A4902" s="295" t="s">
        <v>282</v>
      </c>
      <c r="B4902" s="295" t="s">
        <v>398</v>
      </c>
      <c r="C4902" s="293">
        <v>22</v>
      </c>
      <c r="D4902" s="293">
        <v>11.04</v>
      </c>
      <c r="E4902" s="293">
        <v>-10.96</v>
      </c>
      <c r="F4902" s="294" t="s">
        <v>695</v>
      </c>
    </row>
    <row r="4903" spans="1:6" hidden="1" outlineLevel="1" collapsed="1" x14ac:dyDescent="0.25">
      <c r="A4903" s="295" t="s">
        <v>282</v>
      </c>
      <c r="B4903" s="295" t="s">
        <v>523</v>
      </c>
      <c r="C4903" s="293">
        <v>1000</v>
      </c>
      <c r="D4903" s="293">
        <v>1000</v>
      </c>
      <c r="E4903" s="293">
        <v>0</v>
      </c>
      <c r="F4903" s="294" t="s">
        <v>316</v>
      </c>
    </row>
    <row r="4904" spans="1:6" hidden="1" outlineLevel="1" collapsed="1" x14ac:dyDescent="0.25">
      <c r="A4904" s="295" t="s">
        <v>282</v>
      </c>
      <c r="B4904" s="295" t="s">
        <v>376</v>
      </c>
      <c r="C4904" s="293">
        <v>1999</v>
      </c>
      <c r="D4904" s="293">
        <v>1000</v>
      </c>
      <c r="E4904" s="293">
        <v>-999</v>
      </c>
      <c r="F4904" s="294" t="s">
        <v>1775</v>
      </c>
    </row>
    <row r="4905" spans="1:6" hidden="1" outlineLevel="1" collapsed="1" x14ac:dyDescent="0.25">
      <c r="A4905" s="295" t="s">
        <v>282</v>
      </c>
      <c r="B4905" s="295" t="s">
        <v>506</v>
      </c>
      <c r="C4905" s="293">
        <v>5000</v>
      </c>
      <c r="D4905" s="293">
        <v>2000</v>
      </c>
      <c r="E4905" s="293">
        <v>-3000</v>
      </c>
      <c r="F4905" s="294" t="s">
        <v>1545</v>
      </c>
    </row>
    <row r="4906" spans="1:6" hidden="1" outlineLevel="1" collapsed="1" x14ac:dyDescent="0.25">
      <c r="A4906" s="295" t="s">
        <v>282</v>
      </c>
      <c r="B4906" s="295" t="s">
        <v>567</v>
      </c>
      <c r="C4906" s="293">
        <v>19500</v>
      </c>
      <c r="D4906" s="293">
        <v>3000</v>
      </c>
      <c r="E4906" s="293">
        <v>-16500</v>
      </c>
      <c r="F4906" s="294" t="s">
        <v>1776</v>
      </c>
    </row>
    <row r="4907" spans="1:6" hidden="1" outlineLevel="1" collapsed="1" x14ac:dyDescent="0.25">
      <c r="A4907" s="295" t="s">
        <v>282</v>
      </c>
      <c r="B4907" s="295" t="s">
        <v>426</v>
      </c>
      <c r="C4907" s="293">
        <v>14501</v>
      </c>
      <c r="D4907" s="293">
        <v>7000</v>
      </c>
      <c r="E4907" s="293">
        <v>-7501</v>
      </c>
      <c r="F4907" s="294" t="s">
        <v>1777</v>
      </c>
    </row>
    <row r="4908" spans="1:6" hidden="1" outlineLevel="1" collapsed="1" x14ac:dyDescent="0.25">
      <c r="A4908" s="295" t="s">
        <v>282</v>
      </c>
      <c r="B4908" s="295" t="s">
        <v>482</v>
      </c>
      <c r="C4908" s="293">
        <v>500</v>
      </c>
      <c r="D4908" s="293">
        <v>250</v>
      </c>
      <c r="E4908" s="293">
        <v>-250</v>
      </c>
      <c r="F4908" s="294" t="s">
        <v>722</v>
      </c>
    </row>
    <row r="4909" spans="1:6" hidden="1" outlineLevel="1" collapsed="1" x14ac:dyDescent="0.25">
      <c r="A4909" s="295" t="s">
        <v>282</v>
      </c>
      <c r="B4909" s="295" t="s">
        <v>597</v>
      </c>
      <c r="C4909" s="293">
        <v>0</v>
      </c>
      <c r="D4909" s="293">
        <v>250</v>
      </c>
      <c r="E4909" s="293">
        <v>250</v>
      </c>
      <c r="F4909" s="294" t="s">
        <v>298</v>
      </c>
    </row>
    <row r="4910" spans="1:6" hidden="1" outlineLevel="1" collapsed="1" x14ac:dyDescent="0.25">
      <c r="A4910" s="295" t="s">
        <v>282</v>
      </c>
      <c r="B4910" s="295" t="s">
        <v>842</v>
      </c>
      <c r="C4910" s="293">
        <v>0</v>
      </c>
      <c r="D4910" s="293">
        <v>500</v>
      </c>
      <c r="E4910" s="293">
        <v>500</v>
      </c>
      <c r="F4910" s="294" t="s">
        <v>298</v>
      </c>
    </row>
    <row r="4911" spans="1:6" hidden="1" outlineLevel="1" collapsed="1" x14ac:dyDescent="0.25">
      <c r="A4911" s="295" t="s">
        <v>282</v>
      </c>
      <c r="B4911" s="295" t="s">
        <v>416</v>
      </c>
      <c r="C4911" s="293">
        <v>2000</v>
      </c>
      <c r="D4911" s="293">
        <v>1000</v>
      </c>
      <c r="E4911" s="293">
        <v>-1000</v>
      </c>
      <c r="F4911" s="294" t="s">
        <v>722</v>
      </c>
    </row>
    <row r="4912" spans="1:6" hidden="1" outlineLevel="1" collapsed="1" x14ac:dyDescent="0.25">
      <c r="A4912" s="295" t="s">
        <v>282</v>
      </c>
      <c r="B4912" s="295" t="s">
        <v>448</v>
      </c>
      <c r="C4912" s="293">
        <v>1920</v>
      </c>
      <c r="D4912" s="293">
        <v>1000</v>
      </c>
      <c r="E4912" s="293">
        <v>-920</v>
      </c>
      <c r="F4912" s="294" t="s">
        <v>1778</v>
      </c>
    </row>
    <row r="4913" spans="1:6" hidden="1" outlineLevel="1" collapsed="1" x14ac:dyDescent="0.25">
      <c r="A4913" s="295" t="s">
        <v>282</v>
      </c>
      <c r="B4913" s="295" t="s">
        <v>626</v>
      </c>
      <c r="C4913" s="293">
        <v>80607</v>
      </c>
      <c r="D4913" s="293">
        <v>220000</v>
      </c>
      <c r="E4913" s="293">
        <v>139393</v>
      </c>
      <c r="F4913" s="294" t="s">
        <v>1779</v>
      </c>
    </row>
    <row r="4914" spans="1:6" hidden="1" outlineLevel="1" collapsed="1" x14ac:dyDescent="0.25">
      <c r="A4914" s="295" t="s">
        <v>282</v>
      </c>
      <c r="B4914" s="295" t="s">
        <v>405</v>
      </c>
      <c r="C4914" s="293">
        <v>13018</v>
      </c>
      <c r="D4914" s="293">
        <v>2000</v>
      </c>
      <c r="E4914" s="293">
        <v>-11018</v>
      </c>
      <c r="F4914" s="294" t="s">
        <v>1780</v>
      </c>
    </row>
    <row r="4915" spans="1:6" hidden="1" outlineLevel="1" collapsed="1" x14ac:dyDescent="0.25">
      <c r="A4915" s="295" t="s">
        <v>282</v>
      </c>
      <c r="B4915" s="295" t="s">
        <v>557</v>
      </c>
      <c r="C4915" s="293">
        <v>5500</v>
      </c>
      <c r="D4915" s="293">
        <v>0</v>
      </c>
      <c r="E4915" s="293">
        <v>-5500</v>
      </c>
      <c r="F4915" s="294" t="s">
        <v>286</v>
      </c>
    </row>
    <row r="4916" spans="1:6" hidden="1" outlineLevel="1" collapsed="1" x14ac:dyDescent="0.25">
      <c r="A4916" s="295" t="s">
        <v>282</v>
      </c>
      <c r="B4916" s="295" t="s">
        <v>422</v>
      </c>
      <c r="C4916" s="293">
        <v>4633</v>
      </c>
      <c r="D4916" s="293">
        <v>2000</v>
      </c>
      <c r="E4916" s="293">
        <v>-2633</v>
      </c>
      <c r="F4916" s="294" t="s">
        <v>1781</v>
      </c>
    </row>
    <row r="4917" spans="1:6" collapsed="1" x14ac:dyDescent="0.25">
      <c r="A4917" s="560" t="s">
        <v>1782</v>
      </c>
      <c r="B4917" s="561"/>
      <c r="C4917" s="292">
        <v>511731.71753800003</v>
      </c>
      <c r="D4917" s="293">
        <v>564924.54548099998</v>
      </c>
      <c r="E4917" s="293">
        <v>53192.827942999997</v>
      </c>
      <c r="F4917" s="294" t="s">
        <v>1783</v>
      </c>
    </row>
    <row r="4918" spans="1:6" hidden="1" outlineLevel="1" collapsed="1" x14ac:dyDescent="0.25">
      <c r="A4918" s="295" t="s">
        <v>282</v>
      </c>
      <c r="B4918" s="295" t="s">
        <v>942</v>
      </c>
      <c r="C4918" s="293">
        <v>175879.62425699999</v>
      </c>
      <c r="D4918" s="293">
        <v>187445.40410799999</v>
      </c>
      <c r="E4918" s="293">
        <v>11565.779850999999</v>
      </c>
      <c r="F4918" s="294" t="s">
        <v>790</v>
      </c>
    </row>
    <row r="4919" spans="1:6" hidden="1" outlineLevel="1" collapsed="1" x14ac:dyDescent="0.25">
      <c r="A4919" s="295" t="s">
        <v>282</v>
      </c>
      <c r="B4919" s="295" t="s">
        <v>1097</v>
      </c>
      <c r="C4919" s="293">
        <v>78160.132635999995</v>
      </c>
      <c r="D4919" s="293">
        <v>79319.782552000004</v>
      </c>
      <c r="E4919" s="293">
        <v>1159.6499160000001</v>
      </c>
      <c r="F4919" s="294" t="s">
        <v>512</v>
      </c>
    </row>
    <row r="4920" spans="1:6" hidden="1" outlineLevel="1" collapsed="1" x14ac:dyDescent="0.25">
      <c r="A4920" s="295" t="s">
        <v>282</v>
      </c>
      <c r="B4920" s="295" t="s">
        <v>384</v>
      </c>
      <c r="C4920" s="293">
        <v>31851.271406</v>
      </c>
      <c r="D4920" s="293">
        <v>0</v>
      </c>
      <c r="E4920" s="293">
        <v>-31851.271406</v>
      </c>
      <c r="F4920" s="294" t="s">
        <v>286</v>
      </c>
    </row>
    <row r="4921" spans="1:6" hidden="1" outlineLevel="1" collapsed="1" x14ac:dyDescent="0.25">
      <c r="A4921" s="295" t="s">
        <v>282</v>
      </c>
      <c r="B4921" s="295" t="s">
        <v>385</v>
      </c>
      <c r="C4921" s="293">
        <v>0</v>
      </c>
      <c r="D4921" s="293">
        <v>42014.599486999999</v>
      </c>
      <c r="E4921" s="293">
        <v>42014.599486999999</v>
      </c>
      <c r="F4921" s="294" t="s">
        <v>298</v>
      </c>
    </row>
    <row r="4922" spans="1:6" hidden="1" outlineLevel="1" collapsed="1" x14ac:dyDescent="0.25">
      <c r="A4922" s="295" t="s">
        <v>282</v>
      </c>
      <c r="B4922" s="295" t="s">
        <v>386</v>
      </c>
      <c r="C4922" s="293">
        <v>16568.864906999999</v>
      </c>
      <c r="D4922" s="293">
        <v>0</v>
      </c>
      <c r="E4922" s="293">
        <v>-16568.864906999999</v>
      </c>
      <c r="F4922" s="294" t="s">
        <v>286</v>
      </c>
    </row>
    <row r="4923" spans="1:6" hidden="1" outlineLevel="1" collapsed="1" x14ac:dyDescent="0.25">
      <c r="A4923" s="295" t="s">
        <v>282</v>
      </c>
      <c r="B4923" s="295" t="s">
        <v>387</v>
      </c>
      <c r="C4923" s="293">
        <v>0</v>
      </c>
      <c r="D4923" s="293">
        <v>17357.841559</v>
      </c>
      <c r="E4923" s="293">
        <v>17357.841559</v>
      </c>
      <c r="F4923" s="294" t="s">
        <v>298</v>
      </c>
    </row>
    <row r="4924" spans="1:6" hidden="1" outlineLevel="1" collapsed="1" x14ac:dyDescent="0.25">
      <c r="A4924" s="295" t="s">
        <v>282</v>
      </c>
      <c r="B4924" s="295" t="s">
        <v>388</v>
      </c>
      <c r="C4924" s="293">
        <v>3874.9764620000001</v>
      </c>
      <c r="D4924" s="293">
        <v>4059.495199</v>
      </c>
      <c r="E4924" s="293">
        <v>184.51873699999999</v>
      </c>
      <c r="F4924" s="294" t="s">
        <v>1612</v>
      </c>
    </row>
    <row r="4925" spans="1:6" hidden="1" outlineLevel="1" collapsed="1" x14ac:dyDescent="0.25">
      <c r="A4925" s="295" t="s">
        <v>282</v>
      </c>
      <c r="B4925" s="295" t="s">
        <v>389</v>
      </c>
      <c r="C4925" s="293">
        <v>852.24959999999999</v>
      </c>
      <c r="D4925" s="293">
        <v>844.08</v>
      </c>
      <c r="E4925" s="293">
        <v>-8.1696000000000009</v>
      </c>
      <c r="F4925" s="294" t="s">
        <v>364</v>
      </c>
    </row>
    <row r="4926" spans="1:6" hidden="1" outlineLevel="1" collapsed="1" x14ac:dyDescent="0.25">
      <c r="A4926" s="295" t="s">
        <v>282</v>
      </c>
      <c r="B4926" s="295" t="s">
        <v>390</v>
      </c>
      <c r="C4926" s="293">
        <v>30970.54</v>
      </c>
      <c r="D4926" s="293">
        <v>31918.560000000001</v>
      </c>
      <c r="E4926" s="293">
        <v>948.02</v>
      </c>
      <c r="F4926" s="294" t="s">
        <v>391</v>
      </c>
    </row>
    <row r="4927" spans="1:6" hidden="1" outlineLevel="1" collapsed="1" x14ac:dyDescent="0.25">
      <c r="A4927" s="295" t="s">
        <v>282</v>
      </c>
      <c r="B4927" s="295" t="s">
        <v>392</v>
      </c>
      <c r="C4927" s="293">
        <v>467.07839999999999</v>
      </c>
      <c r="D4927" s="293">
        <v>365.76</v>
      </c>
      <c r="E4927" s="293">
        <v>-101.3184</v>
      </c>
      <c r="F4927" s="294" t="s">
        <v>368</v>
      </c>
    </row>
    <row r="4928" spans="1:6" hidden="1" outlineLevel="1" collapsed="1" x14ac:dyDescent="0.25">
      <c r="A4928" s="295" t="s">
        <v>282</v>
      </c>
      <c r="B4928" s="295" t="s">
        <v>393</v>
      </c>
      <c r="C4928" s="293">
        <v>133.61986999999999</v>
      </c>
      <c r="D4928" s="293">
        <v>139.98257599999999</v>
      </c>
      <c r="E4928" s="293">
        <v>6.3627060000000002</v>
      </c>
      <c r="F4928" s="294" t="s">
        <v>1612</v>
      </c>
    </row>
    <row r="4929" spans="1:6" hidden="1" outlineLevel="1" collapsed="1" x14ac:dyDescent="0.25">
      <c r="A4929" s="295" t="s">
        <v>282</v>
      </c>
      <c r="B4929" s="295" t="s">
        <v>394</v>
      </c>
      <c r="C4929" s="293">
        <v>3000</v>
      </c>
      <c r="D4929" s="293">
        <v>0</v>
      </c>
      <c r="E4929" s="293">
        <v>-3000</v>
      </c>
      <c r="F4929" s="294" t="s">
        <v>286</v>
      </c>
    </row>
    <row r="4930" spans="1:6" hidden="1" outlineLevel="1" collapsed="1" x14ac:dyDescent="0.25">
      <c r="A4930" s="295" t="s">
        <v>282</v>
      </c>
      <c r="B4930" s="295" t="s">
        <v>395</v>
      </c>
      <c r="C4930" s="293">
        <v>0</v>
      </c>
      <c r="D4930" s="293">
        <v>3000</v>
      </c>
      <c r="E4930" s="293">
        <v>3000</v>
      </c>
      <c r="F4930" s="294" t="s">
        <v>298</v>
      </c>
    </row>
    <row r="4931" spans="1:6" hidden="1" outlineLevel="1" collapsed="1" x14ac:dyDescent="0.25">
      <c r="A4931" s="295" t="s">
        <v>282</v>
      </c>
      <c r="B4931" s="295" t="s">
        <v>396</v>
      </c>
      <c r="C4931" s="293">
        <v>99.36</v>
      </c>
      <c r="D4931" s="293">
        <v>0</v>
      </c>
      <c r="E4931" s="293">
        <v>-99.36</v>
      </c>
      <c r="F4931" s="294" t="s">
        <v>286</v>
      </c>
    </row>
    <row r="4932" spans="1:6" hidden="1" outlineLevel="1" collapsed="1" x14ac:dyDescent="0.25">
      <c r="A4932" s="295" t="s">
        <v>282</v>
      </c>
      <c r="B4932" s="295" t="s">
        <v>397</v>
      </c>
      <c r="C4932" s="293">
        <v>0</v>
      </c>
      <c r="D4932" s="293">
        <v>96.96</v>
      </c>
      <c r="E4932" s="293">
        <v>96.96</v>
      </c>
      <c r="F4932" s="294" t="s">
        <v>298</v>
      </c>
    </row>
    <row r="4933" spans="1:6" hidden="1" outlineLevel="1" collapsed="1" x14ac:dyDescent="0.25">
      <c r="A4933" s="295" t="s">
        <v>282</v>
      </c>
      <c r="B4933" s="295" t="s">
        <v>398</v>
      </c>
      <c r="C4933" s="293">
        <v>48</v>
      </c>
      <c r="D4933" s="293">
        <v>22.08</v>
      </c>
      <c r="E4933" s="293">
        <v>-25.92</v>
      </c>
      <c r="F4933" s="294" t="s">
        <v>374</v>
      </c>
    </row>
    <row r="4934" spans="1:6" hidden="1" outlineLevel="1" collapsed="1" x14ac:dyDescent="0.25">
      <c r="A4934" s="295" t="s">
        <v>282</v>
      </c>
      <c r="B4934" s="295" t="s">
        <v>399</v>
      </c>
      <c r="C4934" s="293">
        <v>110</v>
      </c>
      <c r="D4934" s="293">
        <v>0</v>
      </c>
      <c r="E4934" s="293">
        <v>-110</v>
      </c>
      <c r="F4934" s="294" t="s">
        <v>286</v>
      </c>
    </row>
    <row r="4935" spans="1:6" hidden="1" outlineLevel="1" collapsed="1" x14ac:dyDescent="0.25">
      <c r="A4935" s="295" t="s">
        <v>282</v>
      </c>
      <c r="B4935" s="295" t="s">
        <v>376</v>
      </c>
      <c r="C4935" s="293">
        <v>340</v>
      </c>
      <c r="D4935" s="293">
        <v>440</v>
      </c>
      <c r="E4935" s="293">
        <v>100</v>
      </c>
      <c r="F4935" s="294" t="s">
        <v>1784</v>
      </c>
    </row>
    <row r="4936" spans="1:6" hidden="1" outlineLevel="1" collapsed="1" x14ac:dyDescent="0.25">
      <c r="A4936" s="295" t="s">
        <v>282</v>
      </c>
      <c r="B4936" s="295" t="s">
        <v>662</v>
      </c>
      <c r="C4936" s="293">
        <v>0</v>
      </c>
      <c r="D4936" s="293">
        <v>450</v>
      </c>
      <c r="E4936" s="293">
        <v>450</v>
      </c>
      <c r="F4936" s="294" t="s">
        <v>298</v>
      </c>
    </row>
    <row r="4937" spans="1:6" hidden="1" outlineLevel="1" collapsed="1" x14ac:dyDescent="0.25">
      <c r="A4937" s="295" t="s">
        <v>282</v>
      </c>
      <c r="B4937" s="295" t="s">
        <v>506</v>
      </c>
      <c r="C4937" s="293">
        <v>2150</v>
      </c>
      <c r="D4937" s="293">
        <v>1450</v>
      </c>
      <c r="E4937" s="293">
        <v>-700</v>
      </c>
      <c r="F4937" s="294" t="s">
        <v>1785</v>
      </c>
    </row>
    <row r="4938" spans="1:6" hidden="1" outlineLevel="1" collapsed="1" x14ac:dyDescent="0.25">
      <c r="A4938" s="295" t="s">
        <v>282</v>
      </c>
      <c r="B4938" s="295" t="s">
        <v>567</v>
      </c>
      <c r="C4938" s="293">
        <v>71700</v>
      </c>
      <c r="D4938" s="293">
        <v>75000</v>
      </c>
      <c r="E4938" s="293">
        <v>3300</v>
      </c>
      <c r="F4938" s="294" t="s">
        <v>1786</v>
      </c>
    </row>
    <row r="4939" spans="1:6" hidden="1" outlineLevel="1" collapsed="1" x14ac:dyDescent="0.25">
      <c r="A4939" s="295" t="s">
        <v>282</v>
      </c>
      <c r="B4939" s="295" t="s">
        <v>426</v>
      </c>
      <c r="C4939" s="293">
        <v>11000</v>
      </c>
      <c r="D4939" s="293">
        <v>11200</v>
      </c>
      <c r="E4939" s="293">
        <v>200</v>
      </c>
      <c r="F4939" s="294" t="s">
        <v>1787</v>
      </c>
    </row>
    <row r="4940" spans="1:6" hidden="1" outlineLevel="1" collapsed="1" x14ac:dyDescent="0.25">
      <c r="A4940" s="295" t="s">
        <v>282</v>
      </c>
      <c r="B4940" s="295" t="s">
        <v>1103</v>
      </c>
      <c r="C4940" s="293">
        <v>12000</v>
      </c>
      <c r="D4940" s="293">
        <v>12000</v>
      </c>
      <c r="E4940" s="293">
        <v>0</v>
      </c>
      <c r="F4940" s="294" t="s">
        <v>316</v>
      </c>
    </row>
    <row r="4941" spans="1:6" hidden="1" outlineLevel="1" collapsed="1" x14ac:dyDescent="0.25">
      <c r="A4941" s="295" t="s">
        <v>282</v>
      </c>
      <c r="B4941" s="295" t="s">
        <v>952</v>
      </c>
      <c r="C4941" s="293">
        <v>1500</v>
      </c>
      <c r="D4941" s="293">
        <v>1800</v>
      </c>
      <c r="E4941" s="293">
        <v>300</v>
      </c>
      <c r="F4941" s="294" t="s">
        <v>882</v>
      </c>
    </row>
    <row r="4942" spans="1:6" hidden="1" outlineLevel="1" collapsed="1" x14ac:dyDescent="0.25">
      <c r="A4942" s="295" t="s">
        <v>282</v>
      </c>
      <c r="B4942" s="295" t="s">
        <v>482</v>
      </c>
      <c r="C4942" s="293">
        <v>1750</v>
      </c>
      <c r="D4942" s="293">
        <v>1500</v>
      </c>
      <c r="E4942" s="293">
        <v>-250</v>
      </c>
      <c r="F4942" s="294" t="s">
        <v>1763</v>
      </c>
    </row>
    <row r="4943" spans="1:6" hidden="1" outlineLevel="1" collapsed="1" x14ac:dyDescent="0.25">
      <c r="A4943" s="295" t="s">
        <v>282</v>
      </c>
      <c r="B4943" s="295" t="s">
        <v>597</v>
      </c>
      <c r="C4943" s="293">
        <v>700</v>
      </c>
      <c r="D4943" s="293">
        <v>0</v>
      </c>
      <c r="E4943" s="293">
        <v>-700</v>
      </c>
      <c r="F4943" s="294" t="s">
        <v>286</v>
      </c>
    </row>
    <row r="4944" spans="1:6" hidden="1" outlineLevel="1" collapsed="1" x14ac:dyDescent="0.25">
      <c r="A4944" s="295" t="s">
        <v>282</v>
      </c>
      <c r="B4944" s="295" t="s">
        <v>448</v>
      </c>
      <c r="C4944" s="293">
        <v>1100</v>
      </c>
      <c r="D4944" s="293">
        <v>1800</v>
      </c>
      <c r="E4944" s="293">
        <v>700</v>
      </c>
      <c r="F4944" s="294" t="s">
        <v>1604</v>
      </c>
    </row>
    <row r="4945" spans="1:6" hidden="1" outlineLevel="1" collapsed="1" x14ac:dyDescent="0.25">
      <c r="A4945" s="295" t="s">
        <v>282</v>
      </c>
      <c r="B4945" s="295" t="s">
        <v>403</v>
      </c>
      <c r="C4945" s="293">
        <v>240</v>
      </c>
      <c r="D4945" s="293">
        <v>0</v>
      </c>
      <c r="E4945" s="293">
        <v>-240</v>
      </c>
      <c r="F4945" s="294" t="s">
        <v>286</v>
      </c>
    </row>
    <row r="4946" spans="1:6" hidden="1" outlineLevel="1" collapsed="1" x14ac:dyDescent="0.25">
      <c r="A4946" s="295" t="s">
        <v>282</v>
      </c>
      <c r="B4946" s="295" t="s">
        <v>1788</v>
      </c>
      <c r="C4946" s="293">
        <v>2250</v>
      </c>
      <c r="D4946" s="293">
        <v>2000</v>
      </c>
      <c r="E4946" s="293">
        <v>-250</v>
      </c>
      <c r="F4946" s="294" t="s">
        <v>1555</v>
      </c>
    </row>
    <row r="4947" spans="1:6" hidden="1" outlineLevel="1" collapsed="1" x14ac:dyDescent="0.25">
      <c r="A4947" s="295" t="s">
        <v>282</v>
      </c>
      <c r="B4947" s="295" t="s">
        <v>404</v>
      </c>
      <c r="C4947" s="293">
        <v>60500</v>
      </c>
      <c r="D4947" s="293">
        <v>80000</v>
      </c>
      <c r="E4947" s="293">
        <v>19500</v>
      </c>
      <c r="F4947" s="294" t="s">
        <v>1789</v>
      </c>
    </row>
    <row r="4948" spans="1:6" hidden="1" outlineLevel="1" collapsed="1" x14ac:dyDescent="0.25">
      <c r="A4948" s="295" t="s">
        <v>282</v>
      </c>
      <c r="B4948" s="295" t="s">
        <v>626</v>
      </c>
      <c r="C4948" s="293">
        <v>240</v>
      </c>
      <c r="D4948" s="293">
        <v>500</v>
      </c>
      <c r="E4948" s="293">
        <v>260</v>
      </c>
      <c r="F4948" s="294" t="s">
        <v>1648</v>
      </c>
    </row>
    <row r="4949" spans="1:6" hidden="1" outlineLevel="1" collapsed="1" x14ac:dyDescent="0.25">
      <c r="A4949" s="295" t="s">
        <v>282</v>
      </c>
      <c r="B4949" s="295" t="s">
        <v>405</v>
      </c>
      <c r="C4949" s="293">
        <v>1296</v>
      </c>
      <c r="D4949" s="293">
        <v>7500</v>
      </c>
      <c r="E4949" s="293">
        <v>6204</v>
      </c>
      <c r="F4949" s="294" t="s">
        <v>1790</v>
      </c>
    </row>
    <row r="4950" spans="1:6" hidden="1" outlineLevel="1" collapsed="1" x14ac:dyDescent="0.25">
      <c r="A4950" s="295" t="s">
        <v>282</v>
      </c>
      <c r="B4950" s="295" t="s">
        <v>557</v>
      </c>
      <c r="C4950" s="293">
        <v>250</v>
      </c>
      <c r="D4950" s="293">
        <v>0</v>
      </c>
      <c r="E4950" s="293">
        <v>-250</v>
      </c>
      <c r="F4950" s="294" t="s">
        <v>286</v>
      </c>
    </row>
    <row r="4951" spans="1:6" hidden="1" outlineLevel="1" collapsed="1" x14ac:dyDescent="0.25">
      <c r="A4951" s="295" t="s">
        <v>282</v>
      </c>
      <c r="B4951" s="295" t="s">
        <v>770</v>
      </c>
      <c r="C4951" s="293">
        <v>2700</v>
      </c>
      <c r="D4951" s="293">
        <v>2700</v>
      </c>
      <c r="E4951" s="293">
        <v>0</v>
      </c>
      <c r="F4951" s="294" t="s">
        <v>316</v>
      </c>
    </row>
    <row r="4952" spans="1:6" collapsed="1" x14ac:dyDescent="0.25">
      <c r="A4952" s="560" t="s">
        <v>1791</v>
      </c>
      <c r="B4952" s="561"/>
      <c r="C4952" s="292">
        <v>302413.05186800001</v>
      </c>
      <c r="D4952" s="293">
        <v>317866.63852799998</v>
      </c>
      <c r="E4952" s="293">
        <v>15453.586660000001</v>
      </c>
      <c r="F4952" s="294" t="s">
        <v>1792</v>
      </c>
    </row>
    <row r="4953" spans="1:6" hidden="1" outlineLevel="1" collapsed="1" x14ac:dyDescent="0.25">
      <c r="A4953" s="295" t="s">
        <v>282</v>
      </c>
      <c r="B4953" s="295" t="s">
        <v>942</v>
      </c>
      <c r="C4953" s="293">
        <v>84413.709587999998</v>
      </c>
      <c r="D4953" s="293">
        <v>106491.270072</v>
      </c>
      <c r="E4953" s="293">
        <v>22077.560484000001</v>
      </c>
      <c r="F4953" s="294" t="s">
        <v>1793</v>
      </c>
    </row>
    <row r="4954" spans="1:6" hidden="1" outlineLevel="1" collapsed="1" x14ac:dyDescent="0.25">
      <c r="A4954" s="295" t="s">
        <v>282</v>
      </c>
      <c r="B4954" s="295" t="s">
        <v>384</v>
      </c>
      <c r="C4954" s="293">
        <v>12570.40266</v>
      </c>
      <c r="D4954" s="293">
        <v>0</v>
      </c>
      <c r="E4954" s="293">
        <v>-12570.40266</v>
      </c>
      <c r="F4954" s="294" t="s">
        <v>286</v>
      </c>
    </row>
    <row r="4955" spans="1:6" hidden="1" outlineLevel="1" collapsed="1" x14ac:dyDescent="0.25">
      <c r="A4955" s="295" t="s">
        <v>282</v>
      </c>
      <c r="B4955" s="295" t="s">
        <v>385</v>
      </c>
      <c r="C4955" s="293">
        <v>0</v>
      </c>
      <c r="D4955" s="293">
        <v>16825.620672000001</v>
      </c>
      <c r="E4955" s="293">
        <v>16825.620672000001</v>
      </c>
      <c r="F4955" s="294" t="s">
        <v>298</v>
      </c>
    </row>
    <row r="4956" spans="1:6" hidden="1" outlineLevel="1" collapsed="1" x14ac:dyDescent="0.25">
      <c r="A4956" s="295" t="s">
        <v>282</v>
      </c>
      <c r="B4956" s="295" t="s">
        <v>386</v>
      </c>
      <c r="C4956" s="293">
        <v>6232.4699879999998</v>
      </c>
      <c r="D4956" s="293">
        <v>0</v>
      </c>
      <c r="E4956" s="293">
        <v>-6232.4699879999998</v>
      </c>
      <c r="F4956" s="294" t="s">
        <v>286</v>
      </c>
    </row>
    <row r="4957" spans="1:6" hidden="1" outlineLevel="1" collapsed="1" x14ac:dyDescent="0.25">
      <c r="A4957" s="295" t="s">
        <v>282</v>
      </c>
      <c r="B4957" s="295" t="s">
        <v>387</v>
      </c>
      <c r="C4957" s="293">
        <v>0</v>
      </c>
      <c r="D4957" s="293">
        <v>6639.6587399999999</v>
      </c>
      <c r="E4957" s="293">
        <v>6639.6587399999999</v>
      </c>
      <c r="F4957" s="294" t="s">
        <v>298</v>
      </c>
    </row>
    <row r="4958" spans="1:6" hidden="1" outlineLevel="1" collapsed="1" x14ac:dyDescent="0.25">
      <c r="A4958" s="295" t="s">
        <v>282</v>
      </c>
      <c r="B4958" s="295" t="s">
        <v>388</v>
      </c>
      <c r="C4958" s="293">
        <v>1457.5937879999999</v>
      </c>
      <c r="D4958" s="293">
        <v>1552.823412</v>
      </c>
      <c r="E4958" s="293">
        <v>95.229624000000001</v>
      </c>
      <c r="F4958" s="294" t="s">
        <v>644</v>
      </c>
    </row>
    <row r="4959" spans="1:6" hidden="1" outlineLevel="1" collapsed="1" x14ac:dyDescent="0.25">
      <c r="A4959" s="295" t="s">
        <v>282</v>
      </c>
      <c r="B4959" s="295" t="s">
        <v>389</v>
      </c>
      <c r="C4959" s="293">
        <v>426.12479999999999</v>
      </c>
      <c r="D4959" s="293">
        <v>422.04</v>
      </c>
      <c r="E4959" s="293">
        <v>-4.0848000000000004</v>
      </c>
      <c r="F4959" s="294" t="s">
        <v>364</v>
      </c>
    </row>
    <row r="4960" spans="1:6" hidden="1" outlineLevel="1" collapsed="1" x14ac:dyDescent="0.25">
      <c r="A4960" s="295" t="s">
        <v>282</v>
      </c>
      <c r="B4960" s="295" t="s">
        <v>390</v>
      </c>
      <c r="C4960" s="293">
        <v>15485.27</v>
      </c>
      <c r="D4960" s="293">
        <v>15959.28</v>
      </c>
      <c r="E4960" s="293">
        <v>474.01</v>
      </c>
      <c r="F4960" s="294" t="s">
        <v>391</v>
      </c>
    </row>
    <row r="4961" spans="1:6" hidden="1" outlineLevel="1" collapsed="1" x14ac:dyDescent="0.25">
      <c r="A4961" s="295" t="s">
        <v>282</v>
      </c>
      <c r="B4961" s="295" t="s">
        <v>392</v>
      </c>
      <c r="C4961" s="293">
        <v>233.53919999999999</v>
      </c>
      <c r="D4961" s="293">
        <v>182.88</v>
      </c>
      <c r="E4961" s="293">
        <v>-50.659199999999998</v>
      </c>
      <c r="F4961" s="294" t="s">
        <v>368</v>
      </c>
    </row>
    <row r="4962" spans="1:6" hidden="1" outlineLevel="1" collapsed="1" x14ac:dyDescent="0.25">
      <c r="A4962" s="295" t="s">
        <v>282</v>
      </c>
      <c r="B4962" s="295" t="s">
        <v>393</v>
      </c>
      <c r="C4962" s="293">
        <v>50.261844000000004</v>
      </c>
      <c r="D4962" s="293">
        <v>53.545631999999998</v>
      </c>
      <c r="E4962" s="293">
        <v>3.2837879999999999</v>
      </c>
      <c r="F4962" s="294" t="s">
        <v>644</v>
      </c>
    </row>
    <row r="4963" spans="1:6" hidden="1" outlineLevel="1" collapsed="1" x14ac:dyDescent="0.25">
      <c r="A4963" s="295" t="s">
        <v>282</v>
      </c>
      <c r="B4963" s="295" t="s">
        <v>394</v>
      </c>
      <c r="C4963" s="293">
        <v>1500</v>
      </c>
      <c r="D4963" s="293">
        <v>0</v>
      </c>
      <c r="E4963" s="293">
        <v>-1500</v>
      </c>
      <c r="F4963" s="294" t="s">
        <v>286</v>
      </c>
    </row>
    <row r="4964" spans="1:6" hidden="1" outlineLevel="1" collapsed="1" x14ac:dyDescent="0.25">
      <c r="A4964" s="295" t="s">
        <v>282</v>
      </c>
      <c r="B4964" s="295" t="s">
        <v>395</v>
      </c>
      <c r="C4964" s="293">
        <v>0</v>
      </c>
      <c r="D4964" s="293">
        <v>1500</v>
      </c>
      <c r="E4964" s="293">
        <v>1500</v>
      </c>
      <c r="F4964" s="294" t="s">
        <v>298</v>
      </c>
    </row>
    <row r="4965" spans="1:6" hidden="1" outlineLevel="1" collapsed="1" x14ac:dyDescent="0.25">
      <c r="A4965" s="295" t="s">
        <v>282</v>
      </c>
      <c r="B4965" s="295" t="s">
        <v>396</v>
      </c>
      <c r="C4965" s="293">
        <v>49.68</v>
      </c>
      <c r="D4965" s="293">
        <v>0</v>
      </c>
      <c r="E4965" s="293">
        <v>-49.68</v>
      </c>
      <c r="F4965" s="294" t="s">
        <v>286</v>
      </c>
    </row>
    <row r="4966" spans="1:6" hidden="1" outlineLevel="1" collapsed="1" x14ac:dyDescent="0.25">
      <c r="A4966" s="295" t="s">
        <v>282</v>
      </c>
      <c r="B4966" s="295" t="s">
        <v>397</v>
      </c>
      <c r="C4966" s="293">
        <v>0</v>
      </c>
      <c r="D4966" s="293">
        <v>48.48</v>
      </c>
      <c r="E4966" s="293">
        <v>48.48</v>
      </c>
      <c r="F4966" s="294" t="s">
        <v>298</v>
      </c>
    </row>
    <row r="4967" spans="1:6" hidden="1" outlineLevel="1" collapsed="1" x14ac:dyDescent="0.25">
      <c r="A4967" s="295" t="s">
        <v>282</v>
      </c>
      <c r="B4967" s="295" t="s">
        <v>398</v>
      </c>
      <c r="C4967" s="293">
        <v>24</v>
      </c>
      <c r="D4967" s="293">
        <v>11.04</v>
      </c>
      <c r="E4967" s="293">
        <v>-12.96</v>
      </c>
      <c r="F4967" s="294" t="s">
        <v>374</v>
      </c>
    </row>
    <row r="4968" spans="1:6" hidden="1" outlineLevel="1" collapsed="1" x14ac:dyDescent="0.25">
      <c r="A4968" s="295" t="s">
        <v>282</v>
      </c>
      <c r="B4968" s="295" t="s">
        <v>567</v>
      </c>
      <c r="C4968" s="293">
        <v>9150</v>
      </c>
      <c r="D4968" s="293">
        <v>2930</v>
      </c>
      <c r="E4968" s="293">
        <v>-6220</v>
      </c>
      <c r="F4968" s="294" t="s">
        <v>1794</v>
      </c>
    </row>
    <row r="4969" spans="1:6" hidden="1" outlineLevel="1" collapsed="1" x14ac:dyDescent="0.25">
      <c r="A4969" s="295" t="s">
        <v>282</v>
      </c>
      <c r="B4969" s="295" t="s">
        <v>426</v>
      </c>
      <c r="C4969" s="293">
        <v>4620</v>
      </c>
      <c r="D4969" s="293">
        <v>4300</v>
      </c>
      <c r="E4969" s="293">
        <v>-320</v>
      </c>
      <c r="F4969" s="294" t="s">
        <v>1795</v>
      </c>
    </row>
    <row r="4970" spans="1:6" hidden="1" outlineLevel="1" collapsed="1" x14ac:dyDescent="0.25">
      <c r="A4970" s="295" t="s">
        <v>282</v>
      </c>
      <c r="B4970" s="295" t="s">
        <v>952</v>
      </c>
      <c r="C4970" s="293">
        <v>600</v>
      </c>
      <c r="D4970" s="293">
        <v>600</v>
      </c>
      <c r="E4970" s="293">
        <v>0</v>
      </c>
      <c r="F4970" s="294" t="s">
        <v>316</v>
      </c>
    </row>
    <row r="4971" spans="1:6" hidden="1" outlineLevel="1" collapsed="1" x14ac:dyDescent="0.25">
      <c r="A4971" s="295" t="s">
        <v>282</v>
      </c>
      <c r="B4971" s="295" t="s">
        <v>1796</v>
      </c>
      <c r="C4971" s="293">
        <v>165600</v>
      </c>
      <c r="D4971" s="293">
        <v>160350</v>
      </c>
      <c r="E4971" s="293">
        <v>-5250</v>
      </c>
      <c r="F4971" s="294" t="s">
        <v>1797</v>
      </c>
    </row>
    <row r="4972" spans="1:6" collapsed="1" x14ac:dyDescent="0.25">
      <c r="A4972" s="560" t="s">
        <v>1798</v>
      </c>
      <c r="B4972" s="561"/>
      <c r="C4972" s="292">
        <v>1597068.095093</v>
      </c>
      <c r="D4972" s="293">
        <v>1835034.311699</v>
      </c>
      <c r="E4972" s="293">
        <v>237966.216606</v>
      </c>
      <c r="F4972" s="294" t="s">
        <v>1799</v>
      </c>
    </row>
    <row r="4973" spans="1:6" hidden="1" outlineLevel="1" collapsed="1" x14ac:dyDescent="0.25">
      <c r="A4973" s="295" t="s">
        <v>282</v>
      </c>
      <c r="B4973" s="295" t="s">
        <v>942</v>
      </c>
      <c r="C4973" s="293">
        <v>376801.495176</v>
      </c>
      <c r="D4973" s="293">
        <v>394779.12445200002</v>
      </c>
      <c r="E4973" s="293">
        <v>17977.629276</v>
      </c>
      <c r="F4973" s="294" t="s">
        <v>1042</v>
      </c>
    </row>
    <row r="4974" spans="1:6" hidden="1" outlineLevel="1" collapsed="1" x14ac:dyDescent="0.25">
      <c r="A4974" s="295" t="s">
        <v>282</v>
      </c>
      <c r="B4974" s="295" t="s">
        <v>464</v>
      </c>
      <c r="C4974" s="293">
        <v>397835.87265600002</v>
      </c>
      <c r="D4974" s="293">
        <v>565820.12416000001</v>
      </c>
      <c r="E4974" s="293">
        <v>167984.25150400001</v>
      </c>
      <c r="F4974" s="294" t="s">
        <v>1800</v>
      </c>
    </row>
    <row r="4975" spans="1:6" hidden="1" outlineLevel="1" collapsed="1" x14ac:dyDescent="0.25">
      <c r="A4975" s="295" t="s">
        <v>282</v>
      </c>
      <c r="B4975" s="295" t="s">
        <v>935</v>
      </c>
      <c r="C4975" s="293">
        <v>0</v>
      </c>
      <c r="D4975" s="293">
        <v>0</v>
      </c>
      <c r="E4975" s="293">
        <v>0</v>
      </c>
      <c r="F4975" s="294" t="s">
        <v>316</v>
      </c>
    </row>
    <row r="4976" spans="1:6" hidden="1" outlineLevel="1" collapsed="1" x14ac:dyDescent="0.25">
      <c r="A4976" s="295" t="s">
        <v>282</v>
      </c>
      <c r="B4976" s="295" t="s">
        <v>475</v>
      </c>
      <c r="C4976" s="293">
        <v>5000</v>
      </c>
      <c r="D4976" s="293">
        <v>10000</v>
      </c>
      <c r="E4976" s="293">
        <v>5000</v>
      </c>
      <c r="F4976" s="294" t="s">
        <v>298</v>
      </c>
    </row>
    <row r="4977" spans="1:6" hidden="1" outlineLevel="1" collapsed="1" x14ac:dyDescent="0.25">
      <c r="A4977" s="295" t="s">
        <v>282</v>
      </c>
      <c r="B4977" s="295" t="s">
        <v>799</v>
      </c>
      <c r="C4977" s="293">
        <v>61500</v>
      </c>
      <c r="D4977" s="293">
        <v>0</v>
      </c>
      <c r="E4977" s="293">
        <v>-61500</v>
      </c>
      <c r="F4977" s="294" t="s">
        <v>286</v>
      </c>
    </row>
    <row r="4978" spans="1:6" hidden="1" outlineLevel="1" collapsed="1" x14ac:dyDescent="0.25">
      <c r="A4978" s="295" t="s">
        <v>282</v>
      </c>
      <c r="B4978" s="295" t="s">
        <v>384</v>
      </c>
      <c r="C4978" s="293">
        <v>104306.52913900001</v>
      </c>
      <c r="D4978" s="293">
        <v>0</v>
      </c>
      <c r="E4978" s="293">
        <v>-104306.52913900001</v>
      </c>
      <c r="F4978" s="294" t="s">
        <v>286</v>
      </c>
    </row>
    <row r="4979" spans="1:6" hidden="1" outlineLevel="1" collapsed="1" x14ac:dyDescent="0.25">
      <c r="A4979" s="295" t="s">
        <v>282</v>
      </c>
      <c r="B4979" s="295" t="s">
        <v>385</v>
      </c>
      <c r="C4979" s="293">
        <v>0</v>
      </c>
      <c r="D4979" s="293">
        <v>150826.68119800001</v>
      </c>
      <c r="E4979" s="293">
        <v>150826.68119800001</v>
      </c>
      <c r="F4979" s="294" t="s">
        <v>298</v>
      </c>
    </row>
    <row r="4980" spans="1:6" hidden="1" outlineLevel="1" collapsed="1" x14ac:dyDescent="0.25">
      <c r="A4980" s="295" t="s">
        <v>282</v>
      </c>
      <c r="B4980" s="295" t="s">
        <v>386</v>
      </c>
      <c r="C4980" s="293">
        <v>51783.166748000003</v>
      </c>
      <c r="D4980" s="293">
        <v>0</v>
      </c>
      <c r="E4980" s="293">
        <v>-51783.166748000003</v>
      </c>
      <c r="F4980" s="294" t="s">
        <v>286</v>
      </c>
    </row>
    <row r="4981" spans="1:6" hidden="1" outlineLevel="1" collapsed="1" x14ac:dyDescent="0.25">
      <c r="A4981" s="295" t="s">
        <v>282</v>
      </c>
      <c r="B4981" s="295" t="s">
        <v>387</v>
      </c>
      <c r="C4981" s="293">
        <v>0</v>
      </c>
      <c r="D4981" s="293">
        <v>59557.153331000001</v>
      </c>
      <c r="E4981" s="293">
        <v>59557.153331000001</v>
      </c>
      <c r="F4981" s="294" t="s">
        <v>298</v>
      </c>
    </row>
    <row r="4982" spans="1:6" hidden="1" outlineLevel="1" collapsed="1" x14ac:dyDescent="0.25">
      <c r="A4982" s="295" t="s">
        <v>282</v>
      </c>
      <c r="B4982" s="295" t="s">
        <v>388</v>
      </c>
      <c r="C4982" s="293">
        <v>12110.579266000001</v>
      </c>
      <c r="D4982" s="293">
        <v>13928.68901</v>
      </c>
      <c r="E4982" s="293">
        <v>1818.1097440000001</v>
      </c>
      <c r="F4982" s="294" t="s">
        <v>1801</v>
      </c>
    </row>
    <row r="4983" spans="1:6" hidden="1" outlineLevel="1" collapsed="1" x14ac:dyDescent="0.25">
      <c r="A4983" s="295" t="s">
        <v>282</v>
      </c>
      <c r="B4983" s="295" t="s">
        <v>444</v>
      </c>
      <c r="C4983" s="293">
        <v>500</v>
      </c>
      <c r="D4983" s="293">
        <v>0</v>
      </c>
      <c r="E4983" s="293">
        <v>-500</v>
      </c>
      <c r="F4983" s="294" t="s">
        <v>286</v>
      </c>
    </row>
    <row r="4984" spans="1:6" hidden="1" outlineLevel="1" collapsed="1" x14ac:dyDescent="0.25">
      <c r="A4984" s="295" t="s">
        <v>282</v>
      </c>
      <c r="B4984" s="295" t="s">
        <v>389</v>
      </c>
      <c r="C4984" s="293">
        <v>5610.6432000000004</v>
      </c>
      <c r="D4984" s="293">
        <v>6330.6</v>
      </c>
      <c r="E4984" s="293">
        <v>719.95680000000004</v>
      </c>
      <c r="F4984" s="294" t="s">
        <v>608</v>
      </c>
    </row>
    <row r="4985" spans="1:6" hidden="1" outlineLevel="1" collapsed="1" x14ac:dyDescent="0.25">
      <c r="A4985" s="295" t="s">
        <v>282</v>
      </c>
      <c r="B4985" s="295" t="s">
        <v>390</v>
      </c>
      <c r="C4985" s="293">
        <v>173151.15</v>
      </c>
      <c r="D4985" s="293">
        <v>207470.64</v>
      </c>
      <c r="E4985" s="293">
        <v>34319.49</v>
      </c>
      <c r="F4985" s="294" t="s">
        <v>586</v>
      </c>
    </row>
    <row r="4986" spans="1:6" hidden="1" outlineLevel="1" collapsed="1" x14ac:dyDescent="0.25">
      <c r="A4986" s="295" t="s">
        <v>282</v>
      </c>
      <c r="B4986" s="295" t="s">
        <v>392</v>
      </c>
      <c r="C4986" s="293">
        <v>3074.9328</v>
      </c>
      <c r="D4986" s="293">
        <v>2743.2</v>
      </c>
      <c r="E4986" s="293">
        <v>-331.7328</v>
      </c>
      <c r="F4986" s="294" t="s">
        <v>1802</v>
      </c>
    </row>
    <row r="4987" spans="1:6" hidden="1" outlineLevel="1" collapsed="1" x14ac:dyDescent="0.25">
      <c r="A4987" s="295" t="s">
        <v>282</v>
      </c>
      <c r="B4987" s="295" t="s">
        <v>393</v>
      </c>
      <c r="C4987" s="293">
        <v>417.60610800000001</v>
      </c>
      <c r="D4987" s="293">
        <v>480.29954800000002</v>
      </c>
      <c r="E4987" s="293">
        <v>62.693440000000002</v>
      </c>
      <c r="F4987" s="294" t="s">
        <v>1801</v>
      </c>
    </row>
    <row r="4988" spans="1:6" hidden="1" outlineLevel="1" collapsed="1" x14ac:dyDescent="0.25">
      <c r="A4988" s="295" t="s">
        <v>282</v>
      </c>
      <c r="B4988" s="295" t="s">
        <v>394</v>
      </c>
      <c r="C4988" s="293">
        <v>19750</v>
      </c>
      <c r="D4988" s="293">
        <v>0</v>
      </c>
      <c r="E4988" s="293">
        <v>-19750</v>
      </c>
      <c r="F4988" s="294" t="s">
        <v>286</v>
      </c>
    </row>
    <row r="4989" spans="1:6" hidden="1" outlineLevel="1" collapsed="1" x14ac:dyDescent="0.25">
      <c r="A4989" s="295" t="s">
        <v>282</v>
      </c>
      <c r="B4989" s="295" t="s">
        <v>395</v>
      </c>
      <c r="C4989" s="293">
        <v>0</v>
      </c>
      <c r="D4989" s="293">
        <v>22500</v>
      </c>
      <c r="E4989" s="293">
        <v>22500</v>
      </c>
      <c r="F4989" s="294" t="s">
        <v>298</v>
      </c>
    </row>
    <row r="4990" spans="1:6" hidden="1" outlineLevel="1" collapsed="1" x14ac:dyDescent="0.25">
      <c r="A4990" s="295" t="s">
        <v>282</v>
      </c>
      <c r="B4990" s="295" t="s">
        <v>396</v>
      </c>
      <c r="C4990" s="293">
        <v>654.12</v>
      </c>
      <c r="D4990" s="293">
        <v>0</v>
      </c>
      <c r="E4990" s="293">
        <v>-654.12</v>
      </c>
      <c r="F4990" s="294" t="s">
        <v>286</v>
      </c>
    </row>
    <row r="4991" spans="1:6" hidden="1" outlineLevel="1" collapsed="1" x14ac:dyDescent="0.25">
      <c r="A4991" s="295" t="s">
        <v>282</v>
      </c>
      <c r="B4991" s="295" t="s">
        <v>397</v>
      </c>
      <c r="C4991" s="293">
        <v>0</v>
      </c>
      <c r="D4991" s="293">
        <v>727.2</v>
      </c>
      <c r="E4991" s="293">
        <v>727.2</v>
      </c>
      <c r="F4991" s="294" t="s">
        <v>298</v>
      </c>
    </row>
    <row r="4992" spans="1:6" hidden="1" outlineLevel="1" collapsed="1" x14ac:dyDescent="0.25">
      <c r="A4992" s="295" t="s">
        <v>282</v>
      </c>
      <c r="B4992" s="295" t="s">
        <v>398</v>
      </c>
      <c r="C4992" s="293">
        <v>316</v>
      </c>
      <c r="D4992" s="293">
        <v>165.6</v>
      </c>
      <c r="E4992" s="293">
        <v>-150.4</v>
      </c>
      <c r="F4992" s="294" t="s">
        <v>1803</v>
      </c>
    </row>
    <row r="4993" spans="1:6" hidden="1" outlineLevel="1" collapsed="1" x14ac:dyDescent="0.25">
      <c r="A4993" s="295" t="s">
        <v>282</v>
      </c>
      <c r="B4993" s="295" t="s">
        <v>522</v>
      </c>
      <c r="C4993" s="293">
        <v>6000</v>
      </c>
      <c r="D4993" s="293">
        <v>6000</v>
      </c>
      <c r="E4993" s="293">
        <v>0</v>
      </c>
      <c r="F4993" s="294" t="s">
        <v>316</v>
      </c>
    </row>
    <row r="4994" spans="1:6" hidden="1" outlineLevel="1" collapsed="1" x14ac:dyDescent="0.25">
      <c r="A4994" s="295" t="s">
        <v>282</v>
      </c>
      <c r="B4994" s="295" t="s">
        <v>376</v>
      </c>
      <c r="C4994" s="293">
        <v>4000</v>
      </c>
      <c r="D4994" s="293">
        <v>4000</v>
      </c>
      <c r="E4994" s="293">
        <v>0</v>
      </c>
      <c r="F4994" s="294" t="s">
        <v>316</v>
      </c>
    </row>
    <row r="4995" spans="1:6" hidden="1" outlineLevel="1" collapsed="1" x14ac:dyDescent="0.25">
      <c r="A4995" s="295" t="s">
        <v>282</v>
      </c>
      <c r="B4995" s="295" t="s">
        <v>567</v>
      </c>
      <c r="C4995" s="293">
        <v>202890</v>
      </c>
      <c r="D4995" s="293">
        <v>213450</v>
      </c>
      <c r="E4995" s="293">
        <v>10560</v>
      </c>
      <c r="F4995" s="294" t="s">
        <v>1571</v>
      </c>
    </row>
    <row r="4996" spans="1:6" hidden="1" outlineLevel="1" collapsed="1" x14ac:dyDescent="0.25">
      <c r="A4996" s="295" t="s">
        <v>282</v>
      </c>
      <c r="B4996" s="295" t="s">
        <v>426</v>
      </c>
      <c r="C4996" s="293">
        <v>9500</v>
      </c>
      <c r="D4996" s="293">
        <v>11200</v>
      </c>
      <c r="E4996" s="293">
        <v>1700</v>
      </c>
      <c r="F4996" s="294" t="s">
        <v>1804</v>
      </c>
    </row>
    <row r="4997" spans="1:6" hidden="1" outlineLevel="1" collapsed="1" x14ac:dyDescent="0.25">
      <c r="A4997" s="295" t="s">
        <v>282</v>
      </c>
      <c r="B4997" s="295" t="s">
        <v>1103</v>
      </c>
      <c r="C4997" s="293">
        <v>-12000</v>
      </c>
      <c r="D4997" s="293">
        <v>0</v>
      </c>
      <c r="E4997" s="293">
        <v>12000</v>
      </c>
      <c r="F4997" s="294" t="s">
        <v>286</v>
      </c>
    </row>
    <row r="4998" spans="1:6" hidden="1" outlineLevel="1" collapsed="1" x14ac:dyDescent="0.25">
      <c r="A4998" s="295" t="s">
        <v>282</v>
      </c>
      <c r="B4998" s="295" t="s">
        <v>952</v>
      </c>
      <c r="C4998" s="293">
        <v>1800</v>
      </c>
      <c r="D4998" s="293">
        <v>1200</v>
      </c>
      <c r="E4998" s="293">
        <v>-600</v>
      </c>
      <c r="F4998" s="294" t="s">
        <v>858</v>
      </c>
    </row>
    <row r="4999" spans="1:6" hidden="1" outlineLevel="1" collapsed="1" x14ac:dyDescent="0.25">
      <c r="A4999" s="295" t="s">
        <v>282</v>
      </c>
      <c r="B4999" s="295" t="s">
        <v>482</v>
      </c>
      <c r="C4999" s="293">
        <v>200</v>
      </c>
      <c r="D4999" s="293">
        <v>300</v>
      </c>
      <c r="E4999" s="293">
        <v>100</v>
      </c>
      <c r="F4999" s="294" t="s">
        <v>784</v>
      </c>
    </row>
    <row r="5000" spans="1:6" hidden="1" outlineLevel="1" collapsed="1" x14ac:dyDescent="0.25">
      <c r="A5000" s="295" t="s">
        <v>282</v>
      </c>
      <c r="B5000" s="295" t="s">
        <v>448</v>
      </c>
      <c r="C5000" s="293">
        <v>66200</v>
      </c>
      <c r="D5000" s="293">
        <v>48555</v>
      </c>
      <c r="E5000" s="293">
        <v>-17645</v>
      </c>
      <c r="F5000" s="294" t="s">
        <v>1805</v>
      </c>
    </row>
    <row r="5001" spans="1:6" hidden="1" outlineLevel="1" collapsed="1" x14ac:dyDescent="0.25">
      <c r="A5001" s="295" t="s">
        <v>282</v>
      </c>
      <c r="B5001" s="295" t="s">
        <v>616</v>
      </c>
      <c r="C5001" s="293">
        <v>0</v>
      </c>
      <c r="D5001" s="293">
        <v>0</v>
      </c>
      <c r="E5001" s="293">
        <v>0</v>
      </c>
      <c r="F5001" s="294" t="s">
        <v>316</v>
      </c>
    </row>
    <row r="5002" spans="1:6" hidden="1" outlineLevel="1" collapsed="1" x14ac:dyDescent="0.25">
      <c r="A5002" s="295" t="s">
        <v>282</v>
      </c>
      <c r="B5002" s="295" t="s">
        <v>1806</v>
      </c>
      <c r="C5002" s="293">
        <v>450</v>
      </c>
      <c r="D5002" s="293">
        <v>0</v>
      </c>
      <c r="E5002" s="293">
        <v>-450</v>
      </c>
      <c r="F5002" s="294" t="s">
        <v>286</v>
      </c>
    </row>
    <row r="5003" spans="1:6" hidden="1" outlineLevel="1" collapsed="1" x14ac:dyDescent="0.25">
      <c r="A5003" s="295" t="s">
        <v>282</v>
      </c>
      <c r="B5003" s="295" t="s">
        <v>405</v>
      </c>
      <c r="C5003" s="293">
        <v>104716</v>
      </c>
      <c r="D5003" s="293">
        <v>115000</v>
      </c>
      <c r="E5003" s="293">
        <v>10284</v>
      </c>
      <c r="F5003" s="294" t="s">
        <v>1807</v>
      </c>
    </row>
    <row r="5004" spans="1:6" hidden="1" outlineLevel="1" collapsed="1" x14ac:dyDescent="0.25">
      <c r="A5004" s="295" t="s">
        <v>282</v>
      </c>
      <c r="B5004" s="295" t="s">
        <v>770</v>
      </c>
      <c r="C5004" s="293">
        <v>500</v>
      </c>
      <c r="D5004" s="293">
        <v>0</v>
      </c>
      <c r="E5004" s="293">
        <v>-500</v>
      </c>
      <c r="F5004" s="294" t="s">
        <v>286</v>
      </c>
    </row>
    <row r="5005" spans="1:6" collapsed="1" x14ac:dyDescent="0.25">
      <c r="A5005" s="560" t="s">
        <v>1808</v>
      </c>
      <c r="B5005" s="561"/>
      <c r="C5005" s="292">
        <v>2031542.8120909999</v>
      </c>
      <c r="D5005" s="293">
        <v>2568393.853296</v>
      </c>
      <c r="E5005" s="293">
        <v>536851.04120500002</v>
      </c>
      <c r="F5005" s="294" t="s">
        <v>1809</v>
      </c>
    </row>
    <row r="5006" spans="1:6" hidden="1" outlineLevel="1" collapsed="1" x14ac:dyDescent="0.25">
      <c r="A5006" s="295" t="s">
        <v>282</v>
      </c>
      <c r="B5006" s="295" t="s">
        <v>441</v>
      </c>
      <c r="C5006" s="293">
        <v>4500</v>
      </c>
      <c r="D5006" s="293">
        <v>20000</v>
      </c>
      <c r="E5006" s="293">
        <v>15500</v>
      </c>
      <c r="F5006" s="294" t="s">
        <v>1810</v>
      </c>
    </row>
    <row r="5007" spans="1:6" hidden="1" outlineLevel="1" collapsed="1" x14ac:dyDescent="0.25">
      <c r="A5007" s="295" t="s">
        <v>282</v>
      </c>
      <c r="B5007" s="295" t="s">
        <v>942</v>
      </c>
      <c r="C5007" s="293">
        <v>-11132.522031</v>
      </c>
      <c r="D5007" s="293">
        <v>314511.21518399997</v>
      </c>
      <c r="E5007" s="293">
        <v>325643.73721499997</v>
      </c>
      <c r="F5007" s="294" t="s">
        <v>1811</v>
      </c>
    </row>
    <row r="5008" spans="1:6" hidden="1" outlineLevel="1" collapsed="1" x14ac:dyDescent="0.25">
      <c r="A5008" s="295" t="s">
        <v>282</v>
      </c>
      <c r="B5008" s="295" t="s">
        <v>1097</v>
      </c>
      <c r="C5008" s="293">
        <v>459570.03239800001</v>
      </c>
      <c r="D5008" s="293">
        <v>681510.45085000002</v>
      </c>
      <c r="E5008" s="293">
        <v>221940.41845200001</v>
      </c>
      <c r="F5008" s="294" t="s">
        <v>1812</v>
      </c>
    </row>
    <row r="5009" spans="1:6" hidden="1" outlineLevel="1" collapsed="1" x14ac:dyDescent="0.25">
      <c r="A5009" s="295" t="s">
        <v>282</v>
      </c>
      <c r="B5009" s="295" t="s">
        <v>464</v>
      </c>
      <c r="C5009" s="293">
        <v>39467.011028000001</v>
      </c>
      <c r="D5009" s="293">
        <v>40622.118236000002</v>
      </c>
      <c r="E5009" s="293">
        <v>1155.1072079999999</v>
      </c>
      <c r="F5009" s="294" t="s">
        <v>805</v>
      </c>
    </row>
    <row r="5010" spans="1:6" hidden="1" outlineLevel="1" collapsed="1" x14ac:dyDescent="0.25">
      <c r="A5010" s="295" t="s">
        <v>282</v>
      </c>
      <c r="B5010" s="295" t="s">
        <v>935</v>
      </c>
      <c r="C5010" s="293">
        <v>33000</v>
      </c>
      <c r="D5010" s="293">
        <v>30000</v>
      </c>
      <c r="E5010" s="293">
        <v>-3000</v>
      </c>
      <c r="F5010" s="294" t="s">
        <v>1813</v>
      </c>
    </row>
    <row r="5011" spans="1:6" hidden="1" outlineLevel="1" collapsed="1" x14ac:dyDescent="0.25">
      <c r="A5011" s="295" t="s">
        <v>282</v>
      </c>
      <c r="B5011" s="295" t="s">
        <v>475</v>
      </c>
      <c r="C5011" s="293">
        <v>5000</v>
      </c>
      <c r="D5011" s="293">
        <v>15000</v>
      </c>
      <c r="E5011" s="293">
        <v>10000</v>
      </c>
      <c r="F5011" s="294" t="s">
        <v>787</v>
      </c>
    </row>
    <row r="5012" spans="1:6" hidden="1" outlineLevel="1" collapsed="1" x14ac:dyDescent="0.25">
      <c r="A5012" s="295" t="s">
        <v>282</v>
      </c>
      <c r="B5012" s="295" t="s">
        <v>384</v>
      </c>
      <c r="C5012" s="293">
        <v>91098.638735</v>
      </c>
      <c r="D5012" s="293">
        <v>0</v>
      </c>
      <c r="E5012" s="293">
        <v>-91098.638735</v>
      </c>
      <c r="F5012" s="294" t="s">
        <v>286</v>
      </c>
    </row>
    <row r="5013" spans="1:6" hidden="1" outlineLevel="1" collapsed="1" x14ac:dyDescent="0.25">
      <c r="A5013" s="295" t="s">
        <v>282</v>
      </c>
      <c r="B5013" s="295" t="s">
        <v>385</v>
      </c>
      <c r="C5013" s="293">
        <v>0</v>
      </c>
      <c r="D5013" s="293">
        <v>163592.21783000001</v>
      </c>
      <c r="E5013" s="293">
        <v>163592.21783000001</v>
      </c>
      <c r="F5013" s="294" t="s">
        <v>298</v>
      </c>
    </row>
    <row r="5014" spans="1:6" hidden="1" outlineLevel="1" collapsed="1" x14ac:dyDescent="0.25">
      <c r="A5014" s="295" t="s">
        <v>282</v>
      </c>
      <c r="B5014" s="295" t="s">
        <v>386</v>
      </c>
      <c r="C5014" s="293">
        <v>45006.080253</v>
      </c>
      <c r="D5014" s="293">
        <v>0</v>
      </c>
      <c r="E5014" s="293">
        <v>-45006.080253</v>
      </c>
      <c r="F5014" s="294" t="s">
        <v>286</v>
      </c>
    </row>
    <row r="5015" spans="1:6" hidden="1" outlineLevel="1" collapsed="1" x14ac:dyDescent="0.25">
      <c r="A5015" s="295" t="s">
        <v>282</v>
      </c>
      <c r="B5015" s="295" t="s">
        <v>387</v>
      </c>
      <c r="C5015" s="293">
        <v>0</v>
      </c>
      <c r="D5015" s="293">
        <v>65053.114545999997</v>
      </c>
      <c r="E5015" s="293">
        <v>65053.114545999997</v>
      </c>
      <c r="F5015" s="294" t="s">
        <v>298</v>
      </c>
    </row>
    <row r="5016" spans="1:6" hidden="1" outlineLevel="1" collapsed="1" x14ac:dyDescent="0.25">
      <c r="A5016" s="295" t="s">
        <v>282</v>
      </c>
      <c r="B5016" s="295" t="s">
        <v>388</v>
      </c>
      <c r="C5016" s="293">
        <v>10525.615495</v>
      </c>
      <c r="D5016" s="293">
        <v>15214.034815000001</v>
      </c>
      <c r="E5016" s="293">
        <v>4688.41932</v>
      </c>
      <c r="F5016" s="294" t="s">
        <v>1814</v>
      </c>
    </row>
    <row r="5017" spans="1:6" hidden="1" outlineLevel="1" collapsed="1" x14ac:dyDescent="0.25">
      <c r="A5017" s="295" t="s">
        <v>282</v>
      </c>
      <c r="B5017" s="295" t="s">
        <v>389</v>
      </c>
      <c r="C5017" s="293">
        <v>4332.2687999999998</v>
      </c>
      <c r="D5017" s="293">
        <v>5064.4799999999996</v>
      </c>
      <c r="E5017" s="293">
        <v>732.21119999999996</v>
      </c>
      <c r="F5017" s="294" t="s">
        <v>1815</v>
      </c>
    </row>
    <row r="5018" spans="1:6" hidden="1" outlineLevel="1" collapsed="1" x14ac:dyDescent="0.25">
      <c r="A5018" s="295" t="s">
        <v>282</v>
      </c>
      <c r="B5018" s="295" t="s">
        <v>390</v>
      </c>
      <c r="C5018" s="293">
        <v>126695.34</v>
      </c>
      <c r="D5018" s="293">
        <v>159592.79999999999</v>
      </c>
      <c r="E5018" s="293">
        <v>32897.46</v>
      </c>
      <c r="F5018" s="294" t="s">
        <v>1816</v>
      </c>
    </row>
    <row r="5019" spans="1:6" hidden="1" outlineLevel="1" collapsed="1" x14ac:dyDescent="0.25">
      <c r="A5019" s="295" t="s">
        <v>282</v>
      </c>
      <c r="B5019" s="295" t="s">
        <v>392</v>
      </c>
      <c r="C5019" s="293">
        <v>2374.3152</v>
      </c>
      <c r="D5019" s="293">
        <v>2194.56</v>
      </c>
      <c r="E5019" s="293">
        <v>-179.7552</v>
      </c>
      <c r="F5019" s="294" t="s">
        <v>1817</v>
      </c>
    </row>
    <row r="5020" spans="1:6" hidden="1" outlineLevel="1" collapsed="1" x14ac:dyDescent="0.25">
      <c r="A5020" s="295" t="s">
        <v>282</v>
      </c>
      <c r="B5020" s="295" t="s">
        <v>393</v>
      </c>
      <c r="C5020" s="293">
        <v>362.95221299999997</v>
      </c>
      <c r="D5020" s="293">
        <v>524.62183500000003</v>
      </c>
      <c r="E5020" s="293">
        <v>161.669622</v>
      </c>
      <c r="F5020" s="294" t="s">
        <v>1814</v>
      </c>
    </row>
    <row r="5021" spans="1:6" hidden="1" outlineLevel="1" collapsed="1" x14ac:dyDescent="0.25">
      <c r="A5021" s="295" t="s">
        <v>282</v>
      </c>
      <c r="B5021" s="295" t="s">
        <v>394</v>
      </c>
      <c r="C5021" s="293">
        <v>15250</v>
      </c>
      <c r="D5021" s="293">
        <v>0</v>
      </c>
      <c r="E5021" s="293">
        <v>-15250</v>
      </c>
      <c r="F5021" s="294" t="s">
        <v>286</v>
      </c>
    </row>
    <row r="5022" spans="1:6" hidden="1" outlineLevel="1" collapsed="1" x14ac:dyDescent="0.25">
      <c r="A5022" s="295" t="s">
        <v>282</v>
      </c>
      <c r="B5022" s="295" t="s">
        <v>395</v>
      </c>
      <c r="C5022" s="293">
        <v>0</v>
      </c>
      <c r="D5022" s="293">
        <v>18000</v>
      </c>
      <c r="E5022" s="293">
        <v>18000</v>
      </c>
      <c r="F5022" s="294" t="s">
        <v>298</v>
      </c>
    </row>
    <row r="5023" spans="1:6" hidden="1" outlineLevel="1" collapsed="1" x14ac:dyDescent="0.25">
      <c r="A5023" s="295" t="s">
        <v>282</v>
      </c>
      <c r="B5023" s="295" t="s">
        <v>396</v>
      </c>
      <c r="C5023" s="293">
        <v>505.08</v>
      </c>
      <c r="D5023" s="293">
        <v>0</v>
      </c>
      <c r="E5023" s="293">
        <v>-505.08</v>
      </c>
      <c r="F5023" s="294" t="s">
        <v>286</v>
      </c>
    </row>
    <row r="5024" spans="1:6" hidden="1" outlineLevel="1" collapsed="1" x14ac:dyDescent="0.25">
      <c r="A5024" s="295" t="s">
        <v>282</v>
      </c>
      <c r="B5024" s="295" t="s">
        <v>397</v>
      </c>
      <c r="C5024" s="293">
        <v>0</v>
      </c>
      <c r="D5024" s="293">
        <v>581.76</v>
      </c>
      <c r="E5024" s="293">
        <v>581.76</v>
      </c>
      <c r="F5024" s="294" t="s">
        <v>298</v>
      </c>
    </row>
    <row r="5025" spans="1:6" hidden="1" outlineLevel="1" collapsed="1" x14ac:dyDescent="0.25">
      <c r="A5025" s="295" t="s">
        <v>282</v>
      </c>
      <c r="B5025" s="295" t="s">
        <v>398</v>
      </c>
      <c r="C5025" s="293">
        <v>244</v>
      </c>
      <c r="D5025" s="293">
        <v>132.47999999999999</v>
      </c>
      <c r="E5025" s="293">
        <v>-111.52</v>
      </c>
      <c r="F5025" s="294" t="s">
        <v>1818</v>
      </c>
    </row>
    <row r="5026" spans="1:6" hidden="1" outlineLevel="1" collapsed="1" x14ac:dyDescent="0.25">
      <c r="A5026" s="295" t="s">
        <v>282</v>
      </c>
      <c r="B5026" s="295" t="s">
        <v>522</v>
      </c>
      <c r="C5026" s="293">
        <v>6000</v>
      </c>
      <c r="D5026" s="293">
        <v>6000</v>
      </c>
      <c r="E5026" s="293">
        <v>0</v>
      </c>
      <c r="F5026" s="294" t="s">
        <v>316</v>
      </c>
    </row>
    <row r="5027" spans="1:6" hidden="1" outlineLevel="1" collapsed="1" x14ac:dyDescent="0.25">
      <c r="A5027" s="295" t="s">
        <v>282</v>
      </c>
      <c r="B5027" s="295" t="s">
        <v>399</v>
      </c>
      <c r="C5027" s="293">
        <v>2400</v>
      </c>
      <c r="D5027" s="293">
        <v>2400</v>
      </c>
      <c r="E5027" s="293">
        <v>0</v>
      </c>
      <c r="F5027" s="294" t="s">
        <v>316</v>
      </c>
    </row>
    <row r="5028" spans="1:6" hidden="1" outlineLevel="1" collapsed="1" x14ac:dyDescent="0.25">
      <c r="A5028" s="295" t="s">
        <v>282</v>
      </c>
      <c r="B5028" s="295" t="s">
        <v>375</v>
      </c>
      <c r="C5028" s="293">
        <v>1500</v>
      </c>
      <c r="D5028" s="293">
        <v>5500</v>
      </c>
      <c r="E5028" s="293">
        <v>4000</v>
      </c>
      <c r="F5028" s="294" t="s">
        <v>1819</v>
      </c>
    </row>
    <row r="5029" spans="1:6" hidden="1" outlineLevel="1" collapsed="1" x14ac:dyDescent="0.25">
      <c r="A5029" s="295" t="s">
        <v>282</v>
      </c>
      <c r="B5029" s="295" t="s">
        <v>431</v>
      </c>
      <c r="C5029" s="293">
        <v>62</v>
      </c>
      <c r="D5029" s="293">
        <v>200</v>
      </c>
      <c r="E5029" s="293">
        <v>138</v>
      </c>
      <c r="F5029" s="294" t="s">
        <v>1820</v>
      </c>
    </row>
    <row r="5030" spans="1:6" hidden="1" outlineLevel="1" collapsed="1" x14ac:dyDescent="0.25">
      <c r="A5030" s="295" t="s">
        <v>282</v>
      </c>
      <c r="B5030" s="295" t="s">
        <v>376</v>
      </c>
      <c r="C5030" s="293">
        <v>10500</v>
      </c>
      <c r="D5030" s="293">
        <v>15000</v>
      </c>
      <c r="E5030" s="293">
        <v>4500</v>
      </c>
      <c r="F5030" s="294" t="s">
        <v>1447</v>
      </c>
    </row>
    <row r="5031" spans="1:6" hidden="1" outlineLevel="1" collapsed="1" x14ac:dyDescent="0.25">
      <c r="A5031" s="295" t="s">
        <v>282</v>
      </c>
      <c r="B5031" s="295" t="s">
        <v>1050</v>
      </c>
      <c r="C5031" s="293">
        <v>0</v>
      </c>
      <c r="D5031" s="293">
        <v>2000</v>
      </c>
      <c r="E5031" s="293">
        <v>2000</v>
      </c>
      <c r="F5031" s="294" t="s">
        <v>298</v>
      </c>
    </row>
    <row r="5032" spans="1:6" hidden="1" outlineLevel="1" collapsed="1" x14ac:dyDescent="0.25">
      <c r="A5032" s="295" t="s">
        <v>282</v>
      </c>
      <c r="B5032" s="295" t="s">
        <v>662</v>
      </c>
      <c r="C5032" s="293">
        <v>0</v>
      </c>
      <c r="D5032" s="293">
        <v>3500</v>
      </c>
      <c r="E5032" s="293">
        <v>3500</v>
      </c>
      <c r="F5032" s="294" t="s">
        <v>298</v>
      </c>
    </row>
    <row r="5033" spans="1:6" hidden="1" outlineLevel="1" collapsed="1" x14ac:dyDescent="0.25">
      <c r="A5033" s="295" t="s">
        <v>282</v>
      </c>
      <c r="B5033" s="295" t="s">
        <v>567</v>
      </c>
      <c r="C5033" s="293">
        <v>310000</v>
      </c>
      <c r="D5033" s="293">
        <v>325000</v>
      </c>
      <c r="E5033" s="293">
        <v>15000</v>
      </c>
      <c r="F5033" s="294" t="s">
        <v>1684</v>
      </c>
    </row>
    <row r="5034" spans="1:6" hidden="1" outlineLevel="1" collapsed="1" x14ac:dyDescent="0.25">
      <c r="A5034" s="295" t="s">
        <v>282</v>
      </c>
      <c r="B5034" s="295" t="s">
        <v>426</v>
      </c>
      <c r="C5034" s="293">
        <v>30200</v>
      </c>
      <c r="D5034" s="293">
        <v>58200</v>
      </c>
      <c r="E5034" s="293">
        <v>28000</v>
      </c>
      <c r="F5034" s="294" t="s">
        <v>1821</v>
      </c>
    </row>
    <row r="5035" spans="1:6" hidden="1" outlineLevel="1" collapsed="1" x14ac:dyDescent="0.25">
      <c r="A5035" s="295" t="s">
        <v>282</v>
      </c>
      <c r="B5035" s="295" t="s">
        <v>1103</v>
      </c>
      <c r="C5035" s="293">
        <v>-5000</v>
      </c>
      <c r="D5035" s="293">
        <v>12000</v>
      </c>
      <c r="E5035" s="293">
        <v>17000</v>
      </c>
      <c r="F5035" s="294" t="s">
        <v>1822</v>
      </c>
    </row>
    <row r="5036" spans="1:6" hidden="1" outlineLevel="1" collapsed="1" x14ac:dyDescent="0.25">
      <c r="A5036" s="295" t="s">
        <v>282</v>
      </c>
      <c r="B5036" s="295" t="s">
        <v>952</v>
      </c>
      <c r="C5036" s="293">
        <v>2100</v>
      </c>
      <c r="D5036" s="293">
        <v>1200</v>
      </c>
      <c r="E5036" s="293">
        <v>-900</v>
      </c>
      <c r="F5036" s="294" t="s">
        <v>311</v>
      </c>
    </row>
    <row r="5037" spans="1:6" hidden="1" outlineLevel="1" collapsed="1" x14ac:dyDescent="0.25">
      <c r="A5037" s="295" t="s">
        <v>282</v>
      </c>
      <c r="B5037" s="295" t="s">
        <v>482</v>
      </c>
      <c r="C5037" s="293">
        <v>15000</v>
      </c>
      <c r="D5037" s="293">
        <v>15000</v>
      </c>
      <c r="E5037" s="293">
        <v>0</v>
      </c>
      <c r="F5037" s="294" t="s">
        <v>316</v>
      </c>
    </row>
    <row r="5038" spans="1:6" hidden="1" outlineLevel="1" collapsed="1" x14ac:dyDescent="0.25">
      <c r="A5038" s="295" t="s">
        <v>282</v>
      </c>
      <c r="B5038" s="295" t="s">
        <v>597</v>
      </c>
      <c r="C5038" s="293">
        <v>3300</v>
      </c>
      <c r="D5038" s="293">
        <v>12000</v>
      </c>
      <c r="E5038" s="293">
        <v>8700</v>
      </c>
      <c r="F5038" s="294" t="s">
        <v>1823</v>
      </c>
    </row>
    <row r="5039" spans="1:6" hidden="1" outlineLevel="1" collapsed="1" x14ac:dyDescent="0.25">
      <c r="A5039" s="295" t="s">
        <v>282</v>
      </c>
      <c r="B5039" s="295" t="s">
        <v>843</v>
      </c>
      <c r="C5039" s="293">
        <v>7000</v>
      </c>
      <c r="D5039" s="293">
        <v>7000</v>
      </c>
      <c r="E5039" s="293">
        <v>0</v>
      </c>
      <c r="F5039" s="294" t="s">
        <v>316</v>
      </c>
    </row>
    <row r="5040" spans="1:6" hidden="1" outlineLevel="1" collapsed="1" x14ac:dyDescent="0.25">
      <c r="A5040" s="295" t="s">
        <v>282</v>
      </c>
      <c r="B5040" s="295" t="s">
        <v>416</v>
      </c>
      <c r="C5040" s="293">
        <v>4200</v>
      </c>
      <c r="D5040" s="293">
        <v>7500</v>
      </c>
      <c r="E5040" s="293">
        <v>3300</v>
      </c>
      <c r="F5040" s="294" t="s">
        <v>1824</v>
      </c>
    </row>
    <row r="5041" spans="1:6" hidden="1" outlineLevel="1" collapsed="1" x14ac:dyDescent="0.25">
      <c r="A5041" s="295" t="s">
        <v>282</v>
      </c>
      <c r="B5041" s="295" t="s">
        <v>543</v>
      </c>
      <c r="C5041" s="293">
        <v>1800</v>
      </c>
      <c r="D5041" s="293">
        <v>1800</v>
      </c>
      <c r="E5041" s="293">
        <v>0</v>
      </c>
      <c r="F5041" s="294" t="s">
        <v>316</v>
      </c>
    </row>
    <row r="5042" spans="1:6" hidden="1" outlineLevel="1" collapsed="1" x14ac:dyDescent="0.25">
      <c r="A5042" s="295" t="s">
        <v>282</v>
      </c>
      <c r="B5042" s="295" t="s">
        <v>448</v>
      </c>
      <c r="C5042" s="293">
        <v>79938</v>
      </c>
      <c r="D5042" s="293">
        <v>80000</v>
      </c>
      <c r="E5042" s="293">
        <v>62</v>
      </c>
      <c r="F5042" s="294" t="s">
        <v>518</v>
      </c>
    </row>
    <row r="5043" spans="1:6" hidden="1" outlineLevel="1" collapsed="1" x14ac:dyDescent="0.25">
      <c r="A5043" s="295" t="s">
        <v>282</v>
      </c>
      <c r="B5043" s="295" t="s">
        <v>403</v>
      </c>
      <c r="C5043" s="293">
        <v>1500</v>
      </c>
      <c r="D5043" s="293">
        <v>1500</v>
      </c>
      <c r="E5043" s="293">
        <v>0</v>
      </c>
      <c r="F5043" s="294" t="s">
        <v>316</v>
      </c>
    </row>
    <row r="5044" spans="1:6" hidden="1" outlineLevel="1" collapsed="1" x14ac:dyDescent="0.25">
      <c r="A5044" s="295" t="s">
        <v>282</v>
      </c>
      <c r="B5044" s="295" t="s">
        <v>404</v>
      </c>
      <c r="C5044" s="293">
        <v>695000</v>
      </c>
      <c r="D5044" s="293">
        <v>370000</v>
      </c>
      <c r="E5044" s="293">
        <v>-325000</v>
      </c>
      <c r="F5044" s="294" t="s">
        <v>1825</v>
      </c>
    </row>
    <row r="5045" spans="1:6" hidden="1" outlineLevel="1" collapsed="1" x14ac:dyDescent="0.25">
      <c r="A5045" s="295" t="s">
        <v>282</v>
      </c>
      <c r="B5045" s="295" t="s">
        <v>626</v>
      </c>
      <c r="C5045" s="293">
        <v>17000</v>
      </c>
      <c r="D5045" s="293">
        <v>35000</v>
      </c>
      <c r="E5045" s="293">
        <v>18000</v>
      </c>
      <c r="F5045" s="294" t="s">
        <v>1826</v>
      </c>
    </row>
    <row r="5046" spans="1:6" hidden="1" outlineLevel="1" collapsed="1" x14ac:dyDescent="0.25">
      <c r="A5046" s="295" t="s">
        <v>282</v>
      </c>
      <c r="B5046" s="295" t="s">
        <v>1176</v>
      </c>
      <c r="C5046" s="293">
        <v>6000</v>
      </c>
      <c r="D5046" s="293">
        <v>6000</v>
      </c>
      <c r="E5046" s="293">
        <v>0</v>
      </c>
      <c r="F5046" s="294" t="s">
        <v>316</v>
      </c>
    </row>
    <row r="5047" spans="1:6" hidden="1" outlineLevel="1" collapsed="1" x14ac:dyDescent="0.25">
      <c r="A5047" s="295" t="s">
        <v>282</v>
      </c>
      <c r="B5047" s="295" t="s">
        <v>405</v>
      </c>
      <c r="C5047" s="293">
        <v>9744</v>
      </c>
      <c r="D5047" s="293">
        <v>50000</v>
      </c>
      <c r="E5047" s="293">
        <v>40256</v>
      </c>
      <c r="F5047" s="294" t="s">
        <v>1827</v>
      </c>
    </row>
    <row r="5048" spans="1:6" hidden="1" outlineLevel="1" collapsed="1" x14ac:dyDescent="0.25">
      <c r="A5048" s="295" t="s">
        <v>282</v>
      </c>
      <c r="B5048" s="295" t="s">
        <v>557</v>
      </c>
      <c r="C5048" s="293">
        <v>1500</v>
      </c>
      <c r="D5048" s="293">
        <v>15000</v>
      </c>
      <c r="E5048" s="293">
        <v>13500</v>
      </c>
      <c r="F5048" s="294" t="s">
        <v>785</v>
      </c>
    </row>
    <row r="5049" spans="1:6" hidden="1" outlineLevel="1" collapsed="1" x14ac:dyDescent="0.25">
      <c r="A5049" s="295" t="s">
        <v>282</v>
      </c>
      <c r="B5049" s="295" t="s">
        <v>422</v>
      </c>
      <c r="C5049" s="293">
        <v>3000</v>
      </c>
      <c r="D5049" s="293">
        <v>3000</v>
      </c>
      <c r="E5049" s="293">
        <v>0</v>
      </c>
      <c r="F5049" s="294" t="s">
        <v>316</v>
      </c>
    </row>
    <row r="5050" spans="1:6" hidden="1" outlineLevel="1" collapsed="1" x14ac:dyDescent="0.25">
      <c r="A5050" s="295" t="s">
        <v>282</v>
      </c>
      <c r="B5050" s="295" t="s">
        <v>770</v>
      </c>
      <c r="C5050" s="293">
        <v>2000</v>
      </c>
      <c r="D5050" s="293">
        <v>2000</v>
      </c>
      <c r="E5050" s="293">
        <v>0</v>
      </c>
      <c r="F5050" s="294" t="s">
        <v>316</v>
      </c>
    </row>
    <row r="5051" spans="1:6" collapsed="1" x14ac:dyDescent="0.25">
      <c r="A5051" s="560" t="s">
        <v>1828</v>
      </c>
      <c r="B5051" s="561"/>
      <c r="C5051" s="292">
        <v>118000</v>
      </c>
      <c r="D5051" s="293">
        <v>122000</v>
      </c>
      <c r="E5051" s="293">
        <v>4000</v>
      </c>
      <c r="F5051" s="294" t="s">
        <v>1829</v>
      </c>
    </row>
    <row r="5052" spans="1:6" hidden="1" outlineLevel="1" collapsed="1" x14ac:dyDescent="0.25">
      <c r="A5052" s="295" t="s">
        <v>282</v>
      </c>
      <c r="B5052" s="295" t="s">
        <v>1830</v>
      </c>
      <c r="C5052" s="293">
        <v>59000</v>
      </c>
      <c r="D5052" s="293">
        <v>70000</v>
      </c>
      <c r="E5052" s="293">
        <v>11000</v>
      </c>
      <c r="F5052" s="294" t="s">
        <v>1831</v>
      </c>
    </row>
    <row r="5053" spans="1:6" hidden="1" outlineLevel="1" collapsed="1" x14ac:dyDescent="0.25">
      <c r="A5053" s="295" t="s">
        <v>282</v>
      </c>
      <c r="B5053" s="295" t="s">
        <v>1832</v>
      </c>
      <c r="C5053" s="293">
        <v>22000</v>
      </c>
      <c r="D5053" s="293">
        <v>35000</v>
      </c>
      <c r="E5053" s="293">
        <v>13000</v>
      </c>
      <c r="F5053" s="294" t="s">
        <v>1833</v>
      </c>
    </row>
    <row r="5054" spans="1:6" hidden="1" outlineLevel="1" collapsed="1" x14ac:dyDescent="0.25">
      <c r="A5054" s="295" t="s">
        <v>282</v>
      </c>
      <c r="B5054" s="295" t="s">
        <v>1834</v>
      </c>
      <c r="C5054" s="293">
        <v>18000</v>
      </c>
      <c r="D5054" s="293">
        <v>7000</v>
      </c>
      <c r="E5054" s="293">
        <v>-11000</v>
      </c>
      <c r="F5054" s="294" t="s">
        <v>1019</v>
      </c>
    </row>
    <row r="5055" spans="1:6" hidden="1" outlineLevel="1" collapsed="1" x14ac:dyDescent="0.25">
      <c r="A5055" s="295" t="s">
        <v>282</v>
      </c>
      <c r="B5055" s="295" t="s">
        <v>1835</v>
      </c>
      <c r="C5055" s="293">
        <v>11000</v>
      </c>
      <c r="D5055" s="293">
        <v>5000</v>
      </c>
      <c r="E5055" s="293">
        <v>-6000</v>
      </c>
      <c r="F5055" s="294" t="s">
        <v>1836</v>
      </c>
    </row>
    <row r="5056" spans="1:6" hidden="1" outlineLevel="1" collapsed="1" x14ac:dyDescent="0.25">
      <c r="A5056" s="295" t="s">
        <v>282</v>
      </c>
      <c r="B5056" s="295" t="s">
        <v>1837</v>
      </c>
      <c r="C5056" s="293">
        <v>8000</v>
      </c>
      <c r="D5056" s="293">
        <v>5000</v>
      </c>
      <c r="E5056" s="293">
        <v>-3000</v>
      </c>
      <c r="F5056" s="294" t="s">
        <v>1650</v>
      </c>
    </row>
    <row r="5057" spans="1:6" collapsed="1" x14ac:dyDescent="0.25">
      <c r="A5057" s="560" t="s">
        <v>1838</v>
      </c>
      <c r="B5057" s="561"/>
      <c r="C5057" s="292">
        <v>41571</v>
      </c>
      <c r="D5057" s="293">
        <v>41975</v>
      </c>
      <c r="E5057" s="293">
        <v>404</v>
      </c>
      <c r="F5057" s="294" t="s">
        <v>1839</v>
      </c>
    </row>
    <row r="5058" spans="1:6" hidden="1" outlineLevel="1" collapsed="1" x14ac:dyDescent="0.25">
      <c r="A5058" s="295" t="s">
        <v>282</v>
      </c>
      <c r="B5058" s="295" t="s">
        <v>376</v>
      </c>
      <c r="C5058" s="293">
        <v>9000</v>
      </c>
      <c r="D5058" s="293">
        <v>9500</v>
      </c>
      <c r="E5058" s="293">
        <v>500</v>
      </c>
      <c r="F5058" s="294" t="s">
        <v>526</v>
      </c>
    </row>
    <row r="5059" spans="1:6" hidden="1" outlineLevel="1" collapsed="1" x14ac:dyDescent="0.25">
      <c r="A5059" s="295" t="s">
        <v>282</v>
      </c>
      <c r="B5059" s="295" t="s">
        <v>567</v>
      </c>
      <c r="C5059" s="293">
        <v>4900</v>
      </c>
      <c r="D5059" s="293">
        <v>5000</v>
      </c>
      <c r="E5059" s="293">
        <v>100</v>
      </c>
      <c r="F5059" s="294" t="s">
        <v>607</v>
      </c>
    </row>
    <row r="5060" spans="1:6" hidden="1" outlineLevel="1" collapsed="1" x14ac:dyDescent="0.25">
      <c r="A5060" s="295" t="s">
        <v>282</v>
      </c>
      <c r="B5060" s="295" t="s">
        <v>842</v>
      </c>
      <c r="C5060" s="293">
        <v>16950</v>
      </c>
      <c r="D5060" s="293">
        <v>17300</v>
      </c>
      <c r="E5060" s="293">
        <v>350</v>
      </c>
      <c r="F5060" s="294" t="s">
        <v>1840</v>
      </c>
    </row>
    <row r="5061" spans="1:6" hidden="1" outlineLevel="1" collapsed="1" x14ac:dyDescent="0.25">
      <c r="A5061" s="295" t="s">
        <v>282</v>
      </c>
      <c r="B5061" s="295" t="s">
        <v>416</v>
      </c>
      <c r="C5061" s="293">
        <v>6750</v>
      </c>
      <c r="D5061" s="293">
        <v>6700</v>
      </c>
      <c r="E5061" s="293">
        <v>-50</v>
      </c>
      <c r="F5061" s="294" t="s">
        <v>1841</v>
      </c>
    </row>
    <row r="5062" spans="1:6" hidden="1" outlineLevel="1" collapsed="1" x14ac:dyDescent="0.25">
      <c r="A5062" s="295" t="s">
        <v>282</v>
      </c>
      <c r="B5062" s="295" t="s">
        <v>543</v>
      </c>
      <c r="C5062" s="293">
        <v>3225</v>
      </c>
      <c r="D5062" s="293">
        <v>3100</v>
      </c>
      <c r="E5062" s="293">
        <v>-125</v>
      </c>
      <c r="F5062" s="294" t="s">
        <v>1356</v>
      </c>
    </row>
    <row r="5063" spans="1:6" hidden="1" outlineLevel="1" collapsed="1" x14ac:dyDescent="0.25">
      <c r="A5063" s="295" t="s">
        <v>282</v>
      </c>
      <c r="B5063" s="295" t="s">
        <v>901</v>
      </c>
      <c r="C5063" s="293">
        <v>296</v>
      </c>
      <c r="D5063" s="293">
        <v>0</v>
      </c>
      <c r="E5063" s="293">
        <v>-296</v>
      </c>
      <c r="F5063" s="294" t="s">
        <v>286</v>
      </c>
    </row>
    <row r="5064" spans="1:6" hidden="1" outlineLevel="1" collapsed="1" x14ac:dyDescent="0.25">
      <c r="A5064" s="295" t="s">
        <v>282</v>
      </c>
      <c r="B5064" s="295" t="s">
        <v>405</v>
      </c>
      <c r="C5064" s="293">
        <v>450</v>
      </c>
      <c r="D5064" s="293">
        <v>375</v>
      </c>
      <c r="E5064" s="293">
        <v>-75</v>
      </c>
      <c r="F5064" s="294" t="s">
        <v>852</v>
      </c>
    </row>
    <row r="5065" spans="1:6" collapsed="1" x14ac:dyDescent="0.25">
      <c r="A5065" s="560" t="s">
        <v>1842</v>
      </c>
      <c r="B5065" s="561"/>
      <c r="C5065" s="292">
        <v>451768.51918499998</v>
      </c>
      <c r="D5065" s="293">
        <v>463714.62859099999</v>
      </c>
      <c r="E5065" s="293">
        <v>11946.109406</v>
      </c>
      <c r="F5065" s="294" t="s">
        <v>1843</v>
      </c>
    </row>
    <row r="5066" spans="1:6" hidden="1" outlineLevel="1" collapsed="1" x14ac:dyDescent="0.25">
      <c r="A5066" s="295" t="s">
        <v>282</v>
      </c>
      <c r="B5066" s="295" t="s">
        <v>1844</v>
      </c>
      <c r="C5066" s="293">
        <v>2000</v>
      </c>
      <c r="D5066" s="293">
        <v>0</v>
      </c>
      <c r="E5066" s="293">
        <v>-2000</v>
      </c>
      <c r="F5066" s="294" t="s">
        <v>286</v>
      </c>
    </row>
    <row r="5067" spans="1:6" hidden="1" outlineLevel="1" collapsed="1" x14ac:dyDescent="0.25">
      <c r="A5067" s="295" t="s">
        <v>282</v>
      </c>
      <c r="B5067" s="295" t="s">
        <v>942</v>
      </c>
      <c r="C5067" s="293">
        <v>110159.97823199999</v>
      </c>
      <c r="D5067" s="293">
        <v>117401.352636</v>
      </c>
      <c r="E5067" s="293">
        <v>7241.3744040000001</v>
      </c>
      <c r="F5067" s="294" t="s">
        <v>816</v>
      </c>
    </row>
    <row r="5068" spans="1:6" hidden="1" outlineLevel="1" collapsed="1" x14ac:dyDescent="0.25">
      <c r="A5068" s="295" t="s">
        <v>282</v>
      </c>
      <c r="B5068" s="295" t="s">
        <v>1097</v>
      </c>
      <c r="C5068" s="293">
        <v>59736.622395999999</v>
      </c>
      <c r="D5068" s="293">
        <v>63664.225207000003</v>
      </c>
      <c r="E5068" s="293">
        <v>3927.6028110000002</v>
      </c>
      <c r="F5068" s="294" t="s">
        <v>816</v>
      </c>
    </row>
    <row r="5069" spans="1:6" hidden="1" outlineLevel="1" collapsed="1" x14ac:dyDescent="0.25">
      <c r="A5069" s="295" t="s">
        <v>282</v>
      </c>
      <c r="B5069" s="295" t="s">
        <v>935</v>
      </c>
      <c r="C5069" s="293">
        <v>67200</v>
      </c>
      <c r="D5069" s="293">
        <v>0</v>
      </c>
      <c r="E5069" s="293">
        <v>-67200</v>
      </c>
      <c r="F5069" s="294" t="s">
        <v>286</v>
      </c>
    </row>
    <row r="5070" spans="1:6" hidden="1" outlineLevel="1" collapsed="1" x14ac:dyDescent="0.25">
      <c r="A5070" s="295" t="s">
        <v>282</v>
      </c>
      <c r="B5070" s="295" t="s">
        <v>384</v>
      </c>
      <c r="C5070" s="293">
        <v>30142.992344999999</v>
      </c>
      <c r="D5070" s="293">
        <v>0</v>
      </c>
      <c r="E5070" s="293">
        <v>-30142.992344999999</v>
      </c>
      <c r="F5070" s="294" t="s">
        <v>286</v>
      </c>
    </row>
    <row r="5071" spans="1:6" hidden="1" outlineLevel="1" collapsed="1" x14ac:dyDescent="0.25">
      <c r="A5071" s="295" t="s">
        <v>282</v>
      </c>
      <c r="B5071" s="295" t="s">
        <v>385</v>
      </c>
      <c r="C5071" s="293">
        <v>0</v>
      </c>
      <c r="D5071" s="293">
        <v>28608.361284999999</v>
      </c>
      <c r="E5071" s="293">
        <v>28608.361284999999</v>
      </c>
      <c r="F5071" s="294" t="s">
        <v>298</v>
      </c>
    </row>
    <row r="5072" spans="1:6" hidden="1" outlineLevel="1" collapsed="1" x14ac:dyDescent="0.25">
      <c r="A5072" s="295" t="s">
        <v>282</v>
      </c>
      <c r="B5072" s="295" t="s">
        <v>386</v>
      </c>
      <c r="C5072" s="293">
        <v>14736.789225</v>
      </c>
      <c r="D5072" s="293">
        <v>0</v>
      </c>
      <c r="E5072" s="293">
        <v>-14736.789225</v>
      </c>
      <c r="F5072" s="294" t="s">
        <v>286</v>
      </c>
    </row>
    <row r="5073" spans="1:6" hidden="1" outlineLevel="1" collapsed="1" x14ac:dyDescent="0.25">
      <c r="A5073" s="295" t="s">
        <v>282</v>
      </c>
      <c r="B5073" s="295" t="s">
        <v>387</v>
      </c>
      <c r="C5073" s="293">
        <v>0</v>
      </c>
      <c r="D5073" s="293">
        <v>11263.265815999999</v>
      </c>
      <c r="E5073" s="293">
        <v>11263.265815999999</v>
      </c>
      <c r="F5073" s="294" t="s">
        <v>298</v>
      </c>
    </row>
    <row r="5074" spans="1:6" hidden="1" outlineLevel="1" collapsed="1" x14ac:dyDescent="0.25">
      <c r="A5074" s="295" t="s">
        <v>282</v>
      </c>
      <c r="B5074" s="295" t="s">
        <v>388</v>
      </c>
      <c r="C5074" s="293">
        <v>3446.2006900000001</v>
      </c>
      <c r="D5074" s="293">
        <v>2634.150866</v>
      </c>
      <c r="E5074" s="293">
        <v>-812.04982399999994</v>
      </c>
      <c r="F5074" s="294" t="s">
        <v>1845</v>
      </c>
    </row>
    <row r="5075" spans="1:6" hidden="1" outlineLevel="1" collapsed="1" x14ac:dyDescent="0.25">
      <c r="A5075" s="295" t="s">
        <v>282</v>
      </c>
      <c r="B5075" s="295" t="s">
        <v>389</v>
      </c>
      <c r="C5075" s="293">
        <v>852.24959999999999</v>
      </c>
      <c r="D5075" s="293">
        <v>844.08</v>
      </c>
      <c r="E5075" s="293">
        <v>-8.1696000000000009</v>
      </c>
      <c r="F5075" s="294" t="s">
        <v>364</v>
      </c>
    </row>
    <row r="5076" spans="1:6" hidden="1" outlineLevel="1" collapsed="1" x14ac:dyDescent="0.25">
      <c r="A5076" s="295" t="s">
        <v>282</v>
      </c>
      <c r="B5076" s="295" t="s">
        <v>390</v>
      </c>
      <c r="C5076" s="293">
        <v>0</v>
      </c>
      <c r="D5076" s="293">
        <v>31918.560000000001</v>
      </c>
      <c r="E5076" s="293">
        <v>31918.560000000001</v>
      </c>
      <c r="F5076" s="294" t="s">
        <v>298</v>
      </c>
    </row>
    <row r="5077" spans="1:6" hidden="1" outlineLevel="1" collapsed="1" x14ac:dyDescent="0.25">
      <c r="A5077" s="295" t="s">
        <v>282</v>
      </c>
      <c r="B5077" s="295" t="s">
        <v>392</v>
      </c>
      <c r="C5077" s="293">
        <v>467.07839999999999</v>
      </c>
      <c r="D5077" s="293">
        <v>365.76</v>
      </c>
      <c r="E5077" s="293">
        <v>-101.3184</v>
      </c>
      <c r="F5077" s="294" t="s">
        <v>368</v>
      </c>
    </row>
    <row r="5078" spans="1:6" hidden="1" outlineLevel="1" collapsed="1" x14ac:dyDescent="0.25">
      <c r="A5078" s="295" t="s">
        <v>282</v>
      </c>
      <c r="B5078" s="295" t="s">
        <v>393</v>
      </c>
      <c r="C5078" s="293">
        <v>119.24829699999999</v>
      </c>
      <c r="D5078" s="293">
        <v>90.832780999999997</v>
      </c>
      <c r="E5078" s="293">
        <v>-28.415516</v>
      </c>
      <c r="F5078" s="294" t="s">
        <v>1846</v>
      </c>
    </row>
    <row r="5079" spans="1:6" hidden="1" outlineLevel="1" collapsed="1" x14ac:dyDescent="0.25">
      <c r="A5079" s="295" t="s">
        <v>282</v>
      </c>
      <c r="B5079" s="295" t="s">
        <v>394</v>
      </c>
      <c r="C5079" s="293">
        <v>3000</v>
      </c>
      <c r="D5079" s="293">
        <v>0</v>
      </c>
      <c r="E5079" s="293">
        <v>-3000</v>
      </c>
      <c r="F5079" s="294" t="s">
        <v>286</v>
      </c>
    </row>
    <row r="5080" spans="1:6" hidden="1" outlineLevel="1" collapsed="1" x14ac:dyDescent="0.25">
      <c r="A5080" s="295" t="s">
        <v>282</v>
      </c>
      <c r="B5080" s="295" t="s">
        <v>395</v>
      </c>
      <c r="C5080" s="293">
        <v>0</v>
      </c>
      <c r="D5080" s="293">
        <v>3000</v>
      </c>
      <c r="E5080" s="293">
        <v>3000</v>
      </c>
      <c r="F5080" s="294" t="s">
        <v>298</v>
      </c>
    </row>
    <row r="5081" spans="1:6" hidden="1" outlineLevel="1" collapsed="1" x14ac:dyDescent="0.25">
      <c r="A5081" s="295" t="s">
        <v>282</v>
      </c>
      <c r="B5081" s="295" t="s">
        <v>396</v>
      </c>
      <c r="C5081" s="293">
        <v>99.36</v>
      </c>
      <c r="D5081" s="293">
        <v>0</v>
      </c>
      <c r="E5081" s="293">
        <v>-99.36</v>
      </c>
      <c r="F5081" s="294" t="s">
        <v>286</v>
      </c>
    </row>
    <row r="5082" spans="1:6" hidden="1" outlineLevel="1" collapsed="1" x14ac:dyDescent="0.25">
      <c r="A5082" s="295" t="s">
        <v>282</v>
      </c>
      <c r="B5082" s="295" t="s">
        <v>397</v>
      </c>
      <c r="C5082" s="293">
        <v>0</v>
      </c>
      <c r="D5082" s="293">
        <v>96.96</v>
      </c>
      <c r="E5082" s="293">
        <v>96.96</v>
      </c>
      <c r="F5082" s="294" t="s">
        <v>298</v>
      </c>
    </row>
    <row r="5083" spans="1:6" hidden="1" outlineLevel="1" collapsed="1" x14ac:dyDescent="0.25">
      <c r="A5083" s="295" t="s">
        <v>282</v>
      </c>
      <c r="B5083" s="295" t="s">
        <v>398</v>
      </c>
      <c r="C5083" s="293">
        <v>48</v>
      </c>
      <c r="D5083" s="293">
        <v>22.08</v>
      </c>
      <c r="E5083" s="293">
        <v>-25.92</v>
      </c>
      <c r="F5083" s="294" t="s">
        <v>374</v>
      </c>
    </row>
    <row r="5084" spans="1:6" hidden="1" outlineLevel="1" collapsed="1" x14ac:dyDescent="0.25">
      <c r="A5084" s="295" t="s">
        <v>282</v>
      </c>
      <c r="B5084" s="295" t="s">
        <v>522</v>
      </c>
      <c r="C5084" s="293">
        <v>6000</v>
      </c>
      <c r="D5084" s="293">
        <v>0</v>
      </c>
      <c r="E5084" s="293">
        <v>-6000</v>
      </c>
      <c r="F5084" s="294" t="s">
        <v>286</v>
      </c>
    </row>
    <row r="5085" spans="1:6" hidden="1" outlineLevel="1" collapsed="1" x14ac:dyDescent="0.25">
      <c r="A5085" s="295" t="s">
        <v>282</v>
      </c>
      <c r="B5085" s="295" t="s">
        <v>523</v>
      </c>
      <c r="C5085" s="293">
        <v>315</v>
      </c>
      <c r="D5085" s="293">
        <v>500</v>
      </c>
      <c r="E5085" s="293">
        <v>185</v>
      </c>
      <c r="F5085" s="294" t="s">
        <v>1847</v>
      </c>
    </row>
    <row r="5086" spans="1:6" hidden="1" outlineLevel="1" collapsed="1" x14ac:dyDescent="0.25">
      <c r="A5086" s="295" t="s">
        <v>282</v>
      </c>
      <c r="B5086" s="295" t="s">
        <v>399</v>
      </c>
      <c r="C5086" s="293">
        <v>2790</v>
      </c>
      <c r="D5086" s="293">
        <v>2790</v>
      </c>
      <c r="E5086" s="293">
        <v>0</v>
      </c>
      <c r="F5086" s="294" t="s">
        <v>316</v>
      </c>
    </row>
    <row r="5087" spans="1:6" hidden="1" outlineLevel="1" collapsed="1" x14ac:dyDescent="0.25">
      <c r="A5087" s="295" t="s">
        <v>282</v>
      </c>
      <c r="B5087" s="295" t="s">
        <v>496</v>
      </c>
      <c r="C5087" s="293">
        <v>1935</v>
      </c>
      <c r="D5087" s="293">
        <v>1935</v>
      </c>
      <c r="E5087" s="293">
        <v>0</v>
      </c>
      <c r="F5087" s="294" t="s">
        <v>316</v>
      </c>
    </row>
    <row r="5088" spans="1:6" hidden="1" outlineLevel="1" collapsed="1" x14ac:dyDescent="0.25">
      <c r="A5088" s="295" t="s">
        <v>282</v>
      </c>
      <c r="B5088" s="295" t="s">
        <v>376</v>
      </c>
      <c r="C5088" s="293">
        <v>15000</v>
      </c>
      <c r="D5088" s="293">
        <v>15000</v>
      </c>
      <c r="E5088" s="293">
        <v>0</v>
      </c>
      <c r="F5088" s="294" t="s">
        <v>316</v>
      </c>
    </row>
    <row r="5089" spans="1:6" hidden="1" outlineLevel="1" collapsed="1" x14ac:dyDescent="0.25">
      <c r="A5089" s="295" t="s">
        <v>282</v>
      </c>
      <c r="B5089" s="295" t="s">
        <v>567</v>
      </c>
      <c r="C5089" s="293">
        <v>64500</v>
      </c>
      <c r="D5089" s="293">
        <v>100000</v>
      </c>
      <c r="E5089" s="293">
        <v>35500</v>
      </c>
      <c r="F5089" s="294" t="s">
        <v>1848</v>
      </c>
    </row>
    <row r="5090" spans="1:6" hidden="1" outlineLevel="1" collapsed="1" x14ac:dyDescent="0.25">
      <c r="A5090" s="295" t="s">
        <v>282</v>
      </c>
      <c r="B5090" s="295" t="s">
        <v>426</v>
      </c>
      <c r="C5090" s="293">
        <v>10000</v>
      </c>
      <c r="D5090" s="293">
        <v>13500</v>
      </c>
      <c r="E5090" s="293">
        <v>3500</v>
      </c>
      <c r="F5090" s="294" t="s">
        <v>1849</v>
      </c>
    </row>
    <row r="5091" spans="1:6" hidden="1" outlineLevel="1" collapsed="1" x14ac:dyDescent="0.25">
      <c r="A5091" s="295" t="s">
        <v>282</v>
      </c>
      <c r="B5091" s="295" t="s">
        <v>952</v>
      </c>
      <c r="C5091" s="293">
        <v>600</v>
      </c>
      <c r="D5091" s="293">
        <v>600</v>
      </c>
      <c r="E5091" s="293">
        <v>0</v>
      </c>
      <c r="F5091" s="294" t="s">
        <v>316</v>
      </c>
    </row>
    <row r="5092" spans="1:6" hidden="1" outlineLevel="1" collapsed="1" x14ac:dyDescent="0.25">
      <c r="A5092" s="295" t="s">
        <v>282</v>
      </c>
      <c r="B5092" s="295" t="s">
        <v>482</v>
      </c>
      <c r="C5092" s="293">
        <v>7000</v>
      </c>
      <c r="D5092" s="293">
        <v>7500</v>
      </c>
      <c r="E5092" s="293">
        <v>500</v>
      </c>
      <c r="F5092" s="294" t="s">
        <v>1850</v>
      </c>
    </row>
    <row r="5093" spans="1:6" hidden="1" outlineLevel="1" collapsed="1" x14ac:dyDescent="0.25">
      <c r="A5093" s="295" t="s">
        <v>282</v>
      </c>
      <c r="B5093" s="295" t="s">
        <v>597</v>
      </c>
      <c r="C5093" s="293">
        <v>0</v>
      </c>
      <c r="D5093" s="293">
        <v>2500</v>
      </c>
      <c r="E5093" s="293">
        <v>2500</v>
      </c>
      <c r="F5093" s="294" t="s">
        <v>298</v>
      </c>
    </row>
    <row r="5094" spans="1:6" hidden="1" outlineLevel="1" collapsed="1" x14ac:dyDescent="0.25">
      <c r="A5094" s="295" t="s">
        <v>282</v>
      </c>
      <c r="B5094" s="295" t="s">
        <v>842</v>
      </c>
      <c r="C5094" s="293">
        <v>270</v>
      </c>
      <c r="D5094" s="293">
        <v>0</v>
      </c>
      <c r="E5094" s="293">
        <v>-270</v>
      </c>
      <c r="F5094" s="294" t="s">
        <v>286</v>
      </c>
    </row>
    <row r="5095" spans="1:6" hidden="1" outlineLevel="1" collapsed="1" x14ac:dyDescent="0.25">
      <c r="A5095" s="295" t="s">
        <v>282</v>
      </c>
      <c r="B5095" s="295" t="s">
        <v>843</v>
      </c>
      <c r="C5095" s="293">
        <v>0</v>
      </c>
      <c r="D5095" s="293">
        <v>1080</v>
      </c>
      <c r="E5095" s="293">
        <v>1080</v>
      </c>
      <c r="F5095" s="294" t="s">
        <v>298</v>
      </c>
    </row>
    <row r="5096" spans="1:6" hidden="1" outlineLevel="1" collapsed="1" x14ac:dyDescent="0.25">
      <c r="A5096" s="295" t="s">
        <v>282</v>
      </c>
      <c r="B5096" s="295" t="s">
        <v>416</v>
      </c>
      <c r="C5096" s="293">
        <v>900</v>
      </c>
      <c r="D5096" s="293">
        <v>900</v>
      </c>
      <c r="E5096" s="293">
        <v>0</v>
      </c>
      <c r="F5096" s="294" t="s">
        <v>316</v>
      </c>
    </row>
    <row r="5097" spans="1:6" hidden="1" outlineLevel="1" collapsed="1" x14ac:dyDescent="0.25">
      <c r="A5097" s="295" t="s">
        <v>282</v>
      </c>
      <c r="B5097" s="295" t="s">
        <v>404</v>
      </c>
      <c r="C5097" s="293">
        <v>0</v>
      </c>
      <c r="D5097" s="293">
        <v>0</v>
      </c>
      <c r="E5097" s="293">
        <v>0</v>
      </c>
      <c r="F5097" s="294" t="s">
        <v>316</v>
      </c>
    </row>
    <row r="5098" spans="1:6" hidden="1" outlineLevel="1" collapsed="1" x14ac:dyDescent="0.25">
      <c r="A5098" s="295" t="s">
        <v>282</v>
      </c>
      <c r="B5098" s="295" t="s">
        <v>626</v>
      </c>
      <c r="C5098" s="293">
        <v>2700</v>
      </c>
      <c r="D5098" s="293">
        <v>2700</v>
      </c>
      <c r="E5098" s="293">
        <v>0</v>
      </c>
      <c r="F5098" s="294" t="s">
        <v>316</v>
      </c>
    </row>
    <row r="5099" spans="1:6" hidden="1" outlineLevel="1" collapsed="1" x14ac:dyDescent="0.25">
      <c r="A5099" s="295" t="s">
        <v>282</v>
      </c>
      <c r="B5099" s="295" t="s">
        <v>405</v>
      </c>
      <c r="C5099" s="293">
        <v>3000</v>
      </c>
      <c r="D5099" s="293">
        <v>10000</v>
      </c>
      <c r="E5099" s="293">
        <v>7000</v>
      </c>
      <c r="F5099" s="294" t="s">
        <v>1851</v>
      </c>
    </row>
    <row r="5100" spans="1:6" hidden="1" outlineLevel="1" collapsed="1" x14ac:dyDescent="0.25">
      <c r="A5100" s="295" t="s">
        <v>282</v>
      </c>
      <c r="B5100" s="295" t="s">
        <v>557</v>
      </c>
      <c r="C5100" s="293">
        <v>2250</v>
      </c>
      <c r="D5100" s="293">
        <v>2300</v>
      </c>
      <c r="E5100" s="293">
        <v>50</v>
      </c>
      <c r="F5100" s="294" t="s">
        <v>1852</v>
      </c>
    </row>
    <row r="5101" spans="1:6" hidden="1" outlineLevel="1" collapsed="1" x14ac:dyDescent="0.25">
      <c r="A5101" s="295" t="s">
        <v>282</v>
      </c>
      <c r="B5101" s="295" t="s">
        <v>422</v>
      </c>
      <c r="C5101" s="293">
        <v>42500</v>
      </c>
      <c r="D5101" s="293">
        <v>42500</v>
      </c>
      <c r="E5101" s="293">
        <v>0</v>
      </c>
      <c r="F5101" s="294" t="s">
        <v>316</v>
      </c>
    </row>
    <row r="5102" spans="1:6" hidden="1" outlineLevel="1" collapsed="1" x14ac:dyDescent="0.25">
      <c r="A5102" s="295" t="s">
        <v>282</v>
      </c>
      <c r="B5102" s="295" t="s">
        <v>770</v>
      </c>
      <c r="C5102" s="293">
        <v>0</v>
      </c>
      <c r="D5102" s="293">
        <v>0</v>
      </c>
      <c r="E5102" s="293">
        <v>0</v>
      </c>
      <c r="F5102" s="294" t="s">
        <v>316</v>
      </c>
    </row>
    <row r="5103" spans="1:6" collapsed="1" x14ac:dyDescent="0.25">
      <c r="A5103" s="560" t="s">
        <v>1853</v>
      </c>
      <c r="B5103" s="561"/>
      <c r="C5103" s="292">
        <v>567678.22727100004</v>
      </c>
      <c r="D5103" s="293">
        <v>607075.41620800004</v>
      </c>
      <c r="E5103" s="293">
        <v>39397.188936999999</v>
      </c>
      <c r="F5103" s="294" t="s">
        <v>1854</v>
      </c>
    </row>
    <row r="5104" spans="1:6" hidden="1" outlineLevel="1" collapsed="1" x14ac:dyDescent="0.25">
      <c r="A5104" s="295" t="s">
        <v>282</v>
      </c>
      <c r="B5104" s="295" t="s">
        <v>942</v>
      </c>
      <c r="C5104" s="293">
        <v>133899.819036</v>
      </c>
      <c r="D5104" s="293">
        <v>135908.31487199999</v>
      </c>
      <c r="E5104" s="293">
        <v>2008.4958360000001</v>
      </c>
      <c r="F5104" s="294" t="s">
        <v>510</v>
      </c>
    </row>
    <row r="5105" spans="1:6" hidden="1" outlineLevel="1" collapsed="1" x14ac:dyDescent="0.25">
      <c r="A5105" s="295" t="s">
        <v>282</v>
      </c>
      <c r="B5105" s="295" t="s">
        <v>464</v>
      </c>
      <c r="C5105" s="293">
        <v>205981.416233</v>
      </c>
      <c r="D5105" s="293">
        <v>255769.83760500001</v>
      </c>
      <c r="E5105" s="293">
        <v>49788.421371999997</v>
      </c>
      <c r="F5105" s="294" t="s">
        <v>1855</v>
      </c>
    </row>
    <row r="5106" spans="1:6" hidden="1" outlineLevel="1" collapsed="1" x14ac:dyDescent="0.25">
      <c r="A5106" s="295" t="s">
        <v>282</v>
      </c>
      <c r="B5106" s="295" t="s">
        <v>424</v>
      </c>
      <c r="C5106" s="293">
        <v>10000</v>
      </c>
      <c r="D5106" s="293">
        <v>0</v>
      </c>
      <c r="E5106" s="293">
        <v>-10000</v>
      </c>
      <c r="F5106" s="294" t="s">
        <v>286</v>
      </c>
    </row>
    <row r="5107" spans="1:6" hidden="1" outlineLevel="1" collapsed="1" x14ac:dyDescent="0.25">
      <c r="A5107" s="295" t="s">
        <v>282</v>
      </c>
      <c r="B5107" s="295" t="s">
        <v>475</v>
      </c>
      <c r="C5107" s="293">
        <v>7000</v>
      </c>
      <c r="D5107" s="293">
        <v>0</v>
      </c>
      <c r="E5107" s="293">
        <v>-7000</v>
      </c>
      <c r="F5107" s="294" t="s">
        <v>286</v>
      </c>
    </row>
    <row r="5108" spans="1:6" hidden="1" outlineLevel="1" collapsed="1" x14ac:dyDescent="0.25">
      <c r="A5108" s="295" t="s">
        <v>282</v>
      </c>
      <c r="B5108" s="295" t="s">
        <v>384</v>
      </c>
      <c r="C5108" s="293">
        <v>42395.384377000002</v>
      </c>
      <c r="D5108" s="293">
        <v>0</v>
      </c>
      <c r="E5108" s="293">
        <v>-42395.384377000002</v>
      </c>
      <c r="F5108" s="294" t="s">
        <v>286</v>
      </c>
    </row>
    <row r="5109" spans="1:6" hidden="1" outlineLevel="1" collapsed="1" x14ac:dyDescent="0.25">
      <c r="A5109" s="295" t="s">
        <v>282</v>
      </c>
      <c r="B5109" s="295" t="s">
        <v>385</v>
      </c>
      <c r="C5109" s="293">
        <v>0</v>
      </c>
      <c r="D5109" s="293">
        <v>61430.898075999998</v>
      </c>
      <c r="E5109" s="293">
        <v>61430.898075999998</v>
      </c>
      <c r="F5109" s="294" t="s">
        <v>298</v>
      </c>
    </row>
    <row r="5110" spans="1:6" hidden="1" outlineLevel="1" collapsed="1" x14ac:dyDescent="0.25">
      <c r="A5110" s="295" t="s">
        <v>282</v>
      </c>
      <c r="B5110" s="295" t="s">
        <v>386</v>
      </c>
      <c r="C5110" s="293">
        <v>21109.836555000002</v>
      </c>
      <c r="D5110" s="293">
        <v>0</v>
      </c>
      <c r="E5110" s="293">
        <v>-21109.836555000002</v>
      </c>
      <c r="F5110" s="294" t="s">
        <v>286</v>
      </c>
    </row>
    <row r="5111" spans="1:6" hidden="1" outlineLevel="1" collapsed="1" x14ac:dyDescent="0.25">
      <c r="A5111" s="295" t="s">
        <v>282</v>
      </c>
      <c r="B5111" s="295" t="s">
        <v>387</v>
      </c>
      <c r="C5111" s="293">
        <v>0</v>
      </c>
      <c r="D5111" s="293">
        <v>24321.245428999999</v>
      </c>
      <c r="E5111" s="293">
        <v>24321.245428999999</v>
      </c>
      <c r="F5111" s="294" t="s">
        <v>298</v>
      </c>
    </row>
    <row r="5112" spans="1:6" hidden="1" outlineLevel="1" collapsed="1" x14ac:dyDescent="0.25">
      <c r="A5112" s="295" t="s">
        <v>282</v>
      </c>
      <c r="B5112" s="295" t="s">
        <v>388</v>
      </c>
      <c r="C5112" s="293">
        <v>4936.9778759999999</v>
      </c>
      <c r="D5112" s="293">
        <v>5688.0331809999998</v>
      </c>
      <c r="E5112" s="293">
        <v>751.05530499999998</v>
      </c>
      <c r="F5112" s="294" t="s">
        <v>1856</v>
      </c>
    </row>
    <row r="5113" spans="1:6" hidden="1" outlineLevel="1" collapsed="1" x14ac:dyDescent="0.25">
      <c r="A5113" s="295" t="s">
        <v>282</v>
      </c>
      <c r="B5113" s="295" t="s">
        <v>444</v>
      </c>
      <c r="C5113" s="293">
        <v>2610</v>
      </c>
      <c r="D5113" s="293">
        <v>0</v>
      </c>
      <c r="E5113" s="293">
        <v>-2610</v>
      </c>
      <c r="F5113" s="294" t="s">
        <v>286</v>
      </c>
    </row>
    <row r="5114" spans="1:6" hidden="1" outlineLevel="1" collapsed="1" x14ac:dyDescent="0.25">
      <c r="A5114" s="295" t="s">
        <v>282</v>
      </c>
      <c r="B5114" s="295" t="s">
        <v>389</v>
      </c>
      <c r="C5114" s="293">
        <v>2159.0323199999998</v>
      </c>
      <c r="D5114" s="293">
        <v>2490.0360000000001</v>
      </c>
      <c r="E5114" s="293">
        <v>331.00367999999997</v>
      </c>
      <c r="F5114" s="294" t="s">
        <v>1857</v>
      </c>
    </row>
    <row r="5115" spans="1:6" hidden="1" outlineLevel="1" collapsed="1" x14ac:dyDescent="0.25">
      <c r="A5115" s="295" t="s">
        <v>282</v>
      </c>
      <c r="B5115" s="295" t="s">
        <v>390</v>
      </c>
      <c r="C5115" s="293">
        <v>78564.293000000005</v>
      </c>
      <c r="D5115" s="293">
        <v>94159.751999999993</v>
      </c>
      <c r="E5115" s="293">
        <v>15595.459000000001</v>
      </c>
      <c r="F5115" s="294" t="s">
        <v>1858</v>
      </c>
    </row>
    <row r="5116" spans="1:6" hidden="1" outlineLevel="1" collapsed="1" x14ac:dyDescent="0.25">
      <c r="A5116" s="295" t="s">
        <v>282</v>
      </c>
      <c r="B5116" s="295" t="s">
        <v>392</v>
      </c>
      <c r="C5116" s="293">
        <v>1183.2652800000001</v>
      </c>
      <c r="D5116" s="293">
        <v>1078.992</v>
      </c>
      <c r="E5116" s="293">
        <v>-104.27328</v>
      </c>
      <c r="F5116" s="294" t="s">
        <v>1859</v>
      </c>
    </row>
    <row r="5117" spans="1:6" hidden="1" outlineLevel="1" collapsed="1" x14ac:dyDescent="0.25">
      <c r="A5117" s="295" t="s">
        <v>282</v>
      </c>
      <c r="B5117" s="295" t="s">
        <v>393</v>
      </c>
      <c r="C5117" s="293">
        <v>170.24059399999999</v>
      </c>
      <c r="D5117" s="293">
        <v>196.13904500000001</v>
      </c>
      <c r="E5117" s="293">
        <v>25.898451000000001</v>
      </c>
      <c r="F5117" s="294" t="s">
        <v>1856</v>
      </c>
    </row>
    <row r="5118" spans="1:6" hidden="1" outlineLevel="1" collapsed="1" x14ac:dyDescent="0.25">
      <c r="A5118" s="295" t="s">
        <v>282</v>
      </c>
      <c r="B5118" s="295" t="s">
        <v>394</v>
      </c>
      <c r="C5118" s="293">
        <v>7600</v>
      </c>
      <c r="D5118" s="293">
        <v>0</v>
      </c>
      <c r="E5118" s="293">
        <v>-7600</v>
      </c>
      <c r="F5118" s="294" t="s">
        <v>286</v>
      </c>
    </row>
    <row r="5119" spans="1:6" hidden="1" outlineLevel="1" collapsed="1" x14ac:dyDescent="0.25">
      <c r="A5119" s="295" t="s">
        <v>282</v>
      </c>
      <c r="B5119" s="295" t="s">
        <v>395</v>
      </c>
      <c r="C5119" s="293">
        <v>0</v>
      </c>
      <c r="D5119" s="293">
        <v>8850</v>
      </c>
      <c r="E5119" s="293">
        <v>8850</v>
      </c>
      <c r="F5119" s="294" t="s">
        <v>298</v>
      </c>
    </row>
    <row r="5120" spans="1:6" hidden="1" outlineLevel="1" collapsed="1" x14ac:dyDescent="0.25">
      <c r="A5120" s="295" t="s">
        <v>282</v>
      </c>
      <c r="B5120" s="295" t="s">
        <v>396</v>
      </c>
      <c r="C5120" s="293">
        <v>251.71199999999999</v>
      </c>
      <c r="D5120" s="293">
        <v>0</v>
      </c>
      <c r="E5120" s="293">
        <v>-251.71199999999999</v>
      </c>
      <c r="F5120" s="294" t="s">
        <v>286</v>
      </c>
    </row>
    <row r="5121" spans="1:6" hidden="1" outlineLevel="1" collapsed="1" x14ac:dyDescent="0.25">
      <c r="A5121" s="295" t="s">
        <v>282</v>
      </c>
      <c r="B5121" s="295" t="s">
        <v>397</v>
      </c>
      <c r="C5121" s="293">
        <v>0</v>
      </c>
      <c r="D5121" s="293">
        <v>286.03199999999998</v>
      </c>
      <c r="E5121" s="293">
        <v>286.03199999999998</v>
      </c>
      <c r="F5121" s="294" t="s">
        <v>298</v>
      </c>
    </row>
    <row r="5122" spans="1:6" hidden="1" outlineLevel="1" collapsed="1" x14ac:dyDescent="0.25">
      <c r="A5122" s="295" t="s">
        <v>282</v>
      </c>
      <c r="B5122" s="295" t="s">
        <v>398</v>
      </c>
      <c r="C5122" s="293">
        <v>121.6</v>
      </c>
      <c r="D5122" s="293">
        <v>65.135999999999996</v>
      </c>
      <c r="E5122" s="293">
        <v>-56.463999999999999</v>
      </c>
      <c r="F5122" s="294" t="s">
        <v>1547</v>
      </c>
    </row>
    <row r="5123" spans="1:6" hidden="1" outlineLevel="1" collapsed="1" x14ac:dyDescent="0.25">
      <c r="A5123" s="295" t="s">
        <v>282</v>
      </c>
      <c r="B5123" s="295" t="s">
        <v>523</v>
      </c>
      <c r="C5123" s="293">
        <v>135</v>
      </c>
      <c r="D5123" s="293">
        <v>135</v>
      </c>
      <c r="E5123" s="293">
        <v>0</v>
      </c>
      <c r="F5123" s="294" t="s">
        <v>316</v>
      </c>
    </row>
    <row r="5124" spans="1:6" hidden="1" outlineLevel="1" collapsed="1" x14ac:dyDescent="0.25">
      <c r="A5124" s="295" t="s">
        <v>282</v>
      </c>
      <c r="B5124" s="295" t="s">
        <v>399</v>
      </c>
      <c r="C5124" s="293">
        <v>90</v>
      </c>
      <c r="D5124" s="293">
        <v>90</v>
      </c>
      <c r="E5124" s="293">
        <v>0</v>
      </c>
      <c r="F5124" s="294" t="s">
        <v>316</v>
      </c>
    </row>
    <row r="5125" spans="1:6" hidden="1" outlineLevel="1" collapsed="1" x14ac:dyDescent="0.25">
      <c r="A5125" s="295" t="s">
        <v>282</v>
      </c>
      <c r="B5125" s="295" t="s">
        <v>376</v>
      </c>
      <c r="C5125" s="293">
        <v>2700</v>
      </c>
      <c r="D5125" s="293">
        <v>2200</v>
      </c>
      <c r="E5125" s="293">
        <v>-500</v>
      </c>
      <c r="F5125" s="294" t="s">
        <v>1860</v>
      </c>
    </row>
    <row r="5126" spans="1:6" hidden="1" outlineLevel="1" collapsed="1" x14ac:dyDescent="0.25">
      <c r="A5126" s="295" t="s">
        <v>282</v>
      </c>
      <c r="B5126" s="295" t="s">
        <v>567</v>
      </c>
      <c r="C5126" s="293">
        <v>29600</v>
      </c>
      <c r="D5126" s="293">
        <v>0</v>
      </c>
      <c r="E5126" s="293">
        <v>-29600</v>
      </c>
      <c r="F5126" s="294" t="s">
        <v>286</v>
      </c>
    </row>
    <row r="5127" spans="1:6" hidden="1" outlineLevel="1" collapsed="1" x14ac:dyDescent="0.25">
      <c r="A5127" s="295" t="s">
        <v>282</v>
      </c>
      <c r="B5127" s="295" t="s">
        <v>426</v>
      </c>
      <c r="C5127" s="293">
        <v>2700</v>
      </c>
      <c r="D5127" s="293">
        <v>2600</v>
      </c>
      <c r="E5127" s="293">
        <v>-100</v>
      </c>
      <c r="F5127" s="294" t="s">
        <v>1861</v>
      </c>
    </row>
    <row r="5128" spans="1:6" hidden="1" outlineLevel="1" collapsed="1" x14ac:dyDescent="0.25">
      <c r="A5128" s="295" t="s">
        <v>282</v>
      </c>
      <c r="B5128" s="295" t="s">
        <v>952</v>
      </c>
      <c r="C5128" s="293">
        <v>600</v>
      </c>
      <c r="D5128" s="293">
        <v>600</v>
      </c>
      <c r="E5128" s="293">
        <v>0</v>
      </c>
      <c r="F5128" s="294" t="s">
        <v>316</v>
      </c>
    </row>
    <row r="5129" spans="1:6" hidden="1" outlineLevel="1" collapsed="1" x14ac:dyDescent="0.25">
      <c r="A5129" s="295" t="s">
        <v>282</v>
      </c>
      <c r="B5129" s="295" t="s">
        <v>482</v>
      </c>
      <c r="C5129" s="293">
        <v>900</v>
      </c>
      <c r="D5129" s="293">
        <v>500</v>
      </c>
      <c r="E5129" s="293">
        <v>-400</v>
      </c>
      <c r="F5129" s="294" t="s">
        <v>1862</v>
      </c>
    </row>
    <row r="5130" spans="1:6" hidden="1" outlineLevel="1" collapsed="1" x14ac:dyDescent="0.25">
      <c r="A5130" s="295" t="s">
        <v>282</v>
      </c>
      <c r="B5130" s="295" t="s">
        <v>597</v>
      </c>
      <c r="C5130" s="293">
        <v>1170</v>
      </c>
      <c r="D5130" s="293">
        <v>1170</v>
      </c>
      <c r="E5130" s="293">
        <v>0</v>
      </c>
      <c r="F5130" s="294" t="s">
        <v>316</v>
      </c>
    </row>
    <row r="5131" spans="1:6" hidden="1" outlineLevel="1" collapsed="1" x14ac:dyDescent="0.25">
      <c r="A5131" s="295" t="s">
        <v>282</v>
      </c>
      <c r="B5131" s="295" t="s">
        <v>842</v>
      </c>
      <c r="C5131" s="293">
        <v>1080</v>
      </c>
      <c r="D5131" s="293">
        <v>1080</v>
      </c>
      <c r="E5131" s="293">
        <v>0</v>
      </c>
      <c r="F5131" s="294" t="s">
        <v>316</v>
      </c>
    </row>
    <row r="5132" spans="1:6" hidden="1" outlineLevel="1" collapsed="1" x14ac:dyDescent="0.25">
      <c r="A5132" s="295" t="s">
        <v>282</v>
      </c>
      <c r="B5132" s="295" t="s">
        <v>403</v>
      </c>
      <c r="C5132" s="293">
        <v>3056</v>
      </c>
      <c r="D5132" s="293">
        <v>3056</v>
      </c>
      <c r="E5132" s="293">
        <v>0</v>
      </c>
      <c r="F5132" s="294" t="s">
        <v>316</v>
      </c>
    </row>
    <row r="5133" spans="1:6" hidden="1" outlineLevel="1" collapsed="1" x14ac:dyDescent="0.25">
      <c r="A5133" s="295" t="s">
        <v>282</v>
      </c>
      <c r="B5133" s="295" t="s">
        <v>626</v>
      </c>
      <c r="C5133" s="293">
        <v>2700</v>
      </c>
      <c r="D5133" s="293">
        <v>2700</v>
      </c>
      <c r="E5133" s="293">
        <v>0</v>
      </c>
      <c r="F5133" s="294" t="s">
        <v>316</v>
      </c>
    </row>
    <row r="5134" spans="1:6" hidden="1" outlineLevel="1" collapsed="1" x14ac:dyDescent="0.25">
      <c r="A5134" s="295" t="s">
        <v>282</v>
      </c>
      <c r="B5134" s="295" t="s">
        <v>422</v>
      </c>
      <c r="C5134" s="293">
        <v>1200</v>
      </c>
      <c r="D5134" s="293">
        <v>0</v>
      </c>
      <c r="E5134" s="293">
        <v>-1200</v>
      </c>
      <c r="F5134" s="294" t="s">
        <v>286</v>
      </c>
    </row>
    <row r="5135" spans="1:6" hidden="1" outlineLevel="1" collapsed="1" x14ac:dyDescent="0.25">
      <c r="A5135" s="295" t="s">
        <v>282</v>
      </c>
      <c r="B5135" s="295" t="s">
        <v>770</v>
      </c>
      <c r="C5135" s="293">
        <v>3763.65</v>
      </c>
      <c r="D5135" s="293">
        <v>2700</v>
      </c>
      <c r="E5135" s="293">
        <v>-1063.6500000000001</v>
      </c>
      <c r="F5135" s="294" t="s">
        <v>1863</v>
      </c>
    </row>
    <row r="5136" spans="1:6" collapsed="1" x14ac:dyDescent="0.25">
      <c r="A5136" s="560" t="s">
        <v>1864</v>
      </c>
      <c r="B5136" s="561"/>
      <c r="C5136" s="292">
        <v>70000</v>
      </c>
      <c r="D5136" s="293">
        <v>70000</v>
      </c>
      <c r="E5136" s="293">
        <v>0</v>
      </c>
      <c r="F5136" s="294" t="s">
        <v>316</v>
      </c>
    </row>
    <row r="5137" spans="1:6" hidden="1" outlineLevel="1" collapsed="1" x14ac:dyDescent="0.25">
      <c r="A5137" s="295" t="s">
        <v>282</v>
      </c>
      <c r="B5137" s="295" t="s">
        <v>1865</v>
      </c>
      <c r="C5137" s="293">
        <v>70000</v>
      </c>
      <c r="D5137" s="293">
        <v>70000</v>
      </c>
      <c r="E5137" s="293">
        <v>0</v>
      </c>
      <c r="F5137" s="294" t="s">
        <v>316</v>
      </c>
    </row>
    <row r="5138" spans="1:6" collapsed="1" x14ac:dyDescent="0.25">
      <c r="A5138" s="560" t="s">
        <v>1866</v>
      </c>
      <c r="B5138" s="561"/>
      <c r="C5138" s="292">
        <v>1112488.9341879999</v>
      </c>
      <c r="D5138" s="293">
        <v>1099174.3374910001</v>
      </c>
      <c r="E5138" s="293">
        <v>-13314.596697000001</v>
      </c>
      <c r="F5138" s="294" t="s">
        <v>1867</v>
      </c>
    </row>
    <row r="5139" spans="1:6" hidden="1" outlineLevel="1" collapsed="1" x14ac:dyDescent="0.25">
      <c r="A5139" s="295" t="s">
        <v>282</v>
      </c>
      <c r="B5139" s="295" t="s">
        <v>942</v>
      </c>
      <c r="C5139" s="293">
        <v>133899.819036</v>
      </c>
      <c r="D5139" s="293">
        <v>135908.31487199999</v>
      </c>
      <c r="E5139" s="293">
        <v>2008.4958360000001</v>
      </c>
      <c r="F5139" s="294" t="s">
        <v>510</v>
      </c>
    </row>
    <row r="5140" spans="1:6" hidden="1" outlineLevel="1" collapsed="1" x14ac:dyDescent="0.25">
      <c r="A5140" s="295" t="s">
        <v>282</v>
      </c>
      <c r="B5140" s="295" t="s">
        <v>874</v>
      </c>
      <c r="C5140" s="293">
        <v>164409.697896</v>
      </c>
      <c r="D5140" s="293">
        <v>166875.84158400001</v>
      </c>
      <c r="E5140" s="293">
        <v>2466.1436880000001</v>
      </c>
      <c r="F5140" s="294" t="s">
        <v>510</v>
      </c>
    </row>
    <row r="5141" spans="1:6" hidden="1" outlineLevel="1" collapsed="1" x14ac:dyDescent="0.25">
      <c r="A5141" s="295" t="s">
        <v>282</v>
      </c>
      <c r="B5141" s="295" t="s">
        <v>464</v>
      </c>
      <c r="C5141" s="293">
        <v>349224.15329599997</v>
      </c>
      <c r="D5141" s="293">
        <v>358492.93355000002</v>
      </c>
      <c r="E5141" s="293">
        <v>9268.7802539999993</v>
      </c>
      <c r="F5141" s="294" t="s">
        <v>1868</v>
      </c>
    </row>
    <row r="5142" spans="1:6" hidden="1" outlineLevel="1" collapsed="1" x14ac:dyDescent="0.25">
      <c r="A5142" s="295" t="s">
        <v>282</v>
      </c>
      <c r="B5142" s="295" t="s">
        <v>384</v>
      </c>
      <c r="C5142" s="293">
        <v>74928.537513999996</v>
      </c>
      <c r="D5142" s="293">
        <v>0</v>
      </c>
      <c r="E5142" s="293">
        <v>-74928.537513999996</v>
      </c>
      <c r="F5142" s="294" t="s">
        <v>286</v>
      </c>
    </row>
    <row r="5143" spans="1:6" hidden="1" outlineLevel="1" collapsed="1" x14ac:dyDescent="0.25">
      <c r="A5143" s="295" t="s">
        <v>282</v>
      </c>
      <c r="B5143" s="295" t="s">
        <v>385</v>
      </c>
      <c r="C5143" s="293">
        <v>0</v>
      </c>
      <c r="D5143" s="293">
        <v>103741.43169</v>
      </c>
      <c r="E5143" s="293">
        <v>103741.43169</v>
      </c>
      <c r="F5143" s="294" t="s">
        <v>298</v>
      </c>
    </row>
    <row r="5144" spans="1:6" hidden="1" outlineLevel="1" collapsed="1" x14ac:dyDescent="0.25">
      <c r="A5144" s="295" t="s">
        <v>282</v>
      </c>
      <c r="B5144" s="295" t="s">
        <v>386</v>
      </c>
      <c r="C5144" s="293">
        <v>39769.755491999997</v>
      </c>
      <c r="D5144" s="293">
        <v>0</v>
      </c>
      <c r="E5144" s="293">
        <v>-39769.755491999997</v>
      </c>
      <c r="F5144" s="294" t="s">
        <v>286</v>
      </c>
    </row>
    <row r="5145" spans="1:6" hidden="1" outlineLevel="1" collapsed="1" x14ac:dyDescent="0.25">
      <c r="A5145" s="295" t="s">
        <v>282</v>
      </c>
      <c r="B5145" s="295" t="s">
        <v>387</v>
      </c>
      <c r="C5145" s="293">
        <v>0</v>
      </c>
      <c r="D5145" s="293">
        <v>41162.859542999999</v>
      </c>
      <c r="E5145" s="293">
        <v>41162.859542999999</v>
      </c>
      <c r="F5145" s="294" t="s">
        <v>298</v>
      </c>
    </row>
    <row r="5146" spans="1:6" hidden="1" outlineLevel="1" collapsed="1" x14ac:dyDescent="0.25">
      <c r="A5146" s="295" t="s">
        <v>282</v>
      </c>
      <c r="B5146" s="295" t="s">
        <v>388</v>
      </c>
      <c r="C5146" s="293">
        <v>9300.9911580000007</v>
      </c>
      <c r="D5146" s="293">
        <v>9626.7977520000004</v>
      </c>
      <c r="E5146" s="293">
        <v>325.80659400000002</v>
      </c>
      <c r="F5146" s="294" t="s">
        <v>538</v>
      </c>
    </row>
    <row r="5147" spans="1:6" hidden="1" outlineLevel="1" collapsed="1" x14ac:dyDescent="0.25">
      <c r="A5147" s="295" t="s">
        <v>282</v>
      </c>
      <c r="B5147" s="295" t="s">
        <v>389</v>
      </c>
      <c r="C5147" s="293">
        <v>3835.1232</v>
      </c>
      <c r="D5147" s="293">
        <v>3798.36</v>
      </c>
      <c r="E5147" s="293">
        <v>-36.763199999999998</v>
      </c>
      <c r="F5147" s="294" t="s">
        <v>364</v>
      </c>
    </row>
    <row r="5148" spans="1:6" hidden="1" outlineLevel="1" collapsed="1" x14ac:dyDescent="0.25">
      <c r="A5148" s="295" t="s">
        <v>282</v>
      </c>
      <c r="B5148" s="295" t="s">
        <v>390</v>
      </c>
      <c r="C5148" s="293">
        <v>108397.16</v>
      </c>
      <c r="D5148" s="293">
        <v>127674.24000000001</v>
      </c>
      <c r="E5148" s="293">
        <v>19277.080000000002</v>
      </c>
      <c r="F5148" s="294" t="s">
        <v>1869</v>
      </c>
    </row>
    <row r="5149" spans="1:6" hidden="1" outlineLevel="1" collapsed="1" x14ac:dyDescent="0.25">
      <c r="A5149" s="295" t="s">
        <v>282</v>
      </c>
      <c r="B5149" s="295" t="s">
        <v>392</v>
      </c>
      <c r="C5149" s="293">
        <v>2101.8528000000001</v>
      </c>
      <c r="D5149" s="293">
        <v>1645.92</v>
      </c>
      <c r="E5149" s="293">
        <v>-455.93279999999999</v>
      </c>
      <c r="F5149" s="294" t="s">
        <v>368</v>
      </c>
    </row>
    <row r="5150" spans="1:6" hidden="1" outlineLevel="1" collapsed="1" x14ac:dyDescent="0.25">
      <c r="A5150" s="295" t="s">
        <v>282</v>
      </c>
      <c r="B5150" s="295" t="s">
        <v>393</v>
      </c>
      <c r="C5150" s="293">
        <v>320.72379599999999</v>
      </c>
      <c r="D5150" s="293">
        <v>331.95850000000002</v>
      </c>
      <c r="E5150" s="293">
        <v>11.234704000000001</v>
      </c>
      <c r="F5150" s="294" t="s">
        <v>538</v>
      </c>
    </row>
    <row r="5151" spans="1:6" hidden="1" outlineLevel="1" collapsed="1" x14ac:dyDescent="0.25">
      <c r="A5151" s="295" t="s">
        <v>282</v>
      </c>
      <c r="B5151" s="295" t="s">
        <v>394</v>
      </c>
      <c r="C5151" s="293">
        <v>13500</v>
      </c>
      <c r="D5151" s="293">
        <v>0</v>
      </c>
      <c r="E5151" s="293">
        <v>-13500</v>
      </c>
      <c r="F5151" s="294" t="s">
        <v>286</v>
      </c>
    </row>
    <row r="5152" spans="1:6" hidden="1" outlineLevel="1" collapsed="1" x14ac:dyDescent="0.25">
      <c r="A5152" s="295" t="s">
        <v>282</v>
      </c>
      <c r="B5152" s="295" t="s">
        <v>395</v>
      </c>
      <c r="C5152" s="293">
        <v>0</v>
      </c>
      <c r="D5152" s="293">
        <v>13500</v>
      </c>
      <c r="E5152" s="293">
        <v>13500</v>
      </c>
      <c r="F5152" s="294" t="s">
        <v>298</v>
      </c>
    </row>
    <row r="5153" spans="1:6" hidden="1" outlineLevel="1" collapsed="1" x14ac:dyDescent="0.25">
      <c r="A5153" s="295" t="s">
        <v>282</v>
      </c>
      <c r="B5153" s="295" t="s">
        <v>396</v>
      </c>
      <c r="C5153" s="293">
        <v>447.12</v>
      </c>
      <c r="D5153" s="293">
        <v>0</v>
      </c>
      <c r="E5153" s="293">
        <v>-447.12</v>
      </c>
      <c r="F5153" s="294" t="s">
        <v>286</v>
      </c>
    </row>
    <row r="5154" spans="1:6" hidden="1" outlineLevel="1" collapsed="1" x14ac:dyDescent="0.25">
      <c r="A5154" s="295" t="s">
        <v>282</v>
      </c>
      <c r="B5154" s="295" t="s">
        <v>397</v>
      </c>
      <c r="C5154" s="293">
        <v>0</v>
      </c>
      <c r="D5154" s="293">
        <v>436.32</v>
      </c>
      <c r="E5154" s="293">
        <v>436.32</v>
      </c>
      <c r="F5154" s="294" t="s">
        <v>298</v>
      </c>
    </row>
    <row r="5155" spans="1:6" hidden="1" outlineLevel="1" collapsed="1" x14ac:dyDescent="0.25">
      <c r="A5155" s="295" t="s">
        <v>282</v>
      </c>
      <c r="B5155" s="295" t="s">
        <v>398</v>
      </c>
      <c r="C5155" s="293">
        <v>216</v>
      </c>
      <c r="D5155" s="293">
        <v>99.36</v>
      </c>
      <c r="E5155" s="293">
        <v>-116.64</v>
      </c>
      <c r="F5155" s="294" t="s">
        <v>374</v>
      </c>
    </row>
    <row r="5156" spans="1:6" hidden="1" outlineLevel="1" collapsed="1" x14ac:dyDescent="0.25">
      <c r="A5156" s="295" t="s">
        <v>282</v>
      </c>
      <c r="B5156" s="295" t="s">
        <v>522</v>
      </c>
      <c r="C5156" s="293">
        <v>3000</v>
      </c>
      <c r="D5156" s="293">
        <v>3000</v>
      </c>
      <c r="E5156" s="293">
        <v>0</v>
      </c>
      <c r="F5156" s="294" t="s">
        <v>316</v>
      </c>
    </row>
    <row r="5157" spans="1:6" hidden="1" outlineLevel="1" collapsed="1" x14ac:dyDescent="0.25">
      <c r="A5157" s="295" t="s">
        <v>282</v>
      </c>
      <c r="B5157" s="295" t="s">
        <v>399</v>
      </c>
      <c r="C5157" s="293">
        <v>300</v>
      </c>
      <c r="D5157" s="293">
        <v>0</v>
      </c>
      <c r="E5157" s="293">
        <v>-300</v>
      </c>
      <c r="F5157" s="294" t="s">
        <v>286</v>
      </c>
    </row>
    <row r="5158" spans="1:6" hidden="1" outlineLevel="1" collapsed="1" x14ac:dyDescent="0.25">
      <c r="A5158" s="295" t="s">
        <v>282</v>
      </c>
      <c r="B5158" s="295" t="s">
        <v>376</v>
      </c>
      <c r="C5158" s="293">
        <v>39600</v>
      </c>
      <c r="D5158" s="293">
        <v>30000</v>
      </c>
      <c r="E5158" s="293">
        <v>-9600</v>
      </c>
      <c r="F5158" s="294" t="s">
        <v>1870</v>
      </c>
    </row>
    <row r="5159" spans="1:6" hidden="1" outlineLevel="1" collapsed="1" x14ac:dyDescent="0.25">
      <c r="A5159" s="295" t="s">
        <v>282</v>
      </c>
      <c r="B5159" s="295" t="s">
        <v>567</v>
      </c>
      <c r="C5159" s="293">
        <v>75756</v>
      </c>
      <c r="D5159" s="293">
        <v>40000</v>
      </c>
      <c r="E5159" s="293">
        <v>-35756</v>
      </c>
      <c r="F5159" s="294" t="s">
        <v>1871</v>
      </c>
    </row>
    <row r="5160" spans="1:6" hidden="1" outlineLevel="1" collapsed="1" x14ac:dyDescent="0.25">
      <c r="A5160" s="295" t="s">
        <v>282</v>
      </c>
      <c r="B5160" s="295" t="s">
        <v>426</v>
      </c>
      <c r="C5160" s="293">
        <v>14652</v>
      </c>
      <c r="D5160" s="293">
        <v>6000</v>
      </c>
      <c r="E5160" s="293">
        <v>-8652</v>
      </c>
      <c r="F5160" s="294" t="s">
        <v>1872</v>
      </c>
    </row>
    <row r="5161" spans="1:6" hidden="1" outlineLevel="1" collapsed="1" x14ac:dyDescent="0.25">
      <c r="A5161" s="295" t="s">
        <v>282</v>
      </c>
      <c r="B5161" s="295" t="s">
        <v>952</v>
      </c>
      <c r="C5161" s="293">
        <v>6240</v>
      </c>
      <c r="D5161" s="293">
        <v>3240</v>
      </c>
      <c r="E5161" s="293">
        <v>-3000</v>
      </c>
      <c r="F5161" s="294" t="s">
        <v>1873</v>
      </c>
    </row>
    <row r="5162" spans="1:6" hidden="1" outlineLevel="1" collapsed="1" x14ac:dyDescent="0.25">
      <c r="A5162" s="295" t="s">
        <v>282</v>
      </c>
      <c r="B5162" s="295" t="s">
        <v>597</v>
      </c>
      <c r="C5162" s="293">
        <v>990</v>
      </c>
      <c r="D5162" s="293">
        <v>400</v>
      </c>
      <c r="E5162" s="293">
        <v>-590</v>
      </c>
      <c r="F5162" s="294" t="s">
        <v>1874</v>
      </c>
    </row>
    <row r="5163" spans="1:6" hidden="1" outlineLevel="1" collapsed="1" x14ac:dyDescent="0.25">
      <c r="A5163" s="295" t="s">
        <v>282</v>
      </c>
      <c r="B5163" s="295" t="s">
        <v>843</v>
      </c>
      <c r="C5163" s="293">
        <v>0</v>
      </c>
      <c r="D5163" s="293">
        <v>2140</v>
      </c>
      <c r="E5163" s="293">
        <v>2140</v>
      </c>
      <c r="F5163" s="294" t="s">
        <v>298</v>
      </c>
    </row>
    <row r="5164" spans="1:6" hidden="1" outlineLevel="1" collapsed="1" x14ac:dyDescent="0.25">
      <c r="A5164" s="295" t="s">
        <v>282</v>
      </c>
      <c r="B5164" s="295" t="s">
        <v>448</v>
      </c>
      <c r="C5164" s="293">
        <v>8500</v>
      </c>
      <c r="D5164" s="293">
        <v>8500</v>
      </c>
      <c r="E5164" s="293">
        <v>0</v>
      </c>
      <c r="F5164" s="294" t="s">
        <v>316</v>
      </c>
    </row>
    <row r="5165" spans="1:6" hidden="1" outlineLevel="1" collapsed="1" x14ac:dyDescent="0.25">
      <c r="A5165" s="295" t="s">
        <v>282</v>
      </c>
      <c r="B5165" s="295" t="s">
        <v>403</v>
      </c>
      <c r="C5165" s="293">
        <v>45000</v>
      </c>
      <c r="D5165" s="293">
        <v>35000</v>
      </c>
      <c r="E5165" s="293">
        <v>-10000</v>
      </c>
      <c r="F5165" s="294" t="s">
        <v>1610</v>
      </c>
    </row>
    <row r="5166" spans="1:6" hidden="1" outlineLevel="1" collapsed="1" x14ac:dyDescent="0.25">
      <c r="A5166" s="295" t="s">
        <v>282</v>
      </c>
      <c r="B5166" s="295" t="s">
        <v>626</v>
      </c>
      <c r="C5166" s="293">
        <v>1000</v>
      </c>
      <c r="D5166" s="293">
        <v>500</v>
      </c>
      <c r="E5166" s="293">
        <v>-500</v>
      </c>
      <c r="F5166" s="294" t="s">
        <v>722</v>
      </c>
    </row>
    <row r="5167" spans="1:6" hidden="1" outlineLevel="1" collapsed="1" x14ac:dyDescent="0.25">
      <c r="A5167" s="295" t="s">
        <v>282</v>
      </c>
      <c r="B5167" s="295" t="s">
        <v>405</v>
      </c>
      <c r="C5167" s="293">
        <v>1500</v>
      </c>
      <c r="D5167" s="293">
        <v>1000</v>
      </c>
      <c r="E5167" s="293">
        <v>-500</v>
      </c>
      <c r="F5167" s="294" t="s">
        <v>858</v>
      </c>
    </row>
    <row r="5168" spans="1:6" hidden="1" outlineLevel="1" collapsed="1" x14ac:dyDescent="0.25">
      <c r="A5168" s="295" t="s">
        <v>282</v>
      </c>
      <c r="B5168" s="295" t="s">
        <v>557</v>
      </c>
      <c r="C5168" s="293">
        <v>3100</v>
      </c>
      <c r="D5168" s="293">
        <v>100</v>
      </c>
      <c r="E5168" s="293">
        <v>-3000</v>
      </c>
      <c r="F5168" s="294" t="s">
        <v>1875</v>
      </c>
    </row>
    <row r="5169" spans="1:6" hidden="1" outlineLevel="1" collapsed="1" x14ac:dyDescent="0.25">
      <c r="A5169" s="295" t="s">
        <v>282</v>
      </c>
      <c r="B5169" s="295" t="s">
        <v>422</v>
      </c>
      <c r="C5169" s="293">
        <v>8500</v>
      </c>
      <c r="D5169" s="293">
        <v>6000</v>
      </c>
      <c r="E5169" s="293">
        <v>-2500</v>
      </c>
      <c r="F5169" s="294" t="s">
        <v>1646</v>
      </c>
    </row>
    <row r="5170" spans="1:6" hidden="1" outlineLevel="1" collapsed="1" x14ac:dyDescent="0.25">
      <c r="A5170" s="295" t="s">
        <v>282</v>
      </c>
      <c r="B5170" s="295" t="s">
        <v>770</v>
      </c>
      <c r="C5170" s="293">
        <v>4000</v>
      </c>
      <c r="D5170" s="293">
        <v>0</v>
      </c>
      <c r="E5170" s="293">
        <v>-4000</v>
      </c>
      <c r="F5170" s="294" t="s">
        <v>286</v>
      </c>
    </row>
    <row r="5171" spans="1:6" collapsed="1" x14ac:dyDescent="0.25">
      <c r="A5171" s="560" t="s">
        <v>1876</v>
      </c>
      <c r="B5171" s="561"/>
      <c r="C5171" s="292">
        <v>869613.384861</v>
      </c>
      <c r="D5171" s="293">
        <v>814552.59317200002</v>
      </c>
      <c r="E5171" s="293">
        <v>-55060.791688999998</v>
      </c>
      <c r="F5171" s="294" t="s">
        <v>1877</v>
      </c>
    </row>
    <row r="5172" spans="1:6" hidden="1" outlineLevel="1" collapsed="1" x14ac:dyDescent="0.25">
      <c r="A5172" s="295" t="s">
        <v>282</v>
      </c>
      <c r="B5172" s="295" t="s">
        <v>874</v>
      </c>
      <c r="C5172" s="293">
        <v>67621.328315999999</v>
      </c>
      <c r="D5172" s="293">
        <v>72072.478392000005</v>
      </c>
      <c r="E5172" s="293">
        <v>4451.1500759999999</v>
      </c>
      <c r="F5172" s="294" t="s">
        <v>790</v>
      </c>
    </row>
    <row r="5173" spans="1:6" hidden="1" outlineLevel="1" collapsed="1" x14ac:dyDescent="0.25">
      <c r="A5173" s="295" t="s">
        <v>282</v>
      </c>
      <c r="B5173" s="295" t="s">
        <v>464</v>
      </c>
      <c r="C5173" s="293">
        <v>257643.29336800001</v>
      </c>
      <c r="D5173" s="293">
        <v>312139.46761599998</v>
      </c>
      <c r="E5173" s="293">
        <v>54496.174248000003</v>
      </c>
      <c r="F5173" s="294" t="s">
        <v>1878</v>
      </c>
    </row>
    <row r="5174" spans="1:6" hidden="1" outlineLevel="1" collapsed="1" x14ac:dyDescent="0.25">
      <c r="A5174" s="295" t="s">
        <v>282</v>
      </c>
      <c r="B5174" s="295" t="s">
        <v>476</v>
      </c>
      <c r="C5174" s="293">
        <v>10000</v>
      </c>
      <c r="D5174" s="293">
        <v>0</v>
      </c>
      <c r="E5174" s="293">
        <v>-10000</v>
      </c>
      <c r="F5174" s="294" t="s">
        <v>286</v>
      </c>
    </row>
    <row r="5175" spans="1:6" hidden="1" outlineLevel="1" collapsed="1" x14ac:dyDescent="0.25">
      <c r="A5175" s="295" t="s">
        <v>282</v>
      </c>
      <c r="B5175" s="295" t="s">
        <v>799</v>
      </c>
      <c r="C5175" s="293">
        <v>7000</v>
      </c>
      <c r="D5175" s="293">
        <v>0</v>
      </c>
      <c r="E5175" s="293">
        <v>-7000</v>
      </c>
      <c r="F5175" s="294" t="s">
        <v>286</v>
      </c>
    </row>
    <row r="5176" spans="1:6" hidden="1" outlineLevel="1" collapsed="1" x14ac:dyDescent="0.25">
      <c r="A5176" s="295" t="s">
        <v>282</v>
      </c>
      <c r="B5176" s="295" t="s">
        <v>384</v>
      </c>
      <c r="C5176" s="293">
        <v>41106.989392000003</v>
      </c>
      <c r="D5176" s="293">
        <v>0</v>
      </c>
      <c r="E5176" s="293">
        <v>-41106.989392000003</v>
      </c>
      <c r="F5176" s="294" t="s">
        <v>286</v>
      </c>
    </row>
    <row r="5177" spans="1:6" hidden="1" outlineLevel="1" collapsed="1" x14ac:dyDescent="0.25">
      <c r="A5177" s="295" t="s">
        <v>282</v>
      </c>
      <c r="B5177" s="295" t="s">
        <v>385</v>
      </c>
      <c r="C5177" s="293">
        <v>0</v>
      </c>
      <c r="D5177" s="293">
        <v>59836.487448</v>
      </c>
      <c r="E5177" s="293">
        <v>59836.487448</v>
      </c>
      <c r="F5177" s="294" t="s">
        <v>298</v>
      </c>
    </row>
    <row r="5178" spans="1:6" hidden="1" outlineLevel="1" collapsed="1" x14ac:dyDescent="0.25">
      <c r="A5178" s="295" t="s">
        <v>282</v>
      </c>
      <c r="B5178" s="295" t="s">
        <v>386</v>
      </c>
      <c r="C5178" s="293">
        <v>20563.206513000001</v>
      </c>
      <c r="D5178" s="293">
        <v>0</v>
      </c>
      <c r="E5178" s="293">
        <v>-20563.206513000001</v>
      </c>
      <c r="F5178" s="294" t="s">
        <v>286</v>
      </c>
    </row>
    <row r="5179" spans="1:6" hidden="1" outlineLevel="1" collapsed="1" x14ac:dyDescent="0.25">
      <c r="A5179" s="295" t="s">
        <v>282</v>
      </c>
      <c r="B5179" s="295" t="s">
        <v>387</v>
      </c>
      <c r="C5179" s="293">
        <v>0</v>
      </c>
      <c r="D5179" s="293">
        <v>23783.940608000001</v>
      </c>
      <c r="E5179" s="293">
        <v>23783.940608000001</v>
      </c>
      <c r="F5179" s="294" t="s">
        <v>298</v>
      </c>
    </row>
    <row r="5180" spans="1:6" hidden="1" outlineLevel="1" collapsed="1" x14ac:dyDescent="0.25">
      <c r="A5180" s="295" t="s">
        <v>282</v>
      </c>
      <c r="B5180" s="295" t="s">
        <v>388</v>
      </c>
      <c r="C5180" s="293">
        <v>4809.136974</v>
      </c>
      <c r="D5180" s="293">
        <v>5562.373192</v>
      </c>
      <c r="E5180" s="293">
        <v>753.23621800000001</v>
      </c>
      <c r="F5180" s="294" t="s">
        <v>1879</v>
      </c>
    </row>
    <row r="5181" spans="1:6" hidden="1" outlineLevel="1" collapsed="1" x14ac:dyDescent="0.25">
      <c r="A5181" s="295" t="s">
        <v>282</v>
      </c>
      <c r="B5181" s="295" t="s">
        <v>389</v>
      </c>
      <c r="C5181" s="293">
        <v>2982.8735999999999</v>
      </c>
      <c r="D5181" s="293">
        <v>2954.28</v>
      </c>
      <c r="E5181" s="293">
        <v>-28.593599999999999</v>
      </c>
      <c r="F5181" s="294" t="s">
        <v>364</v>
      </c>
    </row>
    <row r="5182" spans="1:6" hidden="1" outlineLevel="1" collapsed="1" x14ac:dyDescent="0.25">
      <c r="A5182" s="295" t="s">
        <v>282</v>
      </c>
      <c r="B5182" s="295" t="s">
        <v>390</v>
      </c>
      <c r="C5182" s="293">
        <v>108396.89</v>
      </c>
      <c r="D5182" s="293">
        <v>111714.96</v>
      </c>
      <c r="E5182" s="293">
        <v>3318.07</v>
      </c>
      <c r="F5182" s="294" t="s">
        <v>391</v>
      </c>
    </row>
    <row r="5183" spans="1:6" hidden="1" outlineLevel="1" collapsed="1" x14ac:dyDescent="0.25">
      <c r="A5183" s="295" t="s">
        <v>282</v>
      </c>
      <c r="B5183" s="295" t="s">
        <v>392</v>
      </c>
      <c r="C5183" s="293">
        <v>1634.7744</v>
      </c>
      <c r="D5183" s="293">
        <v>1280.1600000000001</v>
      </c>
      <c r="E5183" s="293">
        <v>-354.61439999999999</v>
      </c>
      <c r="F5183" s="294" t="s">
        <v>368</v>
      </c>
    </row>
    <row r="5184" spans="1:6" hidden="1" outlineLevel="1" collapsed="1" x14ac:dyDescent="0.25">
      <c r="A5184" s="295" t="s">
        <v>282</v>
      </c>
      <c r="B5184" s="295" t="s">
        <v>393</v>
      </c>
      <c r="C5184" s="293">
        <v>165.83229800000001</v>
      </c>
      <c r="D5184" s="293">
        <v>191.805916</v>
      </c>
      <c r="E5184" s="293">
        <v>25.973617999999998</v>
      </c>
      <c r="F5184" s="294" t="s">
        <v>1879</v>
      </c>
    </row>
    <row r="5185" spans="1:6" hidden="1" outlineLevel="1" collapsed="1" x14ac:dyDescent="0.25">
      <c r="A5185" s="295" t="s">
        <v>282</v>
      </c>
      <c r="B5185" s="295" t="s">
        <v>394</v>
      </c>
      <c r="C5185" s="293">
        <v>10500</v>
      </c>
      <c r="D5185" s="293">
        <v>0</v>
      </c>
      <c r="E5185" s="293">
        <v>-10500</v>
      </c>
      <c r="F5185" s="294" t="s">
        <v>286</v>
      </c>
    </row>
    <row r="5186" spans="1:6" hidden="1" outlineLevel="1" collapsed="1" x14ac:dyDescent="0.25">
      <c r="A5186" s="295" t="s">
        <v>282</v>
      </c>
      <c r="B5186" s="295" t="s">
        <v>395</v>
      </c>
      <c r="C5186" s="293">
        <v>0</v>
      </c>
      <c r="D5186" s="293">
        <v>10500</v>
      </c>
      <c r="E5186" s="293">
        <v>10500</v>
      </c>
      <c r="F5186" s="294" t="s">
        <v>298</v>
      </c>
    </row>
    <row r="5187" spans="1:6" hidden="1" outlineLevel="1" collapsed="1" x14ac:dyDescent="0.25">
      <c r="A5187" s="295" t="s">
        <v>282</v>
      </c>
      <c r="B5187" s="295" t="s">
        <v>396</v>
      </c>
      <c r="C5187" s="293">
        <v>347.76</v>
      </c>
      <c r="D5187" s="293">
        <v>0</v>
      </c>
      <c r="E5187" s="293">
        <v>-347.76</v>
      </c>
      <c r="F5187" s="294" t="s">
        <v>286</v>
      </c>
    </row>
    <row r="5188" spans="1:6" hidden="1" outlineLevel="1" collapsed="1" x14ac:dyDescent="0.25">
      <c r="A5188" s="295" t="s">
        <v>282</v>
      </c>
      <c r="B5188" s="295" t="s">
        <v>397</v>
      </c>
      <c r="C5188" s="293">
        <v>0</v>
      </c>
      <c r="D5188" s="293">
        <v>339.36</v>
      </c>
      <c r="E5188" s="293">
        <v>339.36</v>
      </c>
      <c r="F5188" s="294" t="s">
        <v>298</v>
      </c>
    </row>
    <row r="5189" spans="1:6" hidden="1" outlineLevel="1" collapsed="1" x14ac:dyDescent="0.25">
      <c r="A5189" s="295" t="s">
        <v>282</v>
      </c>
      <c r="B5189" s="295" t="s">
        <v>398</v>
      </c>
      <c r="C5189" s="293">
        <v>168</v>
      </c>
      <c r="D5189" s="293">
        <v>77.28</v>
      </c>
      <c r="E5189" s="293">
        <v>-90.72</v>
      </c>
      <c r="F5189" s="294" t="s">
        <v>374</v>
      </c>
    </row>
    <row r="5190" spans="1:6" hidden="1" outlineLevel="1" collapsed="1" x14ac:dyDescent="0.25">
      <c r="A5190" s="295" t="s">
        <v>282</v>
      </c>
      <c r="B5190" s="295" t="s">
        <v>505</v>
      </c>
      <c r="C5190" s="293">
        <v>0</v>
      </c>
      <c r="D5190" s="293">
        <v>0</v>
      </c>
      <c r="E5190" s="293">
        <v>0</v>
      </c>
      <c r="F5190" s="294" t="s">
        <v>316</v>
      </c>
    </row>
    <row r="5191" spans="1:6" hidden="1" outlineLevel="1" collapsed="1" x14ac:dyDescent="0.25">
      <c r="A5191" s="295" t="s">
        <v>282</v>
      </c>
      <c r="B5191" s="295" t="s">
        <v>431</v>
      </c>
      <c r="C5191" s="293">
        <v>0</v>
      </c>
      <c r="D5191" s="293">
        <v>0</v>
      </c>
      <c r="E5191" s="293">
        <v>0</v>
      </c>
      <c r="F5191" s="294" t="s">
        <v>316</v>
      </c>
    </row>
    <row r="5192" spans="1:6" hidden="1" outlineLevel="1" collapsed="1" x14ac:dyDescent="0.25">
      <c r="A5192" s="295" t="s">
        <v>282</v>
      </c>
      <c r="B5192" s="295" t="s">
        <v>376</v>
      </c>
      <c r="C5192" s="293">
        <v>145815</v>
      </c>
      <c r="D5192" s="293">
        <v>86000</v>
      </c>
      <c r="E5192" s="293">
        <v>-59815</v>
      </c>
      <c r="F5192" s="294" t="s">
        <v>1880</v>
      </c>
    </row>
    <row r="5193" spans="1:6" hidden="1" outlineLevel="1" collapsed="1" x14ac:dyDescent="0.25">
      <c r="A5193" s="295" t="s">
        <v>282</v>
      </c>
      <c r="B5193" s="295" t="s">
        <v>662</v>
      </c>
      <c r="C5193" s="293">
        <v>-37286</v>
      </c>
      <c r="D5193" s="293">
        <v>0</v>
      </c>
      <c r="E5193" s="293">
        <v>37286</v>
      </c>
      <c r="F5193" s="294" t="s">
        <v>286</v>
      </c>
    </row>
    <row r="5194" spans="1:6" hidden="1" outlineLevel="1" collapsed="1" x14ac:dyDescent="0.25">
      <c r="A5194" s="295" t="s">
        <v>282</v>
      </c>
      <c r="B5194" s="295" t="s">
        <v>567</v>
      </c>
      <c r="C5194" s="293">
        <v>275</v>
      </c>
      <c r="D5194" s="293">
        <v>0</v>
      </c>
      <c r="E5194" s="293">
        <v>-275</v>
      </c>
      <c r="F5194" s="294" t="s">
        <v>286</v>
      </c>
    </row>
    <row r="5195" spans="1:6" hidden="1" outlineLevel="1" collapsed="1" x14ac:dyDescent="0.25">
      <c r="A5195" s="295" t="s">
        <v>282</v>
      </c>
      <c r="B5195" s="295" t="s">
        <v>426</v>
      </c>
      <c r="C5195" s="293">
        <v>4923</v>
      </c>
      <c r="D5195" s="293">
        <v>0</v>
      </c>
      <c r="E5195" s="293">
        <v>-4923</v>
      </c>
      <c r="F5195" s="294" t="s">
        <v>286</v>
      </c>
    </row>
    <row r="5196" spans="1:6" hidden="1" outlineLevel="1" collapsed="1" x14ac:dyDescent="0.25">
      <c r="A5196" s="295" t="s">
        <v>282</v>
      </c>
      <c r="B5196" s="295" t="s">
        <v>597</v>
      </c>
      <c r="C5196" s="293">
        <v>125.6</v>
      </c>
      <c r="D5196" s="293">
        <v>0</v>
      </c>
      <c r="E5196" s="293">
        <v>-125.6</v>
      </c>
      <c r="F5196" s="294" t="s">
        <v>286</v>
      </c>
    </row>
    <row r="5197" spans="1:6" hidden="1" outlineLevel="1" collapsed="1" x14ac:dyDescent="0.25">
      <c r="A5197" s="295" t="s">
        <v>282</v>
      </c>
      <c r="B5197" s="295" t="s">
        <v>1163</v>
      </c>
      <c r="C5197" s="293">
        <v>0.6</v>
      </c>
      <c r="D5197" s="293">
        <v>0</v>
      </c>
      <c r="E5197" s="293">
        <v>-0.6</v>
      </c>
      <c r="F5197" s="294" t="s">
        <v>286</v>
      </c>
    </row>
    <row r="5198" spans="1:6" hidden="1" outlineLevel="1" collapsed="1" x14ac:dyDescent="0.25">
      <c r="A5198" s="295" t="s">
        <v>282</v>
      </c>
      <c r="B5198" s="295" t="s">
        <v>483</v>
      </c>
      <c r="C5198" s="293">
        <v>5250</v>
      </c>
      <c r="D5198" s="293">
        <v>3400</v>
      </c>
      <c r="E5198" s="293">
        <v>-1850</v>
      </c>
      <c r="F5198" s="294" t="s">
        <v>1881</v>
      </c>
    </row>
    <row r="5199" spans="1:6" hidden="1" outlineLevel="1" collapsed="1" x14ac:dyDescent="0.25">
      <c r="A5199" s="295" t="s">
        <v>282</v>
      </c>
      <c r="B5199" s="295" t="s">
        <v>543</v>
      </c>
      <c r="C5199" s="293">
        <v>56101</v>
      </c>
      <c r="D5199" s="293">
        <v>56000</v>
      </c>
      <c r="E5199" s="293">
        <v>-101</v>
      </c>
      <c r="F5199" s="294" t="s">
        <v>990</v>
      </c>
    </row>
    <row r="5200" spans="1:6" hidden="1" outlineLevel="1" collapsed="1" x14ac:dyDescent="0.25">
      <c r="A5200" s="295" t="s">
        <v>282</v>
      </c>
      <c r="B5200" s="295" t="s">
        <v>448</v>
      </c>
      <c r="C5200" s="293">
        <v>7942</v>
      </c>
      <c r="D5200" s="293">
        <v>4000</v>
      </c>
      <c r="E5200" s="293">
        <v>-3942</v>
      </c>
      <c r="F5200" s="294" t="s">
        <v>1882</v>
      </c>
    </row>
    <row r="5201" spans="1:6" hidden="1" outlineLevel="1" collapsed="1" x14ac:dyDescent="0.25">
      <c r="A5201" s="295" t="s">
        <v>282</v>
      </c>
      <c r="B5201" s="295" t="s">
        <v>884</v>
      </c>
      <c r="C5201" s="293">
        <v>5200</v>
      </c>
      <c r="D5201" s="293">
        <v>5200</v>
      </c>
      <c r="E5201" s="293">
        <v>0</v>
      </c>
      <c r="F5201" s="294" t="s">
        <v>316</v>
      </c>
    </row>
    <row r="5202" spans="1:6" hidden="1" outlineLevel="1" collapsed="1" x14ac:dyDescent="0.25">
      <c r="A5202" s="295" t="s">
        <v>282</v>
      </c>
      <c r="B5202" s="295" t="s">
        <v>901</v>
      </c>
      <c r="C5202" s="293">
        <v>45392.4</v>
      </c>
      <c r="D5202" s="293">
        <v>45500</v>
      </c>
      <c r="E5202" s="293">
        <v>107.6</v>
      </c>
      <c r="F5202" s="294" t="s">
        <v>885</v>
      </c>
    </row>
    <row r="5203" spans="1:6" hidden="1" outlineLevel="1" collapsed="1" x14ac:dyDescent="0.25">
      <c r="A5203" s="295" t="s">
        <v>282</v>
      </c>
      <c r="B5203" s="295" t="s">
        <v>616</v>
      </c>
      <c r="C5203" s="293">
        <v>0</v>
      </c>
      <c r="D5203" s="293">
        <v>0</v>
      </c>
      <c r="E5203" s="293">
        <v>0</v>
      </c>
      <c r="F5203" s="294" t="s">
        <v>316</v>
      </c>
    </row>
    <row r="5204" spans="1:6" hidden="1" outlineLevel="1" collapsed="1" x14ac:dyDescent="0.25">
      <c r="A5204" s="295" t="s">
        <v>282</v>
      </c>
      <c r="B5204" s="295" t="s">
        <v>403</v>
      </c>
      <c r="C5204" s="293">
        <v>14066.7</v>
      </c>
      <c r="D5204" s="293">
        <v>14000</v>
      </c>
      <c r="E5204" s="293">
        <v>-66.7</v>
      </c>
      <c r="F5204" s="294" t="s">
        <v>1883</v>
      </c>
    </row>
    <row r="5205" spans="1:6" hidden="1" outlineLevel="1" collapsed="1" x14ac:dyDescent="0.25">
      <c r="A5205" s="295" t="s">
        <v>282</v>
      </c>
      <c r="B5205" s="295" t="s">
        <v>422</v>
      </c>
      <c r="C5205" s="293">
        <v>88868</v>
      </c>
      <c r="D5205" s="293">
        <v>0</v>
      </c>
      <c r="E5205" s="293">
        <v>-88868</v>
      </c>
      <c r="F5205" s="294" t="s">
        <v>286</v>
      </c>
    </row>
    <row r="5206" spans="1:6" hidden="1" outlineLevel="1" collapsed="1" x14ac:dyDescent="0.25">
      <c r="A5206" s="295" t="s">
        <v>282</v>
      </c>
      <c r="B5206" s="295" t="s">
        <v>770</v>
      </c>
      <c r="C5206" s="293">
        <v>0</v>
      </c>
      <c r="D5206" s="293">
        <v>0</v>
      </c>
      <c r="E5206" s="293">
        <v>0</v>
      </c>
      <c r="F5206" s="294" t="s">
        <v>316</v>
      </c>
    </row>
    <row r="5207" spans="1:6" collapsed="1" x14ac:dyDescent="0.25">
      <c r="A5207" s="560" t="s">
        <v>1884</v>
      </c>
      <c r="B5207" s="561"/>
      <c r="C5207" s="292">
        <v>677744.610705</v>
      </c>
      <c r="D5207" s="293">
        <v>727323.91960499994</v>
      </c>
      <c r="E5207" s="293">
        <v>49579.308900000004</v>
      </c>
      <c r="F5207" s="294" t="s">
        <v>1885</v>
      </c>
    </row>
    <row r="5208" spans="1:6" hidden="1" outlineLevel="1" collapsed="1" x14ac:dyDescent="0.25">
      <c r="A5208" s="295" t="s">
        <v>282</v>
      </c>
      <c r="B5208" s="295" t="s">
        <v>464</v>
      </c>
      <c r="C5208" s="293">
        <v>428396.37734200002</v>
      </c>
      <c r="D5208" s="293">
        <v>468972.732426</v>
      </c>
      <c r="E5208" s="293">
        <v>40576.355084000003</v>
      </c>
      <c r="F5208" s="294" t="s">
        <v>1886</v>
      </c>
    </row>
    <row r="5209" spans="1:6" hidden="1" outlineLevel="1" collapsed="1" x14ac:dyDescent="0.25">
      <c r="A5209" s="295" t="s">
        <v>282</v>
      </c>
      <c r="B5209" s="295" t="s">
        <v>799</v>
      </c>
      <c r="C5209" s="293">
        <v>22781</v>
      </c>
      <c r="D5209" s="293">
        <v>0</v>
      </c>
      <c r="E5209" s="293">
        <v>-22781</v>
      </c>
      <c r="F5209" s="294" t="s">
        <v>286</v>
      </c>
    </row>
    <row r="5210" spans="1:6" hidden="1" outlineLevel="1" collapsed="1" x14ac:dyDescent="0.25">
      <c r="A5210" s="295" t="s">
        <v>282</v>
      </c>
      <c r="B5210" s="295" t="s">
        <v>384</v>
      </c>
      <c r="C5210" s="293">
        <v>48272.745616</v>
      </c>
      <c r="D5210" s="293">
        <v>0</v>
      </c>
      <c r="E5210" s="293">
        <v>-48272.745616</v>
      </c>
      <c r="F5210" s="294" t="s">
        <v>286</v>
      </c>
    </row>
    <row r="5211" spans="1:6" hidden="1" outlineLevel="1" collapsed="1" x14ac:dyDescent="0.25">
      <c r="A5211" s="295" t="s">
        <v>282</v>
      </c>
      <c r="B5211" s="295" t="s">
        <v>385</v>
      </c>
      <c r="C5211" s="293">
        <v>0</v>
      </c>
      <c r="D5211" s="293">
        <v>66519.077422000002</v>
      </c>
      <c r="E5211" s="293">
        <v>66519.077422000002</v>
      </c>
      <c r="F5211" s="294" t="s">
        <v>298</v>
      </c>
    </row>
    <row r="5212" spans="1:6" hidden="1" outlineLevel="1" collapsed="1" x14ac:dyDescent="0.25">
      <c r="A5212" s="295" t="s">
        <v>282</v>
      </c>
      <c r="B5212" s="295" t="s">
        <v>386</v>
      </c>
      <c r="C5212" s="293">
        <v>24069.572262000002</v>
      </c>
      <c r="D5212" s="293">
        <v>0</v>
      </c>
      <c r="E5212" s="293">
        <v>-24069.572262000002</v>
      </c>
      <c r="F5212" s="294" t="s">
        <v>286</v>
      </c>
    </row>
    <row r="5213" spans="1:6" hidden="1" outlineLevel="1" collapsed="1" x14ac:dyDescent="0.25">
      <c r="A5213" s="295" t="s">
        <v>282</v>
      </c>
      <c r="B5213" s="295" t="s">
        <v>387</v>
      </c>
      <c r="C5213" s="293">
        <v>0</v>
      </c>
      <c r="D5213" s="293">
        <v>26380.975720999999</v>
      </c>
      <c r="E5213" s="293">
        <v>26380.975720999999</v>
      </c>
      <c r="F5213" s="294" t="s">
        <v>298</v>
      </c>
    </row>
    <row r="5214" spans="1:6" hidden="1" outlineLevel="1" collapsed="1" x14ac:dyDescent="0.25">
      <c r="A5214" s="295" t="s">
        <v>282</v>
      </c>
      <c r="B5214" s="295" t="s">
        <v>388</v>
      </c>
      <c r="C5214" s="293">
        <v>5629.1740929999996</v>
      </c>
      <c r="D5214" s="293">
        <v>6169.7442780000001</v>
      </c>
      <c r="E5214" s="293">
        <v>540.57018500000004</v>
      </c>
      <c r="F5214" s="294" t="s">
        <v>1887</v>
      </c>
    </row>
    <row r="5215" spans="1:6" hidden="1" outlineLevel="1" collapsed="1" x14ac:dyDescent="0.25">
      <c r="A5215" s="295" t="s">
        <v>282</v>
      </c>
      <c r="B5215" s="295" t="s">
        <v>389</v>
      </c>
      <c r="C5215" s="293">
        <v>4119.2064</v>
      </c>
      <c r="D5215" s="293">
        <v>4220.3999999999996</v>
      </c>
      <c r="E5215" s="293">
        <v>101.1936</v>
      </c>
      <c r="F5215" s="294" t="s">
        <v>1888</v>
      </c>
    </row>
    <row r="5216" spans="1:6" hidden="1" outlineLevel="1" collapsed="1" x14ac:dyDescent="0.25">
      <c r="A5216" s="295" t="s">
        <v>282</v>
      </c>
      <c r="B5216" s="295" t="s">
        <v>390</v>
      </c>
      <c r="C5216" s="293">
        <v>118762.64</v>
      </c>
      <c r="D5216" s="293">
        <v>127674.24000000001</v>
      </c>
      <c r="E5216" s="293">
        <v>8911.6</v>
      </c>
      <c r="F5216" s="294" t="s">
        <v>1524</v>
      </c>
    </row>
    <row r="5217" spans="1:6" hidden="1" outlineLevel="1" collapsed="1" x14ac:dyDescent="0.25">
      <c r="A5217" s="295" t="s">
        <v>282</v>
      </c>
      <c r="B5217" s="295" t="s">
        <v>392</v>
      </c>
      <c r="C5217" s="293">
        <v>2257.5455999999999</v>
      </c>
      <c r="D5217" s="293">
        <v>1828.8</v>
      </c>
      <c r="E5217" s="293">
        <v>-428.74560000000002</v>
      </c>
      <c r="F5217" s="294" t="s">
        <v>1889</v>
      </c>
    </row>
    <row r="5218" spans="1:6" hidden="1" outlineLevel="1" collapsed="1" x14ac:dyDescent="0.25">
      <c r="A5218" s="295" t="s">
        <v>282</v>
      </c>
      <c r="B5218" s="295" t="s">
        <v>393</v>
      </c>
      <c r="C5218" s="293">
        <v>194.10939200000001</v>
      </c>
      <c r="D5218" s="293">
        <v>212.74975800000001</v>
      </c>
      <c r="E5218" s="293">
        <v>18.640366</v>
      </c>
      <c r="F5218" s="294" t="s">
        <v>1887</v>
      </c>
    </row>
    <row r="5219" spans="1:6" hidden="1" outlineLevel="1" collapsed="1" x14ac:dyDescent="0.25">
      <c r="A5219" s="295" t="s">
        <v>282</v>
      </c>
      <c r="B5219" s="295" t="s">
        <v>394</v>
      </c>
      <c r="C5219" s="293">
        <v>14500</v>
      </c>
      <c r="D5219" s="293">
        <v>0</v>
      </c>
      <c r="E5219" s="293">
        <v>-14500</v>
      </c>
      <c r="F5219" s="294" t="s">
        <v>286</v>
      </c>
    </row>
    <row r="5220" spans="1:6" hidden="1" outlineLevel="1" collapsed="1" x14ac:dyDescent="0.25">
      <c r="A5220" s="295" t="s">
        <v>282</v>
      </c>
      <c r="B5220" s="295" t="s">
        <v>395</v>
      </c>
      <c r="C5220" s="293">
        <v>0</v>
      </c>
      <c r="D5220" s="293">
        <v>15000</v>
      </c>
      <c r="E5220" s="293">
        <v>15000</v>
      </c>
      <c r="F5220" s="294" t="s">
        <v>298</v>
      </c>
    </row>
    <row r="5221" spans="1:6" hidden="1" outlineLevel="1" collapsed="1" x14ac:dyDescent="0.25">
      <c r="A5221" s="295" t="s">
        <v>282</v>
      </c>
      <c r="B5221" s="295" t="s">
        <v>396</v>
      </c>
      <c r="C5221" s="293">
        <v>480.24</v>
      </c>
      <c r="D5221" s="293">
        <v>0</v>
      </c>
      <c r="E5221" s="293">
        <v>-480.24</v>
      </c>
      <c r="F5221" s="294" t="s">
        <v>286</v>
      </c>
    </row>
    <row r="5222" spans="1:6" hidden="1" outlineLevel="1" collapsed="1" x14ac:dyDescent="0.25">
      <c r="A5222" s="295" t="s">
        <v>282</v>
      </c>
      <c r="B5222" s="295" t="s">
        <v>397</v>
      </c>
      <c r="C5222" s="293">
        <v>0</v>
      </c>
      <c r="D5222" s="293">
        <v>484.8</v>
      </c>
      <c r="E5222" s="293">
        <v>484.8</v>
      </c>
      <c r="F5222" s="294" t="s">
        <v>298</v>
      </c>
    </row>
    <row r="5223" spans="1:6" hidden="1" outlineLevel="1" collapsed="1" x14ac:dyDescent="0.25">
      <c r="A5223" s="295" t="s">
        <v>282</v>
      </c>
      <c r="B5223" s="295" t="s">
        <v>398</v>
      </c>
      <c r="C5223" s="293">
        <v>232</v>
      </c>
      <c r="D5223" s="293">
        <v>110.4</v>
      </c>
      <c r="E5223" s="293">
        <v>-121.6</v>
      </c>
      <c r="F5223" s="294" t="s">
        <v>1890</v>
      </c>
    </row>
    <row r="5224" spans="1:6" hidden="1" outlineLevel="1" collapsed="1" x14ac:dyDescent="0.25">
      <c r="A5224" s="295" t="s">
        <v>282</v>
      </c>
      <c r="B5224" s="295" t="s">
        <v>522</v>
      </c>
      <c r="C5224" s="293">
        <v>6000</v>
      </c>
      <c r="D5224" s="293">
        <v>6000</v>
      </c>
      <c r="E5224" s="293">
        <v>0</v>
      </c>
      <c r="F5224" s="294" t="s">
        <v>316</v>
      </c>
    </row>
    <row r="5225" spans="1:6" hidden="1" outlineLevel="1" collapsed="1" x14ac:dyDescent="0.25">
      <c r="A5225" s="295" t="s">
        <v>282</v>
      </c>
      <c r="B5225" s="295" t="s">
        <v>376</v>
      </c>
      <c r="C5225" s="293">
        <v>550</v>
      </c>
      <c r="D5225" s="293">
        <v>600</v>
      </c>
      <c r="E5225" s="293">
        <v>50</v>
      </c>
      <c r="F5225" s="294" t="s">
        <v>693</v>
      </c>
    </row>
    <row r="5226" spans="1:6" hidden="1" outlineLevel="1" collapsed="1" x14ac:dyDescent="0.25">
      <c r="A5226" s="295" t="s">
        <v>282</v>
      </c>
      <c r="B5226" s="295" t="s">
        <v>626</v>
      </c>
      <c r="C5226" s="293">
        <v>1500</v>
      </c>
      <c r="D5226" s="293">
        <v>1650</v>
      </c>
      <c r="E5226" s="293">
        <v>150</v>
      </c>
      <c r="F5226" s="294" t="s">
        <v>1603</v>
      </c>
    </row>
    <row r="5227" spans="1:6" hidden="1" outlineLevel="1" collapsed="1" x14ac:dyDescent="0.25">
      <c r="A5227" s="295" t="s">
        <v>282</v>
      </c>
      <c r="B5227" s="295" t="s">
        <v>557</v>
      </c>
      <c r="C5227" s="293">
        <v>0</v>
      </c>
      <c r="D5227" s="293">
        <v>1500</v>
      </c>
      <c r="E5227" s="293">
        <v>1500</v>
      </c>
      <c r="F5227" s="294" t="s">
        <v>298</v>
      </c>
    </row>
    <row r="5228" spans="1:6" collapsed="1" x14ac:dyDescent="0.25">
      <c r="A5228" s="560" t="s">
        <v>1891</v>
      </c>
      <c r="B5228" s="561"/>
      <c r="C5228" s="292">
        <v>3243173.6054130001</v>
      </c>
      <c r="D5228" s="293">
        <v>3602392.7483939999</v>
      </c>
      <c r="E5228" s="293">
        <v>359219.14298100001</v>
      </c>
      <c r="F5228" s="294" t="s">
        <v>1892</v>
      </c>
    </row>
    <row r="5229" spans="1:6" hidden="1" outlineLevel="1" collapsed="1" x14ac:dyDescent="0.25">
      <c r="A5229" s="295" t="s">
        <v>282</v>
      </c>
      <c r="B5229" s="295" t="s">
        <v>942</v>
      </c>
      <c r="C5229" s="293">
        <v>285507.71990999999</v>
      </c>
      <c r="D5229" s="293">
        <v>282343.63907799998</v>
      </c>
      <c r="E5229" s="293">
        <v>-3164.0808320000001</v>
      </c>
      <c r="F5229" s="294" t="s">
        <v>1893</v>
      </c>
    </row>
    <row r="5230" spans="1:6" hidden="1" outlineLevel="1" collapsed="1" x14ac:dyDescent="0.25">
      <c r="A5230" s="295" t="s">
        <v>282</v>
      </c>
      <c r="B5230" s="295" t="s">
        <v>464</v>
      </c>
      <c r="C5230" s="293">
        <v>1152908.7925450001</v>
      </c>
      <c r="D5230" s="293">
        <v>1602044.88628</v>
      </c>
      <c r="E5230" s="293">
        <v>449136.093735</v>
      </c>
      <c r="F5230" s="294" t="s">
        <v>1894</v>
      </c>
    </row>
    <row r="5231" spans="1:6" hidden="1" outlineLevel="1" collapsed="1" x14ac:dyDescent="0.25">
      <c r="A5231" s="295" t="s">
        <v>282</v>
      </c>
      <c r="B5231" s="295" t="s">
        <v>475</v>
      </c>
      <c r="C5231" s="293">
        <v>0</v>
      </c>
      <c r="D5231" s="293">
        <v>0</v>
      </c>
      <c r="E5231" s="293">
        <v>0</v>
      </c>
      <c r="F5231" s="294" t="s">
        <v>316</v>
      </c>
    </row>
    <row r="5232" spans="1:6" hidden="1" outlineLevel="1" collapsed="1" x14ac:dyDescent="0.25">
      <c r="A5232" s="295" t="s">
        <v>282</v>
      </c>
      <c r="B5232" s="295" t="s">
        <v>945</v>
      </c>
      <c r="C5232" s="293">
        <v>27000</v>
      </c>
      <c r="D5232" s="293">
        <v>0</v>
      </c>
      <c r="E5232" s="293">
        <v>-27000</v>
      </c>
      <c r="F5232" s="294" t="s">
        <v>286</v>
      </c>
    </row>
    <row r="5233" spans="1:6" hidden="1" outlineLevel="1" collapsed="1" x14ac:dyDescent="0.25">
      <c r="A5233" s="295" t="s">
        <v>282</v>
      </c>
      <c r="B5233" s="295" t="s">
        <v>799</v>
      </c>
      <c r="C5233" s="293">
        <v>5000</v>
      </c>
      <c r="D5233" s="293">
        <v>0</v>
      </c>
      <c r="E5233" s="293">
        <v>-5000</v>
      </c>
      <c r="F5233" s="294" t="s">
        <v>286</v>
      </c>
    </row>
    <row r="5234" spans="1:6" hidden="1" outlineLevel="1" collapsed="1" x14ac:dyDescent="0.25">
      <c r="A5234" s="295" t="s">
        <v>282</v>
      </c>
      <c r="B5234" s="295" t="s">
        <v>488</v>
      </c>
      <c r="C5234" s="293">
        <v>10000</v>
      </c>
      <c r="D5234" s="293">
        <v>0</v>
      </c>
      <c r="E5234" s="293">
        <v>-10000</v>
      </c>
      <c r="F5234" s="294" t="s">
        <v>286</v>
      </c>
    </row>
    <row r="5235" spans="1:6" hidden="1" outlineLevel="1" collapsed="1" x14ac:dyDescent="0.25">
      <c r="A5235" s="295" t="s">
        <v>282</v>
      </c>
      <c r="B5235" s="295" t="s">
        <v>384</v>
      </c>
      <c r="C5235" s="293">
        <v>179117.75258</v>
      </c>
      <c r="D5235" s="293">
        <v>0</v>
      </c>
      <c r="E5235" s="293">
        <v>-179117.75258</v>
      </c>
      <c r="F5235" s="294" t="s">
        <v>286</v>
      </c>
    </row>
    <row r="5236" spans="1:6" hidden="1" outlineLevel="1" collapsed="1" x14ac:dyDescent="0.25">
      <c r="A5236" s="295" t="s">
        <v>282</v>
      </c>
      <c r="B5236" s="295" t="s">
        <v>385</v>
      </c>
      <c r="C5236" s="293">
        <v>0</v>
      </c>
      <c r="D5236" s="293">
        <v>266126.75092999998</v>
      </c>
      <c r="E5236" s="293">
        <v>266126.75092999998</v>
      </c>
      <c r="F5236" s="294" t="s">
        <v>298</v>
      </c>
    </row>
    <row r="5237" spans="1:6" hidden="1" outlineLevel="1" collapsed="1" x14ac:dyDescent="0.25">
      <c r="A5237" s="295" t="s">
        <v>282</v>
      </c>
      <c r="B5237" s="295" t="s">
        <v>386</v>
      </c>
      <c r="C5237" s="293">
        <v>89219.953672000003</v>
      </c>
      <c r="D5237" s="293">
        <v>0</v>
      </c>
      <c r="E5237" s="293">
        <v>-89219.953672000003</v>
      </c>
      <c r="F5237" s="294" t="s">
        <v>286</v>
      </c>
    </row>
    <row r="5238" spans="1:6" hidden="1" outlineLevel="1" collapsed="1" x14ac:dyDescent="0.25">
      <c r="A5238" s="295" t="s">
        <v>282</v>
      </c>
      <c r="B5238" s="295" t="s">
        <v>387</v>
      </c>
      <c r="C5238" s="293">
        <v>0</v>
      </c>
      <c r="D5238" s="293">
        <v>105372.00847</v>
      </c>
      <c r="E5238" s="293">
        <v>105372.00847</v>
      </c>
      <c r="F5238" s="294" t="s">
        <v>298</v>
      </c>
    </row>
    <row r="5239" spans="1:6" hidden="1" outlineLevel="1" collapsed="1" x14ac:dyDescent="0.25">
      <c r="A5239" s="295" t="s">
        <v>282</v>
      </c>
      <c r="B5239" s="295" t="s">
        <v>388</v>
      </c>
      <c r="C5239" s="293">
        <v>20865.956859000002</v>
      </c>
      <c r="D5239" s="293">
        <v>24643.453483000001</v>
      </c>
      <c r="E5239" s="293">
        <v>3777.4966239999999</v>
      </c>
      <c r="F5239" s="294" t="s">
        <v>1895</v>
      </c>
    </row>
    <row r="5240" spans="1:6" hidden="1" outlineLevel="1" collapsed="1" x14ac:dyDescent="0.25">
      <c r="A5240" s="295" t="s">
        <v>282</v>
      </c>
      <c r="B5240" s="295" t="s">
        <v>389</v>
      </c>
      <c r="C5240" s="293">
        <v>7229.9174400000002</v>
      </c>
      <c r="D5240" s="293">
        <v>8567.4120000000003</v>
      </c>
      <c r="E5240" s="293">
        <v>1337.4945600000001</v>
      </c>
      <c r="F5240" s="294" t="s">
        <v>1896</v>
      </c>
    </row>
    <row r="5241" spans="1:6" hidden="1" outlineLevel="1" collapsed="1" x14ac:dyDescent="0.25">
      <c r="A5241" s="295" t="s">
        <v>282</v>
      </c>
      <c r="B5241" s="295" t="s">
        <v>390</v>
      </c>
      <c r="C5241" s="293">
        <v>247670.511</v>
      </c>
      <c r="D5241" s="293">
        <v>308014.10399999999</v>
      </c>
      <c r="E5241" s="293">
        <v>60343.593000000001</v>
      </c>
      <c r="F5241" s="294" t="s">
        <v>705</v>
      </c>
    </row>
    <row r="5242" spans="1:6" hidden="1" outlineLevel="1" collapsed="1" x14ac:dyDescent="0.25">
      <c r="A5242" s="295" t="s">
        <v>282</v>
      </c>
      <c r="B5242" s="295" t="s">
        <v>392</v>
      </c>
      <c r="C5242" s="293">
        <v>3962.3817600000002</v>
      </c>
      <c r="D5242" s="293">
        <v>3712.4639999999999</v>
      </c>
      <c r="E5242" s="293">
        <v>-249.91775999999999</v>
      </c>
      <c r="F5242" s="294" t="s">
        <v>1897</v>
      </c>
    </row>
    <row r="5243" spans="1:6" hidden="1" outlineLevel="1" collapsed="1" x14ac:dyDescent="0.25">
      <c r="A5243" s="295" t="s">
        <v>282</v>
      </c>
      <c r="B5243" s="295" t="s">
        <v>393</v>
      </c>
      <c r="C5243" s="293">
        <v>719.51564699999994</v>
      </c>
      <c r="D5243" s="293">
        <v>849.77415299999996</v>
      </c>
      <c r="E5243" s="293">
        <v>130.25850600000001</v>
      </c>
      <c r="F5243" s="294" t="s">
        <v>1895</v>
      </c>
    </row>
    <row r="5244" spans="1:6" hidden="1" outlineLevel="1" collapsed="1" x14ac:dyDescent="0.25">
      <c r="A5244" s="295" t="s">
        <v>282</v>
      </c>
      <c r="B5244" s="295" t="s">
        <v>394</v>
      </c>
      <c r="C5244" s="293">
        <v>25450</v>
      </c>
      <c r="D5244" s="293">
        <v>0</v>
      </c>
      <c r="E5244" s="293">
        <v>-25450</v>
      </c>
      <c r="F5244" s="294" t="s">
        <v>286</v>
      </c>
    </row>
    <row r="5245" spans="1:6" hidden="1" outlineLevel="1" collapsed="1" x14ac:dyDescent="0.25">
      <c r="A5245" s="295" t="s">
        <v>282</v>
      </c>
      <c r="B5245" s="295" t="s">
        <v>395</v>
      </c>
      <c r="C5245" s="293">
        <v>0</v>
      </c>
      <c r="D5245" s="293">
        <v>30450</v>
      </c>
      <c r="E5245" s="293">
        <v>30450</v>
      </c>
      <c r="F5245" s="294" t="s">
        <v>298</v>
      </c>
    </row>
    <row r="5246" spans="1:6" hidden="1" outlineLevel="1" collapsed="1" x14ac:dyDescent="0.25">
      <c r="A5246" s="295" t="s">
        <v>282</v>
      </c>
      <c r="B5246" s="295" t="s">
        <v>396</v>
      </c>
      <c r="C5246" s="293">
        <v>842.904</v>
      </c>
      <c r="D5246" s="293">
        <v>0</v>
      </c>
      <c r="E5246" s="293">
        <v>-842.904</v>
      </c>
      <c r="F5246" s="294" t="s">
        <v>286</v>
      </c>
    </row>
    <row r="5247" spans="1:6" hidden="1" outlineLevel="1" collapsed="1" x14ac:dyDescent="0.25">
      <c r="A5247" s="295" t="s">
        <v>282</v>
      </c>
      <c r="B5247" s="295" t="s">
        <v>397</v>
      </c>
      <c r="C5247" s="293">
        <v>0</v>
      </c>
      <c r="D5247" s="293">
        <v>984.14400000000001</v>
      </c>
      <c r="E5247" s="293">
        <v>984.14400000000001</v>
      </c>
      <c r="F5247" s="294" t="s">
        <v>298</v>
      </c>
    </row>
    <row r="5248" spans="1:6" hidden="1" outlineLevel="1" collapsed="1" x14ac:dyDescent="0.25">
      <c r="A5248" s="295" t="s">
        <v>282</v>
      </c>
      <c r="B5248" s="295" t="s">
        <v>398</v>
      </c>
      <c r="C5248" s="293">
        <v>407.2</v>
      </c>
      <c r="D5248" s="293">
        <v>224.11199999999999</v>
      </c>
      <c r="E5248" s="293">
        <v>-183.08799999999999</v>
      </c>
      <c r="F5248" s="294" t="s">
        <v>1898</v>
      </c>
    </row>
    <row r="5249" spans="1:6" hidden="1" outlineLevel="1" collapsed="1" x14ac:dyDescent="0.25">
      <c r="A5249" s="295" t="s">
        <v>282</v>
      </c>
      <c r="B5249" s="295" t="s">
        <v>522</v>
      </c>
      <c r="C5249" s="293">
        <v>3000</v>
      </c>
      <c r="D5249" s="293">
        <v>3000</v>
      </c>
      <c r="E5249" s="293">
        <v>0</v>
      </c>
      <c r="F5249" s="294" t="s">
        <v>316</v>
      </c>
    </row>
    <row r="5250" spans="1:6" hidden="1" outlineLevel="1" collapsed="1" x14ac:dyDescent="0.25">
      <c r="A5250" s="295" t="s">
        <v>282</v>
      </c>
      <c r="B5250" s="295" t="s">
        <v>399</v>
      </c>
      <c r="C5250" s="293">
        <v>1000</v>
      </c>
      <c r="D5250" s="293">
        <v>1000</v>
      </c>
      <c r="E5250" s="293">
        <v>0</v>
      </c>
      <c r="F5250" s="294" t="s">
        <v>316</v>
      </c>
    </row>
    <row r="5251" spans="1:6" hidden="1" outlineLevel="1" collapsed="1" x14ac:dyDescent="0.25">
      <c r="A5251" s="295" t="s">
        <v>282</v>
      </c>
      <c r="B5251" s="295" t="s">
        <v>376</v>
      </c>
      <c r="C5251" s="293">
        <v>27000</v>
      </c>
      <c r="D5251" s="293">
        <v>17000</v>
      </c>
      <c r="E5251" s="293">
        <v>-10000</v>
      </c>
      <c r="F5251" s="294" t="s">
        <v>1899</v>
      </c>
    </row>
    <row r="5252" spans="1:6" hidden="1" outlineLevel="1" collapsed="1" x14ac:dyDescent="0.25">
      <c r="A5252" s="295" t="s">
        <v>282</v>
      </c>
      <c r="B5252" s="295" t="s">
        <v>506</v>
      </c>
      <c r="C5252" s="293">
        <v>6000</v>
      </c>
      <c r="D5252" s="293">
        <v>4000</v>
      </c>
      <c r="E5252" s="293">
        <v>-2000</v>
      </c>
      <c r="F5252" s="294" t="s">
        <v>858</v>
      </c>
    </row>
    <row r="5253" spans="1:6" hidden="1" outlineLevel="1" collapsed="1" x14ac:dyDescent="0.25">
      <c r="A5253" s="295" t="s">
        <v>282</v>
      </c>
      <c r="B5253" s="295" t="s">
        <v>567</v>
      </c>
      <c r="C5253" s="293">
        <v>408250</v>
      </c>
      <c r="D5253" s="293">
        <v>300000</v>
      </c>
      <c r="E5253" s="293">
        <v>-108250</v>
      </c>
      <c r="F5253" s="294" t="s">
        <v>1900</v>
      </c>
    </row>
    <row r="5254" spans="1:6" hidden="1" outlineLevel="1" collapsed="1" x14ac:dyDescent="0.25">
      <c r="A5254" s="295" t="s">
        <v>282</v>
      </c>
      <c r="B5254" s="295" t="s">
        <v>426</v>
      </c>
      <c r="C5254" s="293">
        <v>42000</v>
      </c>
      <c r="D5254" s="293">
        <v>37000</v>
      </c>
      <c r="E5254" s="293">
        <v>-5000</v>
      </c>
      <c r="F5254" s="294" t="s">
        <v>1901</v>
      </c>
    </row>
    <row r="5255" spans="1:6" hidden="1" outlineLevel="1" collapsed="1" x14ac:dyDescent="0.25">
      <c r="A5255" s="295" t="s">
        <v>282</v>
      </c>
      <c r="B5255" s="295" t="s">
        <v>1103</v>
      </c>
      <c r="C5255" s="293">
        <v>3600</v>
      </c>
      <c r="D5255" s="293">
        <v>3600</v>
      </c>
      <c r="E5255" s="293">
        <v>0</v>
      </c>
      <c r="F5255" s="294" t="s">
        <v>316</v>
      </c>
    </row>
    <row r="5256" spans="1:6" hidden="1" outlineLevel="1" collapsed="1" x14ac:dyDescent="0.25">
      <c r="A5256" s="295" t="s">
        <v>282</v>
      </c>
      <c r="B5256" s="295" t="s">
        <v>952</v>
      </c>
      <c r="C5256" s="293">
        <v>2160</v>
      </c>
      <c r="D5256" s="293">
        <v>2160</v>
      </c>
      <c r="E5256" s="293">
        <v>0</v>
      </c>
      <c r="F5256" s="294" t="s">
        <v>316</v>
      </c>
    </row>
    <row r="5257" spans="1:6" hidden="1" outlineLevel="1" collapsed="1" x14ac:dyDescent="0.25">
      <c r="A5257" s="295" t="s">
        <v>282</v>
      </c>
      <c r="B5257" s="295" t="s">
        <v>482</v>
      </c>
      <c r="C5257" s="293">
        <v>10000</v>
      </c>
      <c r="D5257" s="293">
        <v>12000</v>
      </c>
      <c r="E5257" s="293">
        <v>2000</v>
      </c>
      <c r="F5257" s="294" t="s">
        <v>882</v>
      </c>
    </row>
    <row r="5258" spans="1:6" hidden="1" outlineLevel="1" collapsed="1" x14ac:dyDescent="0.25">
      <c r="A5258" s="295" t="s">
        <v>282</v>
      </c>
      <c r="B5258" s="295" t="s">
        <v>597</v>
      </c>
      <c r="C5258" s="293">
        <v>1980</v>
      </c>
      <c r="D5258" s="293">
        <v>2000</v>
      </c>
      <c r="E5258" s="293">
        <v>20</v>
      </c>
      <c r="F5258" s="294" t="s">
        <v>1902</v>
      </c>
    </row>
    <row r="5259" spans="1:6" hidden="1" outlineLevel="1" collapsed="1" x14ac:dyDescent="0.25">
      <c r="A5259" s="295" t="s">
        <v>282</v>
      </c>
      <c r="B5259" s="295" t="s">
        <v>842</v>
      </c>
      <c r="C5259" s="293">
        <v>300</v>
      </c>
      <c r="D5259" s="293">
        <v>300</v>
      </c>
      <c r="E5259" s="293">
        <v>0</v>
      </c>
      <c r="F5259" s="294" t="s">
        <v>316</v>
      </c>
    </row>
    <row r="5260" spans="1:6" hidden="1" outlineLevel="1" collapsed="1" x14ac:dyDescent="0.25">
      <c r="A5260" s="295" t="s">
        <v>282</v>
      </c>
      <c r="B5260" s="295" t="s">
        <v>843</v>
      </c>
      <c r="C5260" s="293">
        <v>60000</v>
      </c>
      <c r="D5260" s="293">
        <v>60000</v>
      </c>
      <c r="E5260" s="293">
        <v>0</v>
      </c>
      <c r="F5260" s="294" t="s">
        <v>316</v>
      </c>
    </row>
    <row r="5261" spans="1:6" hidden="1" outlineLevel="1" collapsed="1" x14ac:dyDescent="0.25">
      <c r="A5261" s="295" t="s">
        <v>282</v>
      </c>
      <c r="B5261" s="295" t="s">
        <v>416</v>
      </c>
      <c r="C5261" s="293">
        <v>750</v>
      </c>
      <c r="D5261" s="293">
        <v>1000</v>
      </c>
      <c r="E5261" s="293">
        <v>250</v>
      </c>
      <c r="F5261" s="294" t="s">
        <v>886</v>
      </c>
    </row>
    <row r="5262" spans="1:6" hidden="1" outlineLevel="1" collapsed="1" x14ac:dyDescent="0.25">
      <c r="A5262" s="295" t="s">
        <v>282</v>
      </c>
      <c r="B5262" s="295" t="s">
        <v>448</v>
      </c>
      <c r="C5262" s="293">
        <v>460731</v>
      </c>
      <c r="D5262" s="293">
        <v>350000</v>
      </c>
      <c r="E5262" s="293">
        <v>-110731</v>
      </c>
      <c r="F5262" s="294" t="s">
        <v>1903</v>
      </c>
    </row>
    <row r="5263" spans="1:6" hidden="1" outlineLevel="1" collapsed="1" x14ac:dyDescent="0.25">
      <c r="A5263" s="295" t="s">
        <v>282</v>
      </c>
      <c r="B5263" s="295" t="s">
        <v>884</v>
      </c>
      <c r="C5263" s="293">
        <v>900</v>
      </c>
      <c r="D5263" s="293">
        <v>1000</v>
      </c>
      <c r="E5263" s="293">
        <v>100</v>
      </c>
      <c r="F5263" s="294" t="s">
        <v>610</v>
      </c>
    </row>
    <row r="5264" spans="1:6" hidden="1" outlineLevel="1" collapsed="1" x14ac:dyDescent="0.25">
      <c r="A5264" s="295" t="s">
        <v>282</v>
      </c>
      <c r="B5264" s="295" t="s">
        <v>901</v>
      </c>
      <c r="C5264" s="293">
        <v>800</v>
      </c>
      <c r="D5264" s="293">
        <v>1000</v>
      </c>
      <c r="E5264" s="293">
        <v>200</v>
      </c>
      <c r="F5264" s="294" t="s">
        <v>1552</v>
      </c>
    </row>
    <row r="5265" spans="1:6" hidden="1" outlineLevel="1" collapsed="1" x14ac:dyDescent="0.25">
      <c r="A5265" s="295" t="s">
        <v>282</v>
      </c>
      <c r="B5265" s="295" t="s">
        <v>616</v>
      </c>
      <c r="C5265" s="293">
        <v>70000</v>
      </c>
      <c r="D5265" s="293">
        <v>100000</v>
      </c>
      <c r="E5265" s="293">
        <v>30000</v>
      </c>
      <c r="F5265" s="294" t="s">
        <v>1447</v>
      </c>
    </row>
    <row r="5266" spans="1:6" hidden="1" outlineLevel="1" collapsed="1" x14ac:dyDescent="0.25">
      <c r="A5266" s="295" t="s">
        <v>282</v>
      </c>
      <c r="B5266" s="295" t="s">
        <v>403</v>
      </c>
      <c r="C5266" s="293">
        <v>1800</v>
      </c>
      <c r="D5266" s="293">
        <v>2000</v>
      </c>
      <c r="E5266" s="293">
        <v>200</v>
      </c>
      <c r="F5266" s="294" t="s">
        <v>610</v>
      </c>
    </row>
    <row r="5267" spans="1:6" hidden="1" outlineLevel="1" collapsed="1" x14ac:dyDescent="0.25">
      <c r="A5267" s="295" t="s">
        <v>282</v>
      </c>
      <c r="B5267" s="295" t="s">
        <v>422</v>
      </c>
      <c r="C5267" s="293">
        <v>19500</v>
      </c>
      <c r="D5267" s="293">
        <v>4500</v>
      </c>
      <c r="E5267" s="293">
        <v>-15000</v>
      </c>
      <c r="F5267" s="294" t="s">
        <v>1904</v>
      </c>
    </row>
    <row r="5268" spans="1:6" hidden="1" outlineLevel="1" collapsed="1" x14ac:dyDescent="0.25">
      <c r="A5268" s="295" t="s">
        <v>282</v>
      </c>
      <c r="B5268" s="295" t="s">
        <v>770</v>
      </c>
      <c r="C5268" s="293">
        <v>67500</v>
      </c>
      <c r="D5268" s="293">
        <v>67500</v>
      </c>
      <c r="E5268" s="293">
        <v>0</v>
      </c>
      <c r="F5268" s="294" t="s">
        <v>316</v>
      </c>
    </row>
    <row r="5269" spans="1:6" collapsed="1" x14ac:dyDescent="0.25">
      <c r="A5269" s="560" t="s">
        <v>1905</v>
      </c>
      <c r="B5269" s="561"/>
      <c r="C5269" s="292">
        <v>41000</v>
      </c>
      <c r="D5269" s="293">
        <v>41000</v>
      </c>
      <c r="E5269" s="293">
        <v>0</v>
      </c>
      <c r="F5269" s="294" t="s">
        <v>316</v>
      </c>
    </row>
    <row r="5270" spans="1:6" hidden="1" outlineLevel="1" collapsed="1" x14ac:dyDescent="0.25">
      <c r="A5270" s="295" t="s">
        <v>282</v>
      </c>
      <c r="B5270" s="295" t="s">
        <v>1906</v>
      </c>
      <c r="C5270" s="293">
        <v>31000</v>
      </c>
      <c r="D5270" s="293">
        <v>31000</v>
      </c>
      <c r="E5270" s="293">
        <v>0</v>
      </c>
      <c r="F5270" s="294" t="s">
        <v>316</v>
      </c>
    </row>
    <row r="5271" spans="1:6" hidden="1" outlineLevel="1" collapsed="1" x14ac:dyDescent="0.25">
      <c r="A5271" s="295" t="s">
        <v>282</v>
      </c>
      <c r="B5271" s="295" t="s">
        <v>1907</v>
      </c>
      <c r="C5271" s="293">
        <v>10000</v>
      </c>
      <c r="D5271" s="293">
        <v>10000</v>
      </c>
      <c r="E5271" s="293">
        <v>0</v>
      </c>
      <c r="F5271" s="294" t="s">
        <v>316</v>
      </c>
    </row>
    <row r="5272" spans="1:6" collapsed="1" x14ac:dyDescent="0.25">
      <c r="A5272" s="560" t="s">
        <v>1908</v>
      </c>
      <c r="B5272" s="561"/>
      <c r="C5272" s="292">
        <v>7954</v>
      </c>
      <c r="D5272" s="293">
        <v>0</v>
      </c>
      <c r="E5272" s="293">
        <v>-7954</v>
      </c>
      <c r="F5272" s="294" t="s">
        <v>286</v>
      </c>
    </row>
    <row r="5273" spans="1:6" hidden="1" outlineLevel="1" collapsed="1" x14ac:dyDescent="0.25">
      <c r="A5273" s="295" t="s">
        <v>282</v>
      </c>
      <c r="B5273" s="295" t="s">
        <v>780</v>
      </c>
      <c r="C5273" s="293">
        <v>7954</v>
      </c>
      <c r="D5273" s="293">
        <v>0</v>
      </c>
      <c r="E5273" s="293">
        <v>-7954</v>
      </c>
      <c r="F5273" s="294" t="s">
        <v>286</v>
      </c>
    </row>
    <row r="5274" spans="1:6" collapsed="1" x14ac:dyDescent="0.25">
      <c r="A5274" s="560" t="s">
        <v>1909</v>
      </c>
      <c r="B5274" s="561"/>
      <c r="C5274" s="292">
        <v>80009.791790999996</v>
      </c>
      <c r="D5274" s="293">
        <v>86123.337771000006</v>
      </c>
      <c r="E5274" s="293">
        <v>6113.5459799999999</v>
      </c>
      <c r="F5274" s="294" t="s">
        <v>1910</v>
      </c>
    </row>
    <row r="5275" spans="1:6" hidden="1" outlineLevel="1" collapsed="1" x14ac:dyDescent="0.25">
      <c r="A5275" s="295" t="s">
        <v>282</v>
      </c>
      <c r="B5275" s="295" t="s">
        <v>942</v>
      </c>
      <c r="C5275" s="293">
        <v>25504.513630000001</v>
      </c>
      <c r="D5275" s="293">
        <v>27181.662973999999</v>
      </c>
      <c r="E5275" s="293">
        <v>1677.1493439999999</v>
      </c>
      <c r="F5275" s="294" t="s">
        <v>790</v>
      </c>
    </row>
    <row r="5276" spans="1:6" hidden="1" outlineLevel="1" collapsed="1" x14ac:dyDescent="0.25">
      <c r="A5276" s="295" t="s">
        <v>282</v>
      </c>
      <c r="B5276" s="295" t="s">
        <v>384</v>
      </c>
      <c r="C5276" s="293">
        <v>3208.4678140000001</v>
      </c>
      <c r="D5276" s="293">
        <v>0</v>
      </c>
      <c r="E5276" s="293">
        <v>-3208.4678140000001</v>
      </c>
      <c r="F5276" s="294" t="s">
        <v>286</v>
      </c>
    </row>
    <row r="5277" spans="1:6" hidden="1" outlineLevel="1" collapsed="1" x14ac:dyDescent="0.25">
      <c r="A5277" s="295" t="s">
        <v>282</v>
      </c>
      <c r="B5277" s="295" t="s">
        <v>385</v>
      </c>
      <c r="C5277" s="293">
        <v>0</v>
      </c>
      <c r="D5277" s="293">
        <v>4294.7027500000004</v>
      </c>
      <c r="E5277" s="293">
        <v>4294.7027500000004</v>
      </c>
      <c r="F5277" s="294" t="s">
        <v>298</v>
      </c>
    </row>
    <row r="5278" spans="1:6" hidden="1" outlineLevel="1" collapsed="1" x14ac:dyDescent="0.25">
      <c r="A5278" s="295" t="s">
        <v>282</v>
      </c>
      <c r="B5278" s="295" t="s">
        <v>386</v>
      </c>
      <c r="C5278" s="293">
        <v>1588.7198450000001</v>
      </c>
      <c r="D5278" s="293">
        <v>0</v>
      </c>
      <c r="E5278" s="293">
        <v>-1588.7198450000001</v>
      </c>
      <c r="F5278" s="294" t="s">
        <v>286</v>
      </c>
    </row>
    <row r="5279" spans="1:6" hidden="1" outlineLevel="1" collapsed="1" x14ac:dyDescent="0.25">
      <c r="A5279" s="295" t="s">
        <v>282</v>
      </c>
      <c r="B5279" s="295" t="s">
        <v>387</v>
      </c>
      <c r="C5279" s="293">
        <v>0</v>
      </c>
      <c r="D5279" s="293">
        <v>1692.7031039999999</v>
      </c>
      <c r="E5279" s="293">
        <v>1692.7031039999999</v>
      </c>
      <c r="F5279" s="294" t="s">
        <v>298</v>
      </c>
    </row>
    <row r="5280" spans="1:6" hidden="1" outlineLevel="1" collapsed="1" x14ac:dyDescent="0.25">
      <c r="A5280" s="295" t="s">
        <v>282</v>
      </c>
      <c r="B5280" s="295" t="s">
        <v>388</v>
      </c>
      <c r="C5280" s="293">
        <v>371.55544600000002</v>
      </c>
      <c r="D5280" s="293">
        <v>395.87411300000002</v>
      </c>
      <c r="E5280" s="293">
        <v>24.318667000000001</v>
      </c>
      <c r="F5280" s="294" t="s">
        <v>682</v>
      </c>
    </row>
    <row r="5281" spans="1:6" hidden="1" outlineLevel="1" collapsed="1" x14ac:dyDescent="0.25">
      <c r="A5281" s="295" t="s">
        <v>282</v>
      </c>
      <c r="B5281" s="295" t="s">
        <v>389</v>
      </c>
      <c r="C5281" s="293">
        <v>85.224959999999996</v>
      </c>
      <c r="D5281" s="293">
        <v>84.408000000000001</v>
      </c>
      <c r="E5281" s="293">
        <v>-0.81696000000000002</v>
      </c>
      <c r="F5281" s="294" t="s">
        <v>364</v>
      </c>
    </row>
    <row r="5282" spans="1:6" hidden="1" outlineLevel="1" collapsed="1" x14ac:dyDescent="0.25">
      <c r="A5282" s="295" t="s">
        <v>282</v>
      </c>
      <c r="B5282" s="295" t="s">
        <v>390</v>
      </c>
      <c r="C5282" s="293">
        <v>3097.0540000000001</v>
      </c>
      <c r="D5282" s="293">
        <v>3191.8560000000002</v>
      </c>
      <c r="E5282" s="293">
        <v>94.802000000000007</v>
      </c>
      <c r="F5282" s="294" t="s">
        <v>391</v>
      </c>
    </row>
    <row r="5283" spans="1:6" hidden="1" outlineLevel="1" collapsed="1" x14ac:dyDescent="0.25">
      <c r="A5283" s="295" t="s">
        <v>282</v>
      </c>
      <c r="B5283" s="295" t="s">
        <v>392</v>
      </c>
      <c r="C5283" s="293">
        <v>46.707839999999997</v>
      </c>
      <c r="D5283" s="293">
        <v>36.576000000000001</v>
      </c>
      <c r="E5283" s="293">
        <v>-10.13184</v>
      </c>
      <c r="F5283" s="294" t="s">
        <v>368</v>
      </c>
    </row>
    <row r="5284" spans="1:6" hidden="1" outlineLevel="1" collapsed="1" x14ac:dyDescent="0.25">
      <c r="A5284" s="295" t="s">
        <v>282</v>
      </c>
      <c r="B5284" s="295" t="s">
        <v>393</v>
      </c>
      <c r="C5284" s="293">
        <v>12.812256</v>
      </c>
      <c r="D5284" s="293">
        <v>13.650829999999999</v>
      </c>
      <c r="E5284" s="293">
        <v>0.83857400000000004</v>
      </c>
      <c r="F5284" s="294" t="s">
        <v>682</v>
      </c>
    </row>
    <row r="5285" spans="1:6" hidden="1" outlineLevel="1" collapsed="1" x14ac:dyDescent="0.25">
      <c r="A5285" s="295" t="s">
        <v>282</v>
      </c>
      <c r="B5285" s="295" t="s">
        <v>394</v>
      </c>
      <c r="C5285" s="293">
        <v>300</v>
      </c>
      <c r="D5285" s="293">
        <v>0</v>
      </c>
      <c r="E5285" s="293">
        <v>-300</v>
      </c>
      <c r="F5285" s="294" t="s">
        <v>286</v>
      </c>
    </row>
    <row r="5286" spans="1:6" hidden="1" outlineLevel="1" collapsed="1" x14ac:dyDescent="0.25">
      <c r="A5286" s="295" t="s">
        <v>282</v>
      </c>
      <c r="B5286" s="295" t="s">
        <v>395</v>
      </c>
      <c r="C5286" s="293">
        <v>0</v>
      </c>
      <c r="D5286" s="293">
        <v>300</v>
      </c>
      <c r="E5286" s="293">
        <v>300</v>
      </c>
      <c r="F5286" s="294" t="s">
        <v>298</v>
      </c>
    </row>
    <row r="5287" spans="1:6" hidden="1" outlineLevel="1" collapsed="1" x14ac:dyDescent="0.25">
      <c r="A5287" s="295" t="s">
        <v>282</v>
      </c>
      <c r="B5287" s="295" t="s">
        <v>396</v>
      </c>
      <c r="C5287" s="293">
        <v>9.9359999999999999</v>
      </c>
      <c r="D5287" s="293">
        <v>0</v>
      </c>
      <c r="E5287" s="293">
        <v>-9.9359999999999999</v>
      </c>
      <c r="F5287" s="294" t="s">
        <v>286</v>
      </c>
    </row>
    <row r="5288" spans="1:6" hidden="1" outlineLevel="1" collapsed="1" x14ac:dyDescent="0.25">
      <c r="A5288" s="295" t="s">
        <v>282</v>
      </c>
      <c r="B5288" s="295" t="s">
        <v>397</v>
      </c>
      <c r="C5288" s="293">
        <v>0</v>
      </c>
      <c r="D5288" s="293">
        <v>9.6959999999999997</v>
      </c>
      <c r="E5288" s="293">
        <v>9.6959999999999997</v>
      </c>
      <c r="F5288" s="294" t="s">
        <v>298</v>
      </c>
    </row>
    <row r="5289" spans="1:6" hidden="1" outlineLevel="1" collapsed="1" x14ac:dyDescent="0.25">
      <c r="A5289" s="295" t="s">
        <v>282</v>
      </c>
      <c r="B5289" s="295" t="s">
        <v>398</v>
      </c>
      <c r="C5289" s="293">
        <v>4.8</v>
      </c>
      <c r="D5289" s="293">
        <v>2.2080000000000002</v>
      </c>
      <c r="E5289" s="293">
        <v>-2.5920000000000001</v>
      </c>
      <c r="F5289" s="294" t="s">
        <v>374</v>
      </c>
    </row>
    <row r="5290" spans="1:6" hidden="1" outlineLevel="1" collapsed="1" x14ac:dyDescent="0.25">
      <c r="A5290" s="295" t="s">
        <v>282</v>
      </c>
      <c r="B5290" s="295" t="s">
        <v>567</v>
      </c>
      <c r="C5290" s="293">
        <v>20525</v>
      </c>
      <c r="D5290" s="293">
        <v>20000</v>
      </c>
      <c r="E5290" s="293">
        <v>-525</v>
      </c>
      <c r="F5290" s="294" t="s">
        <v>1911</v>
      </c>
    </row>
    <row r="5291" spans="1:6" hidden="1" outlineLevel="1" collapsed="1" x14ac:dyDescent="0.25">
      <c r="A5291" s="295" t="s">
        <v>282</v>
      </c>
      <c r="B5291" s="295" t="s">
        <v>426</v>
      </c>
      <c r="C5291" s="293">
        <v>4650</v>
      </c>
      <c r="D5291" s="293">
        <v>8400</v>
      </c>
      <c r="E5291" s="293">
        <v>3750</v>
      </c>
      <c r="F5291" s="294" t="s">
        <v>1912</v>
      </c>
    </row>
    <row r="5292" spans="1:6" hidden="1" outlineLevel="1" collapsed="1" x14ac:dyDescent="0.25">
      <c r="A5292" s="295" t="s">
        <v>282</v>
      </c>
      <c r="B5292" s="295" t="s">
        <v>952</v>
      </c>
      <c r="C5292" s="293">
        <v>720</v>
      </c>
      <c r="D5292" s="293">
        <v>120</v>
      </c>
      <c r="E5292" s="293">
        <v>-600</v>
      </c>
      <c r="F5292" s="294" t="s">
        <v>1537</v>
      </c>
    </row>
    <row r="5293" spans="1:6" hidden="1" outlineLevel="1" collapsed="1" x14ac:dyDescent="0.25">
      <c r="A5293" s="295" t="s">
        <v>282</v>
      </c>
      <c r="B5293" s="295" t="s">
        <v>482</v>
      </c>
      <c r="C5293" s="293">
        <v>1950</v>
      </c>
      <c r="D5293" s="293">
        <v>1000</v>
      </c>
      <c r="E5293" s="293">
        <v>-950</v>
      </c>
      <c r="F5293" s="294" t="s">
        <v>1913</v>
      </c>
    </row>
    <row r="5294" spans="1:6" hidden="1" outlineLevel="1" collapsed="1" x14ac:dyDescent="0.25">
      <c r="A5294" s="295" t="s">
        <v>282</v>
      </c>
      <c r="B5294" s="295" t="s">
        <v>597</v>
      </c>
      <c r="C5294" s="293">
        <v>0</v>
      </c>
      <c r="D5294" s="293">
        <v>1000</v>
      </c>
      <c r="E5294" s="293">
        <v>1000</v>
      </c>
      <c r="F5294" s="294" t="s">
        <v>298</v>
      </c>
    </row>
    <row r="5295" spans="1:6" hidden="1" outlineLevel="1" collapsed="1" x14ac:dyDescent="0.25">
      <c r="A5295" s="295" t="s">
        <v>282</v>
      </c>
      <c r="B5295" s="295" t="s">
        <v>626</v>
      </c>
      <c r="C5295" s="293">
        <v>-350</v>
      </c>
      <c r="D5295" s="293">
        <v>0</v>
      </c>
      <c r="E5295" s="293">
        <v>350</v>
      </c>
      <c r="F5295" s="294" t="s">
        <v>286</v>
      </c>
    </row>
    <row r="5296" spans="1:6" hidden="1" outlineLevel="1" collapsed="1" x14ac:dyDescent="0.25">
      <c r="A5296" s="295" t="s">
        <v>282</v>
      </c>
      <c r="B5296" s="295" t="s">
        <v>405</v>
      </c>
      <c r="C5296" s="293">
        <v>18285</v>
      </c>
      <c r="D5296" s="293">
        <v>18400</v>
      </c>
      <c r="E5296" s="293">
        <v>115</v>
      </c>
      <c r="F5296" s="294" t="s">
        <v>1914</v>
      </c>
    </row>
    <row r="5297" spans="1:6" collapsed="1" x14ac:dyDescent="0.25">
      <c r="A5297" s="560" t="s">
        <v>1915</v>
      </c>
      <c r="B5297" s="561"/>
      <c r="C5297" s="292">
        <v>550000</v>
      </c>
      <c r="D5297" s="293">
        <v>550000</v>
      </c>
      <c r="E5297" s="293">
        <v>0</v>
      </c>
      <c r="F5297" s="294" t="s">
        <v>316</v>
      </c>
    </row>
    <row r="5298" spans="1:6" hidden="1" outlineLevel="1" collapsed="1" x14ac:dyDescent="0.25">
      <c r="A5298" s="295" t="s">
        <v>282</v>
      </c>
      <c r="B5298" s="295" t="s">
        <v>353</v>
      </c>
      <c r="C5298" s="293">
        <v>550000</v>
      </c>
      <c r="D5298" s="293">
        <v>550000</v>
      </c>
      <c r="E5298" s="293">
        <v>0</v>
      </c>
      <c r="F5298" s="294" t="s">
        <v>316</v>
      </c>
    </row>
    <row r="5299" spans="1:6" collapsed="1" x14ac:dyDescent="0.25">
      <c r="A5299" s="560" t="s">
        <v>342</v>
      </c>
      <c r="B5299" s="561"/>
      <c r="C5299" s="292">
        <v>0</v>
      </c>
      <c r="D5299" s="293">
        <v>6500</v>
      </c>
      <c r="E5299" s="293">
        <v>6500</v>
      </c>
      <c r="F5299" s="294" t="s">
        <v>298</v>
      </c>
    </row>
    <row r="5300" spans="1:6" hidden="1" outlineLevel="1" collapsed="1" x14ac:dyDescent="0.25">
      <c r="A5300" s="295" t="s">
        <v>282</v>
      </c>
      <c r="B5300" s="295" t="s">
        <v>735</v>
      </c>
      <c r="C5300" s="293">
        <v>0</v>
      </c>
      <c r="D5300" s="293">
        <v>2965</v>
      </c>
      <c r="E5300" s="293">
        <v>2965</v>
      </c>
      <c r="F5300" s="294" t="s">
        <v>298</v>
      </c>
    </row>
    <row r="5301" spans="1:6" hidden="1" outlineLevel="1" collapsed="1" x14ac:dyDescent="0.25">
      <c r="A5301" s="295" t="s">
        <v>282</v>
      </c>
      <c r="B5301" s="295" t="s">
        <v>475</v>
      </c>
      <c r="C5301" s="293">
        <v>0</v>
      </c>
      <c r="D5301" s="293">
        <v>2000</v>
      </c>
      <c r="E5301" s="293">
        <v>2000</v>
      </c>
      <c r="F5301" s="294" t="s">
        <v>298</v>
      </c>
    </row>
    <row r="5302" spans="1:6" hidden="1" outlineLevel="1" collapsed="1" x14ac:dyDescent="0.25">
      <c r="A5302" s="295" t="s">
        <v>282</v>
      </c>
      <c r="B5302" s="295" t="s">
        <v>444</v>
      </c>
      <c r="C5302" s="293">
        <v>0</v>
      </c>
      <c r="D5302" s="293">
        <v>1535</v>
      </c>
      <c r="E5302" s="293">
        <v>1535</v>
      </c>
      <c r="F5302" s="294" t="s">
        <v>298</v>
      </c>
    </row>
    <row r="5303" spans="1:6" collapsed="1" x14ac:dyDescent="0.25">
      <c r="A5303" s="560" t="s">
        <v>1916</v>
      </c>
      <c r="B5303" s="561"/>
      <c r="C5303" s="292">
        <v>0</v>
      </c>
      <c r="D5303" s="293">
        <v>8500</v>
      </c>
      <c r="E5303" s="293">
        <v>8500</v>
      </c>
      <c r="F5303" s="294" t="s">
        <v>298</v>
      </c>
    </row>
    <row r="5304" spans="1:6" hidden="1" outlineLevel="1" collapsed="1" x14ac:dyDescent="0.25">
      <c r="A5304" s="295" t="s">
        <v>282</v>
      </c>
      <c r="B5304" s="295" t="s">
        <v>1026</v>
      </c>
      <c r="C5304" s="293">
        <v>0</v>
      </c>
      <c r="D5304" s="293">
        <v>8500</v>
      </c>
      <c r="E5304" s="293">
        <v>8500</v>
      </c>
      <c r="F5304" s="294" t="s">
        <v>298</v>
      </c>
    </row>
    <row r="5305" spans="1:6" collapsed="1" x14ac:dyDescent="0.25">
      <c r="A5305" s="560" t="s">
        <v>344</v>
      </c>
      <c r="B5305" s="561"/>
      <c r="C5305" s="292">
        <v>0</v>
      </c>
      <c r="D5305" s="293">
        <v>29226</v>
      </c>
      <c r="E5305" s="293">
        <v>29226</v>
      </c>
      <c r="F5305" s="294" t="s">
        <v>298</v>
      </c>
    </row>
    <row r="5306" spans="1:6" hidden="1" outlineLevel="1" collapsed="1" x14ac:dyDescent="0.25">
      <c r="A5306" s="295" t="s">
        <v>282</v>
      </c>
      <c r="B5306" s="295" t="s">
        <v>735</v>
      </c>
      <c r="C5306" s="293">
        <v>0</v>
      </c>
      <c r="D5306" s="293">
        <v>10200</v>
      </c>
      <c r="E5306" s="293">
        <v>10200</v>
      </c>
      <c r="F5306" s="294" t="s">
        <v>298</v>
      </c>
    </row>
    <row r="5307" spans="1:6" hidden="1" outlineLevel="1" collapsed="1" x14ac:dyDescent="0.25">
      <c r="A5307" s="295" t="s">
        <v>282</v>
      </c>
      <c r="B5307" s="295" t="s">
        <v>441</v>
      </c>
      <c r="C5307" s="293">
        <v>0</v>
      </c>
      <c r="D5307" s="293">
        <v>1225</v>
      </c>
      <c r="E5307" s="293">
        <v>1225</v>
      </c>
      <c r="F5307" s="294" t="s">
        <v>298</v>
      </c>
    </row>
    <row r="5308" spans="1:6" hidden="1" outlineLevel="1" collapsed="1" x14ac:dyDescent="0.25">
      <c r="A5308" s="295" t="s">
        <v>282</v>
      </c>
      <c r="B5308" s="295" t="s">
        <v>452</v>
      </c>
      <c r="C5308" s="293">
        <v>0</v>
      </c>
      <c r="D5308" s="293">
        <v>1900</v>
      </c>
      <c r="E5308" s="293">
        <v>1900</v>
      </c>
      <c r="F5308" s="294" t="s">
        <v>298</v>
      </c>
    </row>
    <row r="5309" spans="1:6" hidden="1" outlineLevel="1" collapsed="1" x14ac:dyDescent="0.25">
      <c r="A5309" s="295" t="s">
        <v>282</v>
      </c>
      <c r="B5309" s="295" t="s">
        <v>444</v>
      </c>
      <c r="C5309" s="293">
        <v>0</v>
      </c>
      <c r="D5309" s="293">
        <v>1373</v>
      </c>
      <c r="E5309" s="293">
        <v>1373</v>
      </c>
      <c r="F5309" s="294" t="s">
        <v>298</v>
      </c>
    </row>
    <row r="5310" spans="1:6" hidden="1" outlineLevel="1" collapsed="1" x14ac:dyDescent="0.25">
      <c r="A5310" s="295" t="s">
        <v>282</v>
      </c>
      <c r="B5310" s="295" t="s">
        <v>375</v>
      </c>
      <c r="C5310" s="293">
        <v>0</v>
      </c>
      <c r="D5310" s="293">
        <v>200</v>
      </c>
      <c r="E5310" s="293">
        <v>200</v>
      </c>
      <c r="F5310" s="294" t="s">
        <v>298</v>
      </c>
    </row>
    <row r="5311" spans="1:6" hidden="1" outlineLevel="1" collapsed="1" x14ac:dyDescent="0.25">
      <c r="A5311" s="295" t="s">
        <v>282</v>
      </c>
      <c r="B5311" s="295" t="s">
        <v>482</v>
      </c>
      <c r="C5311" s="293">
        <v>0</v>
      </c>
      <c r="D5311" s="293">
        <v>1149</v>
      </c>
      <c r="E5311" s="293">
        <v>1149</v>
      </c>
      <c r="F5311" s="294" t="s">
        <v>298</v>
      </c>
    </row>
    <row r="5312" spans="1:6" hidden="1" outlineLevel="1" collapsed="1" x14ac:dyDescent="0.25">
      <c r="A5312" s="295" t="s">
        <v>282</v>
      </c>
      <c r="B5312" s="295" t="s">
        <v>405</v>
      </c>
      <c r="C5312" s="293">
        <v>0</v>
      </c>
      <c r="D5312" s="293">
        <v>11979</v>
      </c>
      <c r="E5312" s="293">
        <v>11979</v>
      </c>
      <c r="F5312" s="294" t="s">
        <v>298</v>
      </c>
    </row>
    <row r="5313" spans="1:6" hidden="1" outlineLevel="1" collapsed="1" x14ac:dyDescent="0.25">
      <c r="A5313" s="295" t="s">
        <v>282</v>
      </c>
      <c r="B5313" s="295" t="s">
        <v>1917</v>
      </c>
      <c r="C5313" s="293">
        <v>0</v>
      </c>
      <c r="D5313" s="293">
        <v>1200</v>
      </c>
      <c r="E5313" s="293">
        <v>1200</v>
      </c>
      <c r="F5313" s="294" t="s">
        <v>298</v>
      </c>
    </row>
    <row r="5314" spans="1:6" collapsed="1" x14ac:dyDescent="0.25">
      <c r="A5314" s="560" t="s">
        <v>346</v>
      </c>
      <c r="B5314" s="561"/>
      <c r="C5314" s="292">
        <v>0</v>
      </c>
      <c r="D5314" s="293">
        <v>20878</v>
      </c>
      <c r="E5314" s="293">
        <v>20878</v>
      </c>
      <c r="F5314" s="294" t="s">
        <v>298</v>
      </c>
    </row>
    <row r="5315" spans="1:6" hidden="1" outlineLevel="1" collapsed="1" x14ac:dyDescent="0.25">
      <c r="A5315" s="295" t="s">
        <v>282</v>
      </c>
      <c r="B5315" s="295" t="s">
        <v>735</v>
      </c>
      <c r="C5315" s="293">
        <v>0</v>
      </c>
      <c r="D5315" s="293">
        <v>10200</v>
      </c>
      <c r="E5315" s="293">
        <v>10200</v>
      </c>
      <c r="F5315" s="294" t="s">
        <v>298</v>
      </c>
    </row>
    <row r="5316" spans="1:6" hidden="1" outlineLevel="1" collapsed="1" x14ac:dyDescent="0.25">
      <c r="A5316" s="295" t="s">
        <v>282</v>
      </c>
      <c r="B5316" s="295" t="s">
        <v>375</v>
      </c>
      <c r="C5316" s="293">
        <v>0</v>
      </c>
      <c r="D5316" s="293">
        <v>10103</v>
      </c>
      <c r="E5316" s="293">
        <v>10103</v>
      </c>
      <c r="F5316" s="294" t="s">
        <v>298</v>
      </c>
    </row>
    <row r="5317" spans="1:6" hidden="1" outlineLevel="1" collapsed="1" x14ac:dyDescent="0.25">
      <c r="A5317" s="295" t="s">
        <v>282</v>
      </c>
      <c r="B5317" s="295" t="s">
        <v>482</v>
      </c>
      <c r="C5317" s="293">
        <v>0</v>
      </c>
      <c r="D5317" s="293">
        <v>575</v>
      </c>
      <c r="E5317" s="293">
        <v>575</v>
      </c>
      <c r="F5317" s="294" t="s">
        <v>298</v>
      </c>
    </row>
    <row r="5318" spans="1:6" collapsed="1" x14ac:dyDescent="0.25">
      <c r="A5318" s="560" t="s">
        <v>347</v>
      </c>
      <c r="B5318" s="561"/>
      <c r="C5318" s="292">
        <v>0</v>
      </c>
      <c r="D5318" s="293">
        <v>15000</v>
      </c>
      <c r="E5318" s="293">
        <v>15000</v>
      </c>
      <c r="F5318" s="294" t="s">
        <v>298</v>
      </c>
    </row>
    <row r="5319" spans="1:6" hidden="1" outlineLevel="1" collapsed="1" x14ac:dyDescent="0.25">
      <c r="A5319" s="295" t="s">
        <v>282</v>
      </c>
      <c r="B5319" s="295" t="s">
        <v>441</v>
      </c>
      <c r="C5319" s="293">
        <v>0</v>
      </c>
      <c r="D5319" s="293">
        <v>3000</v>
      </c>
      <c r="E5319" s="293">
        <v>3000</v>
      </c>
      <c r="F5319" s="294" t="s">
        <v>298</v>
      </c>
    </row>
    <row r="5320" spans="1:6" hidden="1" outlineLevel="1" collapsed="1" x14ac:dyDescent="0.25">
      <c r="A5320" s="295" t="s">
        <v>282</v>
      </c>
      <c r="B5320" s="295" t="s">
        <v>444</v>
      </c>
      <c r="C5320" s="293">
        <v>0</v>
      </c>
      <c r="D5320" s="293">
        <v>367</v>
      </c>
      <c r="E5320" s="293">
        <v>367</v>
      </c>
      <c r="F5320" s="294" t="s">
        <v>298</v>
      </c>
    </row>
    <row r="5321" spans="1:6" hidden="1" outlineLevel="1" collapsed="1" x14ac:dyDescent="0.25">
      <c r="A5321" s="295" t="s">
        <v>282</v>
      </c>
      <c r="B5321" s="295" t="s">
        <v>405</v>
      </c>
      <c r="C5321" s="293">
        <v>0</v>
      </c>
      <c r="D5321" s="293">
        <v>8973</v>
      </c>
      <c r="E5321" s="293">
        <v>8973</v>
      </c>
      <c r="F5321" s="294" t="s">
        <v>298</v>
      </c>
    </row>
    <row r="5322" spans="1:6" hidden="1" outlineLevel="1" collapsed="1" x14ac:dyDescent="0.25">
      <c r="A5322" s="295" t="s">
        <v>282</v>
      </c>
      <c r="B5322" s="295" t="s">
        <v>1026</v>
      </c>
      <c r="C5322" s="293">
        <v>0</v>
      </c>
      <c r="D5322" s="293">
        <v>2660</v>
      </c>
      <c r="E5322" s="293">
        <v>2660</v>
      </c>
      <c r="F5322" s="294" t="s">
        <v>298</v>
      </c>
    </row>
    <row r="5323" spans="1:6" collapsed="1" x14ac:dyDescent="0.25">
      <c r="A5323" s="560" t="s">
        <v>348</v>
      </c>
      <c r="B5323" s="561"/>
      <c r="C5323" s="292">
        <v>0</v>
      </c>
      <c r="D5323" s="293">
        <v>40000</v>
      </c>
      <c r="E5323" s="293">
        <v>40000</v>
      </c>
      <c r="F5323" s="294" t="s">
        <v>298</v>
      </c>
    </row>
    <row r="5324" spans="1:6" hidden="1" outlineLevel="1" collapsed="1" x14ac:dyDescent="0.25">
      <c r="A5324" s="295" t="s">
        <v>282</v>
      </c>
      <c r="B5324" s="295" t="s">
        <v>735</v>
      </c>
      <c r="C5324" s="293">
        <v>0</v>
      </c>
      <c r="D5324" s="293">
        <v>26731</v>
      </c>
      <c r="E5324" s="293">
        <v>26731</v>
      </c>
      <c r="F5324" s="294" t="s">
        <v>298</v>
      </c>
    </row>
    <row r="5325" spans="1:6" hidden="1" outlineLevel="1" collapsed="1" x14ac:dyDescent="0.25">
      <c r="A5325" s="295" t="s">
        <v>282</v>
      </c>
      <c r="B5325" s="295" t="s">
        <v>444</v>
      </c>
      <c r="C5325" s="293">
        <v>0</v>
      </c>
      <c r="D5325" s="293">
        <v>3269</v>
      </c>
      <c r="E5325" s="293">
        <v>3269</v>
      </c>
      <c r="F5325" s="294" t="s">
        <v>298</v>
      </c>
    </row>
    <row r="5326" spans="1:6" hidden="1" outlineLevel="1" collapsed="1" x14ac:dyDescent="0.25">
      <c r="A5326" s="295" t="s">
        <v>282</v>
      </c>
      <c r="B5326" s="295" t="s">
        <v>405</v>
      </c>
      <c r="C5326" s="293">
        <v>0</v>
      </c>
      <c r="D5326" s="293">
        <v>10000</v>
      </c>
      <c r="E5326" s="293">
        <v>10000</v>
      </c>
      <c r="F5326" s="294" t="s">
        <v>298</v>
      </c>
    </row>
    <row r="5327" spans="1:6" x14ac:dyDescent="0.25">
      <c r="A5327" s="296" t="s">
        <v>282</v>
      </c>
      <c r="B5327" s="296" t="s">
        <v>282</v>
      </c>
      <c r="C5327" s="297">
        <v>90653893.685418993</v>
      </c>
      <c r="D5327" s="320">
        <v>95303825.966783002</v>
      </c>
      <c r="E5327" s="297">
        <v>4649932.2813640004</v>
      </c>
      <c r="F5327" s="298" t="s">
        <v>649</v>
      </c>
    </row>
    <row r="5328" spans="1:6" x14ac:dyDescent="0.25">
      <c r="A5328" s="562" t="s">
        <v>16</v>
      </c>
      <c r="B5328" s="561"/>
      <c r="C5328" s="299">
        <v>-1297188.4745809999</v>
      </c>
      <c r="D5328" s="299">
        <v>-180570.19321699999</v>
      </c>
      <c r="E5328" s="299">
        <v>1116618.2813639999</v>
      </c>
      <c r="F5328" s="300" t="s">
        <v>894</v>
      </c>
    </row>
    <row r="5329" spans="1:6" x14ac:dyDescent="0.25">
      <c r="A5329" s="301" t="s">
        <v>282</v>
      </c>
      <c r="B5329" s="301" t="s">
        <v>282</v>
      </c>
      <c r="C5329" s="302" t="s">
        <v>282</v>
      </c>
      <c r="D5329" s="303" t="s">
        <v>282</v>
      </c>
      <c r="E5329" s="303" t="s">
        <v>282</v>
      </c>
      <c r="F5329" s="304" t="s">
        <v>282</v>
      </c>
    </row>
    <row r="5330" spans="1:6" ht="0" hidden="1" customHeight="1" x14ac:dyDescent="0.25"/>
    <row r="5331" spans="1:6" ht="23.45" customHeight="1" x14ac:dyDescent="0.25"/>
  </sheetData>
  <mergeCells count="320">
    <mergeCell ref="A1:F1"/>
    <mergeCell ref="A3:F3"/>
    <mergeCell ref="A5:B5"/>
    <mergeCell ref="A6:B6"/>
    <mergeCell ref="A7:B7"/>
    <mergeCell ref="A11:B11"/>
    <mergeCell ref="A44:B44"/>
    <mergeCell ref="A46:B46"/>
    <mergeCell ref="A48:B48"/>
    <mergeCell ref="A50:B50"/>
    <mergeCell ref="A52:B52"/>
    <mergeCell ref="A54:B54"/>
    <mergeCell ref="A23:B23"/>
    <mergeCell ref="A25:B25"/>
    <mergeCell ref="A27:B27"/>
    <mergeCell ref="A29:B29"/>
    <mergeCell ref="A31:B31"/>
    <mergeCell ref="A33:B33"/>
    <mergeCell ref="A68:B68"/>
    <mergeCell ref="A70:B70"/>
    <mergeCell ref="A72:B72"/>
    <mergeCell ref="A75:B75"/>
    <mergeCell ref="A76:B76"/>
    <mergeCell ref="A80:B80"/>
    <mergeCell ref="A56:B56"/>
    <mergeCell ref="A58:B58"/>
    <mergeCell ref="A60:B60"/>
    <mergeCell ref="A62:B62"/>
    <mergeCell ref="A64:B64"/>
    <mergeCell ref="A66:B66"/>
    <mergeCell ref="A199:B199"/>
    <mergeCell ref="A211:B211"/>
    <mergeCell ref="A225:B225"/>
    <mergeCell ref="A244:B244"/>
    <mergeCell ref="A260:B260"/>
    <mergeCell ref="A267:B267"/>
    <mergeCell ref="A82:B82"/>
    <mergeCell ref="A95:B95"/>
    <mergeCell ref="A129:B129"/>
    <mergeCell ref="A145:B145"/>
    <mergeCell ref="A161:B161"/>
    <mergeCell ref="A192:B192"/>
    <mergeCell ref="A369:B369"/>
    <mergeCell ref="A385:B385"/>
    <mergeCell ref="A406:B406"/>
    <mergeCell ref="A436:B436"/>
    <mergeCell ref="A455:B455"/>
    <mergeCell ref="A470:B470"/>
    <mergeCell ref="A273:B273"/>
    <mergeCell ref="A304:B304"/>
    <mergeCell ref="A308:B308"/>
    <mergeCell ref="A327:B327"/>
    <mergeCell ref="A341:B341"/>
    <mergeCell ref="A358:B358"/>
    <mergeCell ref="A596:B596"/>
    <mergeCell ref="A603:B603"/>
    <mergeCell ref="A620:B620"/>
    <mergeCell ref="A634:B634"/>
    <mergeCell ref="A638:B638"/>
    <mergeCell ref="A652:B652"/>
    <mergeCell ref="A493:B493"/>
    <mergeCell ref="A512:B512"/>
    <mergeCell ref="A544:B544"/>
    <mergeCell ref="A563:B563"/>
    <mergeCell ref="A579:B579"/>
    <mergeCell ref="A582:B582"/>
    <mergeCell ref="A766:B766"/>
    <mergeCell ref="A800:B800"/>
    <mergeCell ref="A834:B834"/>
    <mergeCell ref="A851:B851"/>
    <mergeCell ref="A863:B863"/>
    <mergeCell ref="A875:B875"/>
    <mergeCell ref="A684:B684"/>
    <mergeCell ref="A707:B707"/>
    <mergeCell ref="A721:B721"/>
    <mergeCell ref="A733:B733"/>
    <mergeCell ref="A752:B752"/>
    <mergeCell ref="A757:B757"/>
    <mergeCell ref="A965:B965"/>
    <mergeCell ref="A978:B978"/>
    <mergeCell ref="A985:B985"/>
    <mergeCell ref="A1003:B1003"/>
    <mergeCell ref="A1020:B1020"/>
    <mergeCell ref="A1036:B1036"/>
    <mergeCell ref="A883:B883"/>
    <mergeCell ref="A896:B896"/>
    <mergeCell ref="A909:B909"/>
    <mergeCell ref="A921:B921"/>
    <mergeCell ref="A940:B940"/>
    <mergeCell ref="A952:B952"/>
    <mergeCell ref="A1224:B1224"/>
    <mergeCell ref="A1253:B1253"/>
    <mergeCell ref="A1271:B1271"/>
    <mergeCell ref="A1287:B1287"/>
    <mergeCell ref="A1320:B1320"/>
    <mergeCell ref="A1350:B1350"/>
    <mergeCell ref="A1072:B1072"/>
    <mergeCell ref="A1088:B1088"/>
    <mergeCell ref="A1106:B1106"/>
    <mergeCell ref="A1115:B1115"/>
    <mergeCell ref="A1157:B1157"/>
    <mergeCell ref="A1194:B1194"/>
    <mergeCell ref="A1480:B1480"/>
    <mergeCell ref="A1486:B1486"/>
    <mergeCell ref="A1489:B1489"/>
    <mergeCell ref="A1497:B1497"/>
    <mergeCell ref="A1513:B1513"/>
    <mergeCell ref="A1558:B1558"/>
    <mergeCell ref="A1383:B1383"/>
    <mergeCell ref="A1401:B1401"/>
    <mergeCell ref="A1455:B1455"/>
    <mergeCell ref="A1465:B1465"/>
    <mergeCell ref="A1468:B1468"/>
    <mergeCell ref="A1477:B1477"/>
    <mergeCell ref="A1787:B1787"/>
    <mergeCell ref="A1840:B1840"/>
    <mergeCell ref="A1843:B1843"/>
    <mergeCell ref="A1890:B1890"/>
    <mergeCell ref="A1909:B1909"/>
    <mergeCell ref="A1938:B1938"/>
    <mergeCell ref="A1596:B1596"/>
    <mergeCell ref="A1631:B1631"/>
    <mergeCell ref="A1668:B1668"/>
    <mergeCell ref="A1707:B1707"/>
    <mergeCell ref="A1741:B1741"/>
    <mergeCell ref="A1776:B1776"/>
    <mergeCell ref="A2079:B2079"/>
    <mergeCell ref="A2110:B2110"/>
    <mergeCell ref="A2118:B2118"/>
    <mergeCell ref="A2125:B2125"/>
    <mergeCell ref="A2132:B2132"/>
    <mergeCell ref="A2135:B2135"/>
    <mergeCell ref="A1941:B1941"/>
    <mergeCell ref="A1986:B1986"/>
    <mergeCell ref="A2025:B2025"/>
    <mergeCell ref="A2057:B2057"/>
    <mergeCell ref="A2059:B2059"/>
    <mergeCell ref="A2077:B2077"/>
    <mergeCell ref="A2241:B2241"/>
    <mergeCell ref="A2243:B2243"/>
    <mergeCell ref="A2245:B2245"/>
    <mergeCell ref="A2247:B2247"/>
    <mergeCell ref="A2249:B2249"/>
    <mergeCell ref="A2251:B2251"/>
    <mergeCell ref="A2166:B2166"/>
    <mergeCell ref="A2192:B2192"/>
    <mergeCell ref="A2208:B2208"/>
    <mergeCell ref="A2235:B2235"/>
    <mergeCell ref="A2237:B2237"/>
    <mergeCell ref="A2239:B2239"/>
    <mergeCell ref="A2447:B2447"/>
    <mergeCell ref="A2451:B2451"/>
    <mergeCell ref="A2453:B2453"/>
    <mergeCell ref="A2470:B2470"/>
    <mergeCell ref="A2493:B2493"/>
    <mergeCell ref="A2504:B2504"/>
    <mergeCell ref="A2268:B2268"/>
    <mergeCell ref="A2326:B2326"/>
    <mergeCell ref="A2356:B2356"/>
    <mergeCell ref="A2394:B2394"/>
    <mergeCell ref="A2413:B2413"/>
    <mergeCell ref="A2439:B2439"/>
    <mergeCell ref="A2632:B2632"/>
    <mergeCell ref="A2641:B2641"/>
    <mergeCell ref="A2648:B2648"/>
    <mergeCell ref="A2656:B2656"/>
    <mergeCell ref="A2663:B2663"/>
    <mergeCell ref="A2670:B2670"/>
    <mergeCell ref="A2527:B2527"/>
    <mergeCell ref="A2533:B2533"/>
    <mergeCell ref="A2535:B2535"/>
    <mergeCell ref="A2551:B2551"/>
    <mergeCell ref="A2568:B2568"/>
    <mergeCell ref="A2597:B2597"/>
    <mergeCell ref="A2714:B2714"/>
    <mergeCell ref="A2721:B2721"/>
    <mergeCell ref="A2724:B2724"/>
    <mergeCell ref="A2741:B2741"/>
    <mergeCell ref="A2743:B2743"/>
    <mergeCell ref="A2767:B2767"/>
    <mergeCell ref="A2676:B2676"/>
    <mergeCell ref="A2682:B2682"/>
    <mergeCell ref="A2687:B2687"/>
    <mergeCell ref="A2692:B2692"/>
    <mergeCell ref="A2702:B2702"/>
    <mergeCell ref="A2708:B2708"/>
    <mergeCell ref="A2931:B2931"/>
    <mergeCell ref="A2945:B2945"/>
    <mergeCell ref="A2975:B2975"/>
    <mergeCell ref="A2992:B2992"/>
    <mergeCell ref="A3026:B3026"/>
    <mergeCell ref="A3037:B3037"/>
    <mergeCell ref="A2796:B2796"/>
    <mergeCell ref="A2829:B2829"/>
    <mergeCell ref="A2854:B2854"/>
    <mergeCell ref="A2867:B2867"/>
    <mergeCell ref="A2878:B2878"/>
    <mergeCell ref="A2908:B2908"/>
    <mergeCell ref="A3160:B3160"/>
    <mergeCell ref="A3187:B3187"/>
    <mergeCell ref="A3215:B3215"/>
    <mergeCell ref="A3226:B3226"/>
    <mergeCell ref="A3247:B3247"/>
    <mergeCell ref="A3258:B3258"/>
    <mergeCell ref="A3057:B3057"/>
    <mergeCell ref="A3093:B3093"/>
    <mergeCell ref="A3108:B3108"/>
    <mergeCell ref="A3125:B3125"/>
    <mergeCell ref="A3137:B3137"/>
    <mergeCell ref="A3148:B3148"/>
    <mergeCell ref="A3339:B3339"/>
    <mergeCell ref="A3348:B3348"/>
    <mergeCell ref="A3360:B3360"/>
    <mergeCell ref="A3367:B3367"/>
    <mergeCell ref="A3381:B3381"/>
    <mergeCell ref="A3428:B3428"/>
    <mergeCell ref="A3280:B3280"/>
    <mergeCell ref="A3283:B3283"/>
    <mergeCell ref="A3294:B3294"/>
    <mergeCell ref="A3305:B3305"/>
    <mergeCell ref="A3316:B3316"/>
    <mergeCell ref="A3327:B3327"/>
    <mergeCell ref="A3547:B3547"/>
    <mergeCell ref="A3585:B3585"/>
    <mergeCell ref="A3627:B3627"/>
    <mergeCell ref="A3648:B3648"/>
    <mergeCell ref="A3655:B3655"/>
    <mergeCell ref="A3691:B3691"/>
    <mergeCell ref="A3440:B3440"/>
    <mergeCell ref="A3459:B3459"/>
    <mergeCell ref="A3478:B3478"/>
    <mergeCell ref="A3482:B3482"/>
    <mergeCell ref="A3500:B3500"/>
    <mergeCell ref="A3531:B3531"/>
    <mergeCell ref="A3852:B3852"/>
    <mergeCell ref="A3889:B3889"/>
    <mergeCell ref="A3927:B3927"/>
    <mergeCell ref="A3958:B3958"/>
    <mergeCell ref="A3973:B3973"/>
    <mergeCell ref="A3985:B3985"/>
    <mergeCell ref="A3726:B3726"/>
    <mergeCell ref="A3754:B3754"/>
    <mergeCell ref="A3772:B3772"/>
    <mergeCell ref="A3798:B3798"/>
    <mergeCell ref="A3801:B3801"/>
    <mergeCell ref="A3848:B3848"/>
    <mergeCell ref="A4139:B4139"/>
    <mergeCell ref="A4155:B4155"/>
    <mergeCell ref="A4171:B4171"/>
    <mergeCell ref="A4197:B4197"/>
    <mergeCell ref="A4213:B4213"/>
    <mergeCell ref="A4215:B4215"/>
    <mergeCell ref="A4023:B4023"/>
    <mergeCell ref="A4042:B4042"/>
    <mergeCell ref="A4048:B4048"/>
    <mergeCell ref="A4054:B4054"/>
    <mergeCell ref="A4073:B4073"/>
    <mergeCell ref="A4107:B4107"/>
    <mergeCell ref="A4312:B4312"/>
    <mergeCell ref="A4346:B4346"/>
    <mergeCell ref="A4379:B4379"/>
    <mergeCell ref="A4399:B4399"/>
    <mergeCell ref="A4406:B4406"/>
    <mergeCell ref="A4422:B4422"/>
    <mergeCell ref="A4219:B4219"/>
    <mergeCell ref="A4221:B4221"/>
    <mergeCell ref="A4223:B4223"/>
    <mergeCell ref="A4228:B4228"/>
    <mergeCell ref="A4251:B4251"/>
    <mergeCell ref="A4268:B4268"/>
    <mergeCell ref="A4525:B4525"/>
    <mergeCell ref="A4541:B4541"/>
    <mergeCell ref="A4557:B4557"/>
    <mergeCell ref="A4563:B4563"/>
    <mergeCell ref="A4581:B4581"/>
    <mergeCell ref="A4597:B4597"/>
    <mergeCell ref="A4424:B4424"/>
    <mergeCell ref="A4427:B4427"/>
    <mergeCell ref="A4459:B4459"/>
    <mergeCell ref="A4475:B4475"/>
    <mergeCell ref="A4491:B4491"/>
    <mergeCell ref="A4508:B4508"/>
    <mergeCell ref="A4735:B4735"/>
    <mergeCell ref="A4737:B4737"/>
    <mergeCell ref="A4752:B4752"/>
    <mergeCell ref="A4780:B4780"/>
    <mergeCell ref="A4788:B4788"/>
    <mergeCell ref="A4835:B4835"/>
    <mergeCell ref="A4616:B4616"/>
    <mergeCell ref="A4636:B4636"/>
    <mergeCell ref="A4653:B4653"/>
    <mergeCell ref="A4670:B4670"/>
    <mergeCell ref="A4688:B4688"/>
    <mergeCell ref="A4702:B4702"/>
    <mergeCell ref="A5051:B5051"/>
    <mergeCell ref="A5057:B5057"/>
    <mergeCell ref="A5065:B5065"/>
    <mergeCell ref="A5103:B5103"/>
    <mergeCell ref="A5136:B5136"/>
    <mergeCell ref="A5138:B5138"/>
    <mergeCell ref="A4855:B4855"/>
    <mergeCell ref="A4883:B4883"/>
    <mergeCell ref="A4917:B4917"/>
    <mergeCell ref="A4952:B4952"/>
    <mergeCell ref="A4972:B4972"/>
    <mergeCell ref="A5005:B5005"/>
    <mergeCell ref="A5323:B5323"/>
    <mergeCell ref="A5328:B5328"/>
    <mergeCell ref="A5297:B5297"/>
    <mergeCell ref="A5299:B5299"/>
    <mergeCell ref="A5303:B5303"/>
    <mergeCell ref="A5305:B5305"/>
    <mergeCell ref="A5314:B5314"/>
    <mergeCell ref="A5318:B5318"/>
    <mergeCell ref="A5171:B5171"/>
    <mergeCell ref="A5207:B5207"/>
    <mergeCell ref="A5228:B5228"/>
    <mergeCell ref="A5269:B5269"/>
    <mergeCell ref="A5272:B5272"/>
    <mergeCell ref="A5274:B5274"/>
  </mergeCells>
  <pageMargins left="0.5" right="0.5" top="0.5" bottom="0.89582992125984295" header="0.5" footer="0.5"/>
  <pageSetup orientation="landscape" horizontalDpi="300" verticalDpi="300" r:id="rId1"/>
  <headerFooter alignWithMargins="0">
    <oddFooter>&amp;L&amp;"Arial,Regular"&amp;8 May 18, 2017 07:43 AM &amp;C&amp;"Arial,Italic"&amp;8 Revenues and Expenditures by Department &amp;R&amp;"Arial,Regular"&amp;8Page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R34"/>
  <sheetViews>
    <sheetView workbookViewId="0">
      <selection activeCell="C4" sqref="C4"/>
    </sheetView>
  </sheetViews>
  <sheetFormatPr defaultRowHeight="15" x14ac:dyDescent="0.25"/>
  <cols>
    <col min="1" max="1" width="31.42578125" style="48" bestFit="1" customWidth="1"/>
    <col min="2" max="3" width="15.42578125" bestFit="1" customWidth="1"/>
    <col min="4" max="4" width="12.5703125" customWidth="1"/>
    <col min="5" max="5" width="12.5703125" style="48" customWidth="1"/>
    <col min="6" max="6" width="16.42578125" bestFit="1" customWidth="1"/>
    <col min="7" max="8" width="16.5703125" bestFit="1" customWidth="1"/>
    <col min="9" max="10" width="12.5703125" customWidth="1"/>
    <col min="11" max="11" width="15.5703125" bestFit="1" customWidth="1"/>
    <col min="12" max="13" width="12.5703125" customWidth="1"/>
    <col min="14" max="14" width="13.140625" customWidth="1"/>
    <col min="16" max="18" width="13.85546875" customWidth="1"/>
  </cols>
  <sheetData>
    <row r="1" spans="1:18" x14ac:dyDescent="0.25">
      <c r="A1" s="234"/>
      <c r="B1" s="568" t="s">
        <v>18</v>
      </c>
      <c r="C1" s="568"/>
      <c r="D1" s="568"/>
      <c r="E1" s="568"/>
      <c r="F1" s="569" t="s">
        <v>17</v>
      </c>
      <c r="G1" s="569"/>
      <c r="H1" s="569"/>
      <c r="I1" s="569"/>
      <c r="J1" s="570" t="s">
        <v>38</v>
      </c>
      <c r="K1" s="570"/>
      <c r="L1" s="570"/>
      <c r="M1" s="570"/>
      <c r="N1" s="230"/>
    </row>
    <row r="2" spans="1:18" s="48" customFormat="1" x14ac:dyDescent="0.25">
      <c r="A2" s="234" t="s">
        <v>42</v>
      </c>
      <c r="B2" s="231" t="s">
        <v>189</v>
      </c>
      <c r="C2" s="231" t="s">
        <v>190</v>
      </c>
      <c r="D2" s="231" t="s">
        <v>191</v>
      </c>
      <c r="E2" s="231" t="s">
        <v>16</v>
      </c>
      <c r="F2" s="232" t="s">
        <v>189</v>
      </c>
      <c r="G2" s="232" t="s">
        <v>190</v>
      </c>
      <c r="H2" s="232" t="s">
        <v>191</v>
      </c>
      <c r="I2" s="232" t="s">
        <v>16</v>
      </c>
      <c r="J2" s="233" t="s">
        <v>189</v>
      </c>
      <c r="K2" s="273" t="s">
        <v>32</v>
      </c>
      <c r="L2" s="233" t="s">
        <v>191</v>
      </c>
      <c r="M2" s="233" t="s">
        <v>16</v>
      </c>
      <c r="N2" s="234" t="s">
        <v>192</v>
      </c>
      <c r="P2" s="234" t="s">
        <v>189</v>
      </c>
      <c r="Q2" s="234" t="s">
        <v>190</v>
      </c>
      <c r="R2" s="234" t="s">
        <v>206</v>
      </c>
    </row>
    <row r="3" spans="1:18" x14ac:dyDescent="0.25">
      <c r="A3" s="48" t="s">
        <v>5</v>
      </c>
      <c r="B3" s="169">
        <v>23819896</v>
      </c>
      <c r="C3" s="169"/>
      <c r="D3" s="169"/>
      <c r="E3" s="229">
        <f>SUM(B3:D3)</f>
        <v>23819896</v>
      </c>
      <c r="F3" s="169">
        <v>11455010</v>
      </c>
      <c r="G3" s="169"/>
      <c r="H3" s="169"/>
      <c r="I3" s="229">
        <f>SUM(F3:H3)</f>
        <v>11455010</v>
      </c>
      <c r="J3" s="169">
        <f>603754-K3</f>
        <v>603754</v>
      </c>
      <c r="K3" s="169">
        <v>0</v>
      </c>
      <c r="L3" s="169">
        <f>-K3</f>
        <v>0</v>
      </c>
      <c r="M3" s="229">
        <f>SUM(J3:L3)</f>
        <v>603754</v>
      </c>
      <c r="N3" s="229">
        <f>E3+I3+M3</f>
        <v>35878660</v>
      </c>
      <c r="P3" s="39">
        <f>B3+F3+J3+D3</f>
        <v>35878660</v>
      </c>
      <c r="Q3" s="39">
        <f>C3+G3</f>
        <v>0</v>
      </c>
      <c r="R3" s="39">
        <f>H3</f>
        <v>0</v>
      </c>
    </row>
    <row r="4" spans="1:18" x14ac:dyDescent="0.25">
      <c r="A4" s="48" t="s">
        <v>6</v>
      </c>
      <c r="B4" s="169">
        <v>7946007</v>
      </c>
      <c r="C4" s="169"/>
      <c r="D4" s="169">
        <v>0</v>
      </c>
      <c r="E4" s="229">
        <f t="shared" ref="E4:E10" si="0">SUM(B4:D4)</f>
        <v>7946007</v>
      </c>
      <c r="F4" s="169">
        <v>4776107</v>
      </c>
      <c r="G4" s="169"/>
      <c r="H4" s="169"/>
      <c r="I4" s="229">
        <f t="shared" ref="I4:I10" si="1">SUM(F4:H4)</f>
        <v>4776107</v>
      </c>
      <c r="J4" s="169">
        <f>7748846-K4</f>
        <v>6833479</v>
      </c>
      <c r="K4" s="169">
        <v>915367</v>
      </c>
      <c r="L4" s="169">
        <f>-K4</f>
        <v>-915367</v>
      </c>
      <c r="M4" s="229">
        <f t="shared" ref="M4:M10" si="2">SUM(J4:L4)</f>
        <v>6833479</v>
      </c>
      <c r="N4" s="229">
        <f t="shared" ref="N4:N10" si="3">E4+I4+M4</f>
        <v>19555593</v>
      </c>
      <c r="P4" s="39">
        <f t="shared" ref="P4:P9" si="4">B4+F4+J4+D4</f>
        <v>19555593</v>
      </c>
      <c r="Q4" s="39">
        <f t="shared" ref="Q4:Q9" si="5">C4+G4</f>
        <v>0</v>
      </c>
      <c r="R4" s="39">
        <f t="shared" ref="R4:R9" si="6">H4</f>
        <v>0</v>
      </c>
    </row>
    <row r="5" spans="1:18" x14ac:dyDescent="0.25">
      <c r="A5" s="48" t="s">
        <v>7</v>
      </c>
      <c r="B5" s="169">
        <v>9194340</v>
      </c>
      <c r="C5" s="169"/>
      <c r="D5" s="169"/>
      <c r="E5" s="229">
        <f t="shared" si="0"/>
        <v>9194340</v>
      </c>
      <c r="F5" s="169">
        <v>4723525</v>
      </c>
      <c r="G5" s="169"/>
      <c r="H5" s="169"/>
      <c r="I5" s="229">
        <f t="shared" si="1"/>
        <v>4723525</v>
      </c>
      <c r="J5" s="169">
        <f>3386577-K5</f>
        <v>3150783.98</v>
      </c>
      <c r="K5" s="169">
        <v>235793.02</v>
      </c>
      <c r="L5" s="169">
        <f t="shared" ref="L5:L9" si="7">-K5</f>
        <v>-235793.02</v>
      </c>
      <c r="M5" s="229">
        <f t="shared" si="2"/>
        <v>3150783.98</v>
      </c>
      <c r="N5" s="229">
        <f t="shared" si="3"/>
        <v>17068648.98</v>
      </c>
      <c r="P5" s="39">
        <f t="shared" si="4"/>
        <v>17068648.98</v>
      </c>
      <c r="Q5" s="39">
        <f t="shared" si="5"/>
        <v>0</v>
      </c>
      <c r="R5" s="39">
        <f t="shared" si="6"/>
        <v>0</v>
      </c>
    </row>
    <row r="6" spans="1:18" x14ac:dyDescent="0.25">
      <c r="A6" s="48" t="s">
        <v>8</v>
      </c>
      <c r="B6" s="169">
        <v>598079</v>
      </c>
      <c r="C6" s="169"/>
      <c r="D6" s="169">
        <v>0</v>
      </c>
      <c r="E6" s="229">
        <f t="shared" si="0"/>
        <v>598079</v>
      </c>
      <c r="F6" s="169">
        <v>226939</v>
      </c>
      <c r="G6" s="169"/>
      <c r="H6" s="169"/>
      <c r="I6" s="229">
        <f t="shared" si="1"/>
        <v>226939</v>
      </c>
      <c r="J6" s="169">
        <f>252390-K6</f>
        <v>250390</v>
      </c>
      <c r="K6" s="169">
        <v>2000</v>
      </c>
      <c r="L6" s="169">
        <f t="shared" si="7"/>
        <v>-2000</v>
      </c>
      <c r="M6" s="229">
        <f t="shared" si="2"/>
        <v>250390</v>
      </c>
      <c r="N6" s="229">
        <f t="shared" si="3"/>
        <v>1075408</v>
      </c>
      <c r="P6" s="39">
        <f t="shared" si="4"/>
        <v>1075408</v>
      </c>
      <c r="Q6" s="39">
        <f t="shared" si="5"/>
        <v>0</v>
      </c>
      <c r="R6" s="39">
        <f t="shared" si="6"/>
        <v>0</v>
      </c>
    </row>
    <row r="7" spans="1:18" x14ac:dyDescent="0.25">
      <c r="A7" s="48" t="s">
        <v>9</v>
      </c>
      <c r="B7" s="169">
        <v>4671690</v>
      </c>
      <c r="C7" s="169">
        <v>0</v>
      </c>
      <c r="D7" s="169">
        <v>0</v>
      </c>
      <c r="E7" s="229">
        <f t="shared" si="0"/>
        <v>4671690</v>
      </c>
      <c r="F7" s="169">
        <v>1967013</v>
      </c>
      <c r="G7" s="169">
        <v>0</v>
      </c>
      <c r="H7" s="169"/>
      <c r="I7" s="229">
        <f t="shared" si="1"/>
        <v>1967013</v>
      </c>
      <c r="J7" s="169">
        <f>5409904-K7</f>
        <v>5276774</v>
      </c>
      <c r="K7" s="169">
        <v>133130</v>
      </c>
      <c r="L7" s="169">
        <f t="shared" si="7"/>
        <v>-133130</v>
      </c>
      <c r="M7" s="229">
        <f t="shared" si="2"/>
        <v>5276774</v>
      </c>
      <c r="N7" s="229">
        <f t="shared" si="3"/>
        <v>11915477</v>
      </c>
      <c r="P7" s="39">
        <f t="shared" si="4"/>
        <v>11915477</v>
      </c>
      <c r="Q7" s="39">
        <f t="shared" si="5"/>
        <v>0</v>
      </c>
      <c r="R7" s="39">
        <f t="shared" si="6"/>
        <v>0</v>
      </c>
    </row>
    <row r="8" spans="1:18" x14ac:dyDescent="0.25">
      <c r="A8" s="48" t="s">
        <v>10</v>
      </c>
      <c r="B8" s="169">
        <v>193266</v>
      </c>
      <c r="C8" s="169"/>
      <c r="D8" s="169">
        <v>0</v>
      </c>
      <c r="E8" s="229">
        <f t="shared" si="0"/>
        <v>193266</v>
      </c>
      <c r="F8" s="169">
        <v>41065</v>
      </c>
      <c r="G8" s="169"/>
      <c r="H8" s="169"/>
      <c r="I8" s="229">
        <f t="shared" si="1"/>
        <v>41065</v>
      </c>
      <c r="J8" s="169">
        <f>304587-K8</f>
        <v>81087</v>
      </c>
      <c r="K8" s="169">
        <v>223500</v>
      </c>
      <c r="L8" s="169">
        <f t="shared" si="7"/>
        <v>-223500</v>
      </c>
      <c r="M8" s="229">
        <f t="shared" si="2"/>
        <v>81087</v>
      </c>
      <c r="N8" s="229">
        <f t="shared" si="3"/>
        <v>315418</v>
      </c>
      <c r="P8" s="39">
        <f t="shared" si="4"/>
        <v>315418</v>
      </c>
      <c r="Q8" s="39">
        <f t="shared" si="5"/>
        <v>0</v>
      </c>
      <c r="R8" s="39">
        <f t="shared" si="6"/>
        <v>0</v>
      </c>
    </row>
    <row r="9" spans="1:18" x14ac:dyDescent="0.25">
      <c r="A9" s="48" t="s">
        <v>11</v>
      </c>
      <c r="B9" s="169">
        <v>6716</v>
      </c>
      <c r="C9" s="169"/>
      <c r="D9" s="169">
        <v>0</v>
      </c>
      <c r="E9" s="229">
        <f t="shared" si="0"/>
        <v>6716</v>
      </c>
      <c r="F9" s="169">
        <v>0</v>
      </c>
      <c r="G9" s="169"/>
      <c r="H9" s="169"/>
      <c r="I9" s="229">
        <f t="shared" si="1"/>
        <v>0</v>
      </c>
      <c r="J9" s="169">
        <f>550000-K9</f>
        <v>550000</v>
      </c>
      <c r="K9" s="169">
        <v>0</v>
      </c>
      <c r="L9" s="169">
        <f t="shared" si="7"/>
        <v>0</v>
      </c>
      <c r="M9" s="229">
        <f t="shared" si="2"/>
        <v>550000</v>
      </c>
      <c r="N9" s="229">
        <f t="shared" si="3"/>
        <v>556716</v>
      </c>
      <c r="P9" s="39">
        <f t="shared" si="4"/>
        <v>556716</v>
      </c>
      <c r="Q9" s="39">
        <f t="shared" si="5"/>
        <v>0</v>
      </c>
      <c r="R9" s="39">
        <f t="shared" si="6"/>
        <v>0</v>
      </c>
    </row>
    <row r="10" spans="1:18" x14ac:dyDescent="0.25">
      <c r="A10" s="48" t="s">
        <v>14</v>
      </c>
      <c r="B10" s="169"/>
      <c r="C10" s="169"/>
      <c r="D10" s="169"/>
      <c r="E10" s="229">
        <f t="shared" si="0"/>
        <v>0</v>
      </c>
      <c r="F10" s="169"/>
      <c r="G10" s="169"/>
      <c r="H10" s="169"/>
      <c r="I10" s="229">
        <f t="shared" si="1"/>
        <v>0</v>
      </c>
      <c r="J10" s="169"/>
      <c r="K10" s="169"/>
      <c r="L10" s="169"/>
      <c r="M10" s="229">
        <f t="shared" si="2"/>
        <v>0</v>
      </c>
      <c r="N10" s="229">
        <f t="shared" si="3"/>
        <v>0</v>
      </c>
    </row>
    <row r="11" spans="1:18" ht="15.75" thickBot="1" x14ac:dyDescent="0.3">
      <c r="A11" s="235" t="s">
        <v>45</v>
      </c>
      <c r="B11" s="236">
        <f>SUM(B3:B10)</f>
        <v>46429994</v>
      </c>
      <c r="C11" s="236">
        <f t="shared" ref="C11:E11" si="8">SUM(C3:C10)</f>
        <v>0</v>
      </c>
      <c r="D11" s="236">
        <f t="shared" si="8"/>
        <v>0</v>
      </c>
      <c r="E11" s="236">
        <f t="shared" si="8"/>
        <v>46429994</v>
      </c>
      <c r="F11" s="236">
        <f>SUM(F3:F10)</f>
        <v>23189659</v>
      </c>
      <c r="G11" s="236">
        <f t="shared" ref="G11" si="9">SUM(G3:G10)</f>
        <v>0</v>
      </c>
      <c r="H11" s="236">
        <f t="shared" ref="H11" si="10">SUM(H3:H10)</f>
        <v>0</v>
      </c>
      <c r="I11" s="236">
        <f t="shared" ref="I11" si="11">SUM(I3:I10)</f>
        <v>23189659</v>
      </c>
      <c r="J11" s="236">
        <f>SUM(J3:J10)</f>
        <v>16746267.98</v>
      </c>
      <c r="K11" s="236">
        <f t="shared" ref="K11" si="12">SUM(K3:K10)</f>
        <v>1509790.02</v>
      </c>
      <c r="L11" s="236">
        <f t="shared" ref="L11" si="13">SUM(L3:L10)</f>
        <v>-1509790.02</v>
      </c>
      <c r="M11" s="236">
        <f t="shared" ref="M11:R11" si="14">SUM(M3:M10)</f>
        <v>16746267.98</v>
      </c>
      <c r="N11" s="236">
        <f t="shared" si="14"/>
        <v>86365920.980000004</v>
      </c>
      <c r="P11" s="236">
        <f t="shared" si="14"/>
        <v>86365920.980000004</v>
      </c>
      <c r="Q11" s="236">
        <f t="shared" si="14"/>
        <v>0</v>
      </c>
      <c r="R11" s="236">
        <f t="shared" si="14"/>
        <v>0</v>
      </c>
    </row>
    <row r="12" spans="1:18" ht="15.75" thickTop="1" x14ac:dyDescent="0.25"/>
    <row r="13" spans="1:18" x14ac:dyDescent="0.25">
      <c r="B13" s="103">
        <v>44784222</v>
      </c>
      <c r="C13" s="103">
        <v>1471143</v>
      </c>
      <c r="D13" s="103">
        <v>174629</v>
      </c>
      <c r="E13" s="39"/>
      <c r="F13" s="103">
        <v>22541911</v>
      </c>
      <c r="G13" s="103">
        <v>647748</v>
      </c>
      <c r="H13" s="103">
        <v>0</v>
      </c>
      <c r="I13" s="39"/>
      <c r="J13" s="103">
        <v>16441790</v>
      </c>
      <c r="K13" s="169"/>
      <c r="L13" s="169"/>
      <c r="M13" s="169"/>
      <c r="N13" s="103">
        <f>SUM(B13:M13)</f>
        <v>86061443</v>
      </c>
      <c r="P13" s="103">
        <f>86142442-Q13</f>
        <v>84023551</v>
      </c>
      <c r="Q13" s="103">
        <v>2118891</v>
      </c>
      <c r="R13" s="103">
        <v>0</v>
      </c>
    </row>
    <row r="14" spans="1:18" x14ac:dyDescent="0.25">
      <c r="B14" s="39">
        <f>B11-B13</f>
        <v>1645772</v>
      </c>
      <c r="C14" s="39">
        <f t="shared" ref="C14:L14" si="15">C11-C13</f>
        <v>-1471143</v>
      </c>
      <c r="D14" s="39">
        <f t="shared" si="15"/>
        <v>-174629</v>
      </c>
      <c r="E14" s="39"/>
      <c r="F14" s="39">
        <f t="shared" si="15"/>
        <v>647748</v>
      </c>
      <c r="G14" s="39">
        <f t="shared" si="15"/>
        <v>-647748</v>
      </c>
      <c r="H14" s="39">
        <f t="shared" si="15"/>
        <v>0</v>
      </c>
      <c r="I14" s="39"/>
      <c r="J14" s="39">
        <f t="shared" si="15"/>
        <v>304477.98000000045</v>
      </c>
      <c r="K14" s="39">
        <f t="shared" si="15"/>
        <v>1509790.02</v>
      </c>
      <c r="L14" s="39">
        <f t="shared" si="15"/>
        <v>-1509790.02</v>
      </c>
      <c r="N14" s="39">
        <f t="shared" ref="N14" si="16">N11-N13</f>
        <v>304477.98000000417</v>
      </c>
    </row>
    <row r="15" spans="1:18" x14ac:dyDescent="0.25">
      <c r="P15" s="39">
        <f>P11-P13</f>
        <v>2342369.9800000042</v>
      </c>
      <c r="Q15" s="39">
        <f t="shared" ref="Q15:R15" si="17">Q11-Q13</f>
        <v>-2118891</v>
      </c>
      <c r="R15" s="39">
        <f t="shared" si="17"/>
        <v>0</v>
      </c>
    </row>
    <row r="21" spans="1:10" x14ac:dyDescent="0.25">
      <c r="A21" s="239"/>
    </row>
    <row r="22" spans="1:10" x14ac:dyDescent="0.25">
      <c r="A22" s="240" t="s">
        <v>193</v>
      </c>
      <c r="B22" s="238" t="s">
        <v>197</v>
      </c>
      <c r="C22" s="238" t="s">
        <v>201</v>
      </c>
      <c r="D22" s="238" t="s">
        <v>198</v>
      </c>
      <c r="E22" s="238" t="s">
        <v>202</v>
      </c>
      <c r="G22" s="238" t="s">
        <v>199</v>
      </c>
      <c r="H22" s="238" t="s">
        <v>200</v>
      </c>
      <c r="I22" s="238" t="s">
        <v>198</v>
      </c>
      <c r="J22" s="238" t="s">
        <v>202</v>
      </c>
    </row>
    <row r="23" spans="1:10" x14ac:dyDescent="0.25">
      <c r="A23" s="48" t="s">
        <v>194</v>
      </c>
      <c r="B23" s="169">
        <v>6064000</v>
      </c>
      <c r="C23" s="169">
        <v>4582874</v>
      </c>
      <c r="D23" s="39">
        <f>B23-C23</f>
        <v>1481126</v>
      </c>
      <c r="E23" s="169">
        <v>4990639</v>
      </c>
      <c r="G23" s="169">
        <v>2750000</v>
      </c>
      <c r="H23" s="169">
        <v>2235073</v>
      </c>
      <c r="I23" s="39">
        <f t="shared" ref="I23:I25" si="18">G23-H23</f>
        <v>514927</v>
      </c>
      <c r="J23" s="169">
        <v>2464820</v>
      </c>
    </row>
    <row r="24" spans="1:10" x14ac:dyDescent="0.25">
      <c r="A24" s="48" t="s">
        <v>195</v>
      </c>
      <c r="B24" s="169">
        <v>967440</v>
      </c>
      <c r="C24" s="169">
        <v>954000</v>
      </c>
      <c r="D24" s="39">
        <f t="shared" ref="D24:D25" si="19">B24-C24</f>
        <v>13440</v>
      </c>
      <c r="E24" s="169">
        <v>383117</v>
      </c>
      <c r="G24" s="169">
        <v>445000</v>
      </c>
      <c r="H24" s="169">
        <v>363540</v>
      </c>
      <c r="I24" s="39">
        <f t="shared" si="18"/>
        <v>81460</v>
      </c>
      <c r="J24" s="169">
        <v>224026</v>
      </c>
    </row>
    <row r="25" spans="1:10" x14ac:dyDescent="0.25">
      <c r="A25" s="48" t="s">
        <v>196</v>
      </c>
      <c r="B25" s="169">
        <v>417291</v>
      </c>
      <c r="C25" s="169">
        <v>375000</v>
      </c>
      <c r="D25" s="39">
        <f t="shared" si="19"/>
        <v>42291</v>
      </c>
      <c r="E25" s="169">
        <v>196346</v>
      </c>
      <c r="G25" s="169">
        <v>140000</v>
      </c>
      <c r="H25" s="169">
        <v>95000</v>
      </c>
      <c r="I25" s="39">
        <f t="shared" si="18"/>
        <v>45000</v>
      </c>
      <c r="J25" s="169">
        <v>68198</v>
      </c>
    </row>
    <row r="26" spans="1:10" ht="15.75" thickBot="1" x14ac:dyDescent="0.3">
      <c r="A26" s="235" t="s">
        <v>45</v>
      </c>
      <c r="B26" s="236">
        <f>SUM(B23:B25)</f>
        <v>7448731</v>
      </c>
      <c r="C26" s="236">
        <f t="shared" ref="C26:E26" si="20">SUM(C23:C25)</f>
        <v>5911874</v>
      </c>
      <c r="D26" s="236">
        <f t="shared" si="20"/>
        <v>1536857</v>
      </c>
      <c r="E26" s="236">
        <f t="shared" si="20"/>
        <v>5570102</v>
      </c>
      <c r="G26" s="236">
        <f>SUM(G23:G25)</f>
        <v>3335000</v>
      </c>
      <c r="H26" s="236">
        <f t="shared" ref="H26" si="21">SUM(H23:H25)</f>
        <v>2693613</v>
      </c>
      <c r="I26" s="236">
        <f t="shared" ref="I26:J26" si="22">SUM(I23:I25)</f>
        <v>641387</v>
      </c>
      <c r="J26" s="236">
        <f t="shared" si="22"/>
        <v>2757044</v>
      </c>
    </row>
    <row r="27" spans="1:10" ht="15.75" thickTop="1" x14ac:dyDescent="0.25">
      <c r="B27" s="169"/>
      <c r="C27" s="169"/>
      <c r="D27" s="169"/>
      <c r="E27" s="169"/>
    </row>
    <row r="28" spans="1:10" x14ac:dyDescent="0.25">
      <c r="B28" s="169"/>
      <c r="C28" s="169"/>
      <c r="D28" s="169"/>
      <c r="E28" s="205" t="s">
        <v>203</v>
      </c>
      <c r="J28" s="205" t="s">
        <v>203</v>
      </c>
    </row>
    <row r="29" spans="1:10" x14ac:dyDescent="0.25">
      <c r="E29" s="39">
        <f>E23+550000</f>
        <v>5540639</v>
      </c>
      <c r="J29" s="39">
        <f>J23+270000</f>
        <v>2734820</v>
      </c>
    </row>
    <row r="30" spans="1:10" x14ac:dyDescent="0.25">
      <c r="E30" s="39">
        <f>C24</f>
        <v>954000</v>
      </c>
      <c r="J30" s="39">
        <f>H24</f>
        <v>363540</v>
      </c>
    </row>
    <row r="31" spans="1:10" x14ac:dyDescent="0.25">
      <c r="E31" s="39">
        <f>E25+200000</f>
        <v>396346</v>
      </c>
      <c r="J31" s="39">
        <f>J25+60000</f>
        <v>128198</v>
      </c>
    </row>
    <row r="32" spans="1:10" ht="15.75" thickBot="1" x14ac:dyDescent="0.3">
      <c r="E32" s="236">
        <f t="shared" ref="E32" si="23">SUM(E29:E31)</f>
        <v>6890985</v>
      </c>
      <c r="J32" s="236">
        <f t="shared" ref="J32" si="24">SUM(J29:J31)</f>
        <v>3226558</v>
      </c>
    </row>
    <row r="33" spans="5:10" ht="15.75" thickTop="1" x14ac:dyDescent="0.25"/>
    <row r="34" spans="5:10" x14ac:dyDescent="0.25">
      <c r="E34" s="39">
        <f>B26-E32</f>
        <v>557746</v>
      </c>
      <c r="J34" s="39">
        <f>G26-J32</f>
        <v>108442</v>
      </c>
    </row>
  </sheetData>
  <mergeCells count="3">
    <mergeCell ref="B1:E1"/>
    <mergeCell ref="F1:I1"/>
    <mergeCell ref="J1:M1"/>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14"/>
  <sheetViews>
    <sheetView workbookViewId="0">
      <selection activeCell="C11" sqref="C11"/>
    </sheetView>
  </sheetViews>
  <sheetFormatPr defaultColWidth="9.140625" defaultRowHeight="15" x14ac:dyDescent="0.25"/>
  <cols>
    <col min="1" max="1" width="12.42578125" style="48" bestFit="1" customWidth="1"/>
    <col min="2" max="2" width="14.28515625" style="48" bestFit="1" customWidth="1"/>
    <col min="3" max="5" width="11.5703125" style="48" bestFit="1" customWidth="1"/>
    <col min="6" max="16384" width="9.140625" style="48"/>
  </cols>
  <sheetData>
    <row r="2" spans="1:6" x14ac:dyDescent="0.25">
      <c r="B2" s="48">
        <v>2017</v>
      </c>
      <c r="C2" s="48">
        <v>2018</v>
      </c>
      <c r="D2" s="48">
        <v>2019</v>
      </c>
      <c r="E2" s="48">
        <v>2020</v>
      </c>
    </row>
    <row r="3" spans="1:6" x14ac:dyDescent="0.25">
      <c r="A3" s="48" t="s">
        <v>18</v>
      </c>
      <c r="B3" s="169">
        <v>31209334</v>
      </c>
      <c r="C3" s="169">
        <v>31602134</v>
      </c>
      <c r="D3" s="169">
        <v>31903461</v>
      </c>
      <c r="E3" s="169">
        <v>32112211</v>
      </c>
      <c r="F3" s="169"/>
    </row>
    <row r="4" spans="1:6" x14ac:dyDescent="0.25">
      <c r="A4" s="48" t="s">
        <v>1</v>
      </c>
      <c r="B4" s="169">
        <v>16213193</v>
      </c>
      <c r="C4" s="169">
        <v>16428503</v>
      </c>
      <c r="D4" s="169">
        <v>16558995</v>
      </c>
      <c r="E4" s="169">
        <v>16663467</v>
      </c>
      <c r="F4" s="169"/>
    </row>
    <row r="5" spans="1:6" x14ac:dyDescent="0.25">
      <c r="A5" s="48" t="s">
        <v>38</v>
      </c>
      <c r="B5" s="169">
        <v>7294956</v>
      </c>
      <c r="C5" s="169">
        <v>7435138</v>
      </c>
      <c r="D5" s="169">
        <v>7530268</v>
      </c>
      <c r="E5" s="169">
        <v>7586813</v>
      </c>
      <c r="F5" s="169"/>
    </row>
    <row r="6" spans="1:6" x14ac:dyDescent="0.25">
      <c r="A6" s="48" t="s">
        <v>253</v>
      </c>
      <c r="B6" s="169">
        <f>SUM(B3:B5)</f>
        <v>54717483</v>
      </c>
      <c r="C6" s="169">
        <f>SUM(C3:C5)</f>
        <v>55465775</v>
      </c>
      <c r="D6" s="169">
        <f>SUM(D3:D5)</f>
        <v>55992724</v>
      </c>
      <c r="E6" s="169">
        <f>SUM(E3:E5)</f>
        <v>56362491</v>
      </c>
      <c r="F6" s="169"/>
    </row>
    <row r="7" spans="1:6" x14ac:dyDescent="0.25">
      <c r="B7" s="169"/>
      <c r="C7" s="169"/>
      <c r="D7" s="169"/>
      <c r="E7" s="169"/>
      <c r="F7" s="169"/>
    </row>
    <row r="8" spans="1:6" x14ac:dyDescent="0.25">
      <c r="B8" s="169"/>
      <c r="C8" s="250">
        <f t="shared" ref="C8:E11" si="0">(C3-B3)/B3</f>
        <v>1.2585978284573454E-2</v>
      </c>
      <c r="D8" s="250">
        <f t="shared" si="0"/>
        <v>9.5350206413275761E-3</v>
      </c>
      <c r="E8" s="250">
        <f t="shared" si="0"/>
        <v>6.5431772433718087E-3</v>
      </c>
      <c r="F8" s="169"/>
    </row>
    <row r="9" spans="1:6" x14ac:dyDescent="0.25">
      <c r="B9" s="169"/>
      <c r="C9" s="250">
        <f t="shared" si="0"/>
        <v>1.3279925798699861E-2</v>
      </c>
      <c r="D9" s="250">
        <f t="shared" si="0"/>
        <v>7.9430243887711506E-3</v>
      </c>
      <c r="E9" s="250">
        <f t="shared" si="0"/>
        <v>6.3090785400925602E-3</v>
      </c>
      <c r="F9" s="169"/>
    </row>
    <row r="10" spans="1:6" x14ac:dyDescent="0.25">
      <c r="B10" s="169"/>
      <c r="C10" s="250">
        <f t="shared" si="0"/>
        <v>1.9216291366253614E-2</v>
      </c>
      <c r="D10" s="250">
        <f t="shared" si="0"/>
        <v>1.2794651558585732E-2</v>
      </c>
      <c r="E10" s="250">
        <f t="shared" si="0"/>
        <v>7.5090288951203329E-3</v>
      </c>
      <c r="F10" s="169"/>
    </row>
    <row r="11" spans="1:6" x14ac:dyDescent="0.25">
      <c r="B11" s="169"/>
      <c r="C11" s="250">
        <f t="shared" si="0"/>
        <v>1.3675555946168065E-2</v>
      </c>
      <c r="D11" s="250">
        <f t="shared" si="0"/>
        <v>9.5004351782698431E-3</v>
      </c>
      <c r="E11" s="250">
        <f t="shared" si="0"/>
        <v>6.6038401703764227E-3</v>
      </c>
      <c r="F11" s="169"/>
    </row>
    <row r="12" spans="1:6" x14ac:dyDescent="0.25">
      <c r="B12" s="169"/>
      <c r="C12" s="169"/>
      <c r="D12" s="169"/>
      <c r="E12" s="169"/>
      <c r="F12" s="169"/>
    </row>
    <row r="13" spans="1:6" x14ac:dyDescent="0.25">
      <c r="B13" s="169"/>
      <c r="C13" s="169"/>
      <c r="D13" s="169"/>
      <c r="E13" s="169"/>
      <c r="F13" s="169"/>
    </row>
    <row r="14" spans="1:6" x14ac:dyDescent="0.25">
      <c r="B14" s="169"/>
      <c r="C14" s="169"/>
      <c r="D14" s="169"/>
      <c r="E14" s="169"/>
      <c r="F14" s="16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35"/>
  <sheetViews>
    <sheetView workbookViewId="0">
      <selection activeCell="F6" sqref="F6:H11"/>
    </sheetView>
  </sheetViews>
  <sheetFormatPr defaultColWidth="9.140625" defaultRowHeight="15" x14ac:dyDescent="0.25"/>
  <cols>
    <col min="1" max="1" width="32.5703125" style="48" bestFit="1" customWidth="1"/>
    <col min="2" max="9" width="14.28515625" style="48" bestFit="1" customWidth="1"/>
    <col min="10" max="16384" width="9.140625" style="48"/>
  </cols>
  <sheetData>
    <row r="1" spans="1:14" ht="15" customHeight="1" x14ac:dyDescent="0.25">
      <c r="B1" s="571" t="s">
        <v>20</v>
      </c>
      <c r="C1" s="572"/>
      <c r="D1" s="572"/>
      <c r="E1" s="572"/>
      <c r="F1" s="573" t="s">
        <v>21</v>
      </c>
      <c r="G1" s="573"/>
      <c r="H1" s="573"/>
      <c r="I1" s="574"/>
    </row>
    <row r="2" spans="1:14" ht="26.25" x14ac:dyDescent="0.25">
      <c r="B2" s="22" t="s">
        <v>0</v>
      </c>
      <c r="C2" s="22" t="s">
        <v>1</v>
      </c>
      <c r="D2" s="22" t="s">
        <v>22</v>
      </c>
      <c r="E2" s="23" t="s">
        <v>3</v>
      </c>
      <c r="F2" s="27" t="s">
        <v>0</v>
      </c>
      <c r="G2" s="27" t="s">
        <v>1</v>
      </c>
      <c r="H2" s="27" t="s">
        <v>22</v>
      </c>
      <c r="I2" s="28" t="s">
        <v>3</v>
      </c>
    </row>
    <row r="4" spans="1:14" x14ac:dyDescent="0.25">
      <c r="B4" s="49">
        <v>47291732.569399193</v>
      </c>
      <c r="C4" s="49">
        <v>22904631.314472944</v>
      </c>
      <c r="D4" s="49">
        <v>16022790</v>
      </c>
      <c r="E4" s="49">
        <f>SUM(B4:D4)</f>
        <v>86219153.883872136</v>
      </c>
      <c r="F4" s="49">
        <v>47854415.723002486</v>
      </c>
      <c r="G4" s="49">
        <v>23931867.953142732</v>
      </c>
      <c r="H4" s="49">
        <v>16522565.755600002</v>
      </c>
      <c r="I4" s="49">
        <f>SUM(F4:H4)</f>
        <v>88308849.431745231</v>
      </c>
    </row>
    <row r="5" spans="1:14" x14ac:dyDescent="0.25">
      <c r="B5" s="49"/>
      <c r="C5" s="49"/>
      <c r="D5" s="49"/>
      <c r="E5" s="49"/>
      <c r="F5" s="49"/>
      <c r="G5" s="49"/>
      <c r="H5" s="49"/>
      <c r="I5" s="49"/>
    </row>
    <row r="6" spans="1:14" x14ac:dyDescent="0.25">
      <c r="A6" s="48" t="s">
        <v>5</v>
      </c>
      <c r="B6" s="49">
        <v>23819896</v>
      </c>
      <c r="C6" s="49">
        <v>11455010</v>
      </c>
      <c r="D6" s="49">
        <v>669610</v>
      </c>
      <c r="E6" s="49">
        <f t="shared" ref="E6:E12" si="0">SUM(B6:D6)</f>
        <v>35944516</v>
      </c>
      <c r="F6" s="49">
        <v>24881449.760000002</v>
      </c>
      <c r="G6" s="49">
        <v>11898522.25</v>
      </c>
      <c r="H6" s="49">
        <v>680472.31</v>
      </c>
      <c r="I6" s="49">
        <f t="shared" ref="I6:I12" si="1">SUM(F6:H6)</f>
        <v>37460444.320000008</v>
      </c>
      <c r="K6" s="250">
        <f t="shared" ref="K6:N11" si="2">(F6-B6)/B6</f>
        <v>4.4565843612415508E-2</v>
      </c>
      <c r="L6" s="250">
        <f t="shared" si="2"/>
        <v>3.8717753192707823E-2</v>
      </c>
      <c r="M6" s="250">
        <f t="shared" si="2"/>
        <v>1.6221845551888495E-2</v>
      </c>
      <c r="N6" s="250">
        <f t="shared" si="2"/>
        <v>4.217411969046983E-2</v>
      </c>
    </row>
    <row r="7" spans="1:14" x14ac:dyDescent="0.25">
      <c r="A7" s="48" t="s">
        <v>6</v>
      </c>
      <c r="B7" s="49">
        <v>7946007</v>
      </c>
      <c r="C7" s="49">
        <v>4776107</v>
      </c>
      <c r="D7" s="49">
        <v>6596434</v>
      </c>
      <c r="E7" s="49">
        <f t="shared" si="0"/>
        <v>19318548</v>
      </c>
      <c r="F7" s="49">
        <v>8175383.9699999997</v>
      </c>
      <c r="G7" s="49">
        <v>4910441.0750000002</v>
      </c>
      <c r="H7" s="49">
        <v>6794719.5700000003</v>
      </c>
      <c r="I7" s="49">
        <f t="shared" si="1"/>
        <v>19880544.615000002</v>
      </c>
      <c r="K7" s="250">
        <f t="shared" si="2"/>
        <v>2.8866947889675875E-2</v>
      </c>
      <c r="L7" s="250">
        <f t="shared" si="2"/>
        <v>2.8126269993532429E-2</v>
      </c>
      <c r="M7" s="250">
        <f t="shared" si="2"/>
        <v>3.0059509425850436E-2</v>
      </c>
      <c r="N7" s="250">
        <f t="shared" si="2"/>
        <v>2.9091038053170565E-2</v>
      </c>
    </row>
    <row r="8" spans="1:14" x14ac:dyDescent="0.25">
      <c r="A8" s="48" t="s">
        <v>7</v>
      </c>
      <c r="B8" s="49">
        <v>9194340</v>
      </c>
      <c r="C8" s="49">
        <v>4723525</v>
      </c>
      <c r="D8" s="49">
        <v>3020098</v>
      </c>
      <c r="E8" s="49">
        <f t="shared" si="0"/>
        <v>16937963</v>
      </c>
      <c r="F8" s="49">
        <v>10029660.976</v>
      </c>
      <c r="G8" s="49">
        <v>5140300.7185000004</v>
      </c>
      <c r="H8" s="49">
        <v>3244679.63</v>
      </c>
      <c r="I8" s="49">
        <f t="shared" si="1"/>
        <v>18414641.324499998</v>
      </c>
      <c r="K8" s="250">
        <f t="shared" si="2"/>
        <v>9.0851651777071524E-2</v>
      </c>
      <c r="L8" s="250">
        <f t="shared" si="2"/>
        <v>8.823404523105105E-2</v>
      </c>
      <c r="M8" s="250">
        <f t="shared" si="2"/>
        <v>7.4362365062325755E-2</v>
      </c>
      <c r="N8" s="250">
        <f t="shared" si="2"/>
        <v>8.7181576940509209E-2</v>
      </c>
    </row>
    <row r="9" spans="1:14" x14ac:dyDescent="0.25">
      <c r="A9" s="48" t="s">
        <v>8</v>
      </c>
      <c r="B9" s="49">
        <v>598079</v>
      </c>
      <c r="C9" s="49">
        <v>226939</v>
      </c>
      <c r="D9" s="49">
        <v>243587</v>
      </c>
      <c r="E9" s="49">
        <f t="shared" si="0"/>
        <v>1068605</v>
      </c>
      <c r="F9" s="49">
        <v>600889.97129999998</v>
      </c>
      <c r="G9" s="49">
        <v>228005.6133</v>
      </c>
      <c r="H9" s="49">
        <v>244731.85889999999</v>
      </c>
      <c r="I9" s="49">
        <f t="shared" si="1"/>
        <v>1073627.4435000001</v>
      </c>
      <c r="K9" s="250">
        <f t="shared" si="2"/>
        <v>4.6999999999999594E-3</v>
      </c>
      <c r="L9" s="250">
        <f t="shared" si="2"/>
        <v>4.699999999999988E-3</v>
      </c>
      <c r="M9" s="250">
        <f t="shared" si="2"/>
        <v>4.6999999999999672E-3</v>
      </c>
      <c r="N9" s="250">
        <f t="shared" si="2"/>
        <v>4.7000000000000488E-3</v>
      </c>
    </row>
    <row r="10" spans="1:14" x14ac:dyDescent="0.25">
      <c r="A10" s="48" t="s">
        <v>9</v>
      </c>
      <c r="B10" s="49">
        <v>4671690</v>
      </c>
      <c r="C10" s="49">
        <v>1967013</v>
      </c>
      <c r="D10" s="49">
        <v>4719961</v>
      </c>
      <c r="E10" s="49">
        <f t="shared" si="0"/>
        <v>11358664</v>
      </c>
      <c r="F10" s="49">
        <v>4693646.943</v>
      </c>
      <c r="G10" s="49">
        <v>1976257.9611</v>
      </c>
      <c r="H10" s="49">
        <v>4742144.8166999994</v>
      </c>
      <c r="I10" s="49">
        <f t="shared" si="1"/>
        <v>11412049.720799999</v>
      </c>
      <c r="K10" s="250">
        <f t="shared" si="2"/>
        <v>4.6999999999999932E-3</v>
      </c>
      <c r="L10" s="250">
        <f t="shared" si="2"/>
        <v>4.6999999999999776E-3</v>
      </c>
      <c r="M10" s="250">
        <f t="shared" si="2"/>
        <v>4.6999999999998692E-3</v>
      </c>
      <c r="N10" s="250">
        <f t="shared" si="2"/>
        <v>4.6999999999999395E-3</v>
      </c>
    </row>
    <row r="11" spans="1:14" x14ac:dyDescent="0.25">
      <c r="A11" s="48" t="s">
        <v>10</v>
      </c>
      <c r="B11" s="49">
        <v>193266</v>
      </c>
      <c r="C11" s="49">
        <v>41065</v>
      </c>
      <c r="D11" s="49">
        <v>223100</v>
      </c>
      <c r="E11" s="49">
        <f t="shared" si="0"/>
        <v>457431</v>
      </c>
      <c r="F11" s="49">
        <v>194174.35019999999</v>
      </c>
      <c r="G11" s="49">
        <v>41258.005499999999</v>
      </c>
      <c r="H11" s="49">
        <v>224148.56999999998</v>
      </c>
      <c r="I11" s="49">
        <f t="shared" si="1"/>
        <v>459580.92569999996</v>
      </c>
      <c r="K11" s="250">
        <f t="shared" si="2"/>
        <v>4.6999999999999291E-3</v>
      </c>
      <c r="L11" s="250">
        <f t="shared" si="2"/>
        <v>4.6999999999999828E-3</v>
      </c>
      <c r="M11" s="250">
        <f t="shared" si="2"/>
        <v>4.6999999999999004E-3</v>
      </c>
      <c r="N11" s="250">
        <f t="shared" si="2"/>
        <v>4.6999999999999204E-3</v>
      </c>
    </row>
    <row r="12" spans="1:14" x14ac:dyDescent="0.25">
      <c r="A12" s="48" t="s">
        <v>11</v>
      </c>
      <c r="B12" s="49">
        <v>6716</v>
      </c>
      <c r="C12" s="49">
        <v>0</v>
      </c>
      <c r="D12" s="49">
        <v>550000</v>
      </c>
      <c r="E12" s="49">
        <f t="shared" si="0"/>
        <v>556716</v>
      </c>
      <c r="F12" s="49">
        <v>0</v>
      </c>
      <c r="G12" s="49">
        <v>0</v>
      </c>
      <c r="H12" s="49">
        <v>550000</v>
      </c>
      <c r="I12" s="49">
        <f t="shared" si="1"/>
        <v>550000</v>
      </c>
      <c r="K12" s="250">
        <f>(F12-B12)/B12</f>
        <v>-1</v>
      </c>
      <c r="L12" s="250">
        <v>0</v>
      </c>
      <c r="M12" s="250">
        <f>(H12-D12)/D12</f>
        <v>0</v>
      </c>
      <c r="N12" s="250">
        <f>(I12-E12)/E12</f>
        <v>-1.2063601549084273E-2</v>
      </c>
    </row>
    <row r="13" spans="1:14" x14ac:dyDescent="0.25">
      <c r="B13" s="49"/>
      <c r="C13" s="49"/>
      <c r="D13" s="49"/>
      <c r="E13" s="49"/>
      <c r="F13" s="49">
        <v>0</v>
      </c>
      <c r="G13" s="49">
        <v>0</v>
      </c>
      <c r="H13" s="49"/>
      <c r="I13" s="49"/>
      <c r="K13" s="250"/>
      <c r="L13" s="250"/>
      <c r="M13" s="250"/>
      <c r="N13" s="250"/>
    </row>
    <row r="14" spans="1:14" x14ac:dyDescent="0.25">
      <c r="B14" s="49">
        <f t="shared" ref="B14:I14" si="3">SUM(B6:B13)</f>
        <v>46429994</v>
      </c>
      <c r="C14" s="49">
        <f t="shared" si="3"/>
        <v>23189659</v>
      </c>
      <c r="D14" s="49">
        <f t="shared" si="3"/>
        <v>16022790</v>
      </c>
      <c r="E14" s="49">
        <f t="shared" si="3"/>
        <v>85642443</v>
      </c>
      <c r="F14" s="49">
        <f t="shared" si="3"/>
        <v>48575205.970499992</v>
      </c>
      <c r="G14" s="49">
        <f t="shared" si="3"/>
        <v>24194785.623399999</v>
      </c>
      <c r="H14" s="49">
        <f t="shared" si="3"/>
        <v>16480896.755600002</v>
      </c>
      <c r="I14" s="49">
        <f t="shared" si="3"/>
        <v>89250888.3495</v>
      </c>
      <c r="K14" s="250">
        <f>(F14-B14)/B14</f>
        <v>4.6203149853949847E-2</v>
      </c>
      <c r="L14" s="250">
        <f>(G14-C14)/C14</f>
        <v>4.3343743148616332E-2</v>
      </c>
      <c r="M14" s="250">
        <f>(H14-D14)/D14</f>
        <v>2.859094799345193E-2</v>
      </c>
      <c r="N14" s="250">
        <f>(I14-E14)/E14</f>
        <v>4.2133844191016366E-2</v>
      </c>
    </row>
    <row r="15" spans="1:14" x14ac:dyDescent="0.25">
      <c r="B15" s="49"/>
      <c r="C15" s="49"/>
      <c r="D15" s="49"/>
      <c r="E15" s="49"/>
      <c r="F15" s="49"/>
      <c r="G15" s="49"/>
      <c r="H15" s="49"/>
      <c r="I15" s="49"/>
    </row>
    <row r="16" spans="1:14" x14ac:dyDescent="0.25">
      <c r="B16" s="49"/>
      <c r="C16" s="49"/>
      <c r="D16" s="49"/>
      <c r="E16" s="49"/>
      <c r="F16" s="49"/>
      <c r="G16" s="49"/>
      <c r="H16" s="49"/>
      <c r="I16" s="49"/>
    </row>
    <row r="17" spans="1:14" x14ac:dyDescent="0.25">
      <c r="B17" s="49">
        <f t="shared" ref="B17:I17" si="4">B4-B14</f>
        <v>861738.56939919293</v>
      </c>
      <c r="C17" s="49">
        <f t="shared" si="4"/>
        <v>-285027.68552705646</v>
      </c>
      <c r="D17" s="49">
        <f t="shared" si="4"/>
        <v>0</v>
      </c>
      <c r="E17" s="49">
        <f t="shared" si="4"/>
        <v>576710.88387213647</v>
      </c>
      <c r="F17" s="49">
        <f t="shared" si="4"/>
        <v>-720790.24749750644</v>
      </c>
      <c r="G17" s="49">
        <f t="shared" si="4"/>
        <v>-262917.67025726661</v>
      </c>
      <c r="H17" s="49">
        <f t="shared" si="4"/>
        <v>41669</v>
      </c>
      <c r="I17" s="49">
        <f t="shared" si="4"/>
        <v>-942038.91775476933</v>
      </c>
    </row>
    <row r="18" spans="1:14" x14ac:dyDescent="0.25">
      <c r="B18" s="49"/>
      <c r="C18" s="49"/>
      <c r="D18" s="49"/>
      <c r="E18" s="49"/>
      <c r="F18" s="49"/>
      <c r="G18" s="49"/>
      <c r="H18" s="49"/>
      <c r="I18" s="49"/>
    </row>
    <row r="19" spans="1:14" x14ac:dyDescent="0.25">
      <c r="B19" s="49"/>
      <c r="C19" s="49"/>
      <c r="D19" s="49"/>
      <c r="E19" s="49"/>
      <c r="F19" s="49"/>
      <c r="G19" s="49"/>
      <c r="H19" s="49"/>
      <c r="I19" s="49"/>
    </row>
    <row r="20" spans="1:14" x14ac:dyDescent="0.25">
      <c r="A20" s="48" t="s">
        <v>246</v>
      </c>
      <c r="B20" s="250">
        <v>5.5E-2</v>
      </c>
      <c r="C20" s="49"/>
      <c r="D20" s="49"/>
      <c r="E20" s="274" t="s">
        <v>5</v>
      </c>
      <c r="F20" s="49">
        <f>B6*(1+B20)</f>
        <v>25129990.279999997</v>
      </c>
      <c r="G20" s="49">
        <f>C6*(1+B20)</f>
        <v>12085035.549999999</v>
      </c>
      <c r="H20" s="49">
        <f>D6*(1+0.035)</f>
        <v>693046.35</v>
      </c>
      <c r="I20" s="49">
        <f t="shared" ref="I20:I26" si="5">SUM(F20:H20)</f>
        <v>37908072.18</v>
      </c>
      <c r="K20" s="250">
        <f t="shared" ref="K20:N25" si="6">(F20-B6)/B6</f>
        <v>5.4999999999999896E-2</v>
      </c>
      <c r="L20" s="250">
        <f t="shared" si="6"/>
        <v>5.4999999999999903E-2</v>
      </c>
      <c r="M20" s="250">
        <f t="shared" si="6"/>
        <v>3.4999999999999969E-2</v>
      </c>
      <c r="N20" s="250">
        <f t="shared" si="6"/>
        <v>5.4627420216202094E-2</v>
      </c>
    </row>
    <row r="21" spans="1:14" x14ac:dyDescent="0.25">
      <c r="A21" s="48" t="s">
        <v>247</v>
      </c>
      <c r="B21" s="250">
        <v>3.5000000000000003E-2</v>
      </c>
      <c r="C21" s="49"/>
      <c r="D21" s="49"/>
      <c r="E21" s="274" t="s">
        <v>6</v>
      </c>
      <c r="F21" s="49">
        <f t="shared" ref="F21:F26" si="7">B7*(1+B21)</f>
        <v>8224117.2449999992</v>
      </c>
      <c r="G21" s="49">
        <f t="shared" ref="G21:G26" si="8">C7*(1+B21)</f>
        <v>4943270.7449999992</v>
      </c>
      <c r="H21" s="49">
        <f t="shared" ref="H21:H26" si="9">D7*(1+B21)</f>
        <v>6827309.1899999995</v>
      </c>
      <c r="I21" s="49">
        <f t="shared" si="5"/>
        <v>19994697.18</v>
      </c>
      <c r="K21" s="250">
        <f t="shared" si="6"/>
        <v>3.4999999999999899E-2</v>
      </c>
      <c r="L21" s="250">
        <f t="shared" si="6"/>
        <v>3.499999999999983E-2</v>
      </c>
      <c r="M21" s="250">
        <f t="shared" si="6"/>
        <v>3.499999999999992E-2</v>
      </c>
      <c r="N21" s="250">
        <f t="shared" si="6"/>
        <v>3.4999999999999983E-2</v>
      </c>
    </row>
    <row r="22" spans="1:14" x14ac:dyDescent="0.25">
      <c r="A22" s="48" t="s">
        <v>248</v>
      </c>
      <c r="B22" s="250">
        <v>7.2499999999999995E-2</v>
      </c>
      <c r="E22" s="274" t="s">
        <v>7</v>
      </c>
      <c r="F22" s="49">
        <f t="shared" si="7"/>
        <v>9860929.6500000004</v>
      </c>
      <c r="G22" s="49">
        <f t="shared" si="8"/>
        <v>5065980.5625</v>
      </c>
      <c r="H22" s="49">
        <f t="shared" si="9"/>
        <v>3239055.105</v>
      </c>
      <c r="I22" s="49">
        <f t="shared" si="5"/>
        <v>18165965.317499999</v>
      </c>
      <c r="K22" s="250">
        <f t="shared" si="6"/>
        <v>7.2500000000000037E-2</v>
      </c>
      <c r="L22" s="250">
        <f t="shared" si="6"/>
        <v>7.2499999999999995E-2</v>
      </c>
      <c r="M22" s="250">
        <f t="shared" si="6"/>
        <v>7.2499999999999995E-2</v>
      </c>
      <c r="N22" s="250">
        <f t="shared" si="6"/>
        <v>7.2499999999999939E-2</v>
      </c>
    </row>
    <row r="23" spans="1:14" x14ac:dyDescent="0.25">
      <c r="A23" s="48" t="s">
        <v>249</v>
      </c>
      <c r="B23" s="250">
        <v>4.7000000000000002E-3</v>
      </c>
      <c r="E23" s="274" t="s">
        <v>8</v>
      </c>
      <c r="F23" s="49">
        <f t="shared" si="7"/>
        <v>600889.97129999998</v>
      </c>
      <c r="G23" s="49">
        <f t="shared" si="8"/>
        <v>228005.6133</v>
      </c>
      <c r="H23" s="49">
        <f t="shared" si="9"/>
        <v>244731.85889999999</v>
      </c>
      <c r="I23" s="49">
        <f t="shared" si="5"/>
        <v>1073627.4435000001</v>
      </c>
      <c r="K23" s="250">
        <f t="shared" si="6"/>
        <v>4.6999999999999594E-3</v>
      </c>
      <c r="L23" s="250">
        <f t="shared" si="6"/>
        <v>4.699999999999988E-3</v>
      </c>
      <c r="M23" s="250">
        <f t="shared" si="6"/>
        <v>4.6999999999999672E-3</v>
      </c>
      <c r="N23" s="250">
        <f t="shared" si="6"/>
        <v>4.7000000000000488E-3</v>
      </c>
    </row>
    <row r="24" spans="1:14" x14ac:dyDescent="0.25">
      <c r="A24" s="48" t="s">
        <v>249</v>
      </c>
      <c r="B24" s="250">
        <f t="shared" ref="B24:B26" si="10">B23</f>
        <v>4.7000000000000002E-3</v>
      </c>
      <c r="E24" s="274" t="s">
        <v>9</v>
      </c>
      <c r="F24" s="49">
        <f t="shared" si="7"/>
        <v>4693646.943</v>
      </c>
      <c r="G24" s="49">
        <f t="shared" si="8"/>
        <v>1976257.9611</v>
      </c>
      <c r="H24" s="49">
        <f t="shared" si="9"/>
        <v>4742144.8166999994</v>
      </c>
      <c r="I24" s="49">
        <f t="shared" si="5"/>
        <v>11412049.720799999</v>
      </c>
      <c r="K24" s="250">
        <f t="shared" si="6"/>
        <v>4.6999999999999932E-3</v>
      </c>
      <c r="L24" s="250">
        <f t="shared" si="6"/>
        <v>4.6999999999999776E-3</v>
      </c>
      <c r="M24" s="250">
        <f t="shared" si="6"/>
        <v>4.6999999999998692E-3</v>
      </c>
      <c r="N24" s="250">
        <f t="shared" si="6"/>
        <v>4.6999999999999395E-3</v>
      </c>
    </row>
    <row r="25" spans="1:14" x14ac:dyDescent="0.25">
      <c r="A25" s="48" t="s">
        <v>249</v>
      </c>
      <c r="B25" s="250">
        <f t="shared" si="10"/>
        <v>4.7000000000000002E-3</v>
      </c>
      <c r="E25" s="274" t="s">
        <v>10</v>
      </c>
      <c r="F25" s="49">
        <f t="shared" si="7"/>
        <v>194174.35019999999</v>
      </c>
      <c r="G25" s="49">
        <f t="shared" si="8"/>
        <v>41258.005499999999</v>
      </c>
      <c r="H25" s="49">
        <f t="shared" si="9"/>
        <v>224148.56999999998</v>
      </c>
      <c r="I25" s="49">
        <f t="shared" si="5"/>
        <v>459580.92569999996</v>
      </c>
      <c r="K25" s="250">
        <f t="shared" si="6"/>
        <v>4.6999999999999291E-3</v>
      </c>
      <c r="L25" s="250">
        <f t="shared" si="6"/>
        <v>4.6999999999999828E-3</v>
      </c>
      <c r="M25" s="250">
        <f t="shared" si="6"/>
        <v>4.6999999999999004E-3</v>
      </c>
      <c r="N25" s="250">
        <f t="shared" si="6"/>
        <v>4.6999999999999204E-3</v>
      </c>
    </row>
    <row r="26" spans="1:14" x14ac:dyDescent="0.25">
      <c r="A26" s="48" t="s">
        <v>249</v>
      </c>
      <c r="B26" s="250">
        <f t="shared" si="10"/>
        <v>4.7000000000000002E-3</v>
      </c>
      <c r="E26" s="274" t="s">
        <v>11</v>
      </c>
      <c r="F26" s="49">
        <f t="shared" si="7"/>
        <v>6747.5651999999991</v>
      </c>
      <c r="G26" s="49">
        <f t="shared" si="8"/>
        <v>0</v>
      </c>
      <c r="H26" s="49">
        <f t="shared" si="9"/>
        <v>552585</v>
      </c>
      <c r="I26" s="49">
        <f t="shared" si="5"/>
        <v>559332.56519999995</v>
      </c>
      <c r="K26" s="250">
        <f>(F26-B12)/B12</f>
        <v>4.6999999999998649E-3</v>
      </c>
      <c r="L26" s="250">
        <v>0</v>
      </c>
      <c r="M26" s="250">
        <f>(H26-D12)/D12</f>
        <v>4.7000000000000002E-3</v>
      </c>
      <c r="N26" s="250">
        <f>(I26-E12)/E12</f>
        <v>4.6999999999999169E-3</v>
      </c>
    </row>
    <row r="27" spans="1:14" x14ac:dyDescent="0.25">
      <c r="B27" s="250"/>
      <c r="F27" s="49"/>
      <c r="G27" s="49"/>
      <c r="H27" s="49"/>
    </row>
    <row r="28" spans="1:14" x14ac:dyDescent="0.25">
      <c r="B28" s="149"/>
      <c r="F28" s="49">
        <f>SUM(F20:F27)</f>
        <v>48710496.00469999</v>
      </c>
      <c r="G28" s="49">
        <f>SUM(G20:G27)</f>
        <v>24339808.437399998</v>
      </c>
      <c r="H28" s="49">
        <f>SUM(H20:H27)</f>
        <v>16523020.8906</v>
      </c>
      <c r="I28" s="49">
        <f>SUM(I20:I27)</f>
        <v>89573325.332699984</v>
      </c>
      <c r="K28" s="250">
        <f>(F28-B14)/B14</f>
        <v>4.9116999771742165E-2</v>
      </c>
      <c r="L28" s="250">
        <f>(G28-C14)/C14</f>
        <v>4.9597514021228098E-2</v>
      </c>
      <c r="M28" s="250">
        <f>(H28-D14)/D14</f>
        <v>3.1219961729511501E-2</v>
      </c>
      <c r="N28" s="250">
        <f>(I28-E14)/E14</f>
        <v>4.5898764619547158E-2</v>
      </c>
    </row>
    <row r="30" spans="1:14" x14ac:dyDescent="0.25">
      <c r="F30" s="244">
        <f>F4-F28</f>
        <v>-856080.28169750422</v>
      </c>
      <c r="G30" s="244">
        <f>G4-G28</f>
        <v>-407940.48425726593</v>
      </c>
      <c r="H30" s="244">
        <f>H4-H28</f>
        <v>-455.13499999791384</v>
      </c>
      <c r="I30" s="244">
        <f>I4-I28</f>
        <v>-1264475.9009547532</v>
      </c>
    </row>
    <row r="33" spans="6:9" x14ac:dyDescent="0.25">
      <c r="F33" s="244">
        <f>F28-F14</f>
        <v>135290.03419999778</v>
      </c>
      <c r="G33" s="244">
        <f>G28-G14</f>
        <v>145022.81399999931</v>
      </c>
      <c r="H33" s="244">
        <f>H28-H14</f>
        <v>42124.134999997914</v>
      </c>
    </row>
    <row r="35" spans="6:9" x14ac:dyDescent="0.25">
      <c r="F35" s="244">
        <f>F28-B14</f>
        <v>2280502.0046999902</v>
      </c>
      <c r="G35" s="244">
        <f>G28-C14</f>
        <v>1150149.4373999983</v>
      </c>
      <c r="H35" s="244">
        <f>H28-D14</f>
        <v>500230.89059999958</v>
      </c>
      <c r="I35" s="244">
        <f>I28-E14</f>
        <v>3930882.3326999843</v>
      </c>
    </row>
  </sheetData>
  <mergeCells count="2">
    <mergeCell ref="B1:E1"/>
    <mergeCell ref="F1: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pageSetUpPr fitToPage="1"/>
  </sheetPr>
  <dimension ref="A1:Q60"/>
  <sheetViews>
    <sheetView zoomScaleNormal="100" workbookViewId="0">
      <selection activeCell="E9" sqref="E9"/>
    </sheetView>
  </sheetViews>
  <sheetFormatPr defaultColWidth="9" defaultRowHeight="15" x14ac:dyDescent="0.25"/>
  <cols>
    <col min="1" max="4" width="12.42578125" style="48" customWidth="1"/>
    <col min="5" max="5" width="18.7109375" style="48" bestFit="1" customWidth="1"/>
    <col min="6" max="6" width="10" style="48" bestFit="1" customWidth="1"/>
    <col min="7" max="7" width="16.5703125" style="48" customWidth="1"/>
    <col min="8" max="9" width="12.7109375" style="48" customWidth="1"/>
    <col min="10" max="10" width="16.7109375" style="48" bestFit="1" customWidth="1"/>
    <col min="11" max="11" width="12.7109375" style="48" customWidth="1"/>
    <col min="12" max="12" width="14.42578125" style="48" customWidth="1"/>
    <col min="13" max="13" width="16.5703125" style="48" customWidth="1"/>
    <col min="14" max="14" width="16.42578125" style="48" customWidth="1"/>
    <col min="15" max="15" width="16.28515625" style="48" customWidth="1"/>
    <col min="16" max="16" width="7.85546875" style="48" bestFit="1" customWidth="1"/>
    <col min="17" max="18" width="8" style="48" bestFit="1" customWidth="1"/>
    <col min="19" max="19" width="7.85546875" style="48" bestFit="1" customWidth="1"/>
    <col min="20" max="20" width="10" style="48" bestFit="1" customWidth="1"/>
    <col min="21" max="16384" width="9" style="48"/>
  </cols>
  <sheetData>
    <row r="1" spans="1:17" ht="18.75" x14ac:dyDescent="0.3">
      <c r="A1" s="80" t="s">
        <v>19</v>
      </c>
    </row>
    <row r="2" spans="1:17" ht="18.75" x14ac:dyDescent="0.3">
      <c r="A2" s="80" t="s">
        <v>231</v>
      </c>
    </row>
    <row r="4" spans="1:17" ht="15" customHeight="1" x14ac:dyDescent="0.25">
      <c r="A4" s="526" t="s">
        <v>211</v>
      </c>
      <c r="B4" s="526"/>
      <c r="C4" s="526"/>
      <c r="D4" s="526"/>
      <c r="E4" s="526"/>
      <c r="F4" s="526"/>
      <c r="G4" s="526"/>
      <c r="I4" s="526" t="s">
        <v>214</v>
      </c>
      <c r="J4" s="526"/>
      <c r="K4" s="526"/>
      <c r="L4" s="526"/>
      <c r="M4" s="526"/>
      <c r="N4" s="526"/>
      <c r="O4" s="526"/>
    </row>
    <row r="5" spans="1:17" ht="45" x14ac:dyDescent="0.25">
      <c r="A5" s="182" t="s">
        <v>96</v>
      </c>
      <c r="B5" s="182" t="s">
        <v>217</v>
      </c>
      <c r="C5" s="245" t="s">
        <v>102</v>
      </c>
      <c r="D5" s="245" t="s">
        <v>171</v>
      </c>
      <c r="E5" s="182" t="s">
        <v>219</v>
      </c>
      <c r="F5" s="245" t="s">
        <v>103</v>
      </c>
      <c r="G5" s="182" t="s">
        <v>225</v>
      </c>
      <c r="I5" s="182" t="s">
        <v>96</v>
      </c>
      <c r="J5" s="182" t="s">
        <v>218</v>
      </c>
      <c r="K5" s="245" t="s">
        <v>102</v>
      </c>
      <c r="L5" s="245" t="s">
        <v>171</v>
      </c>
      <c r="M5" s="182" t="s">
        <v>220</v>
      </c>
      <c r="N5" s="245" t="s">
        <v>103</v>
      </c>
      <c r="O5" s="182" t="s">
        <v>226</v>
      </c>
    </row>
    <row r="6" spans="1:17" x14ac:dyDescent="0.25">
      <c r="A6" s="94" t="str">
        <f>'FTES Calculations'!A7</f>
        <v>16-17</v>
      </c>
      <c r="B6" s="169">
        <f>'FTES Calculations'!E7</f>
        <v>10270</v>
      </c>
      <c r="C6" s="169">
        <f>'FTES Calculations'!E18</f>
        <v>10504</v>
      </c>
      <c r="D6" s="169">
        <f>'FTES Calculations'!E40</f>
        <v>0</v>
      </c>
      <c r="E6" s="39">
        <f t="shared" ref="E6:E13" si="0">SUM(C6:D6)</f>
        <v>10504</v>
      </c>
      <c r="F6" s="169">
        <f t="shared" ref="F6:F13" si="1">B6-E6</f>
        <v>-234</v>
      </c>
      <c r="I6" s="94" t="str">
        <f>A6</f>
        <v>16-17</v>
      </c>
      <c r="J6" s="169">
        <v>9902</v>
      </c>
      <c r="K6" s="169">
        <v>9502</v>
      </c>
      <c r="L6" s="169">
        <v>0</v>
      </c>
      <c r="M6" s="39">
        <f t="shared" ref="M6:M13" si="2">SUM(K6:L6)</f>
        <v>9502</v>
      </c>
      <c r="N6" s="169">
        <f t="shared" ref="N6:N13" si="3">J6-M6</f>
        <v>400</v>
      </c>
    </row>
    <row r="7" spans="1:17" x14ac:dyDescent="0.25">
      <c r="A7" s="94" t="str">
        <f>'FTES Calculations'!A8</f>
        <v>17-18</v>
      </c>
      <c r="B7" s="169">
        <f>'FTES Calculations'!E8</f>
        <v>10685</v>
      </c>
      <c r="C7" s="169">
        <f>'FTES Calculations'!E19</f>
        <v>10504</v>
      </c>
      <c r="D7" s="169">
        <f>'FTES Calculations'!E41</f>
        <v>0</v>
      </c>
      <c r="E7" s="39">
        <f t="shared" si="0"/>
        <v>10504</v>
      </c>
      <c r="F7" s="169">
        <f t="shared" si="1"/>
        <v>181</v>
      </c>
      <c r="G7" s="250">
        <f>'FTES Calculations'!C8</f>
        <v>4.0408958130477117E-2</v>
      </c>
      <c r="I7" s="94" t="str">
        <f t="shared" ref="I7:I13" si="4">A7</f>
        <v>17-18</v>
      </c>
      <c r="J7" s="169">
        <v>10100</v>
      </c>
      <c r="K7" s="169">
        <v>10100</v>
      </c>
      <c r="L7" s="169">
        <v>0</v>
      </c>
      <c r="M7" s="39">
        <f t="shared" si="2"/>
        <v>10100</v>
      </c>
      <c r="N7" s="169">
        <f t="shared" si="3"/>
        <v>0</v>
      </c>
      <c r="O7" s="250">
        <v>0.02</v>
      </c>
    </row>
    <row r="8" spans="1:17" x14ac:dyDescent="0.25">
      <c r="A8" s="94" t="str">
        <f>'FTES Calculations'!A9</f>
        <v>18-19</v>
      </c>
      <c r="B8" s="169">
        <f>'FTES Calculations'!E9</f>
        <v>10284</v>
      </c>
      <c r="C8" s="169">
        <f>'FTES Calculations'!E20</f>
        <v>10284</v>
      </c>
      <c r="D8" s="169">
        <f>'FTES Calculations'!E42</f>
        <v>0</v>
      </c>
      <c r="E8" s="39">
        <f t="shared" si="0"/>
        <v>10284</v>
      </c>
      <c r="F8" s="169">
        <f t="shared" si="1"/>
        <v>0</v>
      </c>
      <c r="G8" s="250">
        <f>'FTES Calculations'!C9</f>
        <v>-3.7499999999999999E-2</v>
      </c>
      <c r="I8" s="94" t="str">
        <f t="shared" si="4"/>
        <v>18-19</v>
      </c>
      <c r="J8" s="169">
        <v>10403</v>
      </c>
      <c r="K8" s="169">
        <v>10403</v>
      </c>
      <c r="L8" s="169">
        <v>0</v>
      </c>
      <c r="M8" s="39">
        <f t="shared" si="2"/>
        <v>10403</v>
      </c>
      <c r="N8" s="169">
        <f t="shared" si="3"/>
        <v>0</v>
      </c>
      <c r="O8" s="250">
        <v>0.03</v>
      </c>
    </row>
    <row r="9" spans="1:17" x14ac:dyDescent="0.25">
      <c r="A9" s="94" t="str">
        <f>'FTES Calculations'!A10</f>
        <v>19-20</v>
      </c>
      <c r="B9" s="169">
        <f>'FTES Calculations'!E10</f>
        <v>10565</v>
      </c>
      <c r="C9" s="169">
        <f>'FTES Calculations'!E21</f>
        <v>10341</v>
      </c>
      <c r="D9" s="169">
        <f>'FTES Calculations'!E43</f>
        <v>0</v>
      </c>
      <c r="E9" s="39">
        <f t="shared" si="0"/>
        <v>10341</v>
      </c>
      <c r="F9" s="169">
        <f t="shared" si="1"/>
        <v>224</v>
      </c>
      <c r="G9" s="250">
        <f>'FTES Calculations'!C10</f>
        <v>2.7300000000000001E-2</v>
      </c>
      <c r="I9" s="94" t="str">
        <f t="shared" si="4"/>
        <v>19-20</v>
      </c>
      <c r="J9" s="169">
        <v>10715</v>
      </c>
      <c r="K9" s="169">
        <v>10611</v>
      </c>
      <c r="L9" s="169">
        <v>104</v>
      </c>
      <c r="M9" s="39">
        <f t="shared" si="2"/>
        <v>10715</v>
      </c>
      <c r="N9" s="169">
        <f t="shared" si="3"/>
        <v>0</v>
      </c>
      <c r="O9" s="250">
        <v>0.03</v>
      </c>
    </row>
    <row r="10" spans="1:17" x14ac:dyDescent="0.25">
      <c r="A10" s="94" t="str">
        <f>'FTES Calculations'!A11</f>
        <v>20-21</v>
      </c>
      <c r="B10" s="169">
        <f>'FTES Calculations'!E11</f>
        <v>10853</v>
      </c>
      <c r="C10" s="169">
        <f>'FTES Calculations'!E22</f>
        <v>10548</v>
      </c>
      <c r="D10" s="169">
        <f>'FTES Calculations'!E44</f>
        <v>0</v>
      </c>
      <c r="E10" s="39">
        <f t="shared" si="0"/>
        <v>10548</v>
      </c>
      <c r="F10" s="169">
        <f t="shared" si="1"/>
        <v>305</v>
      </c>
      <c r="G10" s="250">
        <f>'FTES Calculations'!C11</f>
        <v>2.7300000000000001E-2</v>
      </c>
      <c r="I10" s="94" t="str">
        <f t="shared" si="4"/>
        <v>20-21</v>
      </c>
      <c r="J10" s="169">
        <v>11036</v>
      </c>
      <c r="K10" s="169">
        <v>10929</v>
      </c>
      <c r="L10" s="169">
        <v>107</v>
      </c>
      <c r="M10" s="39">
        <f t="shared" si="2"/>
        <v>11036</v>
      </c>
      <c r="N10" s="169">
        <f t="shared" si="3"/>
        <v>0</v>
      </c>
      <c r="O10" s="250">
        <v>0.03</v>
      </c>
    </row>
    <row r="11" spans="1:17" x14ac:dyDescent="0.25">
      <c r="A11" s="94" t="str">
        <f>'FTES Calculations'!A12</f>
        <v>21-22</v>
      </c>
      <c r="B11" s="169">
        <f>'FTES Calculations'!E12</f>
        <v>11149</v>
      </c>
      <c r="C11" s="169">
        <f>'FTES Calculations'!E23</f>
        <v>10759</v>
      </c>
      <c r="D11" s="169">
        <f>'FTES Calculations'!E45</f>
        <v>0</v>
      </c>
      <c r="E11" s="39">
        <f t="shared" si="0"/>
        <v>10759</v>
      </c>
      <c r="F11" s="169">
        <f t="shared" si="1"/>
        <v>390</v>
      </c>
      <c r="G11" s="250">
        <f>'FTES Calculations'!C12</f>
        <v>2.7300000000000001E-2</v>
      </c>
      <c r="I11" s="94" t="str">
        <f t="shared" si="4"/>
        <v>21-22</v>
      </c>
      <c r="J11" s="169">
        <v>11477</v>
      </c>
      <c r="K11" s="169">
        <v>11257</v>
      </c>
      <c r="L11" s="169">
        <v>219</v>
      </c>
      <c r="M11" s="39">
        <f t="shared" si="2"/>
        <v>11476</v>
      </c>
      <c r="N11" s="169">
        <f t="shared" si="3"/>
        <v>1</v>
      </c>
      <c r="O11" s="250">
        <v>0.04</v>
      </c>
    </row>
    <row r="12" spans="1:17" x14ac:dyDescent="0.25">
      <c r="A12" s="94" t="str">
        <f>'FTES Calculations'!A13</f>
        <v>22-23</v>
      </c>
      <c r="B12" s="169">
        <f>'FTES Calculations'!E13</f>
        <v>11453</v>
      </c>
      <c r="C12" s="169">
        <f>'FTES Calculations'!E24</f>
        <v>10974</v>
      </c>
      <c r="D12" s="169">
        <f>'FTES Calculations'!E46</f>
        <v>0</v>
      </c>
      <c r="E12" s="39">
        <f t="shared" si="0"/>
        <v>10974</v>
      </c>
      <c r="F12" s="169">
        <f t="shared" si="1"/>
        <v>479</v>
      </c>
      <c r="G12" s="250">
        <f>'FTES Calculations'!C13</f>
        <v>2.7300000000000001E-2</v>
      </c>
      <c r="I12" s="94" t="str">
        <f t="shared" si="4"/>
        <v>22-23</v>
      </c>
      <c r="J12" s="169">
        <v>11936</v>
      </c>
      <c r="K12" s="169">
        <v>11706</v>
      </c>
      <c r="L12" s="169">
        <v>225</v>
      </c>
      <c r="M12" s="39">
        <f t="shared" si="2"/>
        <v>11931</v>
      </c>
      <c r="N12" s="169">
        <f t="shared" si="3"/>
        <v>5</v>
      </c>
      <c r="O12" s="250">
        <v>0.04</v>
      </c>
    </row>
    <row r="13" spans="1:17" x14ac:dyDescent="0.25">
      <c r="A13" s="94" t="str">
        <f>'FTES Calculations'!A14</f>
        <v>23-24</v>
      </c>
      <c r="B13" s="169">
        <f>'FTES Calculations'!E14</f>
        <v>11766</v>
      </c>
      <c r="C13" s="169">
        <f>'FTES Calculations'!E25</f>
        <v>11193</v>
      </c>
      <c r="D13" s="169">
        <f>'FTES Calculations'!E47</f>
        <v>0</v>
      </c>
      <c r="E13" s="39">
        <f t="shared" si="0"/>
        <v>11193</v>
      </c>
      <c r="F13" s="169">
        <f t="shared" si="1"/>
        <v>573</v>
      </c>
      <c r="G13" s="250">
        <f>'FTES Calculations'!C14</f>
        <v>2.7300000000000001E-2</v>
      </c>
      <c r="I13" s="94" t="str">
        <f t="shared" si="4"/>
        <v>23-24</v>
      </c>
      <c r="J13" s="169">
        <v>12413</v>
      </c>
      <c r="K13" s="169">
        <v>12170</v>
      </c>
      <c r="L13" s="169">
        <v>234</v>
      </c>
      <c r="M13" s="39">
        <f t="shared" si="2"/>
        <v>12404</v>
      </c>
      <c r="N13" s="169">
        <f t="shared" si="3"/>
        <v>9</v>
      </c>
      <c r="O13" s="250">
        <v>0.04</v>
      </c>
      <c r="P13" s="39">
        <f>M13-E13</f>
        <v>1211</v>
      </c>
      <c r="Q13" s="250">
        <f>P13/M13</f>
        <v>9.7629796839729124E-2</v>
      </c>
    </row>
    <row r="14" spans="1:17" x14ac:dyDescent="0.25">
      <c r="Q14" s="250"/>
    </row>
    <row r="15" spans="1:17" x14ac:dyDescent="0.25">
      <c r="A15" s="527" t="s">
        <v>212</v>
      </c>
      <c r="B15" s="527"/>
      <c r="C15" s="527"/>
      <c r="D15" s="527"/>
      <c r="E15" s="527"/>
      <c r="F15" s="527"/>
      <c r="G15" s="527"/>
      <c r="I15" s="527" t="s">
        <v>215</v>
      </c>
      <c r="J15" s="527"/>
      <c r="K15" s="527"/>
      <c r="L15" s="527"/>
      <c r="M15" s="527"/>
      <c r="N15" s="527"/>
      <c r="O15" s="527"/>
      <c r="Q15" s="250"/>
    </row>
    <row r="16" spans="1:17" ht="45" x14ac:dyDescent="0.25">
      <c r="A16" s="246" t="s">
        <v>96</v>
      </c>
      <c r="B16" s="181" t="s">
        <v>221</v>
      </c>
      <c r="C16" s="246" t="s">
        <v>102</v>
      </c>
      <c r="D16" s="246" t="s">
        <v>171</v>
      </c>
      <c r="E16" s="181" t="s">
        <v>222</v>
      </c>
      <c r="F16" s="246" t="s">
        <v>103</v>
      </c>
      <c r="G16" s="181" t="s">
        <v>227</v>
      </c>
      <c r="I16" s="246" t="s">
        <v>96</v>
      </c>
      <c r="J16" s="181" t="s">
        <v>223</v>
      </c>
      <c r="K16" s="246" t="s">
        <v>102</v>
      </c>
      <c r="L16" s="246" t="s">
        <v>171</v>
      </c>
      <c r="M16" s="181" t="s">
        <v>224</v>
      </c>
      <c r="N16" s="246" t="s">
        <v>103</v>
      </c>
      <c r="O16" s="181" t="s">
        <v>228</v>
      </c>
      <c r="Q16" s="250"/>
    </row>
    <row r="17" spans="1:17" x14ac:dyDescent="0.25">
      <c r="A17" s="94" t="str">
        <f>A6</f>
        <v>16-17</v>
      </c>
      <c r="B17" s="169">
        <f>'FTES Calculations'!F7</f>
        <v>4241</v>
      </c>
      <c r="C17" s="169">
        <f>'FTES Calculations'!F18</f>
        <v>4848</v>
      </c>
      <c r="D17" s="169">
        <f>'FTES Calculations'!F40</f>
        <v>0</v>
      </c>
      <c r="E17" s="39">
        <f t="shared" ref="E17:E24" si="5">SUM(C17:D17)</f>
        <v>4848</v>
      </c>
      <c r="F17" s="169">
        <f t="shared" ref="F17:F24" si="6">B17-E17</f>
        <v>-607</v>
      </c>
      <c r="G17" s="169"/>
      <c r="I17" s="94" t="str">
        <f>I6</f>
        <v>16-17</v>
      </c>
      <c r="J17" s="169">
        <v>4499</v>
      </c>
      <c r="K17" s="169">
        <v>4072</v>
      </c>
      <c r="L17" s="169">
        <v>0</v>
      </c>
      <c r="M17" s="39">
        <f t="shared" ref="M17:M24" si="7">SUM(K17:L17)</f>
        <v>4072</v>
      </c>
      <c r="N17" s="169">
        <f t="shared" ref="N17:N24" si="8">J17-M17</f>
        <v>427</v>
      </c>
      <c r="Q17" s="250"/>
    </row>
    <row r="18" spans="1:17" x14ac:dyDescent="0.25">
      <c r="A18" s="94" t="str">
        <f t="shared" ref="A18:A24" si="9">A7</f>
        <v>17-18</v>
      </c>
      <c r="B18" s="169">
        <f>'FTES Calculations'!F8</f>
        <v>4591</v>
      </c>
      <c r="C18" s="169">
        <f>'FTES Calculations'!F19</f>
        <v>4848</v>
      </c>
      <c r="D18" s="169">
        <f>'FTES Calculations'!F41</f>
        <v>0</v>
      </c>
      <c r="E18" s="39">
        <f t="shared" si="5"/>
        <v>4848</v>
      </c>
      <c r="F18" s="169">
        <f t="shared" si="6"/>
        <v>-257</v>
      </c>
      <c r="G18" s="250">
        <f>'FTES Calculations'!D8</f>
        <v>8.2527705729780715E-2</v>
      </c>
      <c r="I18" s="94" t="str">
        <f t="shared" ref="I18:I24" si="10">I7</f>
        <v>17-18</v>
      </c>
      <c r="J18" s="169">
        <v>4589</v>
      </c>
      <c r="K18" s="169">
        <v>3745</v>
      </c>
      <c r="L18" s="169">
        <v>437</v>
      </c>
      <c r="M18" s="39">
        <f t="shared" si="7"/>
        <v>4182</v>
      </c>
      <c r="N18" s="169">
        <f t="shared" si="8"/>
        <v>407</v>
      </c>
      <c r="O18" s="250">
        <v>0.02</v>
      </c>
      <c r="Q18" s="250"/>
    </row>
    <row r="19" spans="1:17" x14ac:dyDescent="0.25">
      <c r="A19" s="94" t="str">
        <f t="shared" si="9"/>
        <v>18-19</v>
      </c>
      <c r="B19" s="169">
        <f>'FTES Calculations'!F9</f>
        <v>4340</v>
      </c>
      <c r="C19" s="169">
        <f>'FTES Calculations'!F20</f>
        <v>4340</v>
      </c>
      <c r="D19" s="169">
        <f>'FTES Calculations'!F42</f>
        <v>0</v>
      </c>
      <c r="E19" s="39">
        <f t="shared" si="5"/>
        <v>4340</v>
      </c>
      <c r="F19" s="169">
        <f t="shared" si="6"/>
        <v>0</v>
      </c>
      <c r="G19" s="250">
        <f>'FTES Calculations'!D9</f>
        <v>-5.4600000000000003E-2</v>
      </c>
      <c r="I19" s="94" t="str">
        <f t="shared" si="10"/>
        <v>18-19</v>
      </c>
      <c r="J19" s="169">
        <v>4727</v>
      </c>
      <c r="K19" s="169">
        <v>4307</v>
      </c>
      <c r="L19" s="169">
        <v>277</v>
      </c>
      <c r="M19" s="39">
        <f t="shared" si="7"/>
        <v>4584</v>
      </c>
      <c r="N19" s="169">
        <f t="shared" si="8"/>
        <v>143</v>
      </c>
      <c r="O19" s="250">
        <v>0.03</v>
      </c>
      <c r="Q19" s="250"/>
    </row>
    <row r="20" spans="1:17" x14ac:dyDescent="0.25">
      <c r="A20" s="94" t="str">
        <f t="shared" si="9"/>
        <v>19-20</v>
      </c>
      <c r="B20" s="169">
        <f>'FTES Calculations'!F10</f>
        <v>4459</v>
      </c>
      <c r="C20" s="169">
        <f>'FTES Calculations'!F21</f>
        <v>4458</v>
      </c>
      <c r="D20" s="169">
        <f>'FTES Calculations'!F43</f>
        <v>0</v>
      </c>
      <c r="E20" s="39">
        <f t="shared" si="5"/>
        <v>4458</v>
      </c>
      <c r="F20" s="169">
        <f t="shared" si="6"/>
        <v>1</v>
      </c>
      <c r="G20" s="250">
        <f>'FTES Calculations'!D10</f>
        <v>2.75E-2</v>
      </c>
      <c r="I20" s="94" t="str">
        <f t="shared" si="10"/>
        <v>19-20</v>
      </c>
      <c r="J20" s="169">
        <v>4987</v>
      </c>
      <c r="K20" s="169">
        <v>4676</v>
      </c>
      <c r="L20" s="169">
        <v>190</v>
      </c>
      <c r="M20" s="39">
        <f t="shared" si="7"/>
        <v>4866</v>
      </c>
      <c r="N20" s="169">
        <f t="shared" si="8"/>
        <v>121</v>
      </c>
      <c r="O20" s="250">
        <v>5.5E-2</v>
      </c>
      <c r="Q20" s="250"/>
    </row>
    <row r="21" spans="1:17" x14ac:dyDescent="0.25">
      <c r="A21" s="94" t="str">
        <f t="shared" si="9"/>
        <v>20-21</v>
      </c>
      <c r="B21" s="169">
        <f>'FTES Calculations'!F11</f>
        <v>4582</v>
      </c>
      <c r="C21" s="169">
        <f>'FTES Calculations'!F22</f>
        <v>4514</v>
      </c>
      <c r="D21" s="169">
        <f>'FTES Calculations'!F44</f>
        <v>0</v>
      </c>
      <c r="E21" s="39">
        <f t="shared" si="5"/>
        <v>4514</v>
      </c>
      <c r="F21" s="169">
        <f t="shared" si="6"/>
        <v>68</v>
      </c>
      <c r="G21" s="250">
        <f>'FTES Calculations'!D11</f>
        <v>2.75E-2</v>
      </c>
      <c r="I21" s="94" t="str">
        <f t="shared" si="10"/>
        <v>20-21</v>
      </c>
      <c r="J21" s="169">
        <v>5186</v>
      </c>
      <c r="K21" s="169">
        <v>4964</v>
      </c>
      <c r="L21" s="169">
        <v>199</v>
      </c>
      <c r="M21" s="39">
        <f t="shared" si="7"/>
        <v>5163</v>
      </c>
      <c r="N21" s="169">
        <f t="shared" si="8"/>
        <v>23</v>
      </c>
      <c r="O21" s="250">
        <v>0.04</v>
      </c>
      <c r="Q21" s="250"/>
    </row>
    <row r="22" spans="1:17" x14ac:dyDescent="0.25">
      <c r="A22" s="94" t="str">
        <f t="shared" si="9"/>
        <v>21-22</v>
      </c>
      <c r="B22" s="169">
        <f>'FTES Calculations'!F12</f>
        <v>4708</v>
      </c>
      <c r="C22" s="169">
        <f>'FTES Calculations'!F23</f>
        <v>4637</v>
      </c>
      <c r="D22" s="169">
        <f>'FTES Calculations'!F45</f>
        <v>0</v>
      </c>
      <c r="E22" s="39">
        <f t="shared" si="5"/>
        <v>4637</v>
      </c>
      <c r="F22" s="169">
        <f t="shared" si="6"/>
        <v>71</v>
      </c>
      <c r="G22" s="250">
        <f>'FTES Calculations'!D12</f>
        <v>2.75E-2</v>
      </c>
      <c r="I22" s="94" t="str">
        <f t="shared" si="10"/>
        <v>21-22</v>
      </c>
      <c r="J22" s="169">
        <v>5393</v>
      </c>
      <c r="K22" s="169">
        <v>5266</v>
      </c>
      <c r="L22" s="169">
        <v>99</v>
      </c>
      <c r="M22" s="39">
        <f t="shared" si="7"/>
        <v>5365</v>
      </c>
      <c r="N22" s="169">
        <f t="shared" si="8"/>
        <v>28</v>
      </c>
      <c r="O22" s="250">
        <v>0.04</v>
      </c>
      <c r="Q22" s="250"/>
    </row>
    <row r="23" spans="1:17" x14ac:dyDescent="0.25">
      <c r="A23" s="94" t="str">
        <f t="shared" si="9"/>
        <v>22-23</v>
      </c>
      <c r="B23" s="169">
        <f>'FTES Calculations'!F13</f>
        <v>4837</v>
      </c>
      <c r="C23" s="169">
        <f>'FTES Calculations'!F24</f>
        <v>4764</v>
      </c>
      <c r="D23" s="169">
        <f>'FTES Calculations'!F46</f>
        <v>0</v>
      </c>
      <c r="E23" s="39">
        <f t="shared" si="5"/>
        <v>4764</v>
      </c>
      <c r="F23" s="169">
        <f t="shared" si="6"/>
        <v>73</v>
      </c>
      <c r="G23" s="250">
        <f>'FTES Calculations'!D13</f>
        <v>2.75E-2</v>
      </c>
      <c r="I23" s="94" t="str">
        <f t="shared" si="10"/>
        <v>22-23</v>
      </c>
      <c r="J23" s="169">
        <v>5609</v>
      </c>
      <c r="K23" s="169">
        <v>5472</v>
      </c>
      <c r="L23" s="169">
        <v>105</v>
      </c>
      <c r="M23" s="39">
        <f t="shared" si="7"/>
        <v>5577</v>
      </c>
      <c r="N23" s="169">
        <f t="shared" si="8"/>
        <v>32</v>
      </c>
      <c r="O23" s="250">
        <v>0.04</v>
      </c>
      <c r="Q23" s="250"/>
    </row>
    <row r="24" spans="1:17" x14ac:dyDescent="0.25">
      <c r="A24" s="94" t="str">
        <f t="shared" si="9"/>
        <v>23-24</v>
      </c>
      <c r="B24" s="169">
        <f>'FTES Calculations'!F14</f>
        <v>4970</v>
      </c>
      <c r="C24" s="169">
        <f>'FTES Calculations'!F25</f>
        <v>4894</v>
      </c>
      <c r="D24" s="169">
        <f>'FTES Calculations'!F47</f>
        <v>0</v>
      </c>
      <c r="E24" s="39">
        <f t="shared" si="5"/>
        <v>4894</v>
      </c>
      <c r="F24" s="169">
        <f t="shared" si="6"/>
        <v>76</v>
      </c>
      <c r="G24" s="250">
        <f>'FTES Calculations'!D14</f>
        <v>2.75E-2</v>
      </c>
      <c r="I24" s="94" t="str">
        <f t="shared" si="10"/>
        <v>23-24</v>
      </c>
      <c r="J24" s="169">
        <v>5833</v>
      </c>
      <c r="K24" s="169">
        <v>5688</v>
      </c>
      <c r="L24" s="169">
        <v>110</v>
      </c>
      <c r="M24" s="39">
        <f t="shared" si="7"/>
        <v>5798</v>
      </c>
      <c r="N24" s="169">
        <f t="shared" si="8"/>
        <v>35</v>
      </c>
      <c r="O24" s="250">
        <v>0.04</v>
      </c>
      <c r="P24" s="39">
        <f>M24-E24</f>
        <v>904</v>
      </c>
      <c r="Q24" s="250">
        <f>P24/M24</f>
        <v>0.15591583304587789</v>
      </c>
    </row>
    <row r="25" spans="1:17" x14ac:dyDescent="0.25">
      <c r="Q25" s="250"/>
    </row>
    <row r="26" spans="1:17" ht="15" customHeight="1" x14ac:dyDescent="0.25">
      <c r="A26" s="525" t="s">
        <v>213</v>
      </c>
      <c r="B26" s="525"/>
      <c r="C26" s="525"/>
      <c r="D26" s="525"/>
      <c r="E26" s="525"/>
      <c r="F26" s="525"/>
      <c r="G26" s="247"/>
      <c r="I26" s="525" t="s">
        <v>216</v>
      </c>
      <c r="J26" s="525"/>
      <c r="K26" s="525"/>
      <c r="L26" s="525"/>
      <c r="M26" s="525"/>
      <c r="N26" s="525"/>
      <c r="Q26" s="250"/>
    </row>
    <row r="27" spans="1:17" x14ac:dyDescent="0.25">
      <c r="A27" s="247" t="s">
        <v>96</v>
      </c>
      <c r="B27" s="247" t="s">
        <v>101</v>
      </c>
      <c r="C27" s="247" t="s">
        <v>102</v>
      </c>
      <c r="D27" s="247" t="s">
        <v>171</v>
      </c>
      <c r="E27" s="247" t="s">
        <v>111</v>
      </c>
      <c r="F27" s="247" t="s">
        <v>103</v>
      </c>
      <c r="G27" s="247"/>
      <c r="I27" s="247" t="s">
        <v>96</v>
      </c>
      <c r="J27" s="247" t="s">
        <v>101</v>
      </c>
      <c r="K27" s="247" t="s">
        <v>102</v>
      </c>
      <c r="L27" s="247" t="s">
        <v>171</v>
      </c>
      <c r="M27" s="247" t="s">
        <v>111</v>
      </c>
      <c r="N27" s="247" t="s">
        <v>103</v>
      </c>
      <c r="Q27" s="250"/>
    </row>
    <row r="28" spans="1:17" x14ac:dyDescent="0.25">
      <c r="A28" s="94" t="str">
        <f>A17</f>
        <v>16-17</v>
      </c>
      <c r="B28" s="169">
        <f t="shared" ref="B28:C35" si="11">B6+B17</f>
        <v>14511</v>
      </c>
      <c r="C28" s="169">
        <f t="shared" si="11"/>
        <v>15352</v>
      </c>
      <c r="D28" s="169">
        <f t="shared" ref="D28:D35" si="12">D6+D17</f>
        <v>0</v>
      </c>
      <c r="E28" s="39">
        <f t="shared" ref="E28:E35" si="13">SUM(C28:D28)</f>
        <v>15352</v>
      </c>
      <c r="F28" s="169">
        <f t="shared" ref="F28:F35" si="14">B28-E28</f>
        <v>-841</v>
      </c>
      <c r="G28" s="169"/>
      <c r="I28" s="94" t="str">
        <f>I17</f>
        <v>16-17</v>
      </c>
      <c r="J28" s="169">
        <f t="shared" ref="J28:L35" si="15">J6+J17</f>
        <v>14401</v>
      </c>
      <c r="K28" s="169">
        <f t="shared" si="15"/>
        <v>13574</v>
      </c>
      <c r="L28" s="169">
        <f t="shared" si="15"/>
        <v>0</v>
      </c>
      <c r="M28" s="39">
        <f t="shared" ref="M28:M35" si="16">SUM(K28:L28)</f>
        <v>13574</v>
      </c>
      <c r="N28" s="169">
        <f t="shared" ref="N28:N35" si="17">J28-M28</f>
        <v>827</v>
      </c>
      <c r="Q28" s="250"/>
    </row>
    <row r="29" spans="1:17" x14ac:dyDescent="0.25">
      <c r="A29" s="94" t="str">
        <f t="shared" ref="A29:A35" si="18">A18</f>
        <v>17-18</v>
      </c>
      <c r="B29" s="169">
        <f t="shared" si="11"/>
        <v>15276</v>
      </c>
      <c r="C29" s="169">
        <f t="shared" si="11"/>
        <v>15352</v>
      </c>
      <c r="D29" s="169">
        <f t="shared" si="12"/>
        <v>0</v>
      </c>
      <c r="E29" s="39">
        <f t="shared" si="13"/>
        <v>15352</v>
      </c>
      <c r="F29" s="169">
        <f t="shared" si="14"/>
        <v>-76</v>
      </c>
      <c r="G29" s="169"/>
      <c r="I29" s="94" t="str">
        <f t="shared" ref="I29:I35" si="19">I18</f>
        <v>17-18</v>
      </c>
      <c r="J29" s="169">
        <f t="shared" ref="J29:K29" si="20">J7+J18</f>
        <v>14689</v>
      </c>
      <c r="K29" s="169">
        <f t="shared" si="20"/>
        <v>13845</v>
      </c>
      <c r="L29" s="169">
        <f t="shared" si="15"/>
        <v>437</v>
      </c>
      <c r="M29" s="39">
        <f t="shared" si="16"/>
        <v>14282</v>
      </c>
      <c r="N29" s="169">
        <f t="shared" si="17"/>
        <v>407</v>
      </c>
      <c r="Q29" s="250"/>
    </row>
    <row r="30" spans="1:17" x14ac:dyDescent="0.25">
      <c r="A30" s="94" t="str">
        <f t="shared" si="18"/>
        <v>18-19</v>
      </c>
      <c r="B30" s="169">
        <f t="shared" si="11"/>
        <v>14624</v>
      </c>
      <c r="C30" s="169">
        <f t="shared" si="11"/>
        <v>14624</v>
      </c>
      <c r="D30" s="169">
        <f t="shared" si="12"/>
        <v>0</v>
      </c>
      <c r="E30" s="39">
        <f t="shared" si="13"/>
        <v>14624</v>
      </c>
      <c r="F30" s="169">
        <f t="shared" si="14"/>
        <v>0</v>
      </c>
      <c r="G30" s="169"/>
      <c r="I30" s="94" t="str">
        <f t="shared" si="19"/>
        <v>18-19</v>
      </c>
      <c r="J30" s="169">
        <f t="shared" ref="J30:K30" si="21">J8+J19</f>
        <v>15130</v>
      </c>
      <c r="K30" s="169">
        <f t="shared" si="21"/>
        <v>14710</v>
      </c>
      <c r="L30" s="169">
        <f t="shared" si="15"/>
        <v>277</v>
      </c>
      <c r="M30" s="39">
        <f t="shared" si="16"/>
        <v>14987</v>
      </c>
      <c r="N30" s="169">
        <f t="shared" si="17"/>
        <v>143</v>
      </c>
      <c r="Q30" s="250"/>
    </row>
    <row r="31" spans="1:17" x14ac:dyDescent="0.25">
      <c r="A31" s="94" t="str">
        <f t="shared" si="18"/>
        <v>19-20</v>
      </c>
      <c r="B31" s="169">
        <f t="shared" si="11"/>
        <v>15024</v>
      </c>
      <c r="C31" s="169">
        <f t="shared" si="11"/>
        <v>14799</v>
      </c>
      <c r="D31" s="169">
        <f t="shared" si="12"/>
        <v>0</v>
      </c>
      <c r="E31" s="39">
        <f t="shared" si="13"/>
        <v>14799</v>
      </c>
      <c r="F31" s="169">
        <f t="shared" si="14"/>
        <v>225</v>
      </c>
      <c r="G31" s="169"/>
      <c r="I31" s="94" t="str">
        <f t="shared" si="19"/>
        <v>19-20</v>
      </c>
      <c r="J31" s="169">
        <f t="shared" ref="J31:K31" si="22">J9+J20</f>
        <v>15702</v>
      </c>
      <c r="K31" s="169">
        <f t="shared" si="22"/>
        <v>15287</v>
      </c>
      <c r="L31" s="169">
        <f t="shared" si="15"/>
        <v>294</v>
      </c>
      <c r="M31" s="39">
        <f t="shared" si="16"/>
        <v>15581</v>
      </c>
      <c r="N31" s="169">
        <f t="shared" si="17"/>
        <v>121</v>
      </c>
      <c r="Q31" s="250"/>
    </row>
    <row r="32" spans="1:17" x14ac:dyDescent="0.25">
      <c r="A32" s="94" t="str">
        <f t="shared" si="18"/>
        <v>20-21</v>
      </c>
      <c r="B32" s="169">
        <f t="shared" si="11"/>
        <v>15435</v>
      </c>
      <c r="C32" s="169">
        <f t="shared" si="11"/>
        <v>15062</v>
      </c>
      <c r="D32" s="169">
        <f t="shared" si="12"/>
        <v>0</v>
      </c>
      <c r="E32" s="39">
        <f t="shared" si="13"/>
        <v>15062</v>
      </c>
      <c r="F32" s="169">
        <f t="shared" si="14"/>
        <v>373</v>
      </c>
      <c r="G32" s="169"/>
      <c r="I32" s="94" t="str">
        <f t="shared" si="19"/>
        <v>20-21</v>
      </c>
      <c r="J32" s="169">
        <f t="shared" ref="J32:K32" si="23">J10+J21</f>
        <v>16222</v>
      </c>
      <c r="K32" s="169">
        <f t="shared" si="23"/>
        <v>15893</v>
      </c>
      <c r="L32" s="169">
        <f t="shared" si="15"/>
        <v>306</v>
      </c>
      <c r="M32" s="39">
        <f t="shared" si="16"/>
        <v>16199</v>
      </c>
      <c r="N32" s="169">
        <f t="shared" si="17"/>
        <v>23</v>
      </c>
      <c r="Q32" s="250"/>
    </row>
    <row r="33" spans="1:17" x14ac:dyDescent="0.25">
      <c r="A33" s="94" t="str">
        <f t="shared" si="18"/>
        <v>21-22</v>
      </c>
      <c r="B33" s="169">
        <f t="shared" si="11"/>
        <v>15857</v>
      </c>
      <c r="C33" s="169">
        <f t="shared" si="11"/>
        <v>15396</v>
      </c>
      <c r="D33" s="169">
        <f t="shared" si="12"/>
        <v>0</v>
      </c>
      <c r="E33" s="39">
        <f t="shared" si="13"/>
        <v>15396</v>
      </c>
      <c r="F33" s="169">
        <f t="shared" si="14"/>
        <v>461</v>
      </c>
      <c r="G33" s="169"/>
      <c r="I33" s="94" t="str">
        <f t="shared" si="19"/>
        <v>21-22</v>
      </c>
      <c r="J33" s="169">
        <f t="shared" ref="J33:K33" si="24">J11+J22</f>
        <v>16870</v>
      </c>
      <c r="K33" s="169">
        <f t="shared" si="24"/>
        <v>16523</v>
      </c>
      <c r="L33" s="169">
        <f t="shared" si="15"/>
        <v>318</v>
      </c>
      <c r="M33" s="39">
        <f t="shared" si="16"/>
        <v>16841</v>
      </c>
      <c r="N33" s="169">
        <f t="shared" si="17"/>
        <v>29</v>
      </c>
      <c r="Q33" s="250"/>
    </row>
    <row r="34" spans="1:17" x14ac:dyDescent="0.25">
      <c r="A34" s="94" t="str">
        <f t="shared" si="18"/>
        <v>22-23</v>
      </c>
      <c r="B34" s="169">
        <f t="shared" si="11"/>
        <v>16290</v>
      </c>
      <c r="C34" s="169">
        <f t="shared" si="11"/>
        <v>15738</v>
      </c>
      <c r="D34" s="169">
        <f t="shared" si="12"/>
        <v>0</v>
      </c>
      <c r="E34" s="39">
        <f t="shared" si="13"/>
        <v>15738</v>
      </c>
      <c r="F34" s="169">
        <f t="shared" si="14"/>
        <v>552</v>
      </c>
      <c r="G34" s="169"/>
      <c r="I34" s="94" t="str">
        <f t="shared" si="19"/>
        <v>22-23</v>
      </c>
      <c r="J34" s="169">
        <f t="shared" ref="J34:K34" si="25">J12+J23</f>
        <v>17545</v>
      </c>
      <c r="K34" s="169">
        <f t="shared" si="25"/>
        <v>17178</v>
      </c>
      <c r="L34" s="169">
        <f t="shared" si="15"/>
        <v>330</v>
      </c>
      <c r="M34" s="39">
        <f t="shared" si="16"/>
        <v>17508</v>
      </c>
      <c r="N34" s="169">
        <f t="shared" si="17"/>
        <v>37</v>
      </c>
      <c r="Q34" s="250"/>
    </row>
    <row r="35" spans="1:17" x14ac:dyDescent="0.25">
      <c r="A35" s="94" t="str">
        <f t="shared" si="18"/>
        <v>23-24</v>
      </c>
      <c r="B35" s="169">
        <f t="shared" si="11"/>
        <v>16736</v>
      </c>
      <c r="C35" s="169">
        <f t="shared" si="11"/>
        <v>16087</v>
      </c>
      <c r="D35" s="169">
        <f t="shared" si="12"/>
        <v>0</v>
      </c>
      <c r="E35" s="39">
        <f t="shared" si="13"/>
        <v>16087</v>
      </c>
      <c r="F35" s="169">
        <f t="shared" si="14"/>
        <v>649</v>
      </c>
      <c r="G35" s="169"/>
      <c r="I35" s="94" t="str">
        <f t="shared" si="19"/>
        <v>23-24</v>
      </c>
      <c r="J35" s="169">
        <f t="shared" ref="J35:K35" si="26">J13+J24</f>
        <v>18246</v>
      </c>
      <c r="K35" s="169">
        <f t="shared" si="26"/>
        <v>17858</v>
      </c>
      <c r="L35" s="169">
        <f t="shared" si="15"/>
        <v>344</v>
      </c>
      <c r="M35" s="39">
        <f t="shared" si="16"/>
        <v>18202</v>
      </c>
      <c r="N35" s="169">
        <f t="shared" si="17"/>
        <v>44</v>
      </c>
      <c r="P35" s="39">
        <f>M35-E35</f>
        <v>2115</v>
      </c>
      <c r="Q35" s="250">
        <f>P35/M35</f>
        <v>0.11619602241511921</v>
      </c>
    </row>
    <row r="36" spans="1:17" x14ac:dyDescent="0.25">
      <c r="A36" s="94"/>
      <c r="B36" s="169"/>
      <c r="C36" s="169"/>
      <c r="D36" s="39"/>
      <c r="E36" s="169"/>
    </row>
    <row r="60" spans="11:11" x14ac:dyDescent="0.25">
      <c r="K60" s="169"/>
    </row>
  </sheetData>
  <mergeCells count="6">
    <mergeCell ref="A26:F26"/>
    <mergeCell ref="I26:N26"/>
    <mergeCell ref="I4:O4"/>
    <mergeCell ref="A4:G4"/>
    <mergeCell ref="I15:O15"/>
    <mergeCell ref="A15:G15"/>
  </mergeCells>
  <printOptions horizontalCentered="1"/>
  <pageMargins left="0.25" right="0.25" top="0.5" bottom="0.5" header="0.3" footer="0.3"/>
  <pageSetup fitToHeight="0" orientation="portrait" r:id="rId1"/>
  <headerFooter>
    <oddFooter>&amp;CPage &amp;P of &amp;N&amp;RJuly 13, 2015</oddFooter>
  </headerFooter>
  <rowBreaks count="2" manualBreakCount="2">
    <brk id="36" max="7" man="1"/>
    <brk id="94" max="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sheetPr>
  <dimension ref="A1:Q75"/>
  <sheetViews>
    <sheetView topLeftCell="A4" zoomScaleNormal="100" workbookViewId="0">
      <selection activeCell="E53" sqref="E53"/>
    </sheetView>
  </sheetViews>
  <sheetFormatPr defaultRowHeight="15" x14ac:dyDescent="0.25"/>
  <cols>
    <col min="1" max="1" width="11.42578125" customWidth="1"/>
    <col min="2" max="2" width="15.140625" customWidth="1"/>
    <col min="3" max="3" width="15.28515625" bestFit="1" customWidth="1"/>
    <col min="4" max="4" width="16.28515625" bestFit="1" customWidth="1"/>
    <col min="5" max="5" width="12.7109375" customWidth="1"/>
    <col min="6" max="6" width="11.28515625" bestFit="1" customWidth="1"/>
    <col min="7" max="7" width="12.5703125" bestFit="1" customWidth="1"/>
    <col min="9" max="9" width="13.28515625" customWidth="1"/>
  </cols>
  <sheetData>
    <row r="1" spans="1:17" ht="18.75" x14ac:dyDescent="0.3">
      <c r="A1" s="80" t="s">
        <v>19</v>
      </c>
      <c r="B1" s="48"/>
      <c r="C1" s="48"/>
      <c r="D1" s="48"/>
      <c r="E1" s="48"/>
      <c r="F1" s="48"/>
      <c r="G1" s="48"/>
      <c r="H1" s="48"/>
    </row>
    <row r="2" spans="1:17" ht="18.75" x14ac:dyDescent="0.3">
      <c r="A2" s="80" t="s">
        <v>95</v>
      </c>
      <c r="B2" s="48"/>
      <c r="C2" s="48"/>
      <c r="D2" s="48"/>
      <c r="E2" s="48"/>
      <c r="F2" s="48"/>
      <c r="G2" s="48"/>
      <c r="H2" s="48"/>
    </row>
    <row r="3" spans="1:17" x14ac:dyDescent="0.25">
      <c r="A3" s="48"/>
      <c r="B3" s="48"/>
      <c r="C3" s="48"/>
      <c r="D3" s="48"/>
      <c r="E3" s="48"/>
      <c r="F3" s="48"/>
      <c r="G3" s="48"/>
      <c r="H3" s="48"/>
    </row>
    <row r="4" spans="1:17" x14ac:dyDescent="0.25">
      <c r="A4" s="48"/>
      <c r="B4" s="48"/>
      <c r="C4" s="48"/>
      <c r="D4" s="48"/>
      <c r="E4" s="48"/>
      <c r="F4" s="48"/>
      <c r="G4" s="48"/>
      <c r="H4" s="48"/>
    </row>
    <row r="5" spans="1:17" x14ac:dyDescent="0.25">
      <c r="A5" s="530" t="s">
        <v>96</v>
      </c>
      <c r="B5" s="530" t="s">
        <v>97</v>
      </c>
      <c r="C5" s="530" t="s">
        <v>98</v>
      </c>
      <c r="D5" s="530" t="s">
        <v>99</v>
      </c>
      <c r="E5" s="531" t="s">
        <v>100</v>
      </c>
      <c r="F5" s="531"/>
      <c r="G5" s="531"/>
      <c r="H5" s="48"/>
      <c r="I5" s="248" t="s">
        <v>229</v>
      </c>
      <c r="K5" s="531" t="s">
        <v>100</v>
      </c>
      <c r="L5" s="531"/>
      <c r="M5" s="531"/>
      <c r="O5" s="531" t="s">
        <v>37</v>
      </c>
      <c r="P5" s="531"/>
      <c r="Q5" s="531"/>
    </row>
    <row r="6" spans="1:17" x14ac:dyDescent="0.25">
      <c r="A6" s="530"/>
      <c r="B6" s="530"/>
      <c r="C6" s="530"/>
      <c r="D6" s="530"/>
      <c r="E6" s="166" t="s">
        <v>18</v>
      </c>
      <c r="F6" s="166" t="s">
        <v>17</v>
      </c>
      <c r="G6" s="166" t="s">
        <v>38</v>
      </c>
      <c r="H6" s="48"/>
      <c r="I6" s="249" t="s">
        <v>38</v>
      </c>
      <c r="K6" s="271" t="s">
        <v>18</v>
      </c>
      <c r="L6" s="271" t="s">
        <v>17</v>
      </c>
      <c r="M6" s="271" t="s">
        <v>38</v>
      </c>
      <c r="O6" s="271" t="s">
        <v>18</v>
      </c>
      <c r="P6" s="271" t="s">
        <v>17</v>
      </c>
      <c r="Q6" s="271" t="s">
        <v>38</v>
      </c>
    </row>
    <row r="7" spans="1:17" x14ac:dyDescent="0.25">
      <c r="A7" s="94" t="s">
        <v>105</v>
      </c>
      <c r="B7" s="529" t="s">
        <v>104</v>
      </c>
      <c r="C7" s="529"/>
      <c r="D7" s="529"/>
      <c r="E7" s="168">
        <f>K7</f>
        <v>10270</v>
      </c>
      <c r="F7" s="168">
        <f>L7</f>
        <v>4241</v>
      </c>
      <c r="G7" s="168">
        <f t="shared" ref="G7:G14" si="0">SUM(E7:F7)</f>
        <v>14511</v>
      </c>
      <c r="H7" s="48"/>
      <c r="I7" s="168"/>
      <c r="K7" s="168">
        <v>10270</v>
      </c>
      <c r="L7" s="168">
        <v>4241</v>
      </c>
      <c r="M7" s="168">
        <f t="shared" ref="M7:M14" si="1">SUM(K7:L7)</f>
        <v>14511</v>
      </c>
      <c r="O7" s="168"/>
      <c r="P7" s="168"/>
      <c r="Q7" s="168"/>
    </row>
    <row r="8" spans="1:17" x14ac:dyDescent="0.25">
      <c r="A8" s="94" t="s">
        <v>106</v>
      </c>
      <c r="B8" s="171">
        <v>0</v>
      </c>
      <c r="C8" s="171">
        <f t="shared" ref="C8:D8" si="2">O8</f>
        <v>4.0408958130477117E-2</v>
      </c>
      <c r="D8" s="171">
        <f t="shared" si="2"/>
        <v>8.2527705729780715E-2</v>
      </c>
      <c r="E8" s="169">
        <f t="shared" ref="E8:F14" si="3">ROUND(E7*(1+C8),0)</f>
        <v>10685</v>
      </c>
      <c r="F8" s="169">
        <f t="shared" si="3"/>
        <v>4591</v>
      </c>
      <c r="G8" s="169">
        <f t="shared" si="0"/>
        <v>15276</v>
      </c>
      <c r="H8" s="48"/>
      <c r="I8" s="171">
        <f t="shared" ref="I8:I14" si="4">(G8-G7)/G7</f>
        <v>5.2718627248294396E-2</v>
      </c>
      <c r="K8" s="103">
        <v>10685</v>
      </c>
      <c r="L8" s="103">
        <v>4591</v>
      </c>
      <c r="M8" s="169">
        <f t="shared" si="1"/>
        <v>15276</v>
      </c>
      <c r="O8" s="171">
        <f>(K8-K7)/K7</f>
        <v>4.0408958130477117E-2</v>
      </c>
      <c r="P8" s="171">
        <f>(L8-L7)/L7</f>
        <v>8.2527705729780715E-2</v>
      </c>
      <c r="Q8" s="171">
        <f>(M8-M7)/M7</f>
        <v>5.2718627248294396E-2</v>
      </c>
    </row>
    <row r="9" spans="1:17" x14ac:dyDescent="0.25">
      <c r="A9" s="94" t="s">
        <v>107</v>
      </c>
      <c r="B9" s="78">
        <v>1.54E-2</v>
      </c>
      <c r="C9" s="78">
        <v>-3.7499999999999999E-2</v>
      </c>
      <c r="D9" s="78">
        <v>-5.4600000000000003E-2</v>
      </c>
      <c r="E9" s="169">
        <f>ROUND(E8*(1+C9),0)</f>
        <v>10284</v>
      </c>
      <c r="F9" s="169">
        <f t="shared" si="3"/>
        <v>4340</v>
      </c>
      <c r="G9" s="169">
        <f t="shared" si="0"/>
        <v>14624</v>
      </c>
      <c r="H9" s="48"/>
      <c r="I9" s="171">
        <f t="shared" si="4"/>
        <v>-4.2681330191149516E-2</v>
      </c>
      <c r="K9" s="103">
        <v>10283.41</v>
      </c>
      <c r="L9" s="103">
        <v>4340.32</v>
      </c>
      <c r="M9" s="169">
        <f t="shared" si="1"/>
        <v>14623.73</v>
      </c>
      <c r="O9" s="171">
        <f t="shared" ref="O9" si="5">(K9-K8)/K8</f>
        <v>-3.7584464202152564E-2</v>
      </c>
      <c r="P9" s="171">
        <f t="shared" ref="P9" si="6">(L9-L8)/L8</f>
        <v>-5.4602483119146221E-2</v>
      </c>
      <c r="Q9" s="171">
        <f t="shared" ref="Q9" si="7">(M9-M8)/M8</f>
        <v>-4.2699004975124404E-2</v>
      </c>
    </row>
    <row r="10" spans="1:17" x14ac:dyDescent="0.25">
      <c r="A10" s="94" t="s">
        <v>108</v>
      </c>
      <c r="B10" s="78">
        <v>5.4999999999999997E-3</v>
      </c>
      <c r="C10" s="78">
        <v>2.7300000000000001E-2</v>
      </c>
      <c r="D10" s="78">
        <v>2.75E-2</v>
      </c>
      <c r="E10" s="169">
        <f t="shared" si="3"/>
        <v>10565</v>
      </c>
      <c r="F10" s="169">
        <f t="shared" si="3"/>
        <v>4459</v>
      </c>
      <c r="G10" s="169">
        <f t="shared" si="0"/>
        <v>15024</v>
      </c>
      <c r="H10" s="48"/>
      <c r="I10" s="171">
        <f t="shared" si="4"/>
        <v>2.7352297592997812E-2</v>
      </c>
      <c r="K10" s="103">
        <v>0</v>
      </c>
      <c r="L10" s="103"/>
      <c r="M10" s="169">
        <f t="shared" si="1"/>
        <v>0</v>
      </c>
      <c r="O10" s="171">
        <f t="shared" ref="O10" si="8">(K10-K9)/K9</f>
        <v>-1</v>
      </c>
      <c r="P10" s="171">
        <f t="shared" ref="P10" si="9">(L10-L9)/L9</f>
        <v>-1</v>
      </c>
      <c r="Q10" s="171">
        <f t="shared" ref="Q10" si="10">(M10-M9)/M9</f>
        <v>-1</v>
      </c>
    </row>
    <row r="11" spans="1:17" x14ac:dyDescent="0.25">
      <c r="A11" s="94" t="s">
        <v>109</v>
      </c>
      <c r="B11" s="78">
        <v>0.02</v>
      </c>
      <c r="C11" s="78">
        <f t="shared" ref="C11:D14" si="11">C10</f>
        <v>2.7300000000000001E-2</v>
      </c>
      <c r="D11" s="78">
        <f t="shared" si="11"/>
        <v>2.75E-2</v>
      </c>
      <c r="E11" s="169">
        <f t="shared" si="3"/>
        <v>10853</v>
      </c>
      <c r="F11" s="169">
        <f t="shared" si="3"/>
        <v>4582</v>
      </c>
      <c r="G11" s="169">
        <f t="shared" si="0"/>
        <v>15435</v>
      </c>
      <c r="H11" s="48"/>
      <c r="I11" s="171">
        <f t="shared" si="4"/>
        <v>2.7356230031948883E-2</v>
      </c>
      <c r="K11" s="103"/>
      <c r="L11" s="103"/>
      <c r="M11" s="169">
        <f t="shared" si="1"/>
        <v>0</v>
      </c>
      <c r="O11" s="171"/>
      <c r="P11" s="171"/>
      <c r="Q11" s="171"/>
    </row>
    <row r="12" spans="1:17" x14ac:dyDescent="0.25">
      <c r="A12" s="94" t="s">
        <v>2393</v>
      </c>
      <c r="B12" s="78">
        <v>0.02</v>
      </c>
      <c r="C12" s="78">
        <f t="shared" si="11"/>
        <v>2.7300000000000001E-2</v>
      </c>
      <c r="D12" s="78">
        <f t="shared" si="11"/>
        <v>2.75E-2</v>
      </c>
      <c r="E12" s="169">
        <f t="shared" si="3"/>
        <v>11149</v>
      </c>
      <c r="F12" s="169">
        <f t="shared" si="3"/>
        <v>4708</v>
      </c>
      <c r="G12" s="169">
        <f t="shared" si="0"/>
        <v>15857</v>
      </c>
      <c r="H12" s="48"/>
      <c r="I12" s="171">
        <f t="shared" si="4"/>
        <v>2.7340459993521218E-2</v>
      </c>
      <c r="K12" s="103"/>
      <c r="L12" s="103"/>
      <c r="M12" s="169">
        <f t="shared" si="1"/>
        <v>0</v>
      </c>
      <c r="O12" s="171"/>
      <c r="P12" s="171"/>
      <c r="Q12" s="171"/>
    </row>
    <row r="13" spans="1:17" x14ac:dyDescent="0.25">
      <c r="A13" s="94" t="s">
        <v>2394</v>
      </c>
      <c r="B13" s="78">
        <v>0.02</v>
      </c>
      <c r="C13" s="78">
        <f t="shared" si="11"/>
        <v>2.7300000000000001E-2</v>
      </c>
      <c r="D13" s="78">
        <f t="shared" si="11"/>
        <v>2.75E-2</v>
      </c>
      <c r="E13" s="169">
        <f t="shared" si="3"/>
        <v>11453</v>
      </c>
      <c r="F13" s="169">
        <f t="shared" si="3"/>
        <v>4837</v>
      </c>
      <c r="G13" s="169">
        <f t="shared" si="0"/>
        <v>16290</v>
      </c>
      <c r="H13" s="48"/>
      <c r="I13" s="171">
        <f t="shared" si="4"/>
        <v>2.7306552311282085E-2</v>
      </c>
      <c r="K13" s="103"/>
      <c r="L13" s="103"/>
      <c r="M13" s="169">
        <f t="shared" si="1"/>
        <v>0</v>
      </c>
      <c r="O13" s="171"/>
      <c r="P13" s="171"/>
      <c r="Q13" s="171"/>
    </row>
    <row r="14" spans="1:17" x14ac:dyDescent="0.25">
      <c r="A14" s="94" t="s">
        <v>2527</v>
      </c>
      <c r="B14" s="78">
        <v>0.02</v>
      </c>
      <c r="C14" s="78">
        <f t="shared" si="11"/>
        <v>2.7300000000000001E-2</v>
      </c>
      <c r="D14" s="78">
        <f t="shared" si="11"/>
        <v>2.75E-2</v>
      </c>
      <c r="E14" s="169">
        <f t="shared" si="3"/>
        <v>11766</v>
      </c>
      <c r="F14" s="169">
        <f t="shared" si="3"/>
        <v>4970</v>
      </c>
      <c r="G14" s="169">
        <f t="shared" si="0"/>
        <v>16736</v>
      </c>
      <c r="H14" s="48"/>
      <c r="I14" s="171">
        <f t="shared" si="4"/>
        <v>2.7378759975445057E-2</v>
      </c>
      <c r="K14" s="103"/>
      <c r="L14" s="103"/>
      <c r="M14" s="169">
        <f t="shared" si="1"/>
        <v>0</v>
      </c>
      <c r="O14" s="171"/>
      <c r="P14" s="171"/>
      <c r="Q14" s="171"/>
    </row>
    <row r="15" spans="1:17" x14ac:dyDescent="0.25">
      <c r="A15" s="48"/>
      <c r="B15" s="48"/>
      <c r="C15" s="48"/>
      <c r="D15" s="48"/>
      <c r="E15" s="48"/>
      <c r="F15" s="48"/>
      <c r="G15" s="48"/>
      <c r="H15" s="48"/>
      <c r="O15" s="94"/>
      <c r="P15" s="94"/>
      <c r="Q15" s="94"/>
    </row>
    <row r="16" spans="1:17" x14ac:dyDescent="0.25">
      <c r="A16" s="48"/>
      <c r="B16" s="48"/>
      <c r="C16" s="530" t="s">
        <v>96</v>
      </c>
      <c r="D16" s="530" t="s">
        <v>269</v>
      </c>
      <c r="E16" s="531" t="s">
        <v>180</v>
      </c>
      <c r="F16" s="531"/>
      <c r="G16" s="531"/>
      <c r="H16" s="48"/>
      <c r="O16" s="94"/>
      <c r="P16" s="94"/>
      <c r="Q16" s="94"/>
    </row>
    <row r="17" spans="1:12" x14ac:dyDescent="0.25">
      <c r="A17" s="48"/>
      <c r="B17" s="48"/>
      <c r="C17" s="530"/>
      <c r="D17" s="530"/>
      <c r="E17" s="166" t="s">
        <v>18</v>
      </c>
      <c r="F17" s="166" t="s">
        <v>17</v>
      </c>
      <c r="G17" s="166" t="s">
        <v>38</v>
      </c>
      <c r="H17" s="48"/>
    </row>
    <row r="18" spans="1:12" x14ac:dyDescent="0.25">
      <c r="A18" s="48"/>
      <c r="B18" s="48"/>
      <c r="C18" s="167" t="str">
        <f>A7</f>
        <v>16-17</v>
      </c>
      <c r="D18" s="167" t="str">
        <f t="shared" ref="C18:D25" si="12">B7</f>
        <v>BASELINE</v>
      </c>
      <c r="E18" s="168">
        <v>10504</v>
      </c>
      <c r="F18" s="168">
        <v>4848</v>
      </c>
      <c r="G18" s="168">
        <f t="shared" ref="G18" si="13">SUM(E18:F18)</f>
        <v>15352</v>
      </c>
      <c r="H18" s="39"/>
    </row>
    <row r="19" spans="1:12" x14ac:dyDescent="0.25">
      <c r="A19" s="48"/>
      <c r="B19" s="48"/>
      <c r="C19" s="94" t="str">
        <f>A8</f>
        <v>17-18</v>
      </c>
      <c r="D19" s="171">
        <f t="shared" si="12"/>
        <v>0</v>
      </c>
      <c r="E19" s="169">
        <f t="shared" ref="E19:F19" si="14">E18</f>
        <v>10504</v>
      </c>
      <c r="F19" s="169">
        <f t="shared" si="14"/>
        <v>4848</v>
      </c>
      <c r="G19" s="169">
        <f>G18</f>
        <v>15352</v>
      </c>
      <c r="H19" s="39"/>
    </row>
    <row r="20" spans="1:12" x14ac:dyDescent="0.25">
      <c r="A20" s="48"/>
      <c r="B20" s="48"/>
      <c r="C20" s="94" t="str">
        <f t="shared" si="12"/>
        <v>18-19</v>
      </c>
      <c r="D20" s="171">
        <f t="shared" si="12"/>
        <v>1.54E-2</v>
      </c>
      <c r="E20" s="169">
        <f>IF(ROUND(E52*(1+B9),0)&lt;E9,ROUND(E52*(1+B9),0),E9)</f>
        <v>10284</v>
      </c>
      <c r="F20" s="169">
        <f>IF(ROUND(F52*(1+C9),0)&lt;F9,ROUND(F52*(1+C9),0),F9)</f>
        <v>4340</v>
      </c>
      <c r="G20" s="169">
        <f t="shared" ref="G20" si="15">ROUND(G52*(1+B9),0)</f>
        <v>15588</v>
      </c>
      <c r="H20" s="39"/>
      <c r="I20" s="272"/>
    </row>
    <row r="21" spans="1:12" x14ac:dyDescent="0.25">
      <c r="A21" s="48"/>
      <c r="B21" s="48"/>
      <c r="C21" s="94" t="str">
        <f t="shared" si="12"/>
        <v>19-20</v>
      </c>
      <c r="D21" s="171">
        <f t="shared" si="12"/>
        <v>5.4999999999999997E-3</v>
      </c>
      <c r="E21" s="169">
        <f t="shared" ref="E21:F25" si="16">IF(ROUND(E53*(1+B10),0)&lt;E10,ROUND(E53*(1+B10),0),E10)</f>
        <v>10341</v>
      </c>
      <c r="F21" s="169">
        <f t="shared" si="16"/>
        <v>4458</v>
      </c>
      <c r="G21" s="169">
        <f>ROUND(G53*(1+B10),0)</f>
        <v>14704</v>
      </c>
      <c r="H21" s="39"/>
      <c r="I21" s="250"/>
    </row>
    <row r="22" spans="1:12" x14ac:dyDescent="0.25">
      <c r="A22" s="48"/>
      <c r="B22" s="48"/>
      <c r="C22" s="94" t="str">
        <f t="shared" si="12"/>
        <v>20-21</v>
      </c>
      <c r="D22" s="171">
        <f>MIN(B11,I11)</f>
        <v>0.02</v>
      </c>
      <c r="E22" s="169">
        <f t="shared" si="16"/>
        <v>10548</v>
      </c>
      <c r="F22" s="169">
        <f t="shared" si="16"/>
        <v>4514</v>
      </c>
      <c r="G22" s="169">
        <f>ROUND(G54*(1+D22),0)</f>
        <v>15030</v>
      </c>
      <c r="H22" s="39"/>
      <c r="I22" s="250"/>
    </row>
    <row r="23" spans="1:12" x14ac:dyDescent="0.25">
      <c r="A23" s="48"/>
      <c r="B23" s="48"/>
      <c r="C23" s="94" t="str">
        <f t="shared" si="12"/>
        <v>21-22</v>
      </c>
      <c r="D23" s="171">
        <f t="shared" ref="D23:D25" si="17">MIN(B12,I12)</f>
        <v>0.02</v>
      </c>
      <c r="E23" s="169">
        <f t="shared" si="16"/>
        <v>10759</v>
      </c>
      <c r="F23" s="169">
        <f t="shared" si="16"/>
        <v>4637</v>
      </c>
      <c r="G23" s="169">
        <f t="shared" ref="G23:G25" si="18">ROUND(G55*(1+D23),0)</f>
        <v>15363</v>
      </c>
      <c r="H23" s="39"/>
      <c r="I23" s="250"/>
      <c r="L23" s="285"/>
    </row>
    <row r="24" spans="1:12" x14ac:dyDescent="0.25">
      <c r="A24" s="48"/>
      <c r="B24" s="48"/>
      <c r="C24" s="94" t="str">
        <f t="shared" si="12"/>
        <v>22-23</v>
      </c>
      <c r="D24" s="171">
        <f t="shared" si="17"/>
        <v>0.02</v>
      </c>
      <c r="E24" s="169">
        <f t="shared" si="16"/>
        <v>10974</v>
      </c>
      <c r="F24" s="169">
        <f t="shared" si="16"/>
        <v>4764</v>
      </c>
      <c r="G24" s="169">
        <f t="shared" si="18"/>
        <v>15704</v>
      </c>
      <c r="H24" s="39"/>
      <c r="I24" s="250"/>
    </row>
    <row r="25" spans="1:12" x14ac:dyDescent="0.25">
      <c r="A25" s="48"/>
      <c r="B25" s="48"/>
      <c r="C25" s="94" t="str">
        <f t="shared" si="12"/>
        <v>23-24</v>
      </c>
      <c r="D25" s="171">
        <f t="shared" si="17"/>
        <v>0.02</v>
      </c>
      <c r="E25" s="169">
        <f t="shared" si="16"/>
        <v>11193</v>
      </c>
      <c r="F25" s="169">
        <f t="shared" si="16"/>
        <v>4894</v>
      </c>
      <c r="G25" s="169">
        <f t="shared" si="18"/>
        <v>16053</v>
      </c>
      <c r="H25" s="39"/>
      <c r="I25" s="250"/>
    </row>
    <row r="26" spans="1:12" x14ac:dyDescent="0.25">
      <c r="A26" s="48"/>
      <c r="B26" s="48"/>
      <c r="C26" s="48"/>
      <c r="D26" s="48"/>
      <c r="E26" s="169"/>
      <c r="F26" s="169"/>
      <c r="G26" s="169"/>
      <c r="H26" s="48"/>
    </row>
    <row r="27" spans="1:12" x14ac:dyDescent="0.25">
      <c r="A27" s="48"/>
      <c r="B27" s="48"/>
      <c r="C27" s="48"/>
      <c r="D27" s="531" t="s">
        <v>181</v>
      </c>
      <c r="E27" s="531"/>
      <c r="F27" s="531"/>
      <c r="G27" s="531"/>
      <c r="H27" s="48"/>
    </row>
    <row r="28" spans="1:12" x14ac:dyDescent="0.25">
      <c r="A28" s="48"/>
      <c r="B28" s="48"/>
      <c r="C28" s="48"/>
      <c r="D28" s="275" t="s">
        <v>96</v>
      </c>
      <c r="E28" s="166" t="s">
        <v>18</v>
      </c>
      <c r="F28" s="166" t="s">
        <v>17</v>
      </c>
      <c r="G28" s="166" t="s">
        <v>38</v>
      </c>
      <c r="H28" s="48"/>
    </row>
    <row r="29" spans="1:12" x14ac:dyDescent="0.25">
      <c r="A29" s="48"/>
      <c r="B29" s="48"/>
      <c r="C29" s="48"/>
      <c r="D29" s="94" t="str">
        <f t="shared" ref="D29:D36" si="19">C18</f>
        <v>16-17</v>
      </c>
      <c r="E29" s="169">
        <f>IF((E7-E18)&gt;0,(E7-E18),0)</f>
        <v>0</v>
      </c>
      <c r="F29" s="169">
        <f>IF((F7-F18)&gt;0,(F7-F18),0)</f>
        <v>0</v>
      </c>
      <c r="G29" s="169">
        <f t="shared" ref="G29:G36" si="20">SUM(E29:F29)</f>
        <v>0</v>
      </c>
      <c r="H29" s="48"/>
    </row>
    <row r="30" spans="1:12" x14ac:dyDescent="0.25">
      <c r="A30" s="48"/>
      <c r="B30" s="48"/>
      <c r="C30" s="48"/>
      <c r="D30" s="94" t="str">
        <f t="shared" si="19"/>
        <v>17-18</v>
      </c>
      <c r="E30" s="169">
        <f t="shared" ref="E30:F30" si="21">IF((E8-E19)&gt;0,(E8-E19),0)</f>
        <v>181</v>
      </c>
      <c r="F30" s="169">
        <f t="shared" si="21"/>
        <v>0</v>
      </c>
      <c r="G30" s="169">
        <f t="shared" si="20"/>
        <v>181</v>
      </c>
      <c r="H30" s="48"/>
    </row>
    <row r="31" spans="1:12" x14ac:dyDescent="0.25">
      <c r="A31" s="48"/>
      <c r="B31" s="48"/>
      <c r="C31" s="48"/>
      <c r="D31" s="94" t="str">
        <f t="shared" si="19"/>
        <v>18-19</v>
      </c>
      <c r="E31" s="169">
        <f t="shared" ref="E31:F31" si="22">IF((E9-E20)&gt;0,(E9-E20),0)</f>
        <v>0</v>
      </c>
      <c r="F31" s="169">
        <f t="shared" si="22"/>
        <v>0</v>
      </c>
      <c r="G31" s="169">
        <f t="shared" si="20"/>
        <v>0</v>
      </c>
      <c r="H31" s="48"/>
    </row>
    <row r="32" spans="1:12" x14ac:dyDescent="0.25">
      <c r="A32" s="48"/>
      <c r="B32" s="48"/>
      <c r="C32" s="48"/>
      <c r="D32" s="94" t="str">
        <f t="shared" si="19"/>
        <v>19-20</v>
      </c>
      <c r="E32" s="169">
        <f t="shared" ref="E32:F32" si="23">IF((E10-E21)&gt;0,(E10-E21),0)</f>
        <v>224</v>
      </c>
      <c r="F32" s="169">
        <f t="shared" si="23"/>
        <v>1</v>
      </c>
      <c r="G32" s="169">
        <f t="shared" si="20"/>
        <v>225</v>
      </c>
      <c r="H32" s="48"/>
    </row>
    <row r="33" spans="1:8" x14ac:dyDescent="0.25">
      <c r="A33" s="48"/>
      <c r="B33" s="48"/>
      <c r="C33" s="48"/>
      <c r="D33" s="94" t="str">
        <f t="shared" si="19"/>
        <v>20-21</v>
      </c>
      <c r="E33" s="169">
        <f t="shared" ref="E33:F33" si="24">IF((E11-E22)&gt;0,(E11-E22),0)</f>
        <v>305</v>
      </c>
      <c r="F33" s="169">
        <f t="shared" si="24"/>
        <v>68</v>
      </c>
      <c r="G33" s="169">
        <f t="shared" si="20"/>
        <v>373</v>
      </c>
      <c r="H33" s="48"/>
    </row>
    <row r="34" spans="1:8" x14ac:dyDescent="0.25">
      <c r="A34" s="48"/>
      <c r="B34" s="48"/>
      <c r="C34" s="48"/>
      <c r="D34" s="94" t="str">
        <f t="shared" si="19"/>
        <v>21-22</v>
      </c>
      <c r="E34" s="169">
        <f t="shared" ref="E34:F34" si="25">IF((E12-E23)&gt;0,(E12-E23),0)</f>
        <v>390</v>
      </c>
      <c r="F34" s="169">
        <f t="shared" si="25"/>
        <v>71</v>
      </c>
      <c r="G34" s="169">
        <f t="shared" si="20"/>
        <v>461</v>
      </c>
      <c r="H34" s="48"/>
    </row>
    <row r="35" spans="1:8" x14ac:dyDescent="0.25">
      <c r="A35" s="48"/>
      <c r="B35" s="48"/>
      <c r="C35" s="48"/>
      <c r="D35" s="94" t="str">
        <f t="shared" si="19"/>
        <v>22-23</v>
      </c>
      <c r="E35" s="169">
        <f t="shared" ref="E35:F35" si="26">IF((E13-E24)&gt;0,(E13-E24),0)</f>
        <v>479</v>
      </c>
      <c r="F35" s="169">
        <f t="shared" si="26"/>
        <v>73</v>
      </c>
      <c r="G35" s="169">
        <f t="shared" si="20"/>
        <v>552</v>
      </c>
      <c r="H35" s="48"/>
    </row>
    <row r="36" spans="1:8" x14ac:dyDescent="0.25">
      <c r="A36" s="48"/>
      <c r="B36" s="48"/>
      <c r="C36" s="48"/>
      <c r="D36" s="94" t="str">
        <f t="shared" si="19"/>
        <v>23-24</v>
      </c>
      <c r="E36" s="169">
        <f t="shared" ref="E36:F36" si="27">IF((E14-E25)&gt;0,(E14-E25),0)</f>
        <v>573</v>
      </c>
      <c r="F36" s="169">
        <f t="shared" si="27"/>
        <v>76</v>
      </c>
      <c r="G36" s="169">
        <f t="shared" si="20"/>
        <v>649</v>
      </c>
      <c r="H36" s="48"/>
    </row>
    <row r="37" spans="1:8" x14ac:dyDescent="0.25">
      <c r="A37" s="48"/>
      <c r="B37" s="48"/>
      <c r="C37" s="48"/>
      <c r="D37" s="48"/>
      <c r="E37" s="48"/>
      <c r="F37" s="48"/>
      <c r="G37" s="48"/>
      <c r="H37" s="48"/>
    </row>
    <row r="38" spans="1:8" x14ac:dyDescent="0.25">
      <c r="A38" s="48"/>
      <c r="B38" s="48"/>
      <c r="C38" s="530" t="s">
        <v>96</v>
      </c>
      <c r="D38" s="531" t="s">
        <v>182</v>
      </c>
      <c r="E38" s="531"/>
      <c r="F38" s="531"/>
      <c r="G38" s="531"/>
      <c r="H38" s="48"/>
    </row>
    <row r="39" spans="1:8" x14ac:dyDescent="0.25">
      <c r="A39" s="48"/>
      <c r="B39" s="48"/>
      <c r="C39" s="530"/>
      <c r="D39" s="166" t="s">
        <v>110</v>
      </c>
      <c r="E39" s="166" t="s">
        <v>18</v>
      </c>
      <c r="F39" s="166" t="s">
        <v>17</v>
      </c>
      <c r="G39" s="166" t="s">
        <v>38</v>
      </c>
      <c r="H39" s="48"/>
    </row>
    <row r="40" spans="1:8" x14ac:dyDescent="0.25">
      <c r="A40" s="48"/>
      <c r="B40" s="48"/>
      <c r="C40" s="94" t="str">
        <f t="shared" ref="C40:C47" si="28">D29</f>
        <v>16-17</v>
      </c>
      <c r="D40" s="48"/>
      <c r="E40" s="169"/>
      <c r="F40" s="169"/>
      <c r="G40" s="169"/>
      <c r="H40" s="48"/>
    </row>
    <row r="41" spans="1:8" x14ac:dyDescent="0.25">
      <c r="A41" s="48"/>
      <c r="B41" s="48"/>
      <c r="C41" s="94" t="str">
        <f t="shared" si="28"/>
        <v>17-18</v>
      </c>
      <c r="D41" s="78">
        <v>0</v>
      </c>
      <c r="E41" s="169">
        <f t="shared" ref="E41:F47" si="29">IF(C8&gt;B8,IF(D41&gt;(C8-B8),E30,ROUND(E18*D41,0)),)</f>
        <v>0</v>
      </c>
      <c r="F41" s="169">
        <f t="shared" si="29"/>
        <v>0</v>
      </c>
      <c r="G41" s="169">
        <f t="shared" ref="G41:G47" si="30">SUM(E41:F41)</f>
        <v>0</v>
      </c>
      <c r="H41" s="48"/>
    </row>
    <row r="42" spans="1:8" x14ac:dyDescent="0.25">
      <c r="A42" s="48"/>
      <c r="B42" s="48"/>
      <c r="C42" s="94" t="str">
        <f t="shared" si="28"/>
        <v>18-19</v>
      </c>
      <c r="D42" s="276">
        <v>0</v>
      </c>
      <c r="E42" s="169">
        <f t="shared" si="29"/>
        <v>0</v>
      </c>
      <c r="F42" s="169">
        <f t="shared" si="29"/>
        <v>0</v>
      </c>
      <c r="G42" s="169">
        <f t="shared" si="30"/>
        <v>0</v>
      </c>
      <c r="H42" s="48"/>
    </row>
    <row r="43" spans="1:8" x14ac:dyDescent="0.25">
      <c r="A43" s="48"/>
      <c r="B43" s="48"/>
      <c r="C43" s="94" t="str">
        <f t="shared" si="28"/>
        <v>19-20</v>
      </c>
      <c r="D43" s="78">
        <v>0</v>
      </c>
      <c r="E43" s="169">
        <f t="shared" si="29"/>
        <v>0</v>
      </c>
      <c r="F43" s="169">
        <f t="shared" si="29"/>
        <v>0</v>
      </c>
      <c r="G43" s="169">
        <f t="shared" si="30"/>
        <v>0</v>
      </c>
      <c r="H43" s="48"/>
    </row>
    <row r="44" spans="1:8" x14ac:dyDescent="0.25">
      <c r="A44" s="48"/>
      <c r="B44" s="48"/>
      <c r="C44" s="94" t="str">
        <f t="shared" si="28"/>
        <v>20-21</v>
      </c>
      <c r="D44" s="78">
        <v>0</v>
      </c>
      <c r="E44" s="169">
        <f t="shared" si="29"/>
        <v>0</v>
      </c>
      <c r="F44" s="169">
        <f t="shared" si="29"/>
        <v>0</v>
      </c>
      <c r="G44" s="169">
        <f t="shared" si="30"/>
        <v>0</v>
      </c>
      <c r="H44" s="169"/>
    </row>
    <row r="45" spans="1:8" x14ac:dyDescent="0.25">
      <c r="A45" s="48"/>
      <c r="B45" s="48"/>
      <c r="C45" s="94" t="str">
        <f t="shared" si="28"/>
        <v>21-22</v>
      </c>
      <c r="D45" s="78">
        <v>0</v>
      </c>
      <c r="E45" s="169">
        <f>IF(C12&gt;B12,IF(D45&gt;(C12-B12),E34,ROUND(E22*D45,0)),)</f>
        <v>0</v>
      </c>
      <c r="F45" s="169">
        <f t="shared" si="29"/>
        <v>0</v>
      </c>
      <c r="G45" s="169">
        <f t="shared" si="30"/>
        <v>0</v>
      </c>
      <c r="H45" s="169"/>
    </row>
    <row r="46" spans="1:8" x14ac:dyDescent="0.25">
      <c r="A46" s="48"/>
      <c r="B46" s="48"/>
      <c r="C46" s="94" t="str">
        <f t="shared" si="28"/>
        <v>22-23</v>
      </c>
      <c r="D46" s="78">
        <f>D45</f>
        <v>0</v>
      </c>
      <c r="E46" s="169">
        <f>IF(C13&gt;B13,IF(D46&gt;(C13-B13),E35,ROUND(E23*D46,0)),)</f>
        <v>0</v>
      </c>
      <c r="F46" s="169">
        <f t="shared" si="29"/>
        <v>0</v>
      </c>
      <c r="G46" s="169">
        <f t="shared" si="30"/>
        <v>0</v>
      </c>
      <c r="H46" s="49"/>
    </row>
    <row r="47" spans="1:8" x14ac:dyDescent="0.25">
      <c r="A47" s="48"/>
      <c r="B47" s="48"/>
      <c r="C47" s="94" t="str">
        <f t="shared" si="28"/>
        <v>23-24</v>
      </c>
      <c r="D47" s="78">
        <f>D46</f>
        <v>0</v>
      </c>
      <c r="E47" s="169">
        <f>IF(C14&gt;B14,IF(D47&gt;(C14-B14),E36,ROUND(E24*D47,0)),)</f>
        <v>0</v>
      </c>
      <c r="F47" s="169">
        <f t="shared" si="29"/>
        <v>0</v>
      </c>
      <c r="G47" s="169">
        <f t="shared" si="30"/>
        <v>0</v>
      </c>
      <c r="H47" s="169"/>
    </row>
    <row r="48" spans="1:8" x14ac:dyDescent="0.25">
      <c r="A48" s="48"/>
      <c r="B48" s="48"/>
      <c r="C48" s="48"/>
      <c r="D48" s="149"/>
      <c r="E48" s="169"/>
      <c r="F48" s="39"/>
      <c r="G48" s="169"/>
      <c r="H48" s="169"/>
    </row>
    <row r="49" spans="1:9" x14ac:dyDescent="0.25">
      <c r="A49" s="48"/>
      <c r="B49" s="48"/>
      <c r="C49" s="48"/>
      <c r="D49" s="531" t="s">
        <v>183</v>
      </c>
      <c r="E49" s="531"/>
      <c r="F49" s="531"/>
      <c r="G49" s="531"/>
      <c r="H49" s="169"/>
    </row>
    <row r="50" spans="1:9" x14ac:dyDescent="0.25">
      <c r="A50" s="48"/>
      <c r="B50" s="48"/>
      <c r="C50" s="48"/>
      <c r="D50" s="275" t="s">
        <v>96</v>
      </c>
      <c r="E50" s="166" t="s">
        <v>18</v>
      </c>
      <c r="F50" s="166" t="s">
        <v>17</v>
      </c>
      <c r="G50" s="166" t="s">
        <v>111</v>
      </c>
      <c r="H50" s="169"/>
      <c r="I50" s="271" t="s">
        <v>243</v>
      </c>
    </row>
    <row r="51" spans="1:9" x14ac:dyDescent="0.25">
      <c r="A51" s="48"/>
      <c r="B51" s="48"/>
      <c r="C51" s="48"/>
      <c r="D51" s="94" t="str">
        <f t="shared" ref="D51:D58" si="31">C40</f>
        <v>16-17</v>
      </c>
      <c r="E51" s="169">
        <f t="shared" ref="E51:F58" si="32">E18+E40</f>
        <v>10504</v>
      </c>
      <c r="F51" s="169">
        <f t="shared" si="32"/>
        <v>4848</v>
      </c>
      <c r="G51" s="169">
        <f t="shared" ref="G51:G58" si="33">SUM(E51:F51)</f>
        <v>15352</v>
      </c>
      <c r="H51" s="169"/>
      <c r="I51" s="169"/>
    </row>
    <row r="52" spans="1:9" x14ac:dyDescent="0.25">
      <c r="A52" s="48"/>
      <c r="B52" s="48"/>
      <c r="C52" s="48"/>
      <c r="D52" s="94" t="str">
        <f t="shared" si="31"/>
        <v>17-18</v>
      </c>
      <c r="E52" s="169">
        <f t="shared" si="32"/>
        <v>10504</v>
      </c>
      <c r="F52" s="169">
        <f t="shared" si="32"/>
        <v>4848</v>
      </c>
      <c r="G52" s="169">
        <f t="shared" si="33"/>
        <v>15352</v>
      </c>
      <c r="H52" s="169"/>
      <c r="I52" s="171">
        <f>(G52-G51)/G51</f>
        <v>0</v>
      </c>
    </row>
    <row r="53" spans="1:9" x14ac:dyDescent="0.25">
      <c r="A53" s="48"/>
      <c r="B53" s="48"/>
      <c r="C53" s="48"/>
      <c r="D53" s="94" t="str">
        <f t="shared" si="31"/>
        <v>18-19</v>
      </c>
      <c r="E53" s="169">
        <f t="shared" si="32"/>
        <v>10284</v>
      </c>
      <c r="F53" s="169">
        <f t="shared" si="32"/>
        <v>4340</v>
      </c>
      <c r="G53" s="169">
        <f t="shared" si="33"/>
        <v>14624</v>
      </c>
      <c r="H53" s="169"/>
      <c r="I53" s="171">
        <f t="shared" ref="I53:I58" si="34">(G53-G52)/G52</f>
        <v>-4.7420531526836895E-2</v>
      </c>
    </row>
    <row r="54" spans="1:9" x14ac:dyDescent="0.25">
      <c r="A54" s="48"/>
      <c r="B54" s="48"/>
      <c r="C54" s="48"/>
      <c r="D54" s="94" t="str">
        <f t="shared" si="31"/>
        <v>19-20</v>
      </c>
      <c r="E54" s="169">
        <f t="shared" si="32"/>
        <v>10341</v>
      </c>
      <c r="F54" s="169">
        <v>4394</v>
      </c>
      <c r="G54" s="169">
        <f t="shared" si="33"/>
        <v>14735</v>
      </c>
      <c r="H54" s="48"/>
      <c r="I54" s="171">
        <f t="shared" si="34"/>
        <v>7.5902625820568927E-3</v>
      </c>
    </row>
    <row r="55" spans="1:9" x14ac:dyDescent="0.25">
      <c r="A55" s="48"/>
      <c r="B55" s="48"/>
      <c r="C55" s="48"/>
      <c r="D55" s="94" t="str">
        <f t="shared" si="31"/>
        <v>20-21</v>
      </c>
      <c r="E55" s="169">
        <f t="shared" si="32"/>
        <v>10548</v>
      </c>
      <c r="F55" s="169">
        <f t="shared" si="32"/>
        <v>4514</v>
      </c>
      <c r="G55" s="169">
        <f t="shared" si="33"/>
        <v>15062</v>
      </c>
      <c r="H55" s="48"/>
      <c r="I55" s="171">
        <f t="shared" si="34"/>
        <v>2.2192059721750933E-2</v>
      </c>
    </row>
    <row r="56" spans="1:9" x14ac:dyDescent="0.25">
      <c r="A56" s="48"/>
      <c r="B56" s="48"/>
      <c r="C56" s="48"/>
      <c r="D56" s="94" t="str">
        <f t="shared" si="31"/>
        <v>21-22</v>
      </c>
      <c r="E56" s="169">
        <f t="shared" si="32"/>
        <v>10759</v>
      </c>
      <c r="F56" s="169">
        <f t="shared" si="32"/>
        <v>4637</v>
      </c>
      <c r="G56" s="169">
        <f t="shared" si="33"/>
        <v>15396</v>
      </c>
      <c r="H56" s="48"/>
      <c r="I56" s="171">
        <f t="shared" si="34"/>
        <v>2.2175009958836808E-2</v>
      </c>
    </row>
    <row r="57" spans="1:9" x14ac:dyDescent="0.25">
      <c r="A57" s="48"/>
      <c r="B57" s="48"/>
      <c r="C57" s="48"/>
      <c r="D57" s="94" t="str">
        <f t="shared" si="31"/>
        <v>22-23</v>
      </c>
      <c r="E57" s="169">
        <f t="shared" si="32"/>
        <v>10974</v>
      </c>
      <c r="F57" s="169">
        <f t="shared" si="32"/>
        <v>4764</v>
      </c>
      <c r="G57" s="169">
        <f t="shared" si="33"/>
        <v>15738</v>
      </c>
      <c r="H57" s="48"/>
      <c r="I57" s="171">
        <f t="shared" si="34"/>
        <v>2.2213561964146533E-2</v>
      </c>
    </row>
    <row r="58" spans="1:9" x14ac:dyDescent="0.25">
      <c r="A58" s="48"/>
      <c r="B58" s="48"/>
      <c r="C58" s="48"/>
      <c r="D58" s="94" t="str">
        <f t="shared" si="31"/>
        <v>23-24</v>
      </c>
      <c r="E58" s="169">
        <f t="shared" si="32"/>
        <v>11193</v>
      </c>
      <c r="F58" s="169">
        <f t="shared" si="32"/>
        <v>4894</v>
      </c>
      <c r="G58" s="169">
        <f t="shared" si="33"/>
        <v>16087</v>
      </c>
      <c r="H58" s="48"/>
      <c r="I58" s="171">
        <f t="shared" si="34"/>
        <v>2.2175625873681534E-2</v>
      </c>
    </row>
    <row r="59" spans="1:9" x14ac:dyDescent="0.25">
      <c r="A59" s="48"/>
      <c r="B59" s="48"/>
      <c r="C59" s="48"/>
      <c r="D59" s="48"/>
      <c r="E59" s="169"/>
      <c r="F59" s="169"/>
      <c r="G59" s="169"/>
      <c r="H59" s="48"/>
    </row>
    <row r="60" spans="1:9" x14ac:dyDescent="0.25">
      <c r="A60" s="48"/>
      <c r="B60" s="48"/>
      <c r="C60" s="48"/>
      <c r="D60" s="531" t="s">
        <v>184</v>
      </c>
      <c r="E60" s="531"/>
      <c r="F60" s="531"/>
      <c r="G60" s="531"/>
      <c r="H60" s="48"/>
    </row>
    <row r="61" spans="1:9" x14ac:dyDescent="0.25">
      <c r="A61" s="48"/>
      <c r="B61" s="48"/>
      <c r="C61" s="48"/>
      <c r="D61" s="275" t="s">
        <v>96</v>
      </c>
      <c r="E61" s="166" t="s">
        <v>18</v>
      </c>
      <c r="F61" s="166" t="s">
        <v>17</v>
      </c>
      <c r="G61" s="166" t="s">
        <v>38</v>
      </c>
      <c r="H61" s="48"/>
    </row>
    <row r="62" spans="1:9" x14ac:dyDescent="0.25">
      <c r="A62" s="48"/>
      <c r="B62" s="48"/>
      <c r="C62" s="48"/>
      <c r="D62" s="94" t="str">
        <f t="shared" ref="D62:D69" si="35">D51</f>
        <v>16-17</v>
      </c>
      <c r="E62" s="169">
        <f t="shared" ref="E62:F69" si="36">E7-E51</f>
        <v>-234</v>
      </c>
      <c r="F62" s="169">
        <f t="shared" si="36"/>
        <v>-607</v>
      </c>
      <c r="G62" s="169">
        <f t="shared" ref="G62:G69" si="37">SUM(E62:F62)</f>
        <v>-841</v>
      </c>
      <c r="H62" s="48"/>
    </row>
    <row r="63" spans="1:9" x14ac:dyDescent="0.25">
      <c r="A63" s="48"/>
      <c r="B63" s="48"/>
      <c r="C63" s="48"/>
      <c r="D63" s="94" t="str">
        <f t="shared" si="35"/>
        <v>17-18</v>
      </c>
      <c r="E63" s="169">
        <v>0</v>
      </c>
      <c r="F63" s="169">
        <v>0</v>
      </c>
      <c r="G63" s="169">
        <f t="shared" si="37"/>
        <v>0</v>
      </c>
      <c r="H63" s="48"/>
    </row>
    <row r="64" spans="1:9" x14ac:dyDescent="0.25">
      <c r="A64" s="48"/>
      <c r="B64" s="48"/>
      <c r="C64" s="48"/>
      <c r="D64" s="94" t="str">
        <f t="shared" si="35"/>
        <v>18-19</v>
      </c>
      <c r="E64" s="169">
        <f t="shared" si="36"/>
        <v>0</v>
      </c>
      <c r="F64" s="169">
        <f t="shared" si="36"/>
        <v>0</v>
      </c>
      <c r="G64" s="169">
        <f t="shared" si="37"/>
        <v>0</v>
      </c>
      <c r="H64" s="48"/>
    </row>
    <row r="65" spans="1:8" x14ac:dyDescent="0.25">
      <c r="A65" s="48"/>
      <c r="B65" s="48"/>
      <c r="C65" s="48"/>
      <c r="D65" s="94" t="str">
        <f t="shared" si="35"/>
        <v>19-20</v>
      </c>
      <c r="E65" s="169">
        <f t="shared" si="36"/>
        <v>224</v>
      </c>
      <c r="F65" s="169">
        <f t="shared" si="36"/>
        <v>65</v>
      </c>
      <c r="G65" s="169">
        <f t="shared" si="37"/>
        <v>289</v>
      </c>
      <c r="H65" s="48"/>
    </row>
    <row r="66" spans="1:8" x14ac:dyDescent="0.25">
      <c r="A66" s="48"/>
      <c r="B66" s="48"/>
      <c r="C66" s="48"/>
      <c r="D66" s="94" t="str">
        <f t="shared" si="35"/>
        <v>20-21</v>
      </c>
      <c r="E66" s="169">
        <f t="shared" si="36"/>
        <v>305</v>
      </c>
      <c r="F66" s="169">
        <f t="shared" si="36"/>
        <v>68</v>
      </c>
      <c r="G66" s="169">
        <f t="shared" si="37"/>
        <v>373</v>
      </c>
      <c r="H66" s="48"/>
    </row>
    <row r="67" spans="1:8" x14ac:dyDescent="0.25">
      <c r="A67" s="48"/>
      <c r="B67" s="48"/>
      <c r="C67" s="48"/>
      <c r="D67" s="94" t="str">
        <f t="shared" si="35"/>
        <v>21-22</v>
      </c>
      <c r="E67" s="169">
        <f t="shared" si="36"/>
        <v>390</v>
      </c>
      <c r="F67" s="169">
        <f t="shared" si="36"/>
        <v>71</v>
      </c>
      <c r="G67" s="169">
        <f t="shared" si="37"/>
        <v>461</v>
      </c>
      <c r="H67" s="48"/>
    </row>
    <row r="68" spans="1:8" x14ac:dyDescent="0.25">
      <c r="A68" s="48"/>
      <c r="B68" s="48"/>
      <c r="C68" s="48"/>
      <c r="D68" s="94" t="str">
        <f t="shared" si="35"/>
        <v>22-23</v>
      </c>
      <c r="E68" s="169">
        <f t="shared" si="36"/>
        <v>479</v>
      </c>
      <c r="F68" s="169">
        <f t="shared" si="36"/>
        <v>73</v>
      </c>
      <c r="G68" s="169">
        <f t="shared" si="37"/>
        <v>552</v>
      </c>
      <c r="H68" s="48"/>
    </row>
    <row r="69" spans="1:8" x14ac:dyDescent="0.25">
      <c r="A69" s="48"/>
      <c r="B69" s="48"/>
      <c r="C69" s="48"/>
      <c r="D69" s="94" t="str">
        <f t="shared" si="35"/>
        <v>23-24</v>
      </c>
      <c r="E69" s="169">
        <f t="shared" si="36"/>
        <v>573</v>
      </c>
      <c r="F69" s="169">
        <f t="shared" si="36"/>
        <v>76</v>
      </c>
      <c r="G69" s="169">
        <f t="shared" si="37"/>
        <v>649</v>
      </c>
      <c r="H69" s="48"/>
    </row>
    <row r="70" spans="1:8" x14ac:dyDescent="0.25">
      <c r="A70" s="48"/>
      <c r="B70" s="48"/>
      <c r="C70" s="48"/>
      <c r="D70" s="94"/>
      <c r="E70" s="169"/>
      <c r="F70" s="169"/>
      <c r="G70" s="169"/>
      <c r="H70" s="48"/>
    </row>
    <row r="71" spans="1:8" x14ac:dyDescent="0.25">
      <c r="A71" s="203" t="s">
        <v>72</v>
      </c>
      <c r="B71" s="204"/>
      <c r="C71" s="205"/>
      <c r="D71" s="205"/>
      <c r="E71" s="205"/>
      <c r="F71" s="206"/>
      <c r="G71" s="205"/>
      <c r="H71" s="203"/>
    </row>
    <row r="72" spans="1:8" x14ac:dyDescent="0.25">
      <c r="A72" s="528" t="s">
        <v>172</v>
      </c>
      <c r="B72" s="528"/>
      <c r="C72" s="528"/>
      <c r="D72" s="528"/>
      <c r="E72" s="528"/>
      <c r="F72" s="528"/>
      <c r="G72" s="528"/>
      <c r="H72" s="528"/>
    </row>
    <row r="73" spans="1:8" x14ac:dyDescent="0.25">
      <c r="A73" s="528"/>
      <c r="B73" s="528"/>
      <c r="C73" s="528"/>
      <c r="D73" s="528"/>
      <c r="E73" s="528"/>
      <c r="F73" s="528"/>
      <c r="G73" s="528"/>
      <c r="H73" s="528"/>
    </row>
    <row r="74" spans="1:8" x14ac:dyDescent="0.25">
      <c r="A74" s="48"/>
      <c r="B74" s="48"/>
      <c r="C74" s="48"/>
      <c r="D74" s="48"/>
      <c r="E74" s="48"/>
      <c r="F74" s="48"/>
      <c r="G74" s="48"/>
      <c r="H74" s="48"/>
    </row>
    <row r="75" spans="1:8" x14ac:dyDescent="0.25">
      <c r="A75" s="528" t="s">
        <v>173</v>
      </c>
      <c r="B75" s="528"/>
      <c r="C75" s="528"/>
      <c r="D75" s="528"/>
      <c r="E75" s="528"/>
      <c r="F75" s="528"/>
      <c r="G75" s="528"/>
      <c r="H75" s="528"/>
    </row>
  </sheetData>
  <mergeCells count="18">
    <mergeCell ref="K5:M5"/>
    <mergeCell ref="O5:Q5"/>
    <mergeCell ref="A5:A6"/>
    <mergeCell ref="B5:B6"/>
    <mergeCell ref="C5:C6"/>
    <mergeCell ref="D5:D6"/>
    <mergeCell ref="E5:G5"/>
    <mergeCell ref="A75:H75"/>
    <mergeCell ref="A72:H73"/>
    <mergeCell ref="B7:D7"/>
    <mergeCell ref="C16:C17"/>
    <mergeCell ref="D16:D17"/>
    <mergeCell ref="E16:G16"/>
    <mergeCell ref="C38:C39"/>
    <mergeCell ref="D38:G38"/>
    <mergeCell ref="D27:G27"/>
    <mergeCell ref="D49:G49"/>
    <mergeCell ref="D60:G60"/>
  </mergeCells>
  <printOptions horizontalCentered="1"/>
  <pageMargins left="0.25" right="0.25" top="0.5" bottom="0.25" header="0.3" footer="0.3"/>
  <pageSetup scale="80" orientation="portrait" r:id="rId1"/>
  <rowBreaks count="1" manualBreakCount="1">
    <brk id="58" max="7"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pageSetUpPr fitToPage="1"/>
  </sheetPr>
  <dimension ref="A1:O71"/>
  <sheetViews>
    <sheetView topLeftCell="A8" zoomScaleNormal="100" workbookViewId="0">
      <selection activeCell="H39" sqref="H39"/>
    </sheetView>
  </sheetViews>
  <sheetFormatPr defaultColWidth="9" defaultRowHeight="15" x14ac:dyDescent="0.25"/>
  <cols>
    <col min="1" max="1" width="12.42578125" style="48" customWidth="1"/>
    <col min="2" max="2" width="13.5703125" style="48" customWidth="1"/>
    <col min="3" max="4" width="12.42578125" style="48" customWidth="1"/>
    <col min="5" max="5" width="12.28515625" style="48" bestFit="1" customWidth="1"/>
    <col min="6" max="6" width="12.5703125" style="48" bestFit="1" customWidth="1"/>
    <col min="7" max="7" width="9.7109375" style="48" bestFit="1" customWidth="1"/>
    <col min="8" max="8" width="10.140625" style="48" customWidth="1"/>
    <col min="9" max="9" width="10" style="48" bestFit="1" customWidth="1"/>
    <col min="10" max="10" width="49.42578125" style="48" customWidth="1"/>
    <col min="11" max="15" width="12.7109375" style="48" customWidth="1"/>
    <col min="16" max="16" width="7.7109375" style="48" bestFit="1" customWidth="1"/>
    <col min="17" max="17" width="7" style="48" bestFit="1" customWidth="1"/>
    <col min="18" max="18" width="7.7109375" style="48" bestFit="1" customWidth="1"/>
    <col min="19" max="19" width="7.85546875" style="48" bestFit="1" customWidth="1"/>
    <col min="20" max="21" width="8" style="48" bestFit="1" customWidth="1"/>
    <col min="22" max="22" width="7.85546875" style="48" bestFit="1" customWidth="1"/>
    <col min="23" max="23" width="10" style="48" bestFit="1" customWidth="1"/>
    <col min="24" max="16384" width="9" style="48"/>
  </cols>
  <sheetData>
    <row r="1" spans="1:11" ht="18.75" x14ac:dyDescent="0.3">
      <c r="A1" s="80" t="s">
        <v>19</v>
      </c>
      <c r="J1" s="237" t="str">
        <f>'FTES Planning'!J1</f>
        <v>FY 2019-20 Tentative Budget - V1</v>
      </c>
    </row>
    <row r="2" spans="1:11" ht="18.75" x14ac:dyDescent="0.3">
      <c r="A2" s="80" t="s">
        <v>139</v>
      </c>
    </row>
    <row r="3" spans="1:11" ht="6" customHeight="1" x14ac:dyDescent="0.3">
      <c r="A3" s="80"/>
    </row>
    <row r="4" spans="1:11" ht="15.75" x14ac:dyDescent="0.25">
      <c r="A4" s="221" t="s">
        <v>166</v>
      </c>
      <c r="B4" s="222"/>
      <c r="C4" s="222"/>
      <c r="D4" s="222"/>
      <c r="E4" s="222"/>
      <c r="F4" s="222"/>
      <c r="G4" s="222"/>
      <c r="I4" s="222"/>
      <c r="J4" s="222"/>
    </row>
    <row r="5" spans="1:11" x14ac:dyDescent="0.25">
      <c r="A5" s="48">
        <v>1</v>
      </c>
      <c r="B5" s="222" t="s">
        <v>234</v>
      </c>
      <c r="C5" s="222"/>
      <c r="D5" s="222"/>
      <c r="E5" s="222"/>
      <c r="F5" s="222"/>
      <c r="G5" s="222"/>
      <c r="H5" s="222"/>
      <c r="I5" s="222"/>
      <c r="J5" s="222"/>
    </row>
    <row r="6" spans="1:11" hidden="1" x14ac:dyDescent="0.25">
      <c r="A6" s="222">
        <v>2</v>
      </c>
      <c r="B6" s="222" t="s">
        <v>235</v>
      </c>
      <c r="C6" s="222"/>
      <c r="D6" s="222"/>
      <c r="E6" s="222"/>
      <c r="F6" s="222"/>
      <c r="G6" s="222"/>
      <c r="H6" s="222"/>
      <c r="I6" s="222"/>
      <c r="J6" s="222"/>
    </row>
    <row r="7" spans="1:11" hidden="1" x14ac:dyDescent="0.25">
      <c r="A7" s="222">
        <v>3</v>
      </c>
      <c r="B7" s="222" t="s">
        <v>236</v>
      </c>
      <c r="C7" s="222"/>
      <c r="D7" s="222"/>
      <c r="E7" s="222"/>
      <c r="F7" s="222"/>
      <c r="G7" s="222"/>
      <c r="H7" s="222"/>
      <c r="I7" s="222"/>
      <c r="J7" s="222"/>
    </row>
    <row r="8" spans="1:11" x14ac:dyDescent="0.25">
      <c r="A8" s="222">
        <v>2</v>
      </c>
      <c r="B8" s="222" t="s">
        <v>205</v>
      </c>
      <c r="C8" s="222"/>
      <c r="D8" s="222"/>
      <c r="E8" s="222"/>
      <c r="F8" s="222"/>
      <c r="I8" s="222"/>
      <c r="J8" s="222"/>
    </row>
    <row r="10" spans="1:11" ht="15" customHeight="1" x14ac:dyDescent="0.25">
      <c r="A10" s="526" t="s">
        <v>64</v>
      </c>
      <c r="B10" s="526"/>
      <c r="C10" s="526"/>
      <c r="D10" s="526"/>
      <c r="E10" s="526"/>
      <c r="F10" s="526"/>
      <c r="G10" s="526"/>
      <c r="H10" s="526"/>
      <c r="I10" s="526"/>
      <c r="J10" s="526"/>
    </row>
    <row r="11" spans="1:11" ht="45" x14ac:dyDescent="0.25">
      <c r="A11" s="182" t="s">
        <v>96</v>
      </c>
      <c r="B11" s="182" t="s">
        <v>210</v>
      </c>
      <c r="C11" s="183" t="s">
        <v>101</v>
      </c>
      <c r="D11" s="183" t="s">
        <v>102</v>
      </c>
      <c r="E11" s="182" t="s">
        <v>186</v>
      </c>
      <c r="F11" s="182" t="s">
        <v>268</v>
      </c>
      <c r="G11" s="183" t="s">
        <v>171</v>
      </c>
      <c r="H11" s="182" t="s">
        <v>111</v>
      </c>
      <c r="I11" s="183" t="s">
        <v>103</v>
      </c>
      <c r="J11" s="217" t="s">
        <v>167</v>
      </c>
    </row>
    <row r="12" spans="1:11" hidden="1" x14ac:dyDescent="0.25">
      <c r="A12" s="94" t="str">
        <f>'FTES Calculations'!A7</f>
        <v>16-17</v>
      </c>
      <c r="C12" s="169">
        <f>'FTES Calculations'!E7</f>
        <v>10270</v>
      </c>
      <c r="D12" s="169">
        <f>'FTES Calculations'!E18</f>
        <v>10504</v>
      </c>
      <c r="G12" s="169">
        <f>'FTES Calculations'!E40</f>
        <v>0</v>
      </c>
      <c r="H12" s="39">
        <f t="shared" ref="H12:H19" si="0">D12+G12</f>
        <v>10504</v>
      </c>
      <c r="I12" s="169">
        <f t="shared" ref="I12:I19" si="1">C12-H12</f>
        <v>-234</v>
      </c>
      <c r="K12" s="250">
        <f>C12/C34</f>
        <v>0.70773895665357311</v>
      </c>
    </row>
    <row r="13" spans="1:11" x14ac:dyDescent="0.25">
      <c r="A13" s="363" t="str">
        <f>'FTES Calculations'!A8</f>
        <v>17-18</v>
      </c>
      <c r="B13" s="364">
        <f>'FTES Calculations'!B8</f>
        <v>0</v>
      </c>
      <c r="C13" s="365">
        <f>'FTES Calculations'!E8</f>
        <v>10685</v>
      </c>
      <c r="D13" s="365">
        <f>'FTES Calculations'!E19</f>
        <v>10504</v>
      </c>
      <c r="E13" s="366">
        <f>IF('FTES Calculations'!C8&gt;B13,'FTES Calculations'!C8-B13,0)</f>
        <v>4.0408958130477117E-2</v>
      </c>
      <c r="F13" s="366">
        <f>(C13-C12)/C12</f>
        <v>4.0408958130477117E-2</v>
      </c>
      <c r="G13" s="365">
        <f>'FTES Calculations'!E41</f>
        <v>0</v>
      </c>
      <c r="H13" s="367">
        <f t="shared" si="0"/>
        <v>10504</v>
      </c>
      <c r="I13" s="365">
        <f t="shared" si="1"/>
        <v>181</v>
      </c>
      <c r="J13" s="368" t="s">
        <v>2420</v>
      </c>
      <c r="K13" s="250">
        <f t="shared" ref="K13:K19" si="2">C13/C35</f>
        <v>0.69946321026446712</v>
      </c>
    </row>
    <row r="14" spans="1:11" x14ac:dyDescent="0.25">
      <c r="A14" s="363" t="str">
        <f>'FTES Calculations'!A9</f>
        <v>18-19</v>
      </c>
      <c r="B14" s="364">
        <f>'FTES Calculations'!C9</f>
        <v>-3.7499999999999999E-2</v>
      </c>
      <c r="C14" s="365">
        <f>'FTES Calculations'!E9</f>
        <v>10284</v>
      </c>
      <c r="D14" s="365">
        <f>'FTES Calculations'!E20</f>
        <v>10284</v>
      </c>
      <c r="E14" s="366">
        <f>IF('FTES Calculations'!C9&gt;B14,'FTES Calculations'!C9-B14,0)</f>
        <v>0</v>
      </c>
      <c r="F14" s="366">
        <f t="shared" ref="F14:F15" si="3">(C14-C13)/C13</f>
        <v>-3.752924660739354E-2</v>
      </c>
      <c r="G14" s="365">
        <f>'FTES Calculations'!E42</f>
        <v>0</v>
      </c>
      <c r="H14" s="367">
        <f t="shared" si="0"/>
        <v>10284</v>
      </c>
      <c r="I14" s="365">
        <f t="shared" si="1"/>
        <v>0</v>
      </c>
      <c r="J14" s="369"/>
      <c r="K14" s="250">
        <f t="shared" si="2"/>
        <v>0.70322757111597378</v>
      </c>
    </row>
    <row r="15" spans="1:11" x14ac:dyDescent="0.25">
      <c r="A15" s="363" t="str">
        <f>'FTES Calculations'!A10</f>
        <v>19-20</v>
      </c>
      <c r="B15" s="364">
        <f>'FTES Calculations'!B10</f>
        <v>5.4999999999999997E-3</v>
      </c>
      <c r="C15" s="365">
        <f>'FTES Calculations'!E10</f>
        <v>10565</v>
      </c>
      <c r="D15" s="365">
        <f>'FTES Calculations'!E21</f>
        <v>10341</v>
      </c>
      <c r="E15" s="366">
        <f>IF('FTES Calculations'!C10&gt;B15,'FTES Calculations'!C10-B15,0)</f>
        <v>2.18E-2</v>
      </c>
      <c r="F15" s="366">
        <f t="shared" si="3"/>
        <v>2.7323998444185142E-2</v>
      </c>
      <c r="G15" s="365">
        <f>'FTES Calculations'!E43</f>
        <v>0</v>
      </c>
      <c r="H15" s="367">
        <f t="shared" si="0"/>
        <v>10341</v>
      </c>
      <c r="I15" s="365">
        <f t="shared" si="1"/>
        <v>224</v>
      </c>
      <c r="J15" s="368"/>
      <c r="K15" s="250">
        <f t="shared" si="2"/>
        <v>0.70320820021299257</v>
      </c>
    </row>
    <row r="16" spans="1:11" x14ac:dyDescent="0.25">
      <c r="A16" s="363" t="str">
        <f>'FTES Calculations'!A11</f>
        <v>20-21</v>
      </c>
      <c r="B16" s="364">
        <f>'FTES Calculations'!B11</f>
        <v>0.02</v>
      </c>
      <c r="C16" s="365">
        <f>'FTES Calculations'!E11</f>
        <v>10853</v>
      </c>
      <c r="D16" s="365">
        <f>'FTES Calculations'!E22</f>
        <v>10548</v>
      </c>
      <c r="E16" s="366">
        <f>IF('FTES Calculations'!C11&gt;B16,'FTES Calculations'!C11-B16,0)</f>
        <v>7.3000000000000009E-3</v>
      </c>
      <c r="F16" s="366">
        <f t="shared" ref="F16:F19" si="4">ROUND(((C16-C15)/C15),3)</f>
        <v>2.7E-2</v>
      </c>
      <c r="G16" s="365">
        <f>'FTES Calculations'!E44</f>
        <v>0</v>
      </c>
      <c r="H16" s="367">
        <f t="shared" si="0"/>
        <v>10548</v>
      </c>
      <c r="I16" s="365">
        <f t="shared" si="1"/>
        <v>305</v>
      </c>
      <c r="J16" s="370"/>
      <c r="K16" s="250">
        <f t="shared" si="2"/>
        <v>0.7031422092646582</v>
      </c>
    </row>
    <row r="17" spans="1:11" x14ac:dyDescent="0.25">
      <c r="A17" s="363" t="str">
        <f>'FTES Calculations'!A12</f>
        <v>21-22</v>
      </c>
      <c r="B17" s="364">
        <f>'FTES Calculations'!B12</f>
        <v>0.02</v>
      </c>
      <c r="C17" s="365">
        <f>'FTES Calculations'!E12</f>
        <v>11149</v>
      </c>
      <c r="D17" s="365">
        <f>'FTES Calculations'!E23</f>
        <v>10759</v>
      </c>
      <c r="E17" s="366">
        <f>IF('FTES Calculations'!C12&gt;B17,'FTES Calculations'!C12-B17,0)</f>
        <v>7.3000000000000009E-3</v>
      </c>
      <c r="F17" s="366">
        <f t="shared" si="4"/>
        <v>2.7E-2</v>
      </c>
      <c r="G17" s="365">
        <f>'FTES Calculations'!E45</f>
        <v>0</v>
      </c>
      <c r="H17" s="367">
        <f t="shared" si="0"/>
        <v>10759</v>
      </c>
      <c r="I17" s="365">
        <f t="shared" si="1"/>
        <v>390</v>
      </c>
      <c r="J17" s="368"/>
      <c r="K17" s="250">
        <f t="shared" si="2"/>
        <v>0.70309642429211072</v>
      </c>
    </row>
    <row r="18" spans="1:11" x14ac:dyDescent="0.25">
      <c r="A18" s="363" t="str">
        <f>'FTES Calculations'!A13</f>
        <v>22-23</v>
      </c>
      <c r="B18" s="364">
        <f>'FTES Calculations'!B13</f>
        <v>0.02</v>
      </c>
      <c r="C18" s="365">
        <f>'FTES Calculations'!E13</f>
        <v>11453</v>
      </c>
      <c r="D18" s="365">
        <f>'FTES Calculations'!E24</f>
        <v>10974</v>
      </c>
      <c r="E18" s="366">
        <f>IF('FTES Calculations'!C13&gt;B18,'FTES Calculations'!C13-B18,0)</f>
        <v>7.3000000000000009E-3</v>
      </c>
      <c r="F18" s="366">
        <f t="shared" si="4"/>
        <v>2.7E-2</v>
      </c>
      <c r="G18" s="365">
        <f>'FTES Calculations'!E46</f>
        <v>0</v>
      </c>
      <c r="H18" s="367">
        <f t="shared" si="0"/>
        <v>10974</v>
      </c>
      <c r="I18" s="365">
        <f t="shared" si="1"/>
        <v>479</v>
      </c>
      <c r="J18" s="368"/>
      <c r="K18" s="250">
        <f t="shared" si="2"/>
        <v>0.70306936771025164</v>
      </c>
    </row>
    <row r="19" spans="1:11" x14ac:dyDescent="0.25">
      <c r="A19" s="363" t="str">
        <f>'FTES Calculations'!A14</f>
        <v>23-24</v>
      </c>
      <c r="B19" s="364">
        <f>'FTES Calculations'!B14</f>
        <v>0.02</v>
      </c>
      <c r="C19" s="365">
        <f>'FTES Calculations'!E14</f>
        <v>11766</v>
      </c>
      <c r="D19" s="365">
        <f>'FTES Calculations'!E25</f>
        <v>11193</v>
      </c>
      <c r="E19" s="366">
        <f>IF('FTES Calculations'!C14&gt;B19,'FTES Calculations'!C14-B19,0)</f>
        <v>7.3000000000000009E-3</v>
      </c>
      <c r="F19" s="366">
        <f t="shared" si="4"/>
        <v>2.7E-2</v>
      </c>
      <c r="G19" s="365">
        <f>'FTES Calculations'!E47</f>
        <v>0</v>
      </c>
      <c r="H19" s="367">
        <f t="shared" si="0"/>
        <v>11193</v>
      </c>
      <c r="I19" s="365">
        <f t="shared" si="1"/>
        <v>573</v>
      </c>
      <c r="J19" s="368"/>
      <c r="K19" s="250">
        <f t="shared" si="2"/>
        <v>0.70303537284894835</v>
      </c>
    </row>
    <row r="21" spans="1:11" x14ac:dyDescent="0.25">
      <c r="A21" s="527" t="s">
        <v>65</v>
      </c>
      <c r="B21" s="527"/>
      <c r="C21" s="527"/>
      <c r="D21" s="527"/>
      <c r="E21" s="527"/>
      <c r="F21" s="527"/>
      <c r="G21" s="527"/>
      <c r="H21" s="527"/>
      <c r="I21" s="527"/>
      <c r="J21" s="527"/>
    </row>
    <row r="22" spans="1:11" ht="45" x14ac:dyDescent="0.25">
      <c r="A22" s="180" t="s">
        <v>96</v>
      </c>
      <c r="B22" s="181" t="str">
        <f>B11</f>
        <v>From State Growth
(Goal 1)</v>
      </c>
      <c r="C22" s="180" t="s">
        <v>101</v>
      </c>
      <c r="D22" s="180" t="s">
        <v>102</v>
      </c>
      <c r="E22" s="181" t="s">
        <v>187</v>
      </c>
      <c r="F22" s="181" t="s">
        <v>268</v>
      </c>
      <c r="G22" s="180" t="s">
        <v>171</v>
      </c>
      <c r="H22" s="181" t="s">
        <v>111</v>
      </c>
      <c r="I22" s="180" t="s">
        <v>103</v>
      </c>
      <c r="J22" s="218" t="s">
        <v>167</v>
      </c>
    </row>
    <row r="23" spans="1:11" hidden="1" x14ac:dyDescent="0.25">
      <c r="A23" s="94" t="str">
        <f>A12</f>
        <v>16-17</v>
      </c>
      <c r="C23" s="169">
        <f>'FTES Calculations'!F7</f>
        <v>4241</v>
      </c>
      <c r="D23" s="169">
        <f>'FTES Calculations'!F18</f>
        <v>4848</v>
      </c>
      <c r="G23" s="169">
        <f>'FTES Calculations'!F40</f>
        <v>0</v>
      </c>
      <c r="H23" s="39">
        <f t="shared" ref="H23:H30" si="5">D23+G23</f>
        <v>4848</v>
      </c>
      <c r="I23" s="169">
        <f t="shared" ref="I23:I30" si="6">C23-H23</f>
        <v>-607</v>
      </c>
      <c r="K23" s="250">
        <f>C23/C34</f>
        <v>0.29226104334642683</v>
      </c>
    </row>
    <row r="24" spans="1:11" x14ac:dyDescent="0.25">
      <c r="A24" s="363" t="str">
        <f t="shared" ref="A24:A30" si="7">A13</f>
        <v>17-18</v>
      </c>
      <c r="B24" s="364">
        <f>'FTES Calculations'!B8</f>
        <v>0</v>
      </c>
      <c r="C24" s="365">
        <f>'FTES Calculations'!F8</f>
        <v>4591</v>
      </c>
      <c r="D24" s="365">
        <f>'FTES Calculations'!F19</f>
        <v>4848</v>
      </c>
      <c r="E24" s="366">
        <f>IF('FTES Calculations'!D8&gt;B24,'FTES Calculations'!D8+-B24,0)</f>
        <v>8.2527705729780715E-2</v>
      </c>
      <c r="F24" s="366">
        <f>(C24-C23)/C23</f>
        <v>8.2527705729780715E-2</v>
      </c>
      <c r="G24" s="365">
        <f>'FTES Calculations'!F41</f>
        <v>0</v>
      </c>
      <c r="H24" s="367">
        <f t="shared" si="5"/>
        <v>4848</v>
      </c>
      <c r="I24" s="365">
        <f t="shared" si="6"/>
        <v>-257</v>
      </c>
      <c r="J24" s="368" t="str">
        <f>J13</f>
        <v>Stabilization Funding</v>
      </c>
      <c r="K24" s="250">
        <f t="shared" ref="K24:K30" si="8">C24/C35</f>
        <v>0.30053678973553288</v>
      </c>
    </row>
    <row r="25" spans="1:11" x14ac:dyDescent="0.25">
      <c r="A25" s="363" t="str">
        <f t="shared" si="7"/>
        <v>18-19</v>
      </c>
      <c r="B25" s="364">
        <f>'FTES Calculations'!D9</f>
        <v>-5.4600000000000003E-2</v>
      </c>
      <c r="C25" s="365">
        <f>'FTES Calculations'!F9</f>
        <v>4340</v>
      </c>
      <c r="D25" s="365">
        <f>'FTES Calculations'!F20</f>
        <v>4340</v>
      </c>
      <c r="E25" s="366">
        <f>IF('FTES Calculations'!D9&gt;B25,'FTES Calculations'!D9+-B25,0)</f>
        <v>0</v>
      </c>
      <c r="F25" s="366">
        <f t="shared" ref="F25:F26" si="9">(C25-C24)/C24</f>
        <v>-5.467218470921368E-2</v>
      </c>
      <c r="G25" s="365">
        <f>'FTES Calculations'!F42</f>
        <v>0</v>
      </c>
      <c r="H25" s="367">
        <f t="shared" si="5"/>
        <v>4340</v>
      </c>
      <c r="I25" s="365">
        <f t="shared" si="6"/>
        <v>0</v>
      </c>
      <c r="J25" s="369"/>
      <c r="K25" s="250">
        <f t="shared" si="8"/>
        <v>0.29677242888402627</v>
      </c>
    </row>
    <row r="26" spans="1:11" x14ac:dyDescent="0.25">
      <c r="A26" s="363" t="str">
        <f t="shared" si="7"/>
        <v>19-20</v>
      </c>
      <c r="B26" s="364">
        <f>'FTES Calculations'!B10</f>
        <v>5.4999999999999997E-3</v>
      </c>
      <c r="C26" s="365">
        <f>'FTES Calculations'!F10</f>
        <v>4459</v>
      </c>
      <c r="D26" s="365">
        <f>'FTES Calculations'!F21</f>
        <v>4458</v>
      </c>
      <c r="E26" s="366">
        <f>IF('FTES Calculations'!D10&gt;B26,'FTES Calculations'!D10+-B26,0)</f>
        <v>2.1999999999999999E-2</v>
      </c>
      <c r="F26" s="366">
        <f t="shared" si="9"/>
        <v>2.7419354838709678E-2</v>
      </c>
      <c r="G26" s="365">
        <f>'FTES Calculations'!F43</f>
        <v>0</v>
      </c>
      <c r="H26" s="367">
        <f t="shared" si="5"/>
        <v>4458</v>
      </c>
      <c r="I26" s="365">
        <f t="shared" si="6"/>
        <v>1</v>
      </c>
      <c r="J26" s="368"/>
      <c r="K26" s="250">
        <f t="shared" si="8"/>
        <v>0.29679179978700748</v>
      </c>
    </row>
    <row r="27" spans="1:11" x14ac:dyDescent="0.25">
      <c r="A27" s="363" t="str">
        <f t="shared" si="7"/>
        <v>20-21</v>
      </c>
      <c r="B27" s="364">
        <f>'FTES Calculations'!B11</f>
        <v>0.02</v>
      </c>
      <c r="C27" s="365">
        <f>'FTES Calculations'!F11</f>
        <v>4582</v>
      </c>
      <c r="D27" s="365">
        <f>'FTES Calculations'!F22</f>
        <v>4514</v>
      </c>
      <c r="E27" s="366">
        <f>IF('FTES Calculations'!D11&gt;B27,'FTES Calculations'!D11+-B27,0)</f>
        <v>7.4999999999999997E-3</v>
      </c>
      <c r="F27" s="366">
        <f>ROUND(((C27-C26)/C26),3)</f>
        <v>2.8000000000000001E-2</v>
      </c>
      <c r="G27" s="365">
        <f>'FTES Calculations'!F44</f>
        <v>0</v>
      </c>
      <c r="H27" s="367">
        <f t="shared" si="5"/>
        <v>4514</v>
      </c>
      <c r="I27" s="365">
        <f t="shared" si="6"/>
        <v>68</v>
      </c>
      <c r="J27" s="370"/>
      <c r="K27" s="250">
        <f t="shared" si="8"/>
        <v>0.29685779073534174</v>
      </c>
    </row>
    <row r="28" spans="1:11" x14ac:dyDescent="0.25">
      <c r="A28" s="363" t="str">
        <f t="shared" si="7"/>
        <v>21-22</v>
      </c>
      <c r="B28" s="364">
        <f>'FTES Calculations'!B12</f>
        <v>0.02</v>
      </c>
      <c r="C28" s="365">
        <f>'FTES Calculations'!F12</f>
        <v>4708</v>
      </c>
      <c r="D28" s="365">
        <f>'FTES Calculations'!F23</f>
        <v>4637</v>
      </c>
      <c r="E28" s="366">
        <f>IF('FTES Calculations'!D12&gt;B28,'FTES Calculations'!D12+-B28,0)</f>
        <v>7.4999999999999997E-3</v>
      </c>
      <c r="F28" s="366">
        <f t="shared" ref="F28:F30" si="10">ROUND(((C28-C27)/C27),3)</f>
        <v>2.7E-2</v>
      </c>
      <c r="G28" s="365">
        <f>'FTES Calculations'!F45</f>
        <v>0</v>
      </c>
      <c r="H28" s="367">
        <f t="shared" si="5"/>
        <v>4637</v>
      </c>
      <c r="I28" s="365">
        <f t="shared" si="6"/>
        <v>71</v>
      </c>
      <c r="J28" s="368"/>
      <c r="K28" s="250">
        <f t="shared" si="8"/>
        <v>0.29690357570788928</v>
      </c>
    </row>
    <row r="29" spans="1:11" x14ac:dyDescent="0.25">
      <c r="A29" s="363" t="str">
        <f t="shared" si="7"/>
        <v>22-23</v>
      </c>
      <c r="B29" s="364">
        <f>'FTES Calculations'!B13</f>
        <v>0.02</v>
      </c>
      <c r="C29" s="365">
        <f>'FTES Calculations'!F13</f>
        <v>4837</v>
      </c>
      <c r="D29" s="365">
        <f>'FTES Calculations'!F24</f>
        <v>4764</v>
      </c>
      <c r="E29" s="366">
        <f>IF('FTES Calculations'!D13&gt;B29,'FTES Calculations'!D13+-B29,0)</f>
        <v>7.4999999999999997E-3</v>
      </c>
      <c r="F29" s="366">
        <f t="shared" si="10"/>
        <v>2.7E-2</v>
      </c>
      <c r="G29" s="365">
        <f>'FTES Calculations'!F46</f>
        <v>0</v>
      </c>
      <c r="H29" s="367">
        <f t="shared" si="5"/>
        <v>4764</v>
      </c>
      <c r="I29" s="365">
        <f t="shared" si="6"/>
        <v>73</v>
      </c>
      <c r="J29" s="368"/>
      <c r="K29" s="250">
        <f t="shared" si="8"/>
        <v>0.29693063228974831</v>
      </c>
    </row>
    <row r="30" spans="1:11" x14ac:dyDescent="0.25">
      <c r="A30" s="363" t="str">
        <f t="shared" si="7"/>
        <v>23-24</v>
      </c>
      <c r="B30" s="364">
        <f>'FTES Calculations'!B14</f>
        <v>0.02</v>
      </c>
      <c r="C30" s="365">
        <f>'FTES Calculations'!F14</f>
        <v>4970</v>
      </c>
      <c r="D30" s="365">
        <f>'FTES Calculations'!F25</f>
        <v>4894</v>
      </c>
      <c r="E30" s="366">
        <f>IF('FTES Calculations'!D14&gt;B30,'FTES Calculations'!D14+-B30,0)</f>
        <v>7.4999999999999997E-3</v>
      </c>
      <c r="F30" s="366">
        <f t="shared" si="10"/>
        <v>2.7E-2</v>
      </c>
      <c r="G30" s="365">
        <f>'FTES Calculations'!F47</f>
        <v>0</v>
      </c>
      <c r="H30" s="367">
        <f t="shared" si="5"/>
        <v>4894</v>
      </c>
      <c r="I30" s="365">
        <f t="shared" si="6"/>
        <v>76</v>
      </c>
      <c r="J30" s="368"/>
      <c r="K30" s="250">
        <f t="shared" si="8"/>
        <v>0.29696462715105165</v>
      </c>
    </row>
    <row r="32" spans="1:11" ht="15" customHeight="1" x14ac:dyDescent="0.25">
      <c r="A32" s="525" t="s">
        <v>19</v>
      </c>
      <c r="B32" s="525"/>
      <c r="C32" s="525"/>
      <c r="D32" s="525"/>
      <c r="E32" s="525"/>
      <c r="F32" s="525"/>
      <c r="G32" s="525"/>
      <c r="H32" s="525"/>
      <c r="I32" s="525"/>
      <c r="J32" s="525"/>
    </row>
    <row r="33" spans="1:15" ht="45" x14ac:dyDescent="0.25">
      <c r="A33" s="166" t="s">
        <v>96</v>
      </c>
      <c r="B33" s="220" t="str">
        <f>B22</f>
        <v>From State Growth
(Goal 1)</v>
      </c>
      <c r="C33" s="166" t="s">
        <v>101</v>
      </c>
      <c r="D33" s="166" t="s">
        <v>102</v>
      </c>
      <c r="E33" s="220" t="s">
        <v>188</v>
      </c>
      <c r="F33" s="287" t="s">
        <v>268</v>
      </c>
      <c r="G33" s="166" t="s">
        <v>171</v>
      </c>
      <c r="H33" s="288" t="s">
        <v>111</v>
      </c>
      <c r="I33" s="166" t="s">
        <v>103</v>
      </c>
      <c r="J33" s="219" t="s">
        <v>167</v>
      </c>
    </row>
    <row r="34" spans="1:15" hidden="1" x14ac:dyDescent="0.25">
      <c r="A34" s="94" t="str">
        <f>A23</f>
        <v>16-17</v>
      </c>
      <c r="C34" s="169">
        <f t="shared" ref="C34:D38" si="11">C12+C23</f>
        <v>14511</v>
      </c>
      <c r="D34" s="169">
        <f t="shared" si="11"/>
        <v>15352</v>
      </c>
      <c r="G34" s="169">
        <f t="shared" ref="G34:G41" si="12">G12+G23</f>
        <v>0</v>
      </c>
      <c r="H34" s="39">
        <f t="shared" ref="H34:H41" si="13">D34+G34</f>
        <v>15352</v>
      </c>
      <c r="I34" s="169">
        <f t="shared" ref="I34:I41" si="14">C34-H34</f>
        <v>-841</v>
      </c>
    </row>
    <row r="35" spans="1:15" x14ac:dyDescent="0.25">
      <c r="A35" s="363" t="str">
        <f t="shared" ref="A35:A41" si="15">A24</f>
        <v>17-18</v>
      </c>
      <c r="B35" s="364">
        <f>'FTES Calculations'!B8</f>
        <v>0</v>
      </c>
      <c r="C35" s="365">
        <f t="shared" si="11"/>
        <v>15276</v>
      </c>
      <c r="D35" s="365">
        <f t="shared" si="11"/>
        <v>15352</v>
      </c>
      <c r="E35" s="366">
        <f>'FTES Calculations'!D41</f>
        <v>0</v>
      </c>
      <c r="F35" s="366">
        <f>(C35-C34)/C34</f>
        <v>5.2718627248294396E-2</v>
      </c>
      <c r="G35" s="365">
        <f t="shared" si="12"/>
        <v>0</v>
      </c>
      <c r="H35" s="367">
        <f t="shared" si="13"/>
        <v>15352</v>
      </c>
      <c r="I35" s="365">
        <f t="shared" si="14"/>
        <v>-76</v>
      </c>
      <c r="J35" s="368" t="str">
        <f>J24</f>
        <v>Stabilization Funding</v>
      </c>
      <c r="L35" s="48" t="s">
        <v>241</v>
      </c>
      <c r="M35" s="48" t="s">
        <v>242</v>
      </c>
    </row>
    <row r="36" spans="1:15" x14ac:dyDescent="0.25">
      <c r="A36" s="363" t="str">
        <f t="shared" si="15"/>
        <v>18-19</v>
      </c>
      <c r="B36" s="364">
        <f>'FTES Calculations'!B9</f>
        <v>1.54E-2</v>
      </c>
      <c r="C36" s="365">
        <f t="shared" si="11"/>
        <v>14624</v>
      </c>
      <c r="D36" s="365">
        <f t="shared" si="11"/>
        <v>14624</v>
      </c>
      <c r="E36" s="366">
        <f>'FTES Calculations'!D42</f>
        <v>0</v>
      </c>
      <c r="F36" s="366">
        <f t="shared" ref="F36:F37" si="16">(C36-C35)/C35</f>
        <v>-4.2681330191149516E-2</v>
      </c>
      <c r="G36" s="365">
        <f t="shared" si="12"/>
        <v>0</v>
      </c>
      <c r="H36" s="367">
        <f t="shared" si="13"/>
        <v>14624</v>
      </c>
      <c r="I36" s="365">
        <f t="shared" si="14"/>
        <v>0</v>
      </c>
      <c r="J36" s="369"/>
      <c r="L36" s="49">
        <f t="shared" ref="L36:L41" si="17">C36-C35</f>
        <v>-652</v>
      </c>
      <c r="M36" s="171">
        <f t="shared" ref="M36:M41" si="18">L36/C35</f>
        <v>-4.2681330191149516E-2</v>
      </c>
    </row>
    <row r="37" spans="1:15" x14ac:dyDescent="0.25">
      <c r="A37" s="363" t="str">
        <f t="shared" si="15"/>
        <v>19-20</v>
      </c>
      <c r="B37" s="364">
        <f>'FTES Calculations'!B10</f>
        <v>5.4999999999999997E-3</v>
      </c>
      <c r="C37" s="365">
        <f t="shared" si="11"/>
        <v>15024</v>
      </c>
      <c r="D37" s="365">
        <f t="shared" si="11"/>
        <v>14799</v>
      </c>
      <c r="E37" s="366">
        <f>'FTES Calculations'!D43</f>
        <v>0</v>
      </c>
      <c r="F37" s="366">
        <f t="shared" si="16"/>
        <v>2.7352297592997812E-2</v>
      </c>
      <c r="G37" s="365">
        <f t="shared" si="12"/>
        <v>0</v>
      </c>
      <c r="H37" s="367">
        <f t="shared" si="13"/>
        <v>14799</v>
      </c>
      <c r="I37" s="365">
        <f t="shared" si="14"/>
        <v>225</v>
      </c>
      <c r="J37" s="368"/>
      <c r="L37" s="49">
        <f t="shared" si="17"/>
        <v>400</v>
      </c>
      <c r="M37" s="171">
        <f t="shared" si="18"/>
        <v>2.7352297592997812E-2</v>
      </c>
    </row>
    <row r="38" spans="1:15" x14ac:dyDescent="0.25">
      <c r="A38" s="363" t="str">
        <f t="shared" si="15"/>
        <v>20-21</v>
      </c>
      <c r="B38" s="364">
        <f>'FTES Calculations'!B11</f>
        <v>0.02</v>
      </c>
      <c r="C38" s="365">
        <f t="shared" si="11"/>
        <v>15435</v>
      </c>
      <c r="D38" s="365">
        <f t="shared" si="11"/>
        <v>15062</v>
      </c>
      <c r="E38" s="366">
        <f>'FTES Calculations'!D44</f>
        <v>0</v>
      </c>
      <c r="F38" s="366">
        <f>ROUND(((C38-C37)/C37),3)</f>
        <v>2.7E-2</v>
      </c>
      <c r="G38" s="365">
        <f t="shared" si="12"/>
        <v>0</v>
      </c>
      <c r="H38" s="367">
        <f t="shared" si="13"/>
        <v>15062</v>
      </c>
      <c r="I38" s="365">
        <f t="shared" si="14"/>
        <v>373</v>
      </c>
      <c r="J38" s="370"/>
      <c r="L38" s="49">
        <f t="shared" si="17"/>
        <v>411</v>
      </c>
      <c r="M38" s="171">
        <f t="shared" si="18"/>
        <v>2.7356230031948883E-2</v>
      </c>
    </row>
    <row r="39" spans="1:15" x14ac:dyDescent="0.25">
      <c r="A39" s="363" t="str">
        <f t="shared" si="15"/>
        <v>21-22</v>
      </c>
      <c r="B39" s="364">
        <f>'FTES Calculations'!B12</f>
        <v>0.02</v>
      </c>
      <c r="C39" s="365">
        <f t="shared" ref="C39:D41" si="19">C17+C28</f>
        <v>15857</v>
      </c>
      <c r="D39" s="365">
        <f t="shared" si="19"/>
        <v>15396</v>
      </c>
      <c r="E39" s="366">
        <f>'FTES Calculations'!D45</f>
        <v>0</v>
      </c>
      <c r="F39" s="366">
        <f t="shared" ref="F39:F41" si="20">ROUND(((C39-C38)/C38),3)</f>
        <v>2.7E-2</v>
      </c>
      <c r="G39" s="365">
        <f t="shared" si="12"/>
        <v>0</v>
      </c>
      <c r="H39" s="367">
        <f t="shared" si="13"/>
        <v>15396</v>
      </c>
      <c r="I39" s="365">
        <f t="shared" si="14"/>
        <v>461</v>
      </c>
      <c r="J39" s="368"/>
      <c r="L39" s="49">
        <f t="shared" si="17"/>
        <v>422</v>
      </c>
      <c r="M39" s="171">
        <f t="shared" si="18"/>
        <v>2.7340459993521218E-2</v>
      </c>
    </row>
    <row r="40" spans="1:15" x14ac:dyDescent="0.25">
      <c r="A40" s="363" t="str">
        <f t="shared" si="15"/>
        <v>22-23</v>
      </c>
      <c r="B40" s="364">
        <f>'FTES Calculations'!B13</f>
        <v>0.02</v>
      </c>
      <c r="C40" s="365">
        <f t="shared" si="19"/>
        <v>16290</v>
      </c>
      <c r="D40" s="365">
        <f t="shared" si="19"/>
        <v>15738</v>
      </c>
      <c r="E40" s="366">
        <f>'FTES Calculations'!D46</f>
        <v>0</v>
      </c>
      <c r="F40" s="366">
        <f t="shared" si="20"/>
        <v>2.7E-2</v>
      </c>
      <c r="G40" s="365">
        <f t="shared" si="12"/>
        <v>0</v>
      </c>
      <c r="H40" s="367">
        <f t="shared" si="13"/>
        <v>15738</v>
      </c>
      <c r="I40" s="365">
        <f t="shared" si="14"/>
        <v>552</v>
      </c>
      <c r="J40" s="368"/>
      <c r="L40" s="49">
        <f t="shared" si="17"/>
        <v>433</v>
      </c>
      <c r="M40" s="171">
        <f t="shared" si="18"/>
        <v>2.7306552311282085E-2</v>
      </c>
    </row>
    <row r="41" spans="1:15" x14ac:dyDescent="0.25">
      <c r="A41" s="363" t="str">
        <f t="shared" si="15"/>
        <v>23-24</v>
      </c>
      <c r="B41" s="364">
        <f>'FTES Calculations'!B14</f>
        <v>0.02</v>
      </c>
      <c r="C41" s="365">
        <f t="shared" si="19"/>
        <v>16736</v>
      </c>
      <c r="D41" s="365">
        <f t="shared" si="19"/>
        <v>16087</v>
      </c>
      <c r="E41" s="366">
        <f>'FTES Calculations'!D47</f>
        <v>0</v>
      </c>
      <c r="F41" s="366">
        <f t="shared" si="20"/>
        <v>2.7E-2</v>
      </c>
      <c r="G41" s="365">
        <f t="shared" si="12"/>
        <v>0</v>
      </c>
      <c r="H41" s="367">
        <f t="shared" si="13"/>
        <v>16087</v>
      </c>
      <c r="I41" s="365">
        <f t="shared" si="14"/>
        <v>649</v>
      </c>
      <c r="J41" s="368"/>
      <c r="L41" s="49">
        <f t="shared" si="17"/>
        <v>446</v>
      </c>
      <c r="M41" s="171">
        <f t="shared" si="18"/>
        <v>2.7378759975445057E-2</v>
      </c>
    </row>
    <row r="42" spans="1:15" ht="12" customHeight="1" x14ac:dyDescent="0.25">
      <c r="A42" s="94"/>
      <c r="B42" s="170"/>
      <c r="C42" s="169"/>
      <c r="D42" s="169"/>
      <c r="E42" s="169"/>
      <c r="F42" s="169"/>
      <c r="G42" s="39"/>
      <c r="H42" s="169"/>
    </row>
    <row r="43" spans="1:15" x14ac:dyDescent="0.25">
      <c r="A43" s="203" t="s">
        <v>72</v>
      </c>
      <c r="B43" s="204"/>
      <c r="C43" s="205"/>
      <c r="D43" s="205"/>
      <c r="E43" s="205"/>
      <c r="F43" s="205"/>
      <c r="G43" s="206"/>
      <c r="H43" s="205"/>
      <c r="I43" s="203"/>
    </row>
    <row r="44" spans="1:15" ht="30" customHeight="1" x14ac:dyDescent="0.25">
      <c r="A44" s="528" t="s">
        <v>172</v>
      </c>
      <c r="B44" s="528"/>
      <c r="C44" s="528"/>
      <c r="D44" s="528"/>
      <c r="E44" s="528"/>
      <c r="F44" s="528"/>
      <c r="G44" s="528"/>
      <c r="H44" s="528"/>
      <c r="I44" s="528"/>
      <c r="J44" s="528"/>
    </row>
    <row r="45" spans="1:15" x14ac:dyDescent="0.25">
      <c r="A45" s="216" t="s">
        <v>173</v>
      </c>
      <c r="B45" s="216"/>
      <c r="C45" s="216"/>
      <c r="D45" s="216"/>
      <c r="E45" s="216"/>
      <c r="F45" s="216"/>
      <c r="G45" s="216"/>
      <c r="H45" s="216"/>
      <c r="I45" s="216"/>
      <c r="J45" s="216"/>
    </row>
    <row r="46" spans="1:15" x14ac:dyDescent="0.25">
      <c r="J46" s="94"/>
      <c r="K46" s="170"/>
      <c r="L46" s="169"/>
      <c r="M46" s="169"/>
      <c r="N46" s="169"/>
      <c r="O46" s="169"/>
    </row>
    <row r="71" spans="14:14" x14ac:dyDescent="0.25">
      <c r="N71" s="169"/>
    </row>
  </sheetData>
  <mergeCells count="4">
    <mergeCell ref="A10:J10"/>
    <mergeCell ref="A21:J21"/>
    <mergeCell ref="A32:J32"/>
    <mergeCell ref="A44:J44"/>
  </mergeCells>
  <printOptions horizontalCentered="1"/>
  <pageMargins left="0.25" right="0.25" top="0.25" bottom="0.5" header="0.3" footer="0.3"/>
  <pageSetup scale="78" orientation="landscape" r:id="rId1"/>
  <headerFooter>
    <oddFooter>Page &amp;P of &amp;N</oddFooter>
  </headerFooter>
  <rowBreaks count="2" manualBreakCount="2">
    <brk id="47" max="7" man="1"/>
    <brk id="105" max="7"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5"/>
  </sheetPr>
  <dimension ref="A1:N84"/>
  <sheetViews>
    <sheetView zoomScale="85" zoomScaleNormal="85" workbookViewId="0">
      <pane ySplit="8" topLeftCell="A9" activePane="bottomLeft" state="frozen"/>
      <selection pane="bottomLeft" activeCell="E60" sqref="E60"/>
    </sheetView>
  </sheetViews>
  <sheetFormatPr defaultColWidth="9.140625" defaultRowHeight="15" x14ac:dyDescent="0.25"/>
  <cols>
    <col min="1" max="1" width="9" style="48" customWidth="1"/>
    <col min="2" max="2" width="10.42578125" style="48" hidden="1" customWidth="1"/>
    <col min="3" max="3" width="15.42578125" style="48" customWidth="1"/>
    <col min="4" max="4" width="19.42578125" style="48" customWidth="1"/>
    <col min="5" max="10" width="17.140625" style="48" customWidth="1"/>
    <col min="11" max="11" width="9.140625" style="48"/>
    <col min="12" max="12" width="22.85546875" style="48" customWidth="1"/>
    <col min="13" max="13" width="12.5703125" style="48" bestFit="1" customWidth="1"/>
    <col min="14" max="14" width="14.28515625" style="48" bestFit="1" customWidth="1"/>
    <col min="15" max="16384" width="9.140625" style="48"/>
  </cols>
  <sheetData>
    <row r="1" spans="1:10" ht="21" x14ac:dyDescent="0.35">
      <c r="A1" s="38" t="s">
        <v>19</v>
      </c>
      <c r="J1" s="253" t="str">
        <f>Summary!M2</f>
        <v>FY 2019-20 Tentative Budget - V1</v>
      </c>
    </row>
    <row r="2" spans="1:10" ht="21" x14ac:dyDescent="0.35">
      <c r="A2" s="38" t="s">
        <v>47</v>
      </c>
      <c r="J2" s="137"/>
    </row>
    <row r="3" spans="1:10" ht="14.25" customHeight="1" x14ac:dyDescent="0.35">
      <c r="A3" s="38"/>
      <c r="J3" s="137"/>
    </row>
    <row r="4" spans="1:10" ht="15" customHeight="1" x14ac:dyDescent="0.35">
      <c r="A4" s="192" t="s">
        <v>166</v>
      </c>
      <c r="J4" s="137"/>
    </row>
    <row r="5" spans="1:10" ht="21" x14ac:dyDescent="0.35">
      <c r="A5" s="225">
        <f>'FTES Summary Page'!A5</f>
        <v>1</v>
      </c>
      <c r="B5" s="224" t="str">
        <f>'FTES Summary Page'!B5</f>
        <v>Budget State growth to both colleges for growth and financial stability</v>
      </c>
      <c r="C5" s="224" t="str">
        <f>'FTES Summary Page'!B5</f>
        <v>Budget State growth to both colleges for growth and financial stability</v>
      </c>
      <c r="J5" s="137"/>
    </row>
    <row r="6" spans="1:10" ht="21" x14ac:dyDescent="0.35">
      <c r="A6" s="225">
        <f>'FTES Summary Page'!A6</f>
        <v>2</v>
      </c>
      <c r="B6" s="224" t="str">
        <f>'FTES Summary Page'!B6</f>
        <v>Provide Crafton additional growth to achieve financial stability</v>
      </c>
      <c r="C6" s="224" t="str">
        <f>'FTES Summary Page'!B6</f>
        <v>Provide Crafton additional growth to achieve financial stability</v>
      </c>
      <c r="D6" s="222"/>
      <c r="E6" s="222"/>
      <c r="F6" s="223"/>
      <c r="G6" s="222"/>
      <c r="J6" s="137"/>
    </row>
    <row r="7" spans="1:10" ht="21" x14ac:dyDescent="0.35">
      <c r="A7" s="225">
        <f>'FTES Summary Page'!A7</f>
        <v>3</v>
      </c>
      <c r="B7" s="224" t="str">
        <f>'FTES Summary Page'!B7</f>
        <v>Provide Valley additional growth to maintain financial stability</v>
      </c>
      <c r="C7" s="224" t="str">
        <f>'FTES Summary Page'!B7</f>
        <v>Provide Valley additional growth to maintain financial stability</v>
      </c>
      <c r="D7" s="222"/>
      <c r="E7" s="222"/>
      <c r="F7" s="223"/>
      <c r="G7" s="222"/>
      <c r="J7" s="137"/>
    </row>
    <row r="8" spans="1:10" ht="21.75" thickBot="1" x14ac:dyDescent="0.4">
      <c r="A8" s="225">
        <f>'FTES Summary Page'!A8</f>
        <v>2</v>
      </c>
      <c r="B8" s="224" t="str">
        <f>'FTES Summary Page'!B8</f>
        <v>Distribution of FTES are recommended to Chancellor's Cabinet by District Budget Committtee</v>
      </c>
      <c r="C8" s="224" t="str">
        <f>'FTES Summary Page'!B8</f>
        <v>Distribution of FTES are recommended to Chancellor's Cabinet by District Budget Committtee</v>
      </c>
      <c r="D8" s="222"/>
      <c r="E8" s="222"/>
      <c r="F8" s="223"/>
      <c r="G8" s="222"/>
      <c r="J8" s="137"/>
    </row>
    <row r="9" spans="1:10" ht="18.75" x14ac:dyDescent="0.3">
      <c r="A9" s="226" t="s">
        <v>48</v>
      </c>
      <c r="B9" s="227"/>
      <c r="C9" s="227"/>
      <c r="D9" s="227"/>
      <c r="E9" s="227"/>
      <c r="F9" s="227"/>
      <c r="G9" s="227"/>
      <c r="H9" s="227"/>
      <c r="I9" s="227"/>
      <c r="J9" s="227"/>
    </row>
    <row r="10" spans="1:10" ht="30" x14ac:dyDescent="0.25">
      <c r="A10" s="118" t="s">
        <v>49</v>
      </c>
      <c r="B10" s="119"/>
      <c r="C10" s="208"/>
      <c r="D10" s="139" t="s">
        <v>114</v>
      </c>
      <c r="E10" s="208" t="s">
        <v>115</v>
      </c>
      <c r="F10" s="139" t="s">
        <v>116</v>
      </c>
      <c r="G10" s="208" t="s">
        <v>117</v>
      </c>
      <c r="H10" s="139" t="s">
        <v>2395</v>
      </c>
      <c r="I10" s="208" t="s">
        <v>2396</v>
      </c>
      <c r="J10" s="139" t="s">
        <v>2515</v>
      </c>
    </row>
    <row r="11" spans="1:10" x14ac:dyDescent="0.25">
      <c r="A11" s="190" t="s">
        <v>18</v>
      </c>
      <c r="B11" s="191"/>
      <c r="C11" s="184"/>
      <c r="D11" s="184">
        <f>'FTES Calculations'!B9</f>
        <v>1.54E-2</v>
      </c>
      <c r="E11" s="184">
        <f>'FTES Calculations'!C9</f>
        <v>-3.7499999999999999E-2</v>
      </c>
      <c r="F11" s="184">
        <f>'FTES Calculations'!C10</f>
        <v>2.7300000000000001E-2</v>
      </c>
      <c r="G11" s="184">
        <f>'FTES Calculations'!C11</f>
        <v>2.7300000000000001E-2</v>
      </c>
      <c r="H11" s="184">
        <f>'FTES Calculations'!C12</f>
        <v>2.7300000000000001E-2</v>
      </c>
      <c r="I11" s="184">
        <f>'FTES Calculations'!C13</f>
        <v>2.7300000000000001E-2</v>
      </c>
      <c r="J11" s="184">
        <f>'FTES Calculations'!C14</f>
        <v>2.7300000000000001E-2</v>
      </c>
    </row>
    <row r="12" spans="1:10" ht="15.75" thickBot="1" x14ac:dyDescent="0.3">
      <c r="A12" s="188" t="s">
        <v>17</v>
      </c>
      <c r="B12" s="189"/>
      <c r="C12" s="185"/>
      <c r="D12" s="185">
        <f>'FTES Calculations'!C9</f>
        <v>-3.7499999999999999E-2</v>
      </c>
      <c r="E12" s="185">
        <f>'FTES Calculations'!D9</f>
        <v>-5.4600000000000003E-2</v>
      </c>
      <c r="F12" s="185">
        <f>'FTES Calculations'!D10</f>
        <v>2.75E-2</v>
      </c>
      <c r="G12" s="185">
        <f>'FTES Calculations'!D11</f>
        <v>2.75E-2</v>
      </c>
      <c r="H12" s="185">
        <f>'FTES Calculations'!D12</f>
        <v>2.75E-2</v>
      </c>
      <c r="I12" s="185">
        <f>'FTES Calculations'!D13</f>
        <v>2.75E-2</v>
      </c>
      <c r="J12" s="185">
        <f>'FTES Calculations'!D14</f>
        <v>2.75E-2</v>
      </c>
    </row>
    <row r="13" spans="1:10" ht="15.75" thickTop="1" x14ac:dyDescent="0.25">
      <c r="A13" s="186" t="s">
        <v>38</v>
      </c>
      <c r="B13" s="187"/>
      <c r="C13" s="160"/>
      <c r="D13" s="160">
        <f>D23/C18</f>
        <v>5.2718627248294396E-2</v>
      </c>
      <c r="E13" s="160">
        <f>E23/D18</f>
        <v>-4.2681330191149516E-2</v>
      </c>
      <c r="F13" s="160">
        <f t="shared" ref="F13:J13" si="0">F23/E18</f>
        <v>2.7352297592997812E-2</v>
      </c>
      <c r="G13" s="160">
        <f t="shared" si="0"/>
        <v>2.7356230031948883E-2</v>
      </c>
      <c r="H13" s="160">
        <f t="shared" si="0"/>
        <v>2.7340459993521218E-2</v>
      </c>
      <c r="I13" s="160">
        <f t="shared" si="0"/>
        <v>2.7306552311282085E-2</v>
      </c>
      <c r="J13" s="160">
        <f t="shared" si="0"/>
        <v>2.7378759975445057E-2</v>
      </c>
    </row>
    <row r="15" spans="1:10" ht="30" x14ac:dyDescent="0.25">
      <c r="A15" s="82" t="s">
        <v>49</v>
      </c>
      <c r="B15" s="148" t="s">
        <v>78</v>
      </c>
      <c r="C15" s="209" t="s">
        <v>2528</v>
      </c>
      <c r="D15" s="139" t="str">
        <f>D10</f>
        <v>FY 17-18
Growth Target</v>
      </c>
      <c r="E15" s="208" t="str">
        <f>E10</f>
        <v>FY 18-19
Growth Target</v>
      </c>
      <c r="F15" s="139" t="str">
        <f t="shared" ref="F15:J15" si="1">F10</f>
        <v>FY 19-20
Growth Target</v>
      </c>
      <c r="G15" s="208" t="str">
        <f t="shared" si="1"/>
        <v>FY 20-21
Growth Target</v>
      </c>
      <c r="H15" s="139" t="str">
        <f t="shared" si="1"/>
        <v>FY 21-22
Growth Target</v>
      </c>
      <c r="I15" s="208" t="str">
        <f t="shared" si="1"/>
        <v>FY 22-23
Growth Target</v>
      </c>
      <c r="J15" s="139" t="str">
        <f t="shared" si="1"/>
        <v>FY 23-24
Growth Target</v>
      </c>
    </row>
    <row r="16" spans="1:10" x14ac:dyDescent="0.25">
      <c r="A16" s="83" t="s">
        <v>18</v>
      </c>
      <c r="B16" s="84">
        <v>9410.4599999999991</v>
      </c>
      <c r="C16" s="197">
        <f>'FTES Calculations'!E7</f>
        <v>10270</v>
      </c>
      <c r="D16" s="84">
        <f>'FTES Calculations'!E8</f>
        <v>10685</v>
      </c>
      <c r="E16" s="84">
        <f>'FTES Calculations'!E9</f>
        <v>10284</v>
      </c>
      <c r="F16" s="84">
        <f>'FTES Calculations'!E10</f>
        <v>10565</v>
      </c>
      <c r="G16" s="84">
        <f>'FTES Calculations'!E11</f>
        <v>10853</v>
      </c>
      <c r="H16" s="84">
        <f>'FTES Calculations'!E12</f>
        <v>11149</v>
      </c>
      <c r="I16" s="84">
        <f>'FTES Calculations'!E13</f>
        <v>11453</v>
      </c>
      <c r="J16" s="84">
        <f>'FTES Calculations'!E14</f>
        <v>11766</v>
      </c>
    </row>
    <row r="17" spans="1:10" ht="15.75" thickBot="1" x14ac:dyDescent="0.3">
      <c r="A17" s="85" t="s">
        <v>17</v>
      </c>
      <c r="B17" s="86">
        <v>3830.16</v>
      </c>
      <c r="C17" s="198">
        <f>'FTES Calculations'!F7</f>
        <v>4241</v>
      </c>
      <c r="D17" s="86">
        <f>'FTES Calculations'!F8</f>
        <v>4591</v>
      </c>
      <c r="E17" s="86">
        <f>'FTES Calculations'!F9</f>
        <v>4340</v>
      </c>
      <c r="F17" s="86">
        <f>'FTES Calculations'!F10</f>
        <v>4459</v>
      </c>
      <c r="G17" s="86">
        <f>'FTES Calculations'!F11</f>
        <v>4582</v>
      </c>
      <c r="H17" s="86">
        <f>'FTES Calculations'!F12</f>
        <v>4708</v>
      </c>
      <c r="I17" s="86">
        <f>'FTES Calculations'!F13</f>
        <v>4837</v>
      </c>
      <c r="J17" s="86">
        <f>'FTES Calculations'!F14</f>
        <v>4970</v>
      </c>
    </row>
    <row r="18" spans="1:10" ht="15.75" thickTop="1" x14ac:dyDescent="0.25">
      <c r="A18" s="87" t="s">
        <v>38</v>
      </c>
      <c r="B18" s="88">
        <f>SUM(B16:B17)</f>
        <v>13240.619999999999</v>
      </c>
      <c r="C18" s="199">
        <f t="shared" ref="C18:J18" si="2">SUM(C16:C17)</f>
        <v>14511</v>
      </c>
      <c r="D18" s="88">
        <f t="shared" si="2"/>
        <v>15276</v>
      </c>
      <c r="E18" s="88">
        <f t="shared" si="2"/>
        <v>14624</v>
      </c>
      <c r="F18" s="88">
        <f t="shared" si="2"/>
        <v>15024</v>
      </c>
      <c r="G18" s="88">
        <f t="shared" si="2"/>
        <v>15435</v>
      </c>
      <c r="H18" s="88">
        <f t="shared" si="2"/>
        <v>15857</v>
      </c>
      <c r="I18" s="88">
        <f t="shared" si="2"/>
        <v>16290</v>
      </c>
      <c r="J18" s="88">
        <f t="shared" si="2"/>
        <v>16736</v>
      </c>
    </row>
    <row r="19" spans="1:10" x14ac:dyDescent="0.25">
      <c r="A19" s="89"/>
      <c r="B19" s="90"/>
      <c r="C19" s="90"/>
      <c r="D19" s="90"/>
      <c r="E19" s="90"/>
      <c r="F19" s="90"/>
      <c r="G19" s="90"/>
      <c r="H19" s="90"/>
      <c r="I19" s="90"/>
      <c r="J19" s="90"/>
    </row>
    <row r="20" spans="1:10" ht="30" x14ac:dyDescent="0.25">
      <c r="A20" s="118" t="s">
        <v>49</v>
      </c>
      <c r="B20" s="119"/>
      <c r="C20" s="208"/>
      <c r="D20" s="139" t="s">
        <v>126</v>
      </c>
      <c r="E20" s="208" t="s">
        <v>127</v>
      </c>
      <c r="F20" s="139" t="s">
        <v>128</v>
      </c>
      <c r="G20" s="208" t="s">
        <v>129</v>
      </c>
      <c r="H20" s="139" t="s">
        <v>2397</v>
      </c>
      <c r="I20" s="208" t="s">
        <v>2398</v>
      </c>
      <c r="J20" s="139" t="s">
        <v>2517</v>
      </c>
    </row>
    <row r="21" spans="1:10" x14ac:dyDescent="0.25">
      <c r="A21" s="190" t="s">
        <v>18</v>
      </c>
      <c r="B21" s="191"/>
      <c r="C21" s="84"/>
      <c r="D21" s="84">
        <f>D16-C16</f>
        <v>415</v>
      </c>
      <c r="E21" s="84">
        <f>E16-D16</f>
        <v>-401</v>
      </c>
      <c r="F21" s="84">
        <f t="shared" ref="F21:J22" si="3">F16-E16</f>
        <v>281</v>
      </c>
      <c r="G21" s="84">
        <f t="shared" si="3"/>
        <v>288</v>
      </c>
      <c r="H21" s="84">
        <f t="shared" si="3"/>
        <v>296</v>
      </c>
      <c r="I21" s="84">
        <f t="shared" si="3"/>
        <v>304</v>
      </c>
      <c r="J21" s="84">
        <f t="shared" si="3"/>
        <v>313</v>
      </c>
    </row>
    <row r="22" spans="1:10" ht="15.75" thickBot="1" x14ac:dyDescent="0.3">
      <c r="A22" s="188" t="s">
        <v>17</v>
      </c>
      <c r="B22" s="189"/>
      <c r="C22" s="86"/>
      <c r="D22" s="86">
        <f>D17-C17</f>
        <v>350</v>
      </c>
      <c r="E22" s="86">
        <f>E17-D17</f>
        <v>-251</v>
      </c>
      <c r="F22" s="86">
        <f t="shared" si="3"/>
        <v>119</v>
      </c>
      <c r="G22" s="86">
        <f t="shared" si="3"/>
        <v>123</v>
      </c>
      <c r="H22" s="86">
        <f t="shared" si="3"/>
        <v>126</v>
      </c>
      <c r="I22" s="86">
        <f t="shared" si="3"/>
        <v>129</v>
      </c>
      <c r="J22" s="86">
        <f t="shared" si="3"/>
        <v>133</v>
      </c>
    </row>
    <row r="23" spans="1:10" ht="15.75" thickTop="1" x14ac:dyDescent="0.25">
      <c r="A23" s="186" t="s">
        <v>38</v>
      </c>
      <c r="B23" s="187"/>
      <c r="C23" s="88"/>
      <c r="D23" s="88">
        <f t="shared" ref="D23" si="4">SUM(D21:D22)</f>
        <v>765</v>
      </c>
      <c r="E23" s="88">
        <f t="shared" ref="E23:J23" si="5">SUM(E21:E22)</f>
        <v>-652</v>
      </c>
      <c r="F23" s="88">
        <f t="shared" si="5"/>
        <v>400</v>
      </c>
      <c r="G23" s="88">
        <f t="shared" si="5"/>
        <v>411</v>
      </c>
      <c r="H23" s="88">
        <f t="shared" si="5"/>
        <v>422</v>
      </c>
      <c r="I23" s="88">
        <f t="shared" si="5"/>
        <v>433</v>
      </c>
      <c r="J23" s="88">
        <f t="shared" si="5"/>
        <v>446</v>
      </c>
    </row>
    <row r="24" spans="1:10" ht="15.75" thickBot="1" x14ac:dyDescent="0.3">
      <c r="A24" s="79"/>
      <c r="B24" s="79"/>
      <c r="C24" s="159"/>
      <c r="D24" s="79"/>
      <c r="E24" s="159"/>
      <c r="F24" s="159"/>
      <c r="G24" s="159"/>
      <c r="H24" s="159"/>
      <c r="I24" s="159"/>
      <c r="J24" s="159"/>
    </row>
    <row r="25" spans="1:10" ht="18.75" x14ac:dyDescent="0.3">
      <c r="A25" s="80" t="s">
        <v>185</v>
      </c>
      <c r="B25" s="81"/>
      <c r="C25" s="81"/>
      <c r="D25" s="81"/>
      <c r="E25" s="81"/>
      <c r="F25" s="81"/>
      <c r="G25" s="81"/>
      <c r="H25" s="81"/>
      <c r="I25" s="81"/>
      <c r="J25" s="81"/>
    </row>
    <row r="26" spans="1:10" ht="30" x14ac:dyDescent="0.25">
      <c r="A26" s="118" t="s">
        <v>49</v>
      </c>
      <c r="B26" s="119"/>
      <c r="C26" s="208"/>
      <c r="D26" s="139" t="s">
        <v>118</v>
      </c>
      <c r="E26" s="208" t="s">
        <v>119</v>
      </c>
      <c r="F26" s="139" t="s">
        <v>120</v>
      </c>
      <c r="G26" s="208" t="s">
        <v>121</v>
      </c>
      <c r="H26" s="139" t="s">
        <v>2399</v>
      </c>
      <c r="I26" s="208" t="s">
        <v>2400</v>
      </c>
      <c r="J26" s="139" t="s">
        <v>2518</v>
      </c>
    </row>
    <row r="27" spans="1:10" x14ac:dyDescent="0.25">
      <c r="A27" s="190" t="s">
        <v>18</v>
      </c>
      <c r="B27" s="191"/>
      <c r="C27" s="184"/>
      <c r="D27" s="184">
        <f t="shared" ref="D27:E29" si="6">D37/C32</f>
        <v>0</v>
      </c>
      <c r="E27" s="184">
        <f t="shared" si="6"/>
        <v>-2.0944402132520943E-2</v>
      </c>
      <c r="F27" s="184">
        <f t="shared" ref="F27:J27" si="7">F37/E32</f>
        <v>5.5425904317386232E-3</v>
      </c>
      <c r="G27" s="184">
        <f t="shared" si="7"/>
        <v>2.0017406440382943E-2</v>
      </c>
      <c r="H27" s="184">
        <f t="shared" si="7"/>
        <v>2.0003792188092531E-2</v>
      </c>
      <c r="I27" s="184">
        <f t="shared" si="7"/>
        <v>1.9983269820615299E-2</v>
      </c>
      <c r="J27" s="184">
        <f t="shared" si="7"/>
        <v>1.9956260251503554E-2</v>
      </c>
    </row>
    <row r="28" spans="1:10" ht="15.75" thickBot="1" x14ac:dyDescent="0.3">
      <c r="A28" s="188" t="s">
        <v>17</v>
      </c>
      <c r="B28" s="189"/>
      <c r="C28" s="185"/>
      <c r="D28" s="185">
        <f t="shared" si="6"/>
        <v>0</v>
      </c>
      <c r="E28" s="185">
        <f t="shared" si="6"/>
        <v>-0.10478547854785479</v>
      </c>
      <c r="F28" s="185">
        <f t="shared" ref="F28:J28" si="8">F38/E33</f>
        <v>1.2442396313364055E-2</v>
      </c>
      <c r="G28" s="185">
        <f t="shared" si="8"/>
        <v>2.7309968138370506E-2</v>
      </c>
      <c r="H28" s="185">
        <f t="shared" si="8"/>
        <v>2.724856003544528E-2</v>
      </c>
      <c r="I28" s="185">
        <f t="shared" si="8"/>
        <v>2.7388397670907914E-2</v>
      </c>
      <c r="J28" s="185">
        <f t="shared" si="8"/>
        <v>2.7287993282955499E-2</v>
      </c>
    </row>
    <row r="29" spans="1:10" ht="15.75" thickTop="1" x14ac:dyDescent="0.25">
      <c r="A29" s="186" t="s">
        <v>38</v>
      </c>
      <c r="B29" s="187"/>
      <c r="C29" s="160"/>
      <c r="D29" s="160">
        <f t="shared" si="6"/>
        <v>0</v>
      </c>
      <c r="E29" s="160">
        <f t="shared" si="6"/>
        <v>-4.7420531526836895E-2</v>
      </c>
      <c r="F29" s="160">
        <f t="shared" ref="F29:J29" si="9">F39/E34</f>
        <v>7.5902625820568927E-3</v>
      </c>
      <c r="G29" s="160">
        <f t="shared" si="9"/>
        <v>2.2192059721750933E-2</v>
      </c>
      <c r="H29" s="160">
        <f t="shared" si="9"/>
        <v>2.2175009958836808E-2</v>
      </c>
      <c r="I29" s="160">
        <f t="shared" si="9"/>
        <v>2.2213561964146533E-2</v>
      </c>
      <c r="J29" s="160">
        <f t="shared" si="9"/>
        <v>2.2175625873681534E-2</v>
      </c>
    </row>
    <row r="30" spans="1:10" x14ac:dyDescent="0.25">
      <c r="B30" s="49"/>
      <c r="C30" s="91"/>
      <c r="E30" s="91"/>
      <c r="F30" s="91"/>
      <c r="G30" s="91"/>
      <c r="H30" s="91"/>
      <c r="I30" s="91"/>
      <c r="J30" s="91"/>
    </row>
    <row r="31" spans="1:10" ht="30" x14ac:dyDescent="0.25">
      <c r="A31" s="118" t="s">
        <v>49</v>
      </c>
      <c r="B31" s="119"/>
      <c r="C31" s="209" t="s">
        <v>2528</v>
      </c>
      <c r="D31" s="139" t="s">
        <v>122</v>
      </c>
      <c r="E31" s="208" t="s">
        <v>123</v>
      </c>
      <c r="F31" s="139" t="s">
        <v>124</v>
      </c>
      <c r="G31" s="208" t="s">
        <v>125</v>
      </c>
      <c r="H31" s="139" t="s">
        <v>2402</v>
      </c>
      <c r="I31" s="208" t="s">
        <v>2401</v>
      </c>
      <c r="J31" s="139" t="s">
        <v>2519</v>
      </c>
    </row>
    <row r="32" spans="1:10" x14ac:dyDescent="0.25">
      <c r="A32" s="190" t="s">
        <v>18</v>
      </c>
      <c r="B32" s="191"/>
      <c r="C32" s="197">
        <f>'FTES Calculations'!E51</f>
        <v>10504</v>
      </c>
      <c r="D32" s="84">
        <f>'FTES Calculations'!E52</f>
        <v>10504</v>
      </c>
      <c r="E32" s="84">
        <f>'FTES Calculations'!E53</f>
        <v>10284</v>
      </c>
      <c r="F32" s="84">
        <f>'FTES Calculations'!E54</f>
        <v>10341</v>
      </c>
      <c r="G32" s="84">
        <f>'FTES Calculations'!E55</f>
        <v>10548</v>
      </c>
      <c r="H32" s="84">
        <f>'FTES Calculations'!E56</f>
        <v>10759</v>
      </c>
      <c r="I32" s="84">
        <f>'FTES Calculations'!E57</f>
        <v>10974</v>
      </c>
      <c r="J32" s="84">
        <f>'FTES Calculations'!E58</f>
        <v>11193</v>
      </c>
    </row>
    <row r="33" spans="1:10" ht="15.75" thickBot="1" x14ac:dyDescent="0.3">
      <c r="A33" s="188" t="s">
        <v>17</v>
      </c>
      <c r="B33" s="189"/>
      <c r="C33" s="198">
        <f>'FTES Calculations'!F51</f>
        <v>4848</v>
      </c>
      <c r="D33" s="86">
        <f>'FTES Calculations'!F52</f>
        <v>4848</v>
      </c>
      <c r="E33" s="86">
        <f>'FTES Calculations'!F53</f>
        <v>4340</v>
      </c>
      <c r="F33" s="86">
        <f>'FTES Calculations'!F54</f>
        <v>4394</v>
      </c>
      <c r="G33" s="86">
        <f>'FTES Calculations'!F55</f>
        <v>4514</v>
      </c>
      <c r="H33" s="86">
        <f>'FTES Calculations'!F56</f>
        <v>4637</v>
      </c>
      <c r="I33" s="86">
        <f>'FTES Calculations'!F57</f>
        <v>4764</v>
      </c>
      <c r="J33" s="86">
        <f>'FTES Calculations'!F58</f>
        <v>4894</v>
      </c>
    </row>
    <row r="34" spans="1:10" ht="15.75" thickTop="1" x14ac:dyDescent="0.25">
      <c r="A34" s="186" t="s">
        <v>38</v>
      </c>
      <c r="B34" s="187"/>
      <c r="C34" s="199">
        <f t="shared" ref="C34:D34" si="10">SUM(C32:C33)</f>
        <v>15352</v>
      </c>
      <c r="D34" s="88">
        <f t="shared" si="10"/>
        <v>15352</v>
      </c>
      <c r="E34" s="88">
        <f t="shared" ref="E34" si="11">SUM(E32:E33)</f>
        <v>14624</v>
      </c>
      <c r="F34" s="88">
        <f t="shared" ref="F34:J34" si="12">SUM(F32:F33)</f>
        <v>14735</v>
      </c>
      <c r="G34" s="88">
        <f t="shared" si="12"/>
        <v>15062</v>
      </c>
      <c r="H34" s="88">
        <f t="shared" si="12"/>
        <v>15396</v>
      </c>
      <c r="I34" s="88">
        <f t="shared" si="12"/>
        <v>15738</v>
      </c>
      <c r="J34" s="88">
        <f t="shared" si="12"/>
        <v>16087</v>
      </c>
    </row>
    <row r="35" spans="1:10" x14ac:dyDescent="0.25">
      <c r="C35" s="90"/>
      <c r="D35" s="90"/>
      <c r="E35" s="90"/>
      <c r="F35" s="90"/>
      <c r="G35" s="90"/>
      <c r="H35" s="90"/>
      <c r="I35" s="90"/>
      <c r="J35" s="90"/>
    </row>
    <row r="36" spans="1:10" ht="30" x14ac:dyDescent="0.25">
      <c r="A36" s="118" t="s">
        <v>49</v>
      </c>
      <c r="B36" s="119"/>
      <c r="C36" s="208"/>
      <c r="D36" s="139" t="s">
        <v>126</v>
      </c>
      <c r="E36" s="208" t="s">
        <v>127</v>
      </c>
      <c r="F36" s="139" t="s">
        <v>128</v>
      </c>
      <c r="G36" s="208" t="s">
        <v>129</v>
      </c>
      <c r="H36" s="139" t="s">
        <v>2397</v>
      </c>
      <c r="I36" s="208" t="s">
        <v>2398</v>
      </c>
      <c r="J36" s="139" t="s">
        <v>2517</v>
      </c>
    </row>
    <row r="37" spans="1:10" x14ac:dyDescent="0.25">
      <c r="A37" s="190" t="s">
        <v>18</v>
      </c>
      <c r="B37" s="191"/>
      <c r="C37" s="84"/>
      <c r="D37" s="84">
        <f>D32-C32</f>
        <v>0</v>
      </c>
      <c r="E37" s="84">
        <f>E32-D32</f>
        <v>-220</v>
      </c>
      <c r="F37" s="84">
        <f t="shared" ref="F37:J38" si="13">F32-E32</f>
        <v>57</v>
      </c>
      <c r="G37" s="84">
        <f t="shared" si="13"/>
        <v>207</v>
      </c>
      <c r="H37" s="84">
        <f t="shared" si="13"/>
        <v>211</v>
      </c>
      <c r="I37" s="84">
        <f t="shared" si="13"/>
        <v>215</v>
      </c>
      <c r="J37" s="84">
        <f t="shared" si="13"/>
        <v>219</v>
      </c>
    </row>
    <row r="38" spans="1:10" ht="15.75" thickBot="1" x14ac:dyDescent="0.3">
      <c r="A38" s="188" t="s">
        <v>17</v>
      </c>
      <c r="B38" s="189"/>
      <c r="C38" s="86"/>
      <c r="D38" s="86">
        <f>D33-C33</f>
        <v>0</v>
      </c>
      <c r="E38" s="86">
        <f>E33-D33</f>
        <v>-508</v>
      </c>
      <c r="F38" s="86">
        <f t="shared" si="13"/>
        <v>54</v>
      </c>
      <c r="G38" s="86">
        <f t="shared" si="13"/>
        <v>120</v>
      </c>
      <c r="H38" s="86">
        <f t="shared" si="13"/>
        <v>123</v>
      </c>
      <c r="I38" s="86">
        <f t="shared" si="13"/>
        <v>127</v>
      </c>
      <c r="J38" s="86">
        <f t="shared" si="13"/>
        <v>130</v>
      </c>
    </row>
    <row r="39" spans="1:10" ht="15.75" thickTop="1" x14ac:dyDescent="0.25">
      <c r="A39" s="186" t="s">
        <v>38</v>
      </c>
      <c r="B39" s="187"/>
      <c r="C39" s="88"/>
      <c r="D39" s="88">
        <f t="shared" ref="D39" si="14">SUM(D37:D38)</f>
        <v>0</v>
      </c>
      <c r="E39" s="88">
        <f t="shared" ref="E39:J39" si="15">SUM(E37:E38)</f>
        <v>-728</v>
      </c>
      <c r="F39" s="88">
        <f t="shared" si="15"/>
        <v>111</v>
      </c>
      <c r="G39" s="88">
        <f t="shared" si="15"/>
        <v>327</v>
      </c>
      <c r="H39" s="88">
        <f t="shared" si="15"/>
        <v>334</v>
      </c>
      <c r="I39" s="88">
        <f t="shared" si="15"/>
        <v>342</v>
      </c>
      <c r="J39" s="88">
        <f t="shared" si="15"/>
        <v>349</v>
      </c>
    </row>
    <row r="40" spans="1:10" ht="15.75" thickBot="1" x14ac:dyDescent="0.3">
      <c r="A40" s="79"/>
      <c r="B40" s="79"/>
      <c r="C40" s="79"/>
      <c r="D40" s="79"/>
      <c r="E40" s="79"/>
      <c r="F40" s="79"/>
      <c r="G40" s="79"/>
      <c r="H40" s="79"/>
      <c r="I40" s="79"/>
      <c r="J40" s="79"/>
    </row>
    <row r="41" spans="1:10" ht="18.75" x14ac:dyDescent="0.3">
      <c r="A41" s="80" t="s">
        <v>50</v>
      </c>
      <c r="B41" s="81"/>
      <c r="C41" s="81"/>
      <c r="D41" s="81"/>
      <c r="E41" s="81"/>
      <c r="F41" s="81"/>
      <c r="G41" s="81"/>
      <c r="H41" s="81"/>
      <c r="I41" s="81"/>
      <c r="J41" s="81"/>
    </row>
    <row r="42" spans="1:10" ht="30" x14ac:dyDescent="0.25">
      <c r="A42" s="118" t="s">
        <v>49</v>
      </c>
      <c r="B42" s="119"/>
      <c r="C42" s="208"/>
      <c r="D42" s="139" t="s">
        <v>130</v>
      </c>
      <c r="E42" s="208" t="s">
        <v>131</v>
      </c>
      <c r="F42" s="139" t="s">
        <v>132</v>
      </c>
      <c r="G42" s="208" t="s">
        <v>133</v>
      </c>
      <c r="H42" s="139" t="s">
        <v>2403</v>
      </c>
      <c r="I42" s="208" t="s">
        <v>2404</v>
      </c>
      <c r="J42" s="139" t="s">
        <v>2520</v>
      </c>
    </row>
    <row r="43" spans="1:10" x14ac:dyDescent="0.25">
      <c r="A43" s="190" t="s">
        <v>18</v>
      </c>
      <c r="B43" s="191"/>
      <c r="C43" s="84"/>
      <c r="D43" s="84">
        <f t="shared" ref="D43:J44" si="16">D16-D32</f>
        <v>181</v>
      </c>
      <c r="E43" s="84">
        <f t="shared" si="16"/>
        <v>0</v>
      </c>
      <c r="F43" s="84">
        <f t="shared" si="16"/>
        <v>224</v>
      </c>
      <c r="G43" s="84">
        <f t="shared" si="16"/>
        <v>305</v>
      </c>
      <c r="H43" s="92">
        <f t="shared" si="16"/>
        <v>390</v>
      </c>
      <c r="I43" s="84">
        <f t="shared" si="16"/>
        <v>479</v>
      </c>
      <c r="J43" s="92">
        <f t="shared" si="16"/>
        <v>573</v>
      </c>
    </row>
    <row r="44" spans="1:10" ht="15.75" thickBot="1" x14ac:dyDescent="0.3">
      <c r="A44" s="188" t="s">
        <v>17</v>
      </c>
      <c r="B44" s="189"/>
      <c r="C44" s="86"/>
      <c r="D44" s="86">
        <f t="shared" si="16"/>
        <v>-257</v>
      </c>
      <c r="E44" s="86">
        <f t="shared" si="16"/>
        <v>0</v>
      </c>
      <c r="F44" s="86">
        <f t="shared" si="16"/>
        <v>65</v>
      </c>
      <c r="G44" s="86">
        <f t="shared" si="16"/>
        <v>68</v>
      </c>
      <c r="H44" s="93">
        <f t="shared" si="16"/>
        <v>71</v>
      </c>
      <c r="I44" s="86">
        <f t="shared" si="16"/>
        <v>73</v>
      </c>
      <c r="J44" s="93">
        <f t="shared" si="16"/>
        <v>76</v>
      </c>
    </row>
    <row r="45" spans="1:10" ht="15.75" thickTop="1" x14ac:dyDescent="0.25">
      <c r="A45" s="186" t="s">
        <v>38</v>
      </c>
      <c r="B45" s="187"/>
      <c r="C45" s="88"/>
      <c r="D45" s="88">
        <f t="shared" ref="D45:J45" si="17">SUM(D43:D44)</f>
        <v>-76</v>
      </c>
      <c r="E45" s="88">
        <f t="shared" si="17"/>
        <v>0</v>
      </c>
      <c r="F45" s="88">
        <f t="shared" si="17"/>
        <v>289</v>
      </c>
      <c r="G45" s="88">
        <f t="shared" si="17"/>
        <v>373</v>
      </c>
      <c r="H45" s="88">
        <f t="shared" si="17"/>
        <v>461</v>
      </c>
      <c r="I45" s="88">
        <f t="shared" si="17"/>
        <v>552</v>
      </c>
      <c r="J45" s="88">
        <f t="shared" si="17"/>
        <v>649</v>
      </c>
    </row>
    <row r="46" spans="1:10" x14ac:dyDescent="0.25">
      <c r="A46" s="195"/>
      <c r="B46" s="195"/>
      <c r="C46" s="193"/>
      <c r="D46" s="193"/>
      <c r="E46" s="193"/>
      <c r="F46" s="196" t="s">
        <v>87</v>
      </c>
      <c r="G46" s="193">
        <v>0</v>
      </c>
      <c r="H46" s="194">
        <v>0</v>
      </c>
      <c r="I46" s="193">
        <v>0</v>
      </c>
      <c r="J46" s="194">
        <v>0</v>
      </c>
    </row>
    <row r="47" spans="1:10" x14ac:dyDescent="0.25">
      <c r="A47" s="120"/>
      <c r="B47" s="120"/>
      <c r="C47" s="90"/>
      <c r="D47" s="90"/>
      <c r="E47" s="90"/>
      <c r="F47" s="90"/>
      <c r="G47" s="90"/>
      <c r="H47" s="90"/>
      <c r="I47" s="90"/>
      <c r="J47" s="90"/>
    </row>
    <row r="48" spans="1:10" ht="45" x14ac:dyDescent="0.25">
      <c r="A48" s="118" t="s">
        <v>49</v>
      </c>
      <c r="B48" s="119"/>
      <c r="C48" s="208"/>
      <c r="D48" s="139" t="s">
        <v>134</v>
      </c>
      <c r="E48" s="208" t="s">
        <v>135</v>
      </c>
      <c r="F48" s="139" t="s">
        <v>136</v>
      </c>
      <c r="G48" s="208" t="s">
        <v>137</v>
      </c>
      <c r="H48" s="139" t="s">
        <v>2405</v>
      </c>
      <c r="I48" s="208" t="s">
        <v>2406</v>
      </c>
      <c r="J48" s="139" t="s">
        <v>2521</v>
      </c>
    </row>
    <row r="49" spans="1:14" x14ac:dyDescent="0.25">
      <c r="A49" s="190" t="s">
        <v>18</v>
      </c>
      <c r="B49" s="191"/>
      <c r="C49" s="140"/>
      <c r="D49" s="96">
        <f>D43*$F$64</f>
        <v>211046</v>
      </c>
      <c r="E49" s="96">
        <f>E43*$F$64</f>
        <v>0</v>
      </c>
      <c r="F49" s="96">
        <f>F43*F64</f>
        <v>261184</v>
      </c>
      <c r="G49" s="96">
        <f>G43*G64</f>
        <v>366298.9</v>
      </c>
      <c r="H49" s="96">
        <f>H43*H64</f>
        <v>481496.90159999998</v>
      </c>
      <c r="I49" s="96">
        <f>I43*I64</f>
        <v>610064.47581481608</v>
      </c>
      <c r="J49" s="96">
        <f>J43*J64</f>
        <v>752846.05447301327</v>
      </c>
      <c r="L49" s="243"/>
      <c r="M49" s="49"/>
      <c r="N49" s="244"/>
    </row>
    <row r="50" spans="1:14" ht="15.75" thickBot="1" x14ac:dyDescent="0.3">
      <c r="A50" s="188" t="s">
        <v>17</v>
      </c>
      <c r="B50" s="189"/>
      <c r="C50" s="141"/>
      <c r="D50" s="97">
        <f>D44*$F$64</f>
        <v>-299662</v>
      </c>
      <c r="E50" s="97">
        <f>E44*F64</f>
        <v>0</v>
      </c>
      <c r="F50" s="97">
        <f>F44*F64</f>
        <v>75790</v>
      </c>
      <c r="G50" s="97">
        <f>G44*G64</f>
        <v>81666.64</v>
      </c>
      <c r="H50" s="97">
        <f>H44*H64</f>
        <v>87657.128240000005</v>
      </c>
      <c r="I50" s="97">
        <f>I44*I64</f>
        <v>92974.335562592009</v>
      </c>
      <c r="J50" s="97">
        <f>J44*J64</f>
        <v>99853.926945809784</v>
      </c>
      <c r="L50" s="257"/>
      <c r="M50" s="257"/>
      <c r="N50" s="244"/>
    </row>
    <row r="51" spans="1:14" ht="15.75" thickTop="1" x14ac:dyDescent="0.25">
      <c r="A51" s="186" t="s">
        <v>38</v>
      </c>
      <c r="B51" s="187"/>
      <c r="C51" s="142"/>
      <c r="D51" s="98">
        <f t="shared" ref="D51" si="18">SUM(D49:D50)</f>
        <v>-88616</v>
      </c>
      <c r="E51" s="98">
        <f t="shared" ref="E51:J51" si="19">SUM(E49:E50)</f>
        <v>0</v>
      </c>
      <c r="F51" s="98">
        <f t="shared" si="19"/>
        <v>336974</v>
      </c>
      <c r="G51" s="98">
        <f t="shared" si="19"/>
        <v>447965.54000000004</v>
      </c>
      <c r="H51" s="98">
        <f t="shared" si="19"/>
        <v>569154.02983999997</v>
      </c>
      <c r="I51" s="98">
        <f t="shared" si="19"/>
        <v>703038.8113774081</v>
      </c>
      <c r="J51" s="98">
        <f t="shared" si="19"/>
        <v>852699.98141882301</v>
      </c>
      <c r="L51" s="257"/>
      <c r="M51" s="257"/>
      <c r="N51" s="244"/>
    </row>
    <row r="52" spans="1:14" x14ac:dyDescent="0.25">
      <c r="A52" s="195"/>
      <c r="B52" s="195"/>
      <c r="C52" s="193"/>
      <c r="D52" s="193"/>
      <c r="E52" s="193"/>
      <c r="F52" s="196" t="s">
        <v>88</v>
      </c>
      <c r="G52" s="193">
        <v>0</v>
      </c>
      <c r="H52" s="194">
        <v>0</v>
      </c>
      <c r="I52" s="193">
        <v>0</v>
      </c>
      <c r="J52" s="194">
        <v>0</v>
      </c>
      <c r="L52" s="243"/>
      <c r="M52" s="49"/>
      <c r="N52" s="250"/>
    </row>
    <row r="53" spans="1:14" ht="15.75" thickBot="1" x14ac:dyDescent="0.3">
      <c r="A53" s="79"/>
      <c r="B53" s="79"/>
      <c r="C53" s="79"/>
      <c r="D53" s="79"/>
      <c r="E53" s="79"/>
      <c r="F53" s="79"/>
      <c r="G53" s="79"/>
      <c r="H53" s="79"/>
      <c r="I53" s="79"/>
      <c r="J53" s="79"/>
    </row>
    <row r="54" spans="1:14" ht="18.75" x14ac:dyDescent="0.3">
      <c r="A54" s="80" t="s">
        <v>59</v>
      </c>
      <c r="B54" s="81"/>
      <c r="C54" s="81"/>
      <c r="D54" s="81"/>
      <c r="E54" s="81"/>
      <c r="F54" s="81"/>
      <c r="G54" s="81"/>
      <c r="H54" s="81"/>
      <c r="I54" s="81"/>
      <c r="J54" s="81"/>
      <c r="L54" s="169"/>
      <c r="N54" s="169"/>
    </row>
    <row r="55" spans="1:14" x14ac:dyDescent="0.25">
      <c r="A55" s="89" t="s">
        <v>250</v>
      </c>
      <c r="L55" s="169"/>
      <c r="N55" s="169"/>
    </row>
    <row r="56" spans="1:14" x14ac:dyDescent="0.25">
      <c r="A56" s="89"/>
      <c r="D56" s="48" t="s">
        <v>249</v>
      </c>
      <c r="E56" s="78">
        <v>2.7099999999999999E-2</v>
      </c>
      <c r="F56" s="78">
        <v>3.2599999999999997E-2</v>
      </c>
      <c r="G56" s="78">
        <v>0.03</v>
      </c>
      <c r="H56" s="78">
        <v>2.8000000000000001E-2</v>
      </c>
      <c r="I56" s="78">
        <v>3.1600000000000003E-2</v>
      </c>
      <c r="J56" s="78">
        <f t="shared" ref="I56:J57" si="20">I56</f>
        <v>3.1600000000000003E-2</v>
      </c>
      <c r="L56" s="169"/>
      <c r="N56" s="169"/>
    </row>
    <row r="57" spans="1:14" x14ac:dyDescent="0.25">
      <c r="A57" s="89"/>
      <c r="D57" s="48" t="s">
        <v>251</v>
      </c>
      <c r="E57" s="78">
        <v>4.4600000000000001E-2</v>
      </c>
      <c r="F57" s="78">
        <v>0.01</v>
      </c>
      <c r="G57" s="78">
        <v>0.01</v>
      </c>
      <c r="H57" s="78">
        <v>0.01</v>
      </c>
      <c r="I57" s="78">
        <f t="shared" si="20"/>
        <v>0.01</v>
      </c>
      <c r="J57" s="78">
        <f t="shared" si="20"/>
        <v>0.01</v>
      </c>
      <c r="L57" s="169"/>
      <c r="N57" s="169"/>
    </row>
    <row r="58" spans="1:14" x14ac:dyDescent="0.25">
      <c r="B58" s="89"/>
      <c r="C58" s="95" t="s">
        <v>51</v>
      </c>
      <c r="D58" s="95">
        <v>5005.7510673476372</v>
      </c>
      <c r="E58" s="95">
        <f>(D58*(1+E56))*(1+E57)</f>
        <v>5370.7136699615221</v>
      </c>
      <c r="F58" s="95">
        <f>(E58*(1+F56))*(1+F57)</f>
        <v>5601.2569249582903</v>
      </c>
      <c r="G58" s="95">
        <f t="shared" ref="G58:J58" si="21">(F58*(1+G56))*(1+G57)</f>
        <v>5826.9875790341102</v>
      </c>
      <c r="H58" s="95">
        <f t="shared" si="21"/>
        <v>6050.0446635595363</v>
      </c>
      <c r="I58" s="95">
        <f t="shared" si="21"/>
        <v>6303.6383356772976</v>
      </c>
      <c r="J58" s="95">
        <f t="shared" si="21"/>
        <v>6567.8616401555482</v>
      </c>
      <c r="N58" s="169"/>
    </row>
    <row r="59" spans="1:14" ht="30" x14ac:dyDescent="0.25">
      <c r="A59" s="118" t="s">
        <v>49</v>
      </c>
      <c r="B59" s="119"/>
      <c r="C59" s="208"/>
      <c r="D59" s="119"/>
      <c r="E59" s="208" t="s">
        <v>79</v>
      </c>
      <c r="F59" s="139" t="s">
        <v>80</v>
      </c>
      <c r="G59" s="208" t="s">
        <v>89</v>
      </c>
      <c r="H59" s="139" t="s">
        <v>2407</v>
      </c>
      <c r="I59" s="208" t="s">
        <v>2408</v>
      </c>
      <c r="J59" s="139" t="s">
        <v>2522</v>
      </c>
    </row>
    <row r="60" spans="1:14" x14ac:dyDescent="0.25">
      <c r="A60" s="190" t="s">
        <v>18</v>
      </c>
      <c r="B60" s="191"/>
      <c r="C60" s="96"/>
      <c r="D60" s="96"/>
      <c r="E60" s="96">
        <f t="shared" ref="E60:J60" si="22">E58*E37</f>
        <v>-1181557.0073915347</v>
      </c>
      <c r="F60" s="96">
        <f t="shared" si="22"/>
        <v>319271.64472262253</v>
      </c>
      <c r="G60" s="96">
        <f t="shared" si="22"/>
        <v>1206186.4288600609</v>
      </c>
      <c r="H60" s="96">
        <f t="shared" si="22"/>
        <v>1276559.4240110621</v>
      </c>
      <c r="I60" s="96">
        <f t="shared" si="22"/>
        <v>1355282.2421706191</v>
      </c>
      <c r="J60" s="96">
        <f t="shared" si="22"/>
        <v>1438361.6991940651</v>
      </c>
    </row>
    <row r="61" spans="1:14" ht="15.75" thickBot="1" x14ac:dyDescent="0.3">
      <c r="A61" s="188" t="s">
        <v>17</v>
      </c>
      <c r="B61" s="189"/>
      <c r="C61" s="97"/>
      <c r="D61" s="97"/>
      <c r="E61" s="97">
        <f t="shared" ref="E61:J61" si="23">E58*E38</f>
        <v>-2728322.5443404531</v>
      </c>
      <c r="F61" s="97">
        <f t="shared" si="23"/>
        <v>302467.87394774769</v>
      </c>
      <c r="G61" s="97">
        <f t="shared" si="23"/>
        <v>699238.50948409317</v>
      </c>
      <c r="H61" s="97">
        <f t="shared" si="23"/>
        <v>744155.493617823</v>
      </c>
      <c r="I61" s="97">
        <f t="shared" si="23"/>
        <v>800562.06863101677</v>
      </c>
      <c r="J61" s="97">
        <f t="shared" si="23"/>
        <v>853822.01322022127</v>
      </c>
    </row>
    <row r="62" spans="1:14" ht="15.75" thickTop="1" x14ac:dyDescent="0.25">
      <c r="A62" s="186" t="s">
        <v>38</v>
      </c>
      <c r="B62" s="187"/>
      <c r="C62" s="98"/>
      <c r="D62" s="98"/>
      <c r="E62" s="98">
        <f t="shared" ref="E62" si="24">SUM(E60:E61)</f>
        <v>-3909879.5517319879</v>
      </c>
      <c r="F62" s="98">
        <f t="shared" ref="F62:J62" si="25">SUM(F60:F61)</f>
        <v>621739.51867037022</v>
      </c>
      <c r="G62" s="98">
        <f t="shared" si="25"/>
        <v>1905424.938344154</v>
      </c>
      <c r="H62" s="98">
        <f t="shared" si="25"/>
        <v>2020714.9176288852</v>
      </c>
      <c r="I62" s="98">
        <f t="shared" si="25"/>
        <v>2155844.310801636</v>
      </c>
      <c r="J62" s="98">
        <f t="shared" si="25"/>
        <v>2292183.7124142861</v>
      </c>
    </row>
    <row r="63" spans="1:14" x14ac:dyDescent="0.25">
      <c r="C63" s="99"/>
      <c r="D63" s="89"/>
      <c r="E63" s="99"/>
      <c r="F63" s="99"/>
      <c r="G63" s="99"/>
      <c r="H63" s="99"/>
      <c r="I63" s="99"/>
      <c r="J63" s="99"/>
    </row>
    <row r="64" spans="1:14" x14ac:dyDescent="0.25">
      <c r="A64" s="89" t="s">
        <v>165</v>
      </c>
      <c r="C64" s="95"/>
      <c r="E64" s="100">
        <f>1060*1.1</f>
        <v>1166</v>
      </c>
      <c r="F64" s="100">
        <f>1060*1.1</f>
        <v>1166</v>
      </c>
      <c r="G64" s="100">
        <f>F64*(1+G56)</f>
        <v>1200.98</v>
      </c>
      <c r="H64" s="100">
        <f>G64*(1+H56)</f>
        <v>1234.60744</v>
      </c>
      <c r="I64" s="100">
        <f>H64*(1+I56)</f>
        <v>1273.6210351040002</v>
      </c>
      <c r="J64" s="100">
        <f>I64*(1+J56)</f>
        <v>1313.8674598132866</v>
      </c>
    </row>
    <row r="65" spans="1:10" x14ac:dyDescent="0.25">
      <c r="A65" s="210" t="s">
        <v>155</v>
      </c>
      <c r="C65" s="95"/>
    </row>
    <row r="66" spans="1:10" ht="30" x14ac:dyDescent="0.25">
      <c r="A66" s="118" t="s">
        <v>49</v>
      </c>
      <c r="B66" s="119"/>
      <c r="C66" s="208"/>
      <c r="D66" s="139" t="s">
        <v>156</v>
      </c>
      <c r="E66" s="208" t="s">
        <v>157</v>
      </c>
      <c r="F66" s="139" t="s">
        <v>158</v>
      </c>
      <c r="G66" s="208" t="s">
        <v>159</v>
      </c>
      <c r="H66" s="139" t="s">
        <v>2409</v>
      </c>
      <c r="I66" s="208" t="s">
        <v>2410</v>
      </c>
      <c r="J66" s="139" t="s">
        <v>2523</v>
      </c>
    </row>
    <row r="67" spans="1:10" x14ac:dyDescent="0.25">
      <c r="A67" s="190" t="s">
        <v>18</v>
      </c>
      <c r="B67" s="191"/>
      <c r="C67" s="84"/>
      <c r="D67" s="84"/>
      <c r="E67" s="213">
        <v>0</v>
      </c>
      <c r="F67" s="213">
        <f>F37</f>
        <v>57</v>
      </c>
      <c r="G67" s="213">
        <f t="shared" ref="G67:J67" si="26">G37</f>
        <v>207</v>
      </c>
      <c r="H67" s="213">
        <f t="shared" si="26"/>
        <v>211</v>
      </c>
      <c r="I67" s="213">
        <f t="shared" si="26"/>
        <v>215</v>
      </c>
      <c r="J67" s="213">
        <f t="shared" si="26"/>
        <v>219</v>
      </c>
    </row>
    <row r="68" spans="1:10" ht="15.75" thickBot="1" x14ac:dyDescent="0.3">
      <c r="A68" s="212" t="s">
        <v>17</v>
      </c>
      <c r="B68" s="189"/>
      <c r="C68" s="86"/>
      <c r="D68" s="86"/>
      <c r="E68" s="213">
        <v>0</v>
      </c>
      <c r="F68" s="213">
        <f>F38</f>
        <v>54</v>
      </c>
      <c r="G68" s="213">
        <f t="shared" ref="G68:J68" si="27">G38</f>
        <v>120</v>
      </c>
      <c r="H68" s="213">
        <f t="shared" si="27"/>
        <v>123</v>
      </c>
      <c r="I68" s="213">
        <f t="shared" si="27"/>
        <v>127</v>
      </c>
      <c r="J68" s="213">
        <f t="shared" si="27"/>
        <v>130</v>
      </c>
    </row>
    <row r="69" spans="1:10" ht="15.75" thickTop="1" x14ac:dyDescent="0.25">
      <c r="A69" s="211"/>
      <c r="B69" s="211"/>
      <c r="C69" s="90"/>
      <c r="D69" s="90"/>
      <c r="E69" s="90"/>
      <c r="F69" s="90"/>
      <c r="G69" s="90"/>
      <c r="H69" s="90"/>
      <c r="I69" s="90"/>
      <c r="J69" s="90"/>
    </row>
    <row r="70" spans="1:10" x14ac:dyDescent="0.25">
      <c r="A70" s="210" t="s">
        <v>160</v>
      </c>
      <c r="C70" s="95"/>
      <c r="E70" s="95"/>
    </row>
    <row r="71" spans="1:10" ht="30" x14ac:dyDescent="0.25">
      <c r="A71" s="118" t="s">
        <v>49</v>
      </c>
      <c r="B71" s="119"/>
      <c r="C71" s="208"/>
      <c r="D71" s="139" t="s">
        <v>161</v>
      </c>
      <c r="E71" s="208" t="s">
        <v>162</v>
      </c>
      <c r="F71" s="139" t="s">
        <v>163</v>
      </c>
      <c r="G71" s="208" t="s">
        <v>164</v>
      </c>
      <c r="H71" s="139" t="s">
        <v>2411</v>
      </c>
      <c r="I71" s="208" t="s">
        <v>2412</v>
      </c>
      <c r="J71" s="139" t="s">
        <v>2524</v>
      </c>
    </row>
    <row r="72" spans="1:10" x14ac:dyDescent="0.25">
      <c r="A72" s="190" t="s">
        <v>18</v>
      </c>
      <c r="B72" s="191"/>
      <c r="C72" s="84"/>
      <c r="D72" s="84"/>
      <c r="E72" s="84">
        <f>E21-E67</f>
        <v>-401</v>
      </c>
      <c r="F72" s="84">
        <f t="shared" ref="F72:J72" si="28">F21-F67</f>
        <v>224</v>
      </c>
      <c r="G72" s="84">
        <f t="shared" si="28"/>
        <v>81</v>
      </c>
      <c r="H72" s="84">
        <f t="shared" si="28"/>
        <v>85</v>
      </c>
      <c r="I72" s="84">
        <f t="shared" si="28"/>
        <v>89</v>
      </c>
      <c r="J72" s="84">
        <f t="shared" si="28"/>
        <v>94</v>
      </c>
    </row>
    <row r="73" spans="1:10" ht="15.75" thickBot="1" x14ac:dyDescent="0.3">
      <c r="A73" s="212" t="s">
        <v>17</v>
      </c>
      <c r="B73" s="189"/>
      <c r="C73" s="86"/>
      <c r="D73" s="86"/>
      <c r="E73" s="86">
        <f>IF(E22&gt;E68,E22-E68,0)</f>
        <v>0</v>
      </c>
      <c r="F73" s="86">
        <f t="shared" ref="F73:J73" si="29">IF(F22&gt;F68,F22-F68,0)</f>
        <v>65</v>
      </c>
      <c r="G73" s="86">
        <f t="shared" si="29"/>
        <v>3</v>
      </c>
      <c r="H73" s="86">
        <f t="shared" si="29"/>
        <v>3</v>
      </c>
      <c r="I73" s="86">
        <f t="shared" si="29"/>
        <v>2</v>
      </c>
      <c r="J73" s="86">
        <f t="shared" si="29"/>
        <v>3</v>
      </c>
    </row>
    <row r="74" spans="1:10" ht="15.75" thickTop="1" x14ac:dyDescent="0.25">
      <c r="A74" s="89"/>
      <c r="C74" s="95"/>
      <c r="E74" s="95"/>
    </row>
    <row r="75" spans="1:10" ht="45" x14ac:dyDescent="0.25">
      <c r="A75" s="118" t="s">
        <v>49</v>
      </c>
      <c r="B75" s="119"/>
      <c r="C75" s="208"/>
      <c r="D75" s="119"/>
      <c r="E75" s="208" t="s">
        <v>2413</v>
      </c>
      <c r="F75" s="139" t="s">
        <v>2414</v>
      </c>
      <c r="G75" s="208" t="s">
        <v>2415</v>
      </c>
      <c r="H75" s="139" t="s">
        <v>2416</v>
      </c>
      <c r="I75" s="208" t="s">
        <v>2417</v>
      </c>
      <c r="J75" s="139" t="s">
        <v>2525</v>
      </c>
    </row>
    <row r="76" spans="1:10" x14ac:dyDescent="0.25">
      <c r="A76" s="190" t="s">
        <v>18</v>
      </c>
      <c r="B76" s="191"/>
      <c r="C76" s="96"/>
      <c r="D76" s="96"/>
      <c r="E76" s="96">
        <f>E72*$E$64</f>
        <v>-467566</v>
      </c>
      <c r="F76" s="96">
        <f t="shared" ref="F76:J76" si="30">F72*$E$64</f>
        <v>261184</v>
      </c>
      <c r="G76" s="96">
        <f t="shared" si="30"/>
        <v>94446</v>
      </c>
      <c r="H76" s="96">
        <f>H72*$H$64</f>
        <v>104941.6324</v>
      </c>
      <c r="I76" s="96">
        <f t="shared" si="30"/>
        <v>103774</v>
      </c>
      <c r="J76" s="96">
        <f t="shared" si="30"/>
        <v>109604</v>
      </c>
    </row>
    <row r="77" spans="1:10" ht="15.75" thickBot="1" x14ac:dyDescent="0.3">
      <c r="A77" s="188" t="s">
        <v>17</v>
      </c>
      <c r="B77" s="189"/>
      <c r="C77" s="97"/>
      <c r="D77" s="97"/>
      <c r="E77" s="97">
        <f>E73*$E$64</f>
        <v>0</v>
      </c>
      <c r="F77" s="97">
        <f t="shared" ref="F77:J77" si="31">F73*$E$64</f>
        <v>75790</v>
      </c>
      <c r="G77" s="97">
        <f t="shared" si="31"/>
        <v>3498</v>
      </c>
      <c r="H77" s="97">
        <f>H73*$H$64</f>
        <v>3703.8223200000002</v>
      </c>
      <c r="I77" s="97">
        <f t="shared" si="31"/>
        <v>2332</v>
      </c>
      <c r="J77" s="97">
        <f t="shared" si="31"/>
        <v>3498</v>
      </c>
    </row>
    <row r="78" spans="1:10" ht="15.75" thickTop="1" x14ac:dyDescent="0.25">
      <c r="A78" s="186" t="s">
        <v>38</v>
      </c>
      <c r="B78" s="187"/>
      <c r="C78" s="98"/>
      <c r="D78" s="98"/>
      <c r="E78" s="98">
        <f t="shared" ref="E78:J78" si="32">SUM(E76:E77)</f>
        <v>-467566</v>
      </c>
      <c r="F78" s="98">
        <f t="shared" si="32"/>
        <v>336974</v>
      </c>
      <c r="G78" s="98">
        <f t="shared" si="32"/>
        <v>97944</v>
      </c>
      <c r="H78" s="98">
        <f t="shared" si="32"/>
        <v>108645.45472000001</v>
      </c>
      <c r="I78" s="98">
        <f t="shared" si="32"/>
        <v>106106</v>
      </c>
      <c r="J78" s="98">
        <f t="shared" si="32"/>
        <v>113102</v>
      </c>
    </row>
    <row r="80" spans="1:10" x14ac:dyDescent="0.25">
      <c r="A80" s="89" t="s">
        <v>52</v>
      </c>
    </row>
    <row r="81" spans="1:10" x14ac:dyDescent="0.25">
      <c r="A81" s="118" t="s">
        <v>49</v>
      </c>
      <c r="B81" s="119"/>
      <c r="C81" s="208"/>
      <c r="D81" s="119"/>
      <c r="E81" s="208" t="s">
        <v>66</v>
      </c>
      <c r="F81" s="139" t="s">
        <v>67</v>
      </c>
      <c r="G81" s="208" t="s">
        <v>90</v>
      </c>
      <c r="H81" s="139" t="s">
        <v>2418</v>
      </c>
      <c r="I81" s="208" t="s">
        <v>2419</v>
      </c>
      <c r="J81" s="139" t="s">
        <v>2526</v>
      </c>
    </row>
    <row r="82" spans="1:10" x14ac:dyDescent="0.25">
      <c r="A82" s="190" t="s">
        <v>18</v>
      </c>
      <c r="B82" s="191"/>
      <c r="C82" s="96"/>
      <c r="D82" s="96"/>
      <c r="E82" s="96">
        <f t="shared" ref="E82:J83" si="33">E60-E76</f>
        <v>-713991.00739153475</v>
      </c>
      <c r="F82" s="96">
        <f t="shared" si="33"/>
        <v>58087.644722622528</v>
      </c>
      <c r="G82" s="96">
        <f t="shared" si="33"/>
        <v>1111740.4288600609</v>
      </c>
      <c r="H82" s="96">
        <f t="shared" si="33"/>
        <v>1171617.7916110621</v>
      </c>
      <c r="I82" s="96">
        <f t="shared" si="33"/>
        <v>1251508.2421706191</v>
      </c>
      <c r="J82" s="96">
        <f t="shared" si="33"/>
        <v>1328757.6991940651</v>
      </c>
    </row>
    <row r="83" spans="1:10" ht="15.75" thickBot="1" x14ac:dyDescent="0.3">
      <c r="A83" s="188" t="s">
        <v>17</v>
      </c>
      <c r="B83" s="189"/>
      <c r="C83" s="97"/>
      <c r="D83" s="97"/>
      <c r="E83" s="97">
        <f t="shared" si="33"/>
        <v>-2728322.5443404531</v>
      </c>
      <c r="F83" s="97">
        <f t="shared" si="33"/>
        <v>226677.87394774769</v>
      </c>
      <c r="G83" s="97">
        <f t="shared" si="33"/>
        <v>695740.50948409317</v>
      </c>
      <c r="H83" s="97">
        <f t="shared" si="33"/>
        <v>740451.67129782296</v>
      </c>
      <c r="I83" s="97">
        <f t="shared" si="33"/>
        <v>798230.06863101677</v>
      </c>
      <c r="J83" s="97">
        <f t="shared" si="33"/>
        <v>850324.01322022127</v>
      </c>
    </row>
    <row r="84" spans="1:10" ht="15.75" thickTop="1" x14ac:dyDescent="0.25">
      <c r="A84" s="186" t="s">
        <v>38</v>
      </c>
      <c r="B84" s="187"/>
      <c r="C84" s="98"/>
      <c r="D84" s="98"/>
      <c r="E84" s="98">
        <f t="shared" ref="E84:J84" si="34">SUM(E82:E83)</f>
        <v>-3442313.5517319879</v>
      </c>
      <c r="F84" s="98">
        <f t="shared" si="34"/>
        <v>284765.51867037022</v>
      </c>
      <c r="G84" s="98">
        <f t="shared" si="34"/>
        <v>1807480.938344154</v>
      </c>
      <c r="H84" s="98">
        <f t="shared" si="34"/>
        <v>1912069.462908885</v>
      </c>
      <c r="I84" s="98">
        <f t="shared" si="34"/>
        <v>2049738.310801636</v>
      </c>
      <c r="J84" s="98">
        <f t="shared" si="34"/>
        <v>2179081.7124142861</v>
      </c>
    </row>
  </sheetData>
  <printOptions horizontalCentered="1" headings="1"/>
  <pageMargins left="0" right="0" top="0.25" bottom="0.5" header="0.25" footer="0.3"/>
  <pageSetup scale="77" fitToHeight="3" orientation="landscape" r:id="rId1"/>
  <headerFooter>
    <oddFooter>&amp;LPrepared by Jose F. Torres &amp;C&amp;D&amp;RPage &amp;P</oddFooter>
  </headerFooter>
  <rowBreaks count="2" manualBreakCount="2">
    <brk id="39" max="9" man="1"/>
    <brk id="53" max="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5"/>
  </sheetPr>
  <dimension ref="A1:R36"/>
  <sheetViews>
    <sheetView zoomScale="85" zoomScaleNormal="85" workbookViewId="0">
      <selection activeCell="M3" sqref="M3"/>
    </sheetView>
  </sheetViews>
  <sheetFormatPr defaultColWidth="9" defaultRowHeight="12.75" x14ac:dyDescent="0.25"/>
  <cols>
    <col min="1" max="1" width="21.42578125" style="127" customWidth="1"/>
    <col min="2" max="2" width="11.42578125" style="124" customWidth="1"/>
    <col min="3" max="3" width="12.28515625" style="124" customWidth="1"/>
    <col min="4" max="4" width="11.42578125" style="124" customWidth="1"/>
    <col min="5" max="5" width="12.28515625" style="124" bestFit="1" customWidth="1"/>
    <col min="6" max="6" width="11.42578125" style="124" customWidth="1"/>
    <col min="7" max="7" width="12.7109375" style="124" bestFit="1" customWidth="1"/>
    <col min="8" max="8" width="11.42578125" style="124" customWidth="1"/>
    <col min="9" max="9" width="12.7109375" style="124" bestFit="1" customWidth="1"/>
    <col min="10" max="10" width="11.42578125" style="124" customWidth="1"/>
    <col min="11" max="11" width="13.42578125" style="124" customWidth="1"/>
    <col min="12" max="12" width="11.42578125" style="124" customWidth="1"/>
    <col min="13" max="13" width="12.7109375" style="124" customWidth="1"/>
    <col min="14" max="16" width="9" style="124"/>
    <col min="17" max="17" width="13.85546875" style="124" bestFit="1" customWidth="1"/>
    <col min="18" max="18" width="14.85546875" style="124" customWidth="1"/>
    <col min="19" max="16384" width="9" style="124"/>
  </cols>
  <sheetData>
    <row r="1" spans="1:13" ht="18.75" x14ac:dyDescent="0.3">
      <c r="A1" s="138" t="s">
        <v>19</v>
      </c>
    </row>
    <row r="2" spans="1:13" ht="21" x14ac:dyDescent="0.35">
      <c r="A2" s="138" t="s">
        <v>73</v>
      </c>
      <c r="K2" s="137"/>
      <c r="M2" s="228" t="s">
        <v>2516</v>
      </c>
    </row>
    <row r="3" spans="1:13" ht="18.75" x14ac:dyDescent="0.3">
      <c r="A3" s="138" t="s">
        <v>84</v>
      </c>
    </row>
    <row r="4" spans="1:13" ht="18.75" x14ac:dyDescent="0.3">
      <c r="A4" s="138"/>
    </row>
    <row r="5" spans="1:13" ht="15.75" x14ac:dyDescent="0.25">
      <c r="A5" s="534" t="s">
        <v>64</v>
      </c>
      <c r="B5" s="534"/>
      <c r="C5" s="534"/>
      <c r="D5" s="534"/>
      <c r="E5" s="534"/>
      <c r="F5" s="534"/>
      <c r="G5" s="534"/>
      <c r="H5" s="534"/>
      <c r="I5" s="534"/>
      <c r="J5" s="534"/>
      <c r="K5" s="534"/>
      <c r="L5" s="534"/>
      <c r="M5" s="534"/>
    </row>
    <row r="6" spans="1:13" x14ac:dyDescent="0.25">
      <c r="A6" s="125"/>
      <c r="B6" s="533" t="s">
        <v>255</v>
      </c>
      <c r="C6" s="533"/>
      <c r="D6" s="532" t="s">
        <v>63</v>
      </c>
      <c r="E6" s="532"/>
      <c r="F6" s="533" t="s">
        <v>68</v>
      </c>
      <c r="G6" s="533"/>
      <c r="H6" s="532" t="s">
        <v>69</v>
      </c>
      <c r="I6" s="532"/>
      <c r="J6" s="533" t="s">
        <v>70</v>
      </c>
      <c r="K6" s="533"/>
      <c r="L6" s="532" t="s">
        <v>92</v>
      </c>
      <c r="M6" s="532"/>
    </row>
    <row r="7" spans="1:13" ht="26.25" thickBot="1" x14ac:dyDescent="0.3">
      <c r="A7" s="126" t="s">
        <v>83</v>
      </c>
      <c r="B7" s="258" t="s">
        <v>85</v>
      </c>
      <c r="C7" s="258" t="s">
        <v>86</v>
      </c>
      <c r="D7" s="158" t="s">
        <v>85</v>
      </c>
      <c r="E7" s="158" t="s">
        <v>86</v>
      </c>
      <c r="F7" s="258" t="s">
        <v>85</v>
      </c>
      <c r="G7" s="258" t="s">
        <v>86</v>
      </c>
      <c r="H7" s="158" t="s">
        <v>85</v>
      </c>
      <c r="I7" s="158" t="s">
        <v>86</v>
      </c>
      <c r="J7" s="258" t="s">
        <v>85</v>
      </c>
      <c r="K7" s="258" t="s">
        <v>86</v>
      </c>
      <c r="L7" s="158" t="s">
        <v>85</v>
      </c>
      <c r="M7" s="158" t="s">
        <v>86</v>
      </c>
    </row>
    <row r="8" spans="1:13" x14ac:dyDescent="0.25">
      <c r="A8" s="134" t="str">
        <f>M2</f>
        <v>FY 2019-20 Tentative Budget - V1</v>
      </c>
      <c r="B8" s="259">
        <f>Tentative!C84</f>
        <v>0</v>
      </c>
      <c r="C8" s="259">
        <f>3451673+B8</f>
        <v>3451673</v>
      </c>
      <c r="D8" s="135">
        <f>Tentative!G84</f>
        <v>0</v>
      </c>
      <c r="E8" s="135">
        <f t="shared" ref="E8" si="0">C8+D8</f>
        <v>3451673</v>
      </c>
      <c r="F8" s="259">
        <f>Tentative!K84</f>
        <v>0</v>
      </c>
      <c r="G8" s="259">
        <f t="shared" ref="G8" si="1">E8+F8</f>
        <v>3451673</v>
      </c>
      <c r="H8" s="135">
        <f>Tentative!O84</f>
        <v>0</v>
      </c>
      <c r="I8" s="135">
        <f t="shared" ref="I8" si="2">G8+H8</f>
        <v>3451673</v>
      </c>
      <c r="J8" s="259">
        <f>Tentative!S84</f>
        <v>0</v>
      </c>
      <c r="K8" s="259">
        <f t="shared" ref="K8" si="3">I8+J8</f>
        <v>3451673</v>
      </c>
      <c r="L8" s="135">
        <f>Tentative!W84</f>
        <v>0</v>
      </c>
      <c r="M8" s="135">
        <f t="shared" ref="M8" si="4">K8+L8</f>
        <v>3451673</v>
      </c>
    </row>
    <row r="9" spans="1:13" x14ac:dyDescent="0.25">
      <c r="B9" s="260"/>
      <c r="C9" s="260"/>
      <c r="F9" s="260"/>
      <c r="G9" s="260"/>
      <c r="J9" s="260"/>
      <c r="K9" s="260"/>
    </row>
    <row r="10" spans="1:13" x14ac:dyDescent="0.25">
      <c r="B10" s="260"/>
      <c r="C10" s="260"/>
      <c r="F10" s="260"/>
      <c r="G10" s="260"/>
      <c r="J10" s="260"/>
      <c r="K10" s="260"/>
    </row>
    <row r="11" spans="1:13" ht="15.75" x14ac:dyDescent="0.25">
      <c r="A11" s="535" t="s">
        <v>65</v>
      </c>
      <c r="B11" s="535"/>
      <c r="C11" s="535"/>
      <c r="D11" s="535"/>
      <c r="E11" s="535"/>
      <c r="F11" s="535"/>
      <c r="G11" s="535"/>
      <c r="H11" s="535"/>
      <c r="I11" s="535"/>
      <c r="J11" s="535"/>
      <c r="K11" s="535"/>
      <c r="L11" s="535"/>
      <c r="M11" s="535"/>
    </row>
    <row r="12" spans="1:13" x14ac:dyDescent="0.25">
      <c r="A12" s="125"/>
      <c r="B12" s="533" t="s">
        <v>62</v>
      </c>
      <c r="C12" s="533"/>
      <c r="D12" s="532" t="s">
        <v>63</v>
      </c>
      <c r="E12" s="532"/>
      <c r="F12" s="533" t="s">
        <v>68</v>
      </c>
      <c r="G12" s="533"/>
      <c r="H12" s="532" t="s">
        <v>69</v>
      </c>
      <c r="I12" s="532"/>
      <c r="J12" s="533" t="s">
        <v>70</v>
      </c>
      <c r="K12" s="533"/>
      <c r="L12" s="532" t="s">
        <v>92</v>
      </c>
      <c r="M12" s="532"/>
    </row>
    <row r="13" spans="1:13" ht="26.25" thickBot="1" x14ac:dyDescent="0.3">
      <c r="A13" s="126" t="str">
        <f>A7</f>
        <v>Draft #</v>
      </c>
      <c r="B13" s="258" t="s">
        <v>85</v>
      </c>
      <c r="C13" s="258" t="s">
        <v>86</v>
      </c>
      <c r="D13" s="158" t="s">
        <v>85</v>
      </c>
      <c r="E13" s="158" t="s">
        <v>86</v>
      </c>
      <c r="F13" s="258" t="s">
        <v>85</v>
      </c>
      <c r="G13" s="258" t="s">
        <v>86</v>
      </c>
      <c r="H13" s="158" t="s">
        <v>85</v>
      </c>
      <c r="I13" s="158" t="s">
        <v>86</v>
      </c>
      <c r="J13" s="258" t="s">
        <v>85</v>
      </c>
      <c r="K13" s="258" t="s">
        <v>86</v>
      </c>
      <c r="L13" s="158" t="s">
        <v>85</v>
      </c>
      <c r="M13" s="158" t="s">
        <v>86</v>
      </c>
    </row>
    <row r="14" spans="1:13" x14ac:dyDescent="0.25">
      <c r="A14" s="134" t="str">
        <f>A8</f>
        <v>FY 2019-20 Tentative Budget - V1</v>
      </c>
      <c r="B14" s="259">
        <f>Tentative!D84</f>
        <v>0</v>
      </c>
      <c r="C14" s="259">
        <f>-1605513+B14</f>
        <v>-1605513</v>
      </c>
      <c r="D14" s="135">
        <f>Tentative!H84</f>
        <v>0</v>
      </c>
      <c r="E14" s="135">
        <f t="shared" ref="E14" si="5">C14+D14</f>
        <v>-1605513</v>
      </c>
      <c r="F14" s="259">
        <f>Tentative!L84</f>
        <v>0</v>
      </c>
      <c r="G14" s="259">
        <f t="shared" ref="G14" si="6">E14+F14</f>
        <v>-1605513</v>
      </c>
      <c r="H14" s="135">
        <f>Tentative!P84</f>
        <v>0</v>
      </c>
      <c r="I14" s="135">
        <f t="shared" ref="I14" si="7">G14+H14</f>
        <v>-1605513</v>
      </c>
      <c r="J14" s="259">
        <f>Tentative!T84</f>
        <v>0</v>
      </c>
      <c r="K14" s="259">
        <f t="shared" ref="K14" si="8">I14+J14</f>
        <v>-1605513</v>
      </c>
      <c r="L14" s="135">
        <f>Tentative!X84</f>
        <v>0</v>
      </c>
      <c r="M14" s="135">
        <f t="shared" ref="M14" si="9">K14+L14</f>
        <v>-1605513</v>
      </c>
    </row>
    <row r="15" spans="1:13" x14ac:dyDescent="0.25">
      <c r="B15" s="260"/>
      <c r="C15" s="260"/>
      <c r="F15" s="260"/>
      <c r="G15" s="260"/>
      <c r="J15" s="260"/>
      <c r="K15" s="260"/>
    </row>
    <row r="16" spans="1:13" x14ac:dyDescent="0.25">
      <c r="B16" s="260"/>
      <c r="C16" s="260"/>
      <c r="F16" s="260"/>
      <c r="G16" s="260"/>
      <c r="J16" s="260"/>
      <c r="K16" s="260"/>
    </row>
    <row r="17" spans="1:18" ht="15.75" x14ac:dyDescent="0.25">
      <c r="A17" s="536" t="s">
        <v>22</v>
      </c>
      <c r="B17" s="536"/>
      <c r="C17" s="536"/>
      <c r="D17" s="536"/>
      <c r="E17" s="536"/>
      <c r="F17" s="536"/>
      <c r="G17" s="536"/>
      <c r="H17" s="536"/>
      <c r="I17" s="536"/>
      <c r="J17" s="536"/>
      <c r="K17" s="536"/>
      <c r="L17" s="536"/>
      <c r="M17" s="536"/>
    </row>
    <row r="18" spans="1:18" x14ac:dyDescent="0.25">
      <c r="A18" s="125"/>
      <c r="B18" s="533" t="s">
        <v>62</v>
      </c>
      <c r="C18" s="533"/>
      <c r="D18" s="532" t="s">
        <v>63</v>
      </c>
      <c r="E18" s="532"/>
      <c r="F18" s="533" t="s">
        <v>68</v>
      </c>
      <c r="G18" s="533"/>
      <c r="H18" s="532" t="s">
        <v>69</v>
      </c>
      <c r="I18" s="532"/>
      <c r="J18" s="533" t="s">
        <v>70</v>
      </c>
      <c r="K18" s="533"/>
      <c r="L18" s="532" t="s">
        <v>92</v>
      </c>
      <c r="M18" s="532"/>
    </row>
    <row r="19" spans="1:18" ht="26.25" thickBot="1" x14ac:dyDescent="0.3">
      <c r="A19" s="126" t="str">
        <f>A13</f>
        <v>Draft #</v>
      </c>
      <c r="B19" s="258" t="s">
        <v>85</v>
      </c>
      <c r="C19" s="258" t="s">
        <v>86</v>
      </c>
      <c r="D19" s="158" t="s">
        <v>85</v>
      </c>
      <c r="E19" s="158" t="s">
        <v>86</v>
      </c>
      <c r="F19" s="258" t="s">
        <v>85</v>
      </c>
      <c r="G19" s="258" t="s">
        <v>86</v>
      </c>
      <c r="H19" s="158" t="s">
        <v>85</v>
      </c>
      <c r="I19" s="158" t="s">
        <v>86</v>
      </c>
      <c r="J19" s="258" t="s">
        <v>85</v>
      </c>
      <c r="K19" s="258" t="s">
        <v>86</v>
      </c>
      <c r="L19" s="158" t="s">
        <v>85</v>
      </c>
      <c r="M19" s="158" t="s">
        <v>86</v>
      </c>
    </row>
    <row r="20" spans="1:18" ht="15" customHeight="1" x14ac:dyDescent="0.25">
      <c r="A20" s="134" t="str">
        <f>A14</f>
        <v>FY 2019-20 Tentative Budget - V1</v>
      </c>
      <c r="B20" s="259">
        <f>Tentative!E74</f>
        <v>0</v>
      </c>
      <c r="C20" s="259">
        <f>12600461+B20+B21+B22+B24+B23</f>
        <v>12244700</v>
      </c>
      <c r="D20" s="135">
        <f>Tentative!I74</f>
        <v>0</v>
      </c>
      <c r="E20" s="135">
        <f>C20+D20+D21+D22+D24+D23</f>
        <v>12244700</v>
      </c>
      <c r="F20" s="259">
        <f>Tentative!M74</f>
        <v>0</v>
      </c>
      <c r="G20" s="259">
        <f>E20+F20+F21+F22+F24+F23</f>
        <v>12244700</v>
      </c>
      <c r="H20" s="135">
        <f>Tentative!Q74</f>
        <v>0</v>
      </c>
      <c r="I20" s="135">
        <f>G20+H20+H21+H22+H24+H23</f>
        <v>12244700</v>
      </c>
      <c r="J20" s="259">
        <f>Tentative!U74</f>
        <v>0</v>
      </c>
      <c r="K20" s="259">
        <f>I20+J20+J21+J22+J24+J23</f>
        <v>12244700</v>
      </c>
      <c r="L20" s="135">
        <f>Tentative!Y74</f>
        <v>0</v>
      </c>
      <c r="M20" s="135">
        <f>K20+L20+L21+L22+L24+L23</f>
        <v>12244700</v>
      </c>
    </row>
    <row r="21" spans="1:18" ht="30.75" customHeight="1" x14ac:dyDescent="0.25">
      <c r="A21" s="242" t="s">
        <v>257</v>
      </c>
      <c r="B21" s="261">
        <f>Tentative!E76</f>
        <v>0</v>
      </c>
      <c r="C21" s="261"/>
      <c r="D21" s="241">
        <f>Tentative!M76</f>
        <v>0</v>
      </c>
      <c r="E21" s="241"/>
      <c r="F21" s="261">
        <f>Tentative!M76</f>
        <v>0</v>
      </c>
      <c r="G21" s="261"/>
      <c r="H21" s="241"/>
      <c r="I21" s="241"/>
      <c r="J21" s="261"/>
      <c r="K21" s="261"/>
      <c r="L21" s="241"/>
      <c r="M21" s="241"/>
    </row>
    <row r="22" spans="1:18" x14ac:dyDescent="0.25">
      <c r="A22" s="242" t="s">
        <v>256</v>
      </c>
      <c r="B22" s="261">
        <f>Tentative!E83+Tentative!E82</f>
        <v>0</v>
      </c>
      <c r="C22" s="261"/>
      <c r="D22" s="241">
        <f>Tentative!I83+Tentative!I82</f>
        <v>0</v>
      </c>
      <c r="E22" s="241"/>
      <c r="F22" s="261">
        <f>Tentative!M83+Tentative!M82</f>
        <v>0</v>
      </c>
      <c r="G22" s="261"/>
      <c r="H22" s="241">
        <f>Tentative!Q83+Tentative!Q82</f>
        <v>0</v>
      </c>
      <c r="I22" s="241"/>
      <c r="J22" s="261">
        <f>Tentative!U83+Tentative!U82</f>
        <v>0</v>
      </c>
      <c r="K22" s="261"/>
      <c r="L22" s="241">
        <f>Tentative!Y83+Tentative!Y82</f>
        <v>0</v>
      </c>
      <c r="M22" s="241"/>
    </row>
    <row r="23" spans="1:18" x14ac:dyDescent="0.25">
      <c r="A23" s="242" t="s">
        <v>263</v>
      </c>
      <c r="B23" s="261">
        <f>Tentative!E81</f>
        <v>-355761</v>
      </c>
      <c r="C23" s="261"/>
      <c r="D23" s="241">
        <f>Tentative!I81</f>
        <v>0</v>
      </c>
      <c r="E23" s="241"/>
      <c r="F23" s="261"/>
      <c r="G23" s="261"/>
      <c r="H23" s="241"/>
      <c r="I23" s="241"/>
      <c r="J23" s="261"/>
      <c r="K23" s="261"/>
      <c r="L23" s="241"/>
      <c r="M23" s="241"/>
    </row>
    <row r="24" spans="1:18" ht="25.5" x14ac:dyDescent="0.25">
      <c r="A24" s="242" t="s">
        <v>237</v>
      </c>
      <c r="B24" s="261">
        <f>Tentative!E78+Tentative!E79</f>
        <v>0</v>
      </c>
      <c r="C24" s="261"/>
      <c r="D24" s="241">
        <f>Tentative!I78+Tentative!I79</f>
        <v>0</v>
      </c>
      <c r="E24" s="241"/>
      <c r="F24" s="261"/>
      <c r="G24" s="261"/>
      <c r="H24" s="241"/>
      <c r="I24" s="241"/>
      <c r="J24" s="261"/>
      <c r="K24" s="261"/>
      <c r="L24" s="241"/>
      <c r="M24" s="241"/>
    </row>
    <row r="25" spans="1:18" x14ac:dyDescent="0.25">
      <c r="B25" s="261"/>
      <c r="C25" s="260"/>
      <c r="F25" s="261"/>
      <c r="G25" s="260"/>
      <c r="J25" s="261"/>
      <c r="K25" s="260"/>
    </row>
    <row r="26" spans="1:18" ht="15.75" x14ac:dyDescent="0.25">
      <c r="A26" s="537" t="s">
        <v>45</v>
      </c>
      <c r="B26" s="537"/>
      <c r="C26" s="537"/>
      <c r="D26" s="537"/>
      <c r="E26" s="537"/>
      <c r="F26" s="537"/>
      <c r="G26" s="537"/>
      <c r="H26" s="537"/>
      <c r="I26" s="537"/>
      <c r="J26" s="537"/>
      <c r="K26" s="537"/>
      <c r="L26" s="537"/>
      <c r="M26" s="537"/>
    </row>
    <row r="27" spans="1:18" x14ac:dyDescent="0.25">
      <c r="A27" s="157"/>
      <c r="B27" s="533" t="s">
        <v>62</v>
      </c>
      <c r="C27" s="533"/>
      <c r="D27" s="532" t="s">
        <v>63</v>
      </c>
      <c r="E27" s="532"/>
      <c r="F27" s="533" t="s">
        <v>68</v>
      </c>
      <c r="G27" s="533"/>
      <c r="H27" s="532" t="s">
        <v>69</v>
      </c>
      <c r="I27" s="532"/>
      <c r="J27" s="533" t="s">
        <v>70</v>
      </c>
      <c r="K27" s="533"/>
      <c r="L27" s="532" t="s">
        <v>92</v>
      </c>
      <c r="M27" s="532"/>
    </row>
    <row r="28" spans="1:18" ht="26.25" thickBot="1" x14ac:dyDescent="0.3">
      <c r="A28" s="126" t="str">
        <f>A19</f>
        <v>Draft #</v>
      </c>
      <c r="B28" s="258" t="s">
        <v>85</v>
      </c>
      <c r="C28" s="258" t="s">
        <v>86</v>
      </c>
      <c r="D28" s="158" t="s">
        <v>85</v>
      </c>
      <c r="E28" s="158" t="s">
        <v>86</v>
      </c>
      <c r="F28" s="258" t="s">
        <v>85</v>
      </c>
      <c r="G28" s="258" t="s">
        <v>86</v>
      </c>
      <c r="H28" s="158" t="s">
        <v>85</v>
      </c>
      <c r="I28" s="158" t="s">
        <v>86</v>
      </c>
      <c r="J28" s="258" t="s">
        <v>85</v>
      </c>
      <c r="K28" s="258" t="s">
        <v>86</v>
      </c>
      <c r="L28" s="158" t="s">
        <v>85</v>
      </c>
      <c r="M28" s="158" t="s">
        <v>86</v>
      </c>
    </row>
    <row r="29" spans="1:18" ht="22.5" customHeight="1" x14ac:dyDescent="0.25">
      <c r="A29" s="134" t="str">
        <f>A20</f>
        <v>FY 2019-20 Tentative Budget - V1</v>
      </c>
      <c r="B29" s="259">
        <f>Tentative!F84</f>
        <v>1767052.7762000114</v>
      </c>
      <c r="C29" s="259">
        <f>C8+C14+C20</f>
        <v>14090860</v>
      </c>
      <c r="D29" s="135">
        <f>Tentative!J84</f>
        <v>-5269572.9171855599</v>
      </c>
      <c r="E29" s="135">
        <f>E8+E14+E20</f>
        <v>14090860</v>
      </c>
      <c r="F29" s="259">
        <f>Tentative!N84</f>
        <v>-5875125.9066229612</v>
      </c>
      <c r="G29" s="259">
        <f>G8+G14+G20</f>
        <v>14090860</v>
      </c>
      <c r="H29" s="135">
        <f>Tentative!R84</f>
        <v>-3616486.4379935265</v>
      </c>
      <c r="I29" s="135">
        <f>I8+I14+I20</f>
        <v>14090860</v>
      </c>
      <c r="J29" s="259">
        <f>Tentative!V84</f>
        <v>-884311.77551265061</v>
      </c>
      <c r="K29" s="259">
        <f>K8+K14+K20</f>
        <v>14090860</v>
      </c>
      <c r="L29" s="135">
        <f>Tentative!Z84</f>
        <v>1971661.4201087356</v>
      </c>
      <c r="M29" s="135">
        <f>M8+M14+M20</f>
        <v>14090860</v>
      </c>
      <c r="Q29" s="251">
        <v>21457984.978304982</v>
      </c>
      <c r="R29" s="251">
        <f>Q29-M29</f>
        <v>7367124.9783049822</v>
      </c>
    </row>
    <row r="30" spans="1:18" x14ac:dyDescent="0.25">
      <c r="A30" s="136" t="s">
        <v>76</v>
      </c>
      <c r="B30" s="262"/>
      <c r="C30" s="263">
        <f>Tentative!F88</f>
        <v>0.25880653825792244</v>
      </c>
      <c r="D30" s="128"/>
      <c r="E30" s="131">
        <f>Tentative!J88</f>
        <v>0.18010458597339998</v>
      </c>
      <c r="F30" s="262"/>
      <c r="G30" s="263">
        <f>Tentative!N88</f>
        <v>0.12900595891599684</v>
      </c>
      <c r="H30" s="128"/>
      <c r="I30" s="131">
        <f>Tentative!R88</f>
        <v>9.7631519089625793E-2</v>
      </c>
      <c r="J30" s="262"/>
      <c r="K30" s="263">
        <f>Tentative!V88</f>
        <v>8.9414354776268287E-2</v>
      </c>
      <c r="L30" s="128"/>
      <c r="M30" s="131">
        <f>Tentative!Z88</f>
        <v>0.1047420065641723</v>
      </c>
      <c r="Q30" s="131">
        <v>0.21638152104954086</v>
      </c>
      <c r="R30" s="131">
        <f t="shared" ref="R30:R33" si="10">Q30-M30</f>
        <v>0.11163951448536856</v>
      </c>
    </row>
    <row r="31" spans="1:18" ht="35.25" customHeight="1" x14ac:dyDescent="0.25">
      <c r="A31" s="286" t="s">
        <v>77</v>
      </c>
      <c r="B31" s="262"/>
      <c r="C31" s="264">
        <f>Tentative!F92</f>
        <v>3.1056784590950688</v>
      </c>
      <c r="D31" s="128"/>
      <c r="E31" s="147">
        <f>Tentative!J92</f>
        <v>2.1612550316807995</v>
      </c>
      <c r="F31" s="262"/>
      <c r="G31" s="264">
        <f>Tentative!N92</f>
        <v>1.5480715069919619</v>
      </c>
      <c r="H31" s="128"/>
      <c r="I31" s="147">
        <f>Tentative!R92</f>
        <v>1.1715782290755095</v>
      </c>
      <c r="J31" s="262"/>
      <c r="K31" s="264">
        <f>Tentative!V92</f>
        <v>1.0729722573152194</v>
      </c>
      <c r="L31" s="128"/>
      <c r="M31" s="147">
        <f>Tentative!Z92</f>
        <v>1.2569040787700678</v>
      </c>
      <c r="Q31" s="252">
        <v>2.5421730558990929</v>
      </c>
      <c r="R31" s="252">
        <f t="shared" si="10"/>
        <v>1.2852689771290251</v>
      </c>
    </row>
    <row r="32" spans="1:18" ht="27" customHeight="1" x14ac:dyDescent="0.25">
      <c r="A32" s="286" t="s">
        <v>264</v>
      </c>
      <c r="B32" s="262"/>
      <c r="C32" s="262">
        <f>Tentative!F116</f>
        <v>12266689.529999999</v>
      </c>
      <c r="D32" s="129"/>
      <c r="E32" s="129">
        <f>Tentative!J116</f>
        <v>14115968.726399999</v>
      </c>
      <c r="F32" s="262"/>
      <c r="G32" s="262">
        <f>Tentative!N116</f>
        <v>14242253.689097984</v>
      </c>
      <c r="H32" s="129"/>
      <c r="I32" s="129">
        <f>Tentative!R116</f>
        <v>14374018.091836438</v>
      </c>
      <c r="J32" s="262"/>
      <c r="K32" s="262">
        <f>Tentative!V116</f>
        <v>14508182.851759968</v>
      </c>
      <c r="L32" s="129"/>
      <c r="M32" s="129">
        <f>Tentative!Z116</f>
        <v>14643973.601360675</v>
      </c>
      <c r="Q32" s="251">
        <v>14875104.542817336</v>
      </c>
      <c r="R32" s="251">
        <f t="shared" si="10"/>
        <v>231130.94145666063</v>
      </c>
    </row>
    <row r="33" spans="1:18" ht="26.25" customHeight="1" x14ac:dyDescent="0.25">
      <c r="A33" s="286" t="s">
        <v>266</v>
      </c>
      <c r="B33" s="262"/>
      <c r="C33" s="262">
        <f>C29-C32</f>
        <v>1824170.4700000007</v>
      </c>
      <c r="D33" s="129"/>
      <c r="E33" s="129">
        <f>E29-E32</f>
        <v>-25108.726399999112</v>
      </c>
      <c r="F33" s="262"/>
      <c r="G33" s="262">
        <f>G29-G32</f>
        <v>-151393.68909798376</v>
      </c>
      <c r="H33" s="129"/>
      <c r="I33" s="129">
        <f>I29-I32</f>
        <v>-283158.09183643758</v>
      </c>
      <c r="J33" s="262"/>
      <c r="K33" s="262">
        <f>K29-K32</f>
        <v>-417322.85175996833</v>
      </c>
      <c r="L33" s="129"/>
      <c r="M33" s="129">
        <f>M29-M32</f>
        <v>-553113.60136067495</v>
      </c>
      <c r="Q33" s="251">
        <v>6582880.4354876466</v>
      </c>
      <c r="R33" s="251">
        <f t="shared" si="10"/>
        <v>7135994.0368483216</v>
      </c>
    </row>
    <row r="34" spans="1:18" ht="6.75" customHeight="1" x14ac:dyDescent="0.25">
      <c r="A34" s="254"/>
      <c r="B34" s="265"/>
      <c r="C34" s="265"/>
      <c r="D34" s="266"/>
      <c r="E34" s="266"/>
      <c r="F34" s="265"/>
      <c r="G34" s="265"/>
      <c r="H34" s="266"/>
      <c r="I34" s="266"/>
      <c r="J34" s="265"/>
      <c r="K34" s="265"/>
      <c r="L34" s="266"/>
      <c r="M34" s="129"/>
      <c r="Q34" s="251"/>
      <c r="R34" s="251"/>
    </row>
    <row r="35" spans="1:18" x14ac:dyDescent="0.25">
      <c r="A35" s="132" t="s">
        <v>72</v>
      </c>
      <c r="B35" s="129"/>
      <c r="D35" s="129"/>
      <c r="H35" s="129"/>
      <c r="L35" s="129"/>
    </row>
    <row r="36" spans="1:18" x14ac:dyDescent="0.25">
      <c r="A36" s="133" t="s">
        <v>258</v>
      </c>
    </row>
  </sheetData>
  <mergeCells count="28">
    <mergeCell ref="A5:M5"/>
    <mergeCell ref="A11:M11"/>
    <mergeCell ref="A17:M17"/>
    <mergeCell ref="A26:M26"/>
    <mergeCell ref="F6:G6"/>
    <mergeCell ref="F12:G12"/>
    <mergeCell ref="H6:I6"/>
    <mergeCell ref="H12:I12"/>
    <mergeCell ref="D12:E12"/>
    <mergeCell ref="J6:K6"/>
    <mergeCell ref="J12:K12"/>
    <mergeCell ref="J18:K18"/>
    <mergeCell ref="B6:C6"/>
    <mergeCell ref="F18:G18"/>
    <mergeCell ref="B12:C12"/>
    <mergeCell ref="H18:I18"/>
    <mergeCell ref="F27:G27"/>
    <mergeCell ref="H27:I27"/>
    <mergeCell ref="B27:C27"/>
    <mergeCell ref="D27:E27"/>
    <mergeCell ref="D6:E6"/>
    <mergeCell ref="B18:C18"/>
    <mergeCell ref="D18:E18"/>
    <mergeCell ref="L6:M6"/>
    <mergeCell ref="L12:M12"/>
    <mergeCell ref="L18:M18"/>
    <mergeCell ref="L27:M27"/>
    <mergeCell ref="J27:K27"/>
  </mergeCells>
  <printOptions horizontalCentered="1" headings="1"/>
  <pageMargins left="0.25" right="0.25" top="0.25" bottom="0.5" header="0.3" footer="0.3"/>
  <pageSetup scale="78" orientation="landscape" r:id="rId1"/>
  <headerFooter>
    <oddFooter>&amp;LPrepared by Torres, Jose F.&amp;C&amp;D&amp;RPage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5"/>
    <pageSetUpPr fitToPage="1"/>
  </sheetPr>
  <dimension ref="A1:XEN182"/>
  <sheetViews>
    <sheetView showGridLines="0" tabSelected="1" zoomScaleNormal="100" zoomScaleSheetLayoutView="55" zoomScalePageLayoutView="40" workbookViewId="0">
      <pane xSplit="2" ySplit="2" topLeftCell="C3" activePane="bottomRight" state="frozen"/>
      <selection activeCell="L25" sqref="L24:L25"/>
      <selection pane="topRight" activeCell="L25" sqref="L24:L25"/>
      <selection pane="bottomLeft" activeCell="L25" sqref="L24:L25"/>
      <selection pane="bottomRight" activeCell="W9" sqref="W9:Z11"/>
    </sheetView>
  </sheetViews>
  <sheetFormatPr defaultColWidth="8.85546875" defaultRowHeight="12.75" x14ac:dyDescent="0.2"/>
  <cols>
    <col min="1" max="1" width="4.7109375" style="8" bestFit="1" customWidth="1"/>
    <col min="2" max="2" width="44.85546875" style="3" customWidth="1"/>
    <col min="3" max="26" width="12.7109375" style="3" customWidth="1"/>
    <col min="27" max="16384" width="8.85546875" style="3"/>
  </cols>
  <sheetData>
    <row r="1" spans="1:26" ht="15" customHeight="1" x14ac:dyDescent="0.2">
      <c r="A1" s="549" t="s">
        <v>2384</v>
      </c>
      <c r="B1" s="549"/>
      <c r="C1" s="545" t="s">
        <v>2510</v>
      </c>
      <c r="D1" s="546"/>
      <c r="E1" s="546"/>
      <c r="F1" s="546"/>
      <c r="G1" s="547" t="s">
        <v>2511</v>
      </c>
      <c r="H1" s="547"/>
      <c r="I1" s="547"/>
      <c r="J1" s="548"/>
      <c r="K1" s="545" t="s">
        <v>91</v>
      </c>
      <c r="L1" s="546"/>
      <c r="M1" s="546"/>
      <c r="N1" s="546"/>
      <c r="O1" s="547" t="s">
        <v>2391</v>
      </c>
      <c r="P1" s="547"/>
      <c r="Q1" s="547"/>
      <c r="R1" s="548"/>
      <c r="S1" s="545" t="s">
        <v>2392</v>
      </c>
      <c r="T1" s="546"/>
      <c r="U1" s="546"/>
      <c r="V1" s="546"/>
      <c r="W1" s="547" t="s">
        <v>2512</v>
      </c>
      <c r="X1" s="547"/>
      <c r="Y1" s="547"/>
      <c r="Z1" s="548"/>
    </row>
    <row r="2" spans="1:26" ht="38.25" x14ac:dyDescent="0.2">
      <c r="A2" s="549"/>
      <c r="B2" s="549"/>
      <c r="C2" s="22" t="s">
        <v>0</v>
      </c>
      <c r="D2" s="22" t="s">
        <v>1</v>
      </c>
      <c r="E2" s="23" t="s">
        <v>2429</v>
      </c>
      <c r="F2" s="23" t="s">
        <v>2430</v>
      </c>
      <c r="G2" s="27" t="s">
        <v>0</v>
      </c>
      <c r="H2" s="27" t="s">
        <v>1</v>
      </c>
      <c r="I2" s="28" t="s">
        <v>2429</v>
      </c>
      <c r="J2" s="28" t="s">
        <v>2430</v>
      </c>
      <c r="K2" s="22" t="s">
        <v>0</v>
      </c>
      <c r="L2" s="22" t="s">
        <v>1</v>
      </c>
      <c r="M2" s="23" t="s">
        <v>2429</v>
      </c>
      <c r="N2" s="23" t="s">
        <v>2430</v>
      </c>
      <c r="O2" s="27" t="s">
        <v>0</v>
      </c>
      <c r="P2" s="27" t="s">
        <v>1</v>
      </c>
      <c r="Q2" s="28" t="s">
        <v>2429</v>
      </c>
      <c r="R2" s="28" t="s">
        <v>2430</v>
      </c>
      <c r="S2" s="22" t="s">
        <v>0</v>
      </c>
      <c r="T2" s="22" t="s">
        <v>1</v>
      </c>
      <c r="U2" s="23" t="s">
        <v>2429</v>
      </c>
      <c r="V2" s="23" t="s">
        <v>2430</v>
      </c>
      <c r="W2" s="27" t="s">
        <v>0</v>
      </c>
      <c r="X2" s="27" t="s">
        <v>1</v>
      </c>
      <c r="Y2" s="28" t="s">
        <v>2429</v>
      </c>
      <c r="Z2" s="28" t="s">
        <v>2430</v>
      </c>
    </row>
    <row r="3" spans="1:26" x14ac:dyDescent="0.2">
      <c r="A3" s="544" t="s">
        <v>140</v>
      </c>
      <c r="B3" s="544"/>
      <c r="C3" s="340"/>
      <c r="D3" s="340"/>
      <c r="E3" s="340"/>
      <c r="F3" s="340"/>
      <c r="G3" s="340"/>
      <c r="H3" s="340"/>
      <c r="I3" s="340"/>
      <c r="J3" s="340"/>
      <c r="K3" s="340"/>
      <c r="L3" s="340"/>
      <c r="M3" s="340"/>
      <c r="N3" s="340"/>
      <c r="O3" s="340"/>
      <c r="P3" s="340"/>
      <c r="Q3" s="340"/>
      <c r="R3" s="340"/>
      <c r="S3" s="340"/>
      <c r="T3" s="340"/>
      <c r="U3" s="340"/>
      <c r="V3" s="340"/>
      <c r="W3" s="340"/>
      <c r="X3" s="340"/>
      <c r="Y3" s="340"/>
      <c r="Z3" s="340"/>
    </row>
    <row r="4" spans="1:26" ht="24" x14ac:dyDescent="0.2">
      <c r="A4" s="331">
        <v>1</v>
      </c>
      <c r="B4" s="334" t="s">
        <v>2441</v>
      </c>
      <c r="C4" s="10"/>
      <c r="D4" s="10"/>
      <c r="E4" s="10"/>
      <c r="F4" s="576">
        <v>8488485</v>
      </c>
      <c r="G4" s="381"/>
      <c r="H4" s="145"/>
      <c r="I4" s="381"/>
      <c r="J4" s="21">
        <v>8782165</v>
      </c>
      <c r="K4" s="384"/>
      <c r="L4" s="384"/>
      <c r="M4" s="384"/>
      <c r="N4" s="387">
        <f>(J4*(1+L100)*(1+L101))</f>
        <v>9136086.2495000008</v>
      </c>
      <c r="O4" s="381"/>
      <c r="P4" s="145"/>
      <c r="Q4" s="381"/>
      <c r="R4" s="390">
        <f>N4*(1+P100)*(1+P101)</f>
        <v>9485815.6311308611</v>
      </c>
      <c r="S4" s="384"/>
      <c r="T4" s="384"/>
      <c r="U4" s="384"/>
      <c r="V4" s="10">
        <f>R4*(1+T100)*(1+T101)</f>
        <v>9883423.0791253429</v>
      </c>
      <c r="W4" s="381"/>
      <c r="X4" s="145"/>
      <c r="Y4" s="381"/>
      <c r="Z4" s="21">
        <f>V4*(1+X100)*(1+X101)</f>
        <v>10297696.640909962</v>
      </c>
    </row>
    <row r="5" spans="1:26" x14ac:dyDescent="0.2">
      <c r="A5" s="331">
        <v>2</v>
      </c>
      <c r="B5" s="334" t="s">
        <v>29</v>
      </c>
      <c r="C5" s="33">
        <v>0.68679999999999997</v>
      </c>
      <c r="D5" s="33">
        <v>0.31319999999999998</v>
      </c>
      <c r="E5" s="33"/>
      <c r="F5" s="34"/>
      <c r="G5" s="391">
        <f>C5</f>
        <v>0.68679999999999997</v>
      </c>
      <c r="H5" s="391">
        <f>D5</f>
        <v>0.31319999999999998</v>
      </c>
      <c r="I5" s="382"/>
      <c r="J5" s="32"/>
      <c r="K5" s="393">
        <f>G5</f>
        <v>0.68679999999999997</v>
      </c>
      <c r="L5" s="393">
        <f>H5</f>
        <v>0.31319999999999998</v>
      </c>
      <c r="M5" s="385"/>
      <c r="N5" s="34"/>
      <c r="O5" s="391">
        <f>K5</f>
        <v>0.68679999999999997</v>
      </c>
      <c r="P5" s="391">
        <f>L5</f>
        <v>0.31319999999999998</v>
      </c>
      <c r="Q5" s="382"/>
      <c r="R5" s="32"/>
      <c r="S5" s="393">
        <f>O5</f>
        <v>0.68679999999999997</v>
      </c>
      <c r="T5" s="393">
        <f>P5</f>
        <v>0.31319999999999998</v>
      </c>
      <c r="U5" s="385"/>
      <c r="V5" s="34"/>
      <c r="W5" s="391">
        <f>S5</f>
        <v>0.68679999999999997</v>
      </c>
      <c r="X5" s="391">
        <f>T5</f>
        <v>0.31319999999999998</v>
      </c>
      <c r="Y5" s="382"/>
      <c r="Z5" s="32"/>
    </row>
    <row r="6" spans="1:26" x14ac:dyDescent="0.2">
      <c r="A6" s="331">
        <v>3</v>
      </c>
      <c r="B6" s="334" t="s">
        <v>2447</v>
      </c>
      <c r="C6" s="577">
        <f>F6*C5</f>
        <v>10075.417812</v>
      </c>
      <c r="D6" s="577">
        <f>F6*D5</f>
        <v>4594.6721879999996</v>
      </c>
      <c r="E6" s="15"/>
      <c r="F6" s="15">
        <v>14670.09</v>
      </c>
      <c r="G6" s="202">
        <f>G5*J6</f>
        <v>10125.794901059999</v>
      </c>
      <c r="H6" s="202">
        <f>H5*J6</f>
        <v>4617.6455489399996</v>
      </c>
      <c r="I6" s="202"/>
      <c r="J6" s="202">
        <f>F6*1.005</f>
        <v>14743.440449999998</v>
      </c>
      <c r="K6" s="201">
        <f>N6*K5</f>
        <v>10176.423875565297</v>
      </c>
      <c r="L6" s="201">
        <f>N6*L5</f>
        <v>4640.7337766846986</v>
      </c>
      <c r="M6" s="201"/>
      <c r="N6" s="15">
        <f>J6*1.005</f>
        <v>14817.157652249996</v>
      </c>
      <c r="O6" s="202">
        <f>R6*O5</f>
        <v>10227.305994943123</v>
      </c>
      <c r="P6" s="202">
        <f>R6*P5</f>
        <v>4663.9374455681218</v>
      </c>
      <c r="Q6" s="202"/>
      <c r="R6" s="202">
        <f>N6*1.005</f>
        <v>14891.243440511245</v>
      </c>
      <c r="S6" s="201">
        <f>V6*S5</f>
        <v>10278.442524917837</v>
      </c>
      <c r="T6" s="201">
        <f>V6*T5</f>
        <v>4687.2571327959622</v>
      </c>
      <c r="U6" s="201"/>
      <c r="V6" s="15">
        <f>R6*1.005</f>
        <v>14965.6996577138</v>
      </c>
      <c r="W6" s="202">
        <f>Z6*W5</f>
        <v>10329.834737542426</v>
      </c>
      <c r="X6" s="202">
        <f>Z6*X5</f>
        <v>4710.6934184599413</v>
      </c>
      <c r="Y6" s="202"/>
      <c r="Z6" s="202">
        <f>V6*1.005</f>
        <v>15040.528156002367</v>
      </c>
    </row>
    <row r="7" spans="1:26" x14ac:dyDescent="0.2">
      <c r="A7" s="331">
        <v>4</v>
      </c>
      <c r="B7" s="335" t="s">
        <v>2435</v>
      </c>
      <c r="C7" s="11"/>
      <c r="D7" s="11"/>
      <c r="E7" s="11"/>
      <c r="F7" s="17">
        <v>3727</v>
      </c>
      <c r="G7" s="202"/>
      <c r="H7" s="202"/>
      <c r="I7" s="585">
        <f>(J7-F7)/F7</f>
        <v>3.2734102495304535E-2</v>
      </c>
      <c r="J7" s="20">
        <f>SCFF!H67</f>
        <v>3849</v>
      </c>
      <c r="K7" s="201"/>
      <c r="L7" s="201"/>
      <c r="M7" s="201"/>
      <c r="N7" s="17">
        <f>J7*(1+N100)</f>
        <v>3964.4700000000003</v>
      </c>
      <c r="O7" s="202"/>
      <c r="P7" s="202"/>
      <c r="Q7" s="202"/>
      <c r="R7" s="20">
        <f>N7*(1+R100)</f>
        <v>4075.4751600000004</v>
      </c>
      <c r="S7" s="201"/>
      <c r="T7" s="201"/>
      <c r="U7" s="201"/>
      <c r="V7" s="17">
        <f>R7*(1+V100)</f>
        <v>4204.2601750560007</v>
      </c>
      <c r="W7" s="202"/>
      <c r="X7" s="202"/>
      <c r="Y7" s="202"/>
      <c r="Z7" s="20">
        <f>V7*(1+Z100)</f>
        <v>4337.1147965877708</v>
      </c>
    </row>
    <row r="8" spans="1:26" x14ac:dyDescent="0.2">
      <c r="A8" s="331">
        <v>5</v>
      </c>
      <c r="B8" s="335" t="s">
        <v>2442</v>
      </c>
      <c r="C8" s="11"/>
      <c r="D8" s="11"/>
      <c r="E8" s="11"/>
      <c r="F8" s="11">
        <f>F6*F7</f>
        <v>54675425.43</v>
      </c>
      <c r="G8" s="202"/>
      <c r="H8" s="202"/>
      <c r="I8" s="202"/>
      <c r="J8" s="13">
        <f>J6*J7</f>
        <v>56747502.292049997</v>
      </c>
      <c r="K8" s="201"/>
      <c r="L8" s="201"/>
      <c r="M8" s="201"/>
      <c r="N8" s="11">
        <f>N6*N7</f>
        <v>58742176.997615546</v>
      </c>
      <c r="O8" s="202"/>
      <c r="P8" s="202"/>
      <c r="Q8" s="202"/>
      <c r="R8" s="13">
        <f>R6*R7</f>
        <v>60688892.743316524</v>
      </c>
      <c r="S8" s="201"/>
      <c r="T8" s="201"/>
      <c r="U8" s="201"/>
      <c r="V8" s="11">
        <f>V6*V7</f>
        <v>62919695.062775351</v>
      </c>
      <c r="W8" s="202"/>
      <c r="X8" s="202"/>
      <c r="Y8" s="202"/>
      <c r="Z8" s="13">
        <f>Z6*Z7</f>
        <v>65232497.213892847</v>
      </c>
    </row>
    <row r="9" spans="1:26" x14ac:dyDescent="0.2">
      <c r="A9" s="379"/>
      <c r="B9" s="580" t="s">
        <v>2530</v>
      </c>
      <c r="C9" s="579">
        <f>F9*C5</f>
        <v>233.450188</v>
      </c>
      <c r="D9" s="579">
        <f>F9*D5</f>
        <v>106.459812</v>
      </c>
      <c r="E9" s="579"/>
      <c r="F9" s="577">
        <v>339.91</v>
      </c>
      <c r="G9" s="581">
        <f>J9*G5</f>
        <v>233.450188</v>
      </c>
      <c r="H9" s="581">
        <f>J9*H5</f>
        <v>106.459812</v>
      </c>
      <c r="I9" s="581"/>
      <c r="J9" s="581">
        <v>339.91</v>
      </c>
      <c r="K9" s="11">
        <f>N9*K5</f>
        <v>233.450188</v>
      </c>
      <c r="L9" s="11">
        <f>N9*L5</f>
        <v>106.459812</v>
      </c>
      <c r="M9" s="11"/>
      <c r="N9" s="577">
        <v>339.91</v>
      </c>
      <c r="O9" s="583">
        <f>R9*O5</f>
        <v>233.450188</v>
      </c>
      <c r="P9" s="583">
        <f>R9*P5</f>
        <v>106.459812</v>
      </c>
      <c r="Q9" s="583"/>
      <c r="R9" s="586">
        <v>339.91</v>
      </c>
      <c r="S9" s="201">
        <f>V9*S5</f>
        <v>233.450188</v>
      </c>
      <c r="T9" s="201">
        <f>V9*T5</f>
        <v>106.459812</v>
      </c>
      <c r="U9" s="201"/>
      <c r="V9" s="11">
        <v>339.91</v>
      </c>
      <c r="W9" s="202">
        <f>Z9*W5</f>
        <v>233.450188</v>
      </c>
      <c r="X9" s="202">
        <f>Z9*X5</f>
        <v>106.459812</v>
      </c>
      <c r="Y9" s="202"/>
      <c r="Z9" s="13">
        <v>339.91</v>
      </c>
    </row>
    <row r="10" spans="1:26" x14ac:dyDescent="0.2">
      <c r="A10" s="379"/>
      <c r="B10" s="580" t="s">
        <v>2531</v>
      </c>
      <c r="C10" s="579"/>
      <c r="D10" s="579"/>
      <c r="E10" s="579"/>
      <c r="F10" s="578">
        <v>5456.67</v>
      </c>
      <c r="G10" s="581"/>
      <c r="H10" s="581"/>
      <c r="I10" s="581"/>
      <c r="J10" s="582">
        <f>F10*1.0327</f>
        <v>5635.1031089999997</v>
      </c>
      <c r="K10" s="11"/>
      <c r="L10" s="11"/>
      <c r="M10" s="11"/>
      <c r="N10" s="578">
        <f>J10*1.0327</f>
        <v>5819.3709806642992</v>
      </c>
      <c r="O10" s="583"/>
      <c r="P10" s="583"/>
      <c r="Q10" s="583"/>
      <c r="R10" s="582">
        <f>N10*1.0327</f>
        <v>6009.6644117320211</v>
      </c>
      <c r="S10" s="201"/>
      <c r="T10" s="201"/>
      <c r="U10" s="201"/>
      <c r="V10" s="11">
        <f>R10*1.0327</f>
        <v>6206.1804379956575</v>
      </c>
      <c r="W10" s="202"/>
      <c r="X10" s="202"/>
      <c r="Y10" s="202"/>
      <c r="Z10" s="13">
        <f>V10*1.0327</f>
        <v>6409.1225383181154</v>
      </c>
    </row>
    <row r="11" spans="1:26" x14ac:dyDescent="0.2">
      <c r="A11" s="379"/>
      <c r="B11" s="580" t="s">
        <v>2532</v>
      </c>
      <c r="C11" s="11"/>
      <c r="D11" s="11"/>
      <c r="E11" s="11"/>
      <c r="F11" s="579">
        <f>F10*F9</f>
        <v>1854776.6997000002</v>
      </c>
      <c r="G11" s="581"/>
      <c r="H11" s="581"/>
      <c r="I11" s="581"/>
      <c r="J11" s="583">
        <f>J10*J9</f>
        <v>1915427.89778019</v>
      </c>
      <c r="K11" s="11"/>
      <c r="L11" s="11"/>
      <c r="M11" s="11"/>
      <c r="N11" s="579">
        <f>N10*N9</f>
        <v>1978062.390037602</v>
      </c>
      <c r="O11" s="583"/>
      <c r="P11" s="583"/>
      <c r="Q11" s="583"/>
      <c r="R11" s="583">
        <f>R10*R9</f>
        <v>2042745.0301918315</v>
      </c>
      <c r="S11" s="201"/>
      <c r="T11" s="201"/>
      <c r="U11" s="201"/>
      <c r="V11" s="11">
        <f>V10*V9</f>
        <v>2109542.792679104</v>
      </c>
      <c r="W11" s="202"/>
      <c r="X11" s="202"/>
      <c r="Y11" s="202"/>
      <c r="Z11" s="13">
        <f>Z10*Z9</f>
        <v>2178524.8419997105</v>
      </c>
    </row>
    <row r="12" spans="1:26" x14ac:dyDescent="0.2">
      <c r="A12" s="331">
        <v>6</v>
      </c>
      <c r="B12" s="380" t="s">
        <v>2446</v>
      </c>
      <c r="C12" s="584">
        <v>80</v>
      </c>
      <c r="D12" s="584">
        <v>29</v>
      </c>
      <c r="E12" s="11"/>
      <c r="F12" s="16">
        <f>C12+D12</f>
        <v>109</v>
      </c>
      <c r="G12" s="202">
        <f>C12*(1+G102)</f>
        <v>80.44340723453908</v>
      </c>
      <c r="H12" s="202">
        <f>D12*(1+H102)</f>
        <v>29.360829493087554</v>
      </c>
      <c r="I12" s="202"/>
      <c r="J12" s="29">
        <f>SUM(G12:H12)</f>
        <v>109.80423672762663</v>
      </c>
      <c r="K12" s="386">
        <f>G12</f>
        <v>80.44340723453908</v>
      </c>
      <c r="L12" s="386">
        <f>H12</f>
        <v>29.360829493087554</v>
      </c>
      <c r="M12" s="201"/>
      <c r="N12" s="16">
        <f>SUM(K12:L12)</f>
        <v>109.80423672762663</v>
      </c>
      <c r="O12" s="202">
        <f>K12</f>
        <v>80.44340723453908</v>
      </c>
      <c r="P12" s="202">
        <f>L12</f>
        <v>29.360829493087554</v>
      </c>
      <c r="Q12" s="202"/>
      <c r="R12" s="202">
        <f>SUM(O12:P12)</f>
        <v>109.80423672762663</v>
      </c>
      <c r="S12" s="386">
        <f>O12</f>
        <v>80.44340723453908</v>
      </c>
      <c r="T12" s="386">
        <f>P12</f>
        <v>29.360829493087554</v>
      </c>
      <c r="U12" s="201"/>
      <c r="V12" s="201">
        <f>SUM(S12:T12)</f>
        <v>109.80423672762663</v>
      </c>
      <c r="W12" s="202">
        <f>S12</f>
        <v>80.44340723453908</v>
      </c>
      <c r="X12" s="202">
        <f>T12</f>
        <v>29.360829493087554</v>
      </c>
      <c r="Y12" s="202"/>
      <c r="Z12" s="202">
        <f>SUM(W12:X12)</f>
        <v>109.80423672762663</v>
      </c>
    </row>
    <row r="13" spans="1:26" x14ac:dyDescent="0.2">
      <c r="A13" s="331">
        <v>7</v>
      </c>
      <c r="B13" s="335" t="s">
        <v>2436</v>
      </c>
      <c r="C13" s="579"/>
      <c r="D13" s="579"/>
      <c r="E13" s="11"/>
      <c r="F13" s="17">
        <v>5457</v>
      </c>
      <c r="G13" s="202"/>
      <c r="H13" s="202"/>
      <c r="I13" s="202"/>
      <c r="J13" s="325">
        <f>SCFF!H87</f>
        <v>5635</v>
      </c>
      <c r="K13" s="386"/>
      <c r="L13" s="386"/>
      <c r="M13" s="201"/>
      <c r="N13" s="17">
        <f>(J13*(1+N100))</f>
        <v>5804.05</v>
      </c>
      <c r="O13" s="202"/>
      <c r="P13" s="202"/>
      <c r="Q13" s="202"/>
      <c r="R13" s="20">
        <f>N13*(1+R100)</f>
        <v>5966.5634</v>
      </c>
      <c r="S13" s="386"/>
      <c r="T13" s="386"/>
      <c r="U13" s="201"/>
      <c r="V13" s="17">
        <f>(R13*(1+V100))</f>
        <v>6155.1068034400005</v>
      </c>
      <c r="W13" s="202"/>
      <c r="X13" s="202"/>
      <c r="Y13" s="202"/>
      <c r="Z13" s="20">
        <f>(V13*(1+Z100))</f>
        <v>6349.6081784287053</v>
      </c>
    </row>
    <row r="14" spans="1:26" x14ac:dyDescent="0.2">
      <c r="A14" s="331">
        <v>8</v>
      </c>
      <c r="B14" s="335" t="s">
        <v>2443</v>
      </c>
      <c r="C14" s="579"/>
      <c r="D14" s="579"/>
      <c r="E14" s="11"/>
      <c r="F14" s="11">
        <f>F12*F13</f>
        <v>594813</v>
      </c>
      <c r="G14" s="202"/>
      <c r="H14" s="202"/>
      <c r="I14" s="202"/>
      <c r="J14" s="13">
        <f>J12*J13</f>
        <v>618746.87396017602</v>
      </c>
      <c r="K14" s="201"/>
      <c r="L14" s="201"/>
      <c r="M14" s="201"/>
      <c r="N14" s="11">
        <f>N12*N13</f>
        <v>637309.28017898137</v>
      </c>
      <c r="O14" s="202"/>
      <c r="P14" s="202"/>
      <c r="Q14" s="202"/>
      <c r="R14" s="13">
        <f>R12*R13</f>
        <v>655153.94002399279</v>
      </c>
      <c r="S14" s="201"/>
      <c r="T14" s="201"/>
      <c r="U14" s="201"/>
      <c r="V14" s="11">
        <f>V12*V13</f>
        <v>675856.80452875106</v>
      </c>
      <c r="W14" s="202"/>
      <c r="X14" s="202"/>
      <c r="Y14" s="202"/>
      <c r="Z14" s="13">
        <f>Z12*Z13</f>
        <v>697213.87955185969</v>
      </c>
    </row>
    <row r="15" spans="1:26" ht="12.75" customHeight="1" x14ac:dyDescent="0.2">
      <c r="A15" s="331">
        <v>9</v>
      </c>
      <c r="B15" s="335" t="s">
        <v>2</v>
      </c>
      <c r="C15" s="579"/>
      <c r="D15" s="579"/>
      <c r="E15" s="11"/>
      <c r="F15" s="12">
        <v>0</v>
      </c>
      <c r="G15" s="202"/>
      <c r="H15" s="202"/>
      <c r="I15" s="202"/>
      <c r="J15" s="14">
        <v>0</v>
      </c>
      <c r="K15" s="201"/>
      <c r="L15" s="201"/>
      <c r="M15" s="201"/>
      <c r="N15" s="12">
        <v>0</v>
      </c>
      <c r="O15" s="202"/>
      <c r="P15" s="202"/>
      <c r="Q15" s="202"/>
      <c r="R15" s="14">
        <v>0</v>
      </c>
      <c r="S15" s="201"/>
      <c r="T15" s="201"/>
      <c r="U15" s="201"/>
      <c r="V15" s="12">
        <v>0</v>
      </c>
      <c r="W15" s="202"/>
      <c r="X15" s="202"/>
      <c r="Y15" s="202"/>
      <c r="Z15" s="14">
        <v>0</v>
      </c>
    </row>
    <row r="16" spans="1:26" x14ac:dyDescent="0.2">
      <c r="A16" s="331">
        <v>10</v>
      </c>
      <c r="B16" s="380" t="s">
        <v>2445</v>
      </c>
      <c r="C16" s="584">
        <v>185</v>
      </c>
      <c r="D16" s="584">
        <v>36</v>
      </c>
      <c r="E16" s="16"/>
      <c r="F16" s="16">
        <f>D16+C16</f>
        <v>221</v>
      </c>
      <c r="G16" s="202">
        <f>C16*(1+G102)</f>
        <v>186.02537922987162</v>
      </c>
      <c r="H16" s="202">
        <f>D16*(1+H102)</f>
        <v>36.447926267281105</v>
      </c>
      <c r="I16" s="383"/>
      <c r="J16" s="29">
        <f>SUM(G16:H16)</f>
        <v>222.47330549715272</v>
      </c>
      <c r="K16" s="386">
        <f>G16</f>
        <v>186.02537922987162</v>
      </c>
      <c r="L16" s="386">
        <f>H16</f>
        <v>36.447926267281105</v>
      </c>
      <c r="M16" s="386"/>
      <c r="N16" s="16">
        <f>SUM(K16:L16)</f>
        <v>222.47330549715272</v>
      </c>
      <c r="O16" s="202">
        <f>K16</f>
        <v>186.02537922987162</v>
      </c>
      <c r="P16" s="202">
        <f>L16</f>
        <v>36.447926267281105</v>
      </c>
      <c r="Q16" s="383"/>
      <c r="R16" s="29">
        <f>SUM(O16:P16)</f>
        <v>222.47330549715272</v>
      </c>
      <c r="S16" s="386">
        <f>O16</f>
        <v>186.02537922987162</v>
      </c>
      <c r="T16" s="386">
        <f>P16</f>
        <v>36.447926267281105</v>
      </c>
      <c r="U16" s="386"/>
      <c r="V16" s="16">
        <f>SUM(S16:T16)</f>
        <v>222.47330549715272</v>
      </c>
      <c r="W16" s="202">
        <f>S16</f>
        <v>186.02537922987162</v>
      </c>
      <c r="X16" s="202">
        <f>T16</f>
        <v>36.447926267281105</v>
      </c>
      <c r="Y16" s="383"/>
      <c r="Z16" s="29">
        <f>SUM(W16:X16)</f>
        <v>222.47330549715272</v>
      </c>
    </row>
    <row r="17" spans="1:16368" x14ac:dyDescent="0.2">
      <c r="A17" s="331">
        <v>11</v>
      </c>
      <c r="B17" s="335" t="s">
        <v>2437</v>
      </c>
      <c r="C17" s="579"/>
      <c r="D17" s="579"/>
      <c r="E17" s="11"/>
      <c r="F17" s="17">
        <v>3347</v>
      </c>
      <c r="G17" s="202"/>
      <c r="H17" s="202"/>
      <c r="I17" s="202"/>
      <c r="J17" s="20">
        <f>SCFF!H82</f>
        <v>3456</v>
      </c>
      <c r="K17" s="201"/>
      <c r="L17" s="201"/>
      <c r="M17" s="201"/>
      <c r="N17" s="17">
        <f>J17*(1+N100)</f>
        <v>3559.6800000000003</v>
      </c>
      <c r="O17" s="202"/>
      <c r="P17" s="202"/>
      <c r="Q17" s="202"/>
      <c r="R17" s="20">
        <f>N17*(1+R100)</f>
        <v>3659.3510400000005</v>
      </c>
      <c r="S17" s="201"/>
      <c r="T17" s="201"/>
      <c r="U17" s="201"/>
      <c r="V17" s="17">
        <f>R17*(1+V100)</f>
        <v>3774.9865328640008</v>
      </c>
      <c r="W17" s="202"/>
      <c r="X17" s="202"/>
      <c r="Y17" s="202"/>
      <c r="Z17" s="20">
        <f>V17*(1+Z100)</f>
        <v>3894.2761073025035</v>
      </c>
    </row>
    <row r="18" spans="1:16368" x14ac:dyDescent="0.2">
      <c r="A18" s="331">
        <v>12</v>
      </c>
      <c r="B18" s="335" t="s">
        <v>2444</v>
      </c>
      <c r="C18" s="11"/>
      <c r="D18" s="11"/>
      <c r="E18" s="11"/>
      <c r="F18" s="11">
        <f>F16*F17</f>
        <v>739687</v>
      </c>
      <c r="G18" s="202"/>
      <c r="H18" s="202"/>
      <c r="I18" s="202"/>
      <c r="J18" s="13">
        <f>J16*J17</f>
        <v>768867.74379815976</v>
      </c>
      <c r="K18" s="201"/>
      <c r="L18" s="201"/>
      <c r="M18" s="201"/>
      <c r="N18" s="11">
        <f>N16*N17</f>
        <v>791933.77611210465</v>
      </c>
      <c r="O18" s="202"/>
      <c r="P18" s="202"/>
      <c r="Q18" s="202"/>
      <c r="R18" s="13">
        <f>R16*R17</f>
        <v>814107.92184324365</v>
      </c>
      <c r="S18" s="201"/>
      <c r="T18" s="201"/>
      <c r="U18" s="201"/>
      <c r="V18" s="11">
        <f>V16*V17</f>
        <v>839833.73217349022</v>
      </c>
      <c r="W18" s="202"/>
      <c r="X18" s="202"/>
      <c r="Y18" s="202"/>
      <c r="Z18" s="13">
        <f>Z16*Z17</f>
        <v>866372.47811017255</v>
      </c>
    </row>
    <row r="19" spans="1:16368" x14ac:dyDescent="0.2">
      <c r="A19" s="331">
        <v>13</v>
      </c>
      <c r="B19" s="335" t="s">
        <v>2438</v>
      </c>
      <c r="C19" s="15">
        <f>C6+C12+C16</f>
        <v>10340.417812</v>
      </c>
      <c r="D19" s="15">
        <f>D6+D12+D16</f>
        <v>4659.6721879999996</v>
      </c>
      <c r="E19" s="11"/>
      <c r="F19" s="15">
        <f>SUM(F6,F12,F16)</f>
        <v>15000.09</v>
      </c>
      <c r="G19" s="383">
        <f>SUM(G6,G12,G16)</f>
        <v>10392.26368752441</v>
      </c>
      <c r="H19" s="383">
        <f>SUM(H6,H12,H16)</f>
        <v>4683.4543047003681</v>
      </c>
      <c r="I19" s="202"/>
      <c r="J19" s="202">
        <f>SUM(G19:H19)</f>
        <v>15075.717992224778</v>
      </c>
      <c r="K19" s="386">
        <f>SUM(K6,K12,K16)</f>
        <v>10442.892662029708</v>
      </c>
      <c r="L19" s="386">
        <f>SUM(L6,L12,L16)</f>
        <v>4706.5425324450671</v>
      </c>
      <c r="M19" s="201"/>
      <c r="N19" s="16">
        <f>SUM(K19:L19)</f>
        <v>15149.435194474776</v>
      </c>
      <c r="O19" s="383">
        <f>SUM(O6,O12,O16)</f>
        <v>10493.774781407534</v>
      </c>
      <c r="P19" s="383">
        <f>SUM(P6,P12,P16)</f>
        <v>4729.7462013284903</v>
      </c>
      <c r="Q19" s="202"/>
      <c r="R19" s="29">
        <f>SUM(O19:P19)</f>
        <v>15223.520982736023</v>
      </c>
      <c r="S19" s="386">
        <f>SUM(S6,S12,S16)</f>
        <v>10544.911311382248</v>
      </c>
      <c r="T19" s="386">
        <f>SUM(T6,T12,T16)</f>
        <v>4753.0658885563307</v>
      </c>
      <c r="U19" s="201"/>
      <c r="V19" s="201">
        <f>SUM(S19:T19)</f>
        <v>15297.977199938578</v>
      </c>
      <c r="W19" s="383">
        <f>SUM(W6,W12,W16)</f>
        <v>10596.303524006837</v>
      </c>
      <c r="X19" s="383">
        <f>SUM(X6,X12,X16)</f>
        <v>4776.5021742203098</v>
      </c>
      <c r="Y19" s="202"/>
      <c r="Z19" s="202">
        <f>SUM(W19:X19)</f>
        <v>15372.805698227146</v>
      </c>
    </row>
    <row r="20" spans="1:16368" x14ac:dyDescent="0.2">
      <c r="A20" s="379">
        <v>14</v>
      </c>
      <c r="B20" s="335" t="s">
        <v>2455</v>
      </c>
      <c r="C20" s="15">
        <f>F20*C5</f>
        <v>16606.824000000001</v>
      </c>
      <c r="D20" s="15">
        <f>F20*D5</f>
        <v>7573.1759999999995</v>
      </c>
      <c r="E20" s="11"/>
      <c r="F20" s="15">
        <v>24180</v>
      </c>
      <c r="G20" s="383">
        <f>C20</f>
        <v>16606.824000000001</v>
      </c>
      <c r="H20" s="383">
        <f>D20</f>
        <v>7573.1759999999995</v>
      </c>
      <c r="I20" s="202"/>
      <c r="J20" s="29">
        <f t="shared" ref="J20" si="0">SUM(G20:H20)</f>
        <v>24180</v>
      </c>
      <c r="K20" s="386">
        <f>G20</f>
        <v>16606.824000000001</v>
      </c>
      <c r="L20" s="386">
        <f>H20</f>
        <v>7573.1759999999995</v>
      </c>
      <c r="M20" s="201"/>
      <c r="N20" s="16">
        <f t="shared" ref="N20" si="1">SUM(K20:L20)</f>
        <v>24180</v>
      </c>
      <c r="O20" s="383">
        <f>K20</f>
        <v>16606.824000000001</v>
      </c>
      <c r="P20" s="383">
        <f>L20</f>
        <v>7573.1759999999995</v>
      </c>
      <c r="Q20" s="202"/>
      <c r="R20" s="29">
        <f t="shared" ref="R20" si="2">SUM(O20:P20)</f>
        <v>24180</v>
      </c>
      <c r="S20" s="386">
        <f>O20</f>
        <v>16606.824000000001</v>
      </c>
      <c r="T20" s="386">
        <f>P20</f>
        <v>7573.1759999999995</v>
      </c>
      <c r="U20" s="201"/>
      <c r="V20" s="16">
        <f t="shared" ref="V20" si="3">SUM(S20:T20)</f>
        <v>24180</v>
      </c>
      <c r="W20" s="383">
        <f>S20</f>
        <v>16606.824000000001</v>
      </c>
      <c r="X20" s="383">
        <f>T20</f>
        <v>7573.1759999999995</v>
      </c>
      <c r="Y20" s="202"/>
      <c r="Z20" s="29">
        <f>SUM(W20:X20)</f>
        <v>24180</v>
      </c>
    </row>
    <row r="21" spans="1:16368" x14ac:dyDescent="0.2">
      <c r="A21" s="379">
        <v>15</v>
      </c>
      <c r="B21" s="335" t="s">
        <v>2457</v>
      </c>
      <c r="C21" s="15"/>
      <c r="D21" s="15"/>
      <c r="E21" s="11"/>
      <c r="F21" s="11">
        <v>919</v>
      </c>
      <c r="G21" s="383"/>
      <c r="H21" s="383"/>
      <c r="I21" s="202"/>
      <c r="J21" s="13">
        <v>951</v>
      </c>
      <c r="K21" s="386"/>
      <c r="L21" s="386"/>
      <c r="M21" s="201"/>
      <c r="N21" s="11">
        <f>J21*(1+N100)</f>
        <v>979.53</v>
      </c>
      <c r="O21" s="383"/>
      <c r="P21" s="383"/>
      <c r="Q21" s="202"/>
      <c r="R21" s="13">
        <f>N21*(1+R100)</f>
        <v>1006.9568399999999</v>
      </c>
      <c r="S21" s="386"/>
      <c r="T21" s="386"/>
      <c r="U21" s="201"/>
      <c r="V21" s="11">
        <f>R21*(1+V100)</f>
        <v>1038.776676144</v>
      </c>
      <c r="W21" s="383"/>
      <c r="X21" s="383"/>
      <c r="Y21" s="202"/>
      <c r="Z21" s="13">
        <f>V21*(1+Z100)</f>
        <v>1071.6020191101504</v>
      </c>
    </row>
    <row r="22" spans="1:16368" x14ac:dyDescent="0.2">
      <c r="A22" s="379">
        <v>16</v>
      </c>
      <c r="B22" s="335" t="s">
        <v>2458</v>
      </c>
      <c r="C22" s="15"/>
      <c r="D22" s="15"/>
      <c r="E22" s="11"/>
      <c r="F22" s="575">
        <f>F20*F21</f>
        <v>22221420</v>
      </c>
      <c r="G22" s="383"/>
      <c r="H22" s="383"/>
      <c r="I22" s="202"/>
      <c r="J22" s="13">
        <f>J20*J21</f>
        <v>22995180</v>
      </c>
      <c r="K22" s="386"/>
      <c r="L22" s="386"/>
      <c r="M22" s="201"/>
      <c r="N22" s="11">
        <f>N20*N21</f>
        <v>23685035.399999999</v>
      </c>
      <c r="O22" s="383"/>
      <c r="P22" s="383"/>
      <c r="Q22" s="202"/>
      <c r="R22" s="13">
        <f>R20*R21</f>
        <v>24348216.391199999</v>
      </c>
      <c r="S22" s="386"/>
      <c r="T22" s="386"/>
      <c r="U22" s="201"/>
      <c r="V22" s="11">
        <f>V20*V21</f>
        <v>25117620.029161919</v>
      </c>
      <c r="W22" s="383"/>
      <c r="X22" s="383"/>
      <c r="Y22" s="202"/>
      <c r="Z22" s="13">
        <f>Z20*Z21</f>
        <v>25911336.822083436</v>
      </c>
    </row>
    <row r="23" spans="1:16368" x14ac:dyDescent="0.2">
      <c r="A23" s="379">
        <v>17</v>
      </c>
      <c r="B23" s="335" t="s">
        <v>2456</v>
      </c>
      <c r="C23" s="15"/>
      <c r="D23" s="15"/>
      <c r="E23" s="11"/>
      <c r="F23" s="15">
        <v>21570</v>
      </c>
      <c r="G23" s="383"/>
      <c r="H23" s="383"/>
      <c r="I23" s="202"/>
      <c r="J23" s="29">
        <f>F23</f>
        <v>21570</v>
      </c>
      <c r="K23" s="386"/>
      <c r="L23" s="386"/>
      <c r="M23" s="201"/>
      <c r="N23" s="16">
        <f>J23</f>
        <v>21570</v>
      </c>
      <c r="O23" s="383"/>
      <c r="P23" s="383"/>
      <c r="Q23" s="202"/>
      <c r="R23" s="29">
        <f>N23</f>
        <v>21570</v>
      </c>
      <c r="S23" s="386"/>
      <c r="T23" s="386"/>
      <c r="U23" s="201"/>
      <c r="V23" s="16">
        <f>R23</f>
        <v>21570</v>
      </c>
      <c r="W23" s="383"/>
      <c r="X23" s="383"/>
      <c r="Y23" s="202"/>
      <c r="Z23" s="29">
        <f>V23</f>
        <v>21570</v>
      </c>
    </row>
    <row r="24" spans="1:16368" x14ac:dyDescent="0.2">
      <c r="A24" s="379">
        <v>18</v>
      </c>
      <c r="B24" s="335" t="s">
        <v>2460</v>
      </c>
      <c r="C24" s="15"/>
      <c r="D24" s="15"/>
      <c r="E24" s="11"/>
      <c r="F24" s="15">
        <v>455.11745000000002</v>
      </c>
      <c r="G24" s="383"/>
      <c r="H24" s="383"/>
      <c r="I24" s="202"/>
      <c r="J24" s="13">
        <f>F24*(1+J100)</f>
        <v>469.95427887</v>
      </c>
      <c r="K24" s="386"/>
      <c r="L24" s="386"/>
      <c r="M24" s="201"/>
      <c r="N24" s="11">
        <f>J24*(1+N100)</f>
        <v>484.0529072361</v>
      </c>
      <c r="O24" s="383"/>
      <c r="P24" s="383"/>
      <c r="Q24" s="202"/>
      <c r="R24" s="13">
        <f>N24*(1+R100)</f>
        <v>497.60638863871083</v>
      </c>
      <c r="S24" s="386"/>
      <c r="T24" s="386"/>
      <c r="U24" s="201"/>
      <c r="V24" s="11">
        <f>R24*(1+V100)</f>
        <v>513.33075051969411</v>
      </c>
      <c r="W24" s="383"/>
      <c r="X24" s="383"/>
      <c r="Y24" s="202"/>
      <c r="Z24" s="13">
        <f>V24*(1+Z100)</f>
        <v>529.55200223611644</v>
      </c>
    </row>
    <row r="25" spans="1:16368" x14ac:dyDescent="0.2">
      <c r="A25" s="379">
        <v>19</v>
      </c>
      <c r="B25" s="335" t="s">
        <v>2459</v>
      </c>
      <c r="C25" s="15"/>
      <c r="D25" s="15"/>
      <c r="E25" s="11"/>
      <c r="F25" s="11">
        <f>F23*F24</f>
        <v>9816883.3965000007</v>
      </c>
      <c r="G25" s="383"/>
      <c r="H25" s="383"/>
      <c r="I25" s="202"/>
      <c r="J25" s="13">
        <f>J23*J24</f>
        <v>10136913.7952259</v>
      </c>
      <c r="K25" s="386"/>
      <c r="L25" s="386"/>
      <c r="M25" s="201"/>
      <c r="N25" s="11">
        <f>N23*N24</f>
        <v>10441021.209082676</v>
      </c>
      <c r="O25" s="383"/>
      <c r="P25" s="383"/>
      <c r="Q25" s="202"/>
      <c r="R25" s="13">
        <f>R23*R24</f>
        <v>10733369.802936992</v>
      </c>
      <c r="S25" s="386"/>
      <c r="T25" s="386"/>
      <c r="U25" s="201"/>
      <c r="V25" s="11">
        <f>V23*V24</f>
        <v>11072544.288709803</v>
      </c>
      <c r="W25" s="383"/>
      <c r="X25" s="383"/>
      <c r="Y25" s="202"/>
      <c r="Z25" s="13">
        <f>Z23*Z24</f>
        <v>11422436.688233031</v>
      </c>
    </row>
    <row r="26" spans="1:16368" x14ac:dyDescent="0.2">
      <c r="A26" s="331">
        <v>20</v>
      </c>
      <c r="B26" s="334" t="s">
        <v>2439</v>
      </c>
      <c r="C26" s="389"/>
      <c r="D26" s="389"/>
      <c r="E26" s="11"/>
      <c r="F26" s="11">
        <f>F4+F8+F14+F18+F22+F25+F11</f>
        <v>98391490.526200011</v>
      </c>
      <c r="G26" s="202"/>
      <c r="H26" s="202"/>
      <c r="I26" s="202"/>
      <c r="J26" s="13">
        <f>J4+J8+J14+J18+J22+J25+J11</f>
        <v>101964803.60281444</v>
      </c>
      <c r="K26" s="201"/>
      <c r="L26" s="201"/>
      <c r="M26" s="201"/>
      <c r="N26" s="11">
        <f>N4+N8+N14+N18+N22+N25+N11</f>
        <v>105411625.30252691</v>
      </c>
      <c r="O26" s="202"/>
      <c r="P26" s="202"/>
      <c r="Q26" s="202"/>
      <c r="R26" s="13">
        <f>R4+R8+R14+R18+R22+R25+R11</f>
        <v>108768301.46064346</v>
      </c>
      <c r="S26" s="201"/>
      <c r="T26" s="201"/>
      <c r="U26" s="201"/>
      <c r="V26" s="11">
        <f>V4+V8+V14+V18+V22+V25+V11</f>
        <v>112618515.78915375</v>
      </c>
      <c r="W26" s="202"/>
      <c r="X26" s="202"/>
      <c r="Y26" s="202"/>
      <c r="Z26" s="13">
        <f>Z4+Z8+Z14+Z18+Z22+Z25+Z11</f>
        <v>116606078.56478103</v>
      </c>
    </row>
    <row r="27" spans="1:16368" hidden="1" x14ac:dyDescent="0.2">
      <c r="A27" s="379">
        <v>21</v>
      </c>
      <c r="B27" s="380" t="s">
        <v>2461</v>
      </c>
      <c r="C27" s="389"/>
      <c r="D27" s="389"/>
      <c r="E27" s="11"/>
      <c r="F27" s="11"/>
      <c r="G27" s="202"/>
      <c r="H27" s="202"/>
      <c r="I27" s="202"/>
      <c r="J27" s="13"/>
      <c r="K27" s="201"/>
      <c r="L27" s="201"/>
      <c r="M27" s="201"/>
      <c r="N27" s="11"/>
      <c r="O27" s="202"/>
      <c r="P27" s="202"/>
      <c r="Q27" s="202"/>
      <c r="R27" s="13"/>
      <c r="S27" s="201"/>
      <c r="T27" s="201"/>
      <c r="U27" s="201"/>
      <c r="V27" s="11"/>
      <c r="W27" s="202"/>
      <c r="X27" s="202"/>
      <c r="Y27" s="202"/>
      <c r="Z27" s="13"/>
    </row>
    <row r="28" spans="1:16368" x14ac:dyDescent="0.2">
      <c r="A28" s="331">
        <v>21</v>
      </c>
      <c r="B28" s="335" t="s">
        <v>23</v>
      </c>
      <c r="C28" s="11"/>
      <c r="D28" s="11"/>
      <c r="E28" s="11"/>
      <c r="F28" s="26">
        <f>F29/F26</f>
        <v>-6.911166772282277E-3</v>
      </c>
      <c r="G28" s="202"/>
      <c r="H28" s="202"/>
      <c r="I28" s="202"/>
      <c r="J28" s="30">
        <v>0</v>
      </c>
      <c r="K28" s="201"/>
      <c r="L28" s="201"/>
      <c r="M28" s="201"/>
      <c r="N28" s="26">
        <v>0</v>
      </c>
      <c r="O28" s="202"/>
      <c r="P28" s="202"/>
      <c r="Q28" s="202"/>
      <c r="R28" s="30">
        <v>0</v>
      </c>
      <c r="S28" s="201"/>
      <c r="T28" s="201"/>
      <c r="U28" s="201"/>
      <c r="V28" s="26">
        <f>R28</f>
        <v>0</v>
      </c>
      <c r="W28" s="202"/>
      <c r="X28" s="202"/>
      <c r="Y28" s="202"/>
      <c r="Z28" s="30">
        <f>V28</f>
        <v>0</v>
      </c>
    </row>
    <row r="29" spans="1:16368" x14ac:dyDescent="0.2">
      <c r="A29" s="331">
        <v>22</v>
      </c>
      <c r="B29" s="334" t="s">
        <v>2440</v>
      </c>
      <c r="C29" s="11"/>
      <c r="D29" s="11"/>
      <c r="E29" s="11"/>
      <c r="F29" s="11">
        <v>-680000</v>
      </c>
      <c r="G29" s="202"/>
      <c r="H29" s="202"/>
      <c r="I29" s="202"/>
      <c r="J29" s="13">
        <f>-J26*J28</f>
        <v>0</v>
      </c>
      <c r="K29" s="201"/>
      <c r="L29" s="201"/>
      <c r="M29" s="201"/>
      <c r="N29" s="11">
        <f>-N26*N28</f>
        <v>0</v>
      </c>
      <c r="O29" s="202"/>
      <c r="P29" s="202"/>
      <c r="Q29" s="202"/>
      <c r="R29" s="13">
        <f>-R26*R28</f>
        <v>0</v>
      </c>
      <c r="S29" s="201"/>
      <c r="T29" s="201"/>
      <c r="U29" s="201"/>
      <c r="V29" s="11">
        <f>-V26*V28</f>
        <v>0</v>
      </c>
      <c r="W29" s="202"/>
      <c r="X29" s="202"/>
      <c r="Y29" s="202"/>
      <c r="Z29" s="13">
        <f>-Z26*Z28</f>
        <v>0</v>
      </c>
    </row>
    <row r="30" spans="1:16368" x14ac:dyDescent="0.2">
      <c r="A30" s="347">
        <v>23</v>
      </c>
      <c r="B30" s="351" t="s">
        <v>2385</v>
      </c>
      <c r="C30" s="354">
        <f>C26+C29</f>
        <v>0</v>
      </c>
      <c r="D30" s="354">
        <f>D26+D29</f>
        <v>0</v>
      </c>
      <c r="E30" s="354">
        <f>E26+E29</f>
        <v>0</v>
      </c>
      <c r="F30" s="354">
        <f>F26+F29+39</f>
        <v>97711529.526200011</v>
      </c>
      <c r="G30" s="354"/>
      <c r="H30" s="354"/>
      <c r="I30" s="354"/>
      <c r="J30" s="354">
        <f t="shared" ref="J30:Z30" si="4">J26+J29</f>
        <v>101964803.60281444</v>
      </c>
      <c r="K30" s="354"/>
      <c r="L30" s="354"/>
      <c r="M30" s="354"/>
      <c r="N30" s="354">
        <f>N26+N27+N29</f>
        <v>105411625.30252691</v>
      </c>
      <c r="O30" s="354"/>
      <c r="P30" s="354"/>
      <c r="Q30" s="354"/>
      <c r="R30" s="354">
        <f>R26+R27+R29</f>
        <v>108768301.46064346</v>
      </c>
      <c r="S30" s="354"/>
      <c r="T30" s="354"/>
      <c r="U30" s="354"/>
      <c r="V30" s="354">
        <f t="shared" si="4"/>
        <v>112618515.78915375</v>
      </c>
      <c r="W30" s="354"/>
      <c r="X30" s="354"/>
      <c r="Y30" s="354"/>
      <c r="Z30" s="354">
        <f t="shared" si="4"/>
        <v>116606078.56478103</v>
      </c>
    </row>
    <row r="31" spans="1:16368" s="6" customFormat="1" hidden="1" x14ac:dyDescent="0.2">
      <c r="A31" s="544" t="s">
        <v>143</v>
      </c>
      <c r="B31" s="544"/>
      <c r="C31" s="540"/>
      <c r="D31" s="540"/>
      <c r="E31" s="540"/>
      <c r="F31" s="540"/>
      <c r="G31" s="540"/>
      <c r="H31" s="540"/>
      <c r="I31" s="540"/>
      <c r="J31" s="540"/>
      <c r="K31" s="542"/>
      <c r="L31" s="542"/>
      <c r="M31" s="542"/>
      <c r="N31" s="542"/>
      <c r="O31" s="542"/>
      <c r="P31" s="542"/>
      <c r="Q31" s="542"/>
      <c r="R31" s="542"/>
      <c r="S31" s="542"/>
      <c r="T31" s="542"/>
      <c r="U31" s="542"/>
      <c r="V31" s="542"/>
      <c r="W31" s="542"/>
      <c r="X31" s="542"/>
      <c r="Y31" s="542"/>
      <c r="Z31" s="542"/>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c r="IT31" s="543"/>
      <c r="IU31" s="543"/>
      <c r="IV31" s="543"/>
      <c r="IW31" s="543"/>
      <c r="IX31" s="543"/>
      <c r="IY31" s="543"/>
      <c r="IZ31" s="543"/>
      <c r="JA31" s="543"/>
      <c r="JB31" s="543"/>
      <c r="JC31" s="543"/>
      <c r="JD31" s="543"/>
      <c r="JE31" s="543"/>
      <c r="JF31" s="543"/>
      <c r="JG31" s="543"/>
      <c r="JH31" s="543"/>
      <c r="JI31" s="543"/>
      <c r="JJ31" s="543"/>
      <c r="JK31" s="543"/>
      <c r="JL31" s="543"/>
      <c r="JM31" s="543"/>
      <c r="JN31" s="543"/>
      <c r="JO31" s="543"/>
      <c r="JP31" s="543"/>
      <c r="JQ31" s="543"/>
      <c r="JR31" s="543"/>
      <c r="JS31" s="543"/>
      <c r="JT31" s="543"/>
      <c r="JU31" s="543"/>
      <c r="JV31" s="543"/>
      <c r="JW31" s="543"/>
      <c r="JX31" s="543"/>
      <c r="JY31" s="543"/>
      <c r="JZ31" s="543"/>
      <c r="KA31" s="543"/>
      <c r="KB31" s="543"/>
      <c r="KC31" s="543"/>
      <c r="KD31" s="543"/>
      <c r="KE31" s="543"/>
      <c r="KF31" s="543"/>
      <c r="KG31" s="543"/>
      <c r="KH31" s="543"/>
      <c r="KI31" s="543"/>
      <c r="KJ31" s="543"/>
      <c r="KK31" s="543"/>
      <c r="KL31" s="543"/>
      <c r="KM31" s="543"/>
      <c r="KN31" s="543"/>
      <c r="KO31" s="543"/>
      <c r="KP31" s="543"/>
      <c r="KQ31" s="543"/>
      <c r="KR31" s="543"/>
      <c r="KS31" s="543"/>
      <c r="KT31" s="543"/>
      <c r="KU31" s="543"/>
      <c r="KV31" s="543"/>
      <c r="KW31" s="543"/>
      <c r="KX31" s="543"/>
      <c r="KY31" s="543"/>
      <c r="KZ31" s="543"/>
      <c r="LA31" s="543"/>
      <c r="LB31" s="543"/>
      <c r="LC31" s="543"/>
      <c r="LD31" s="543"/>
      <c r="LE31" s="543"/>
      <c r="LF31" s="543"/>
      <c r="LG31" s="543"/>
      <c r="LH31" s="543"/>
      <c r="LI31" s="543"/>
      <c r="LJ31" s="543"/>
      <c r="LK31" s="543"/>
      <c r="LL31" s="543"/>
      <c r="LM31" s="543"/>
      <c r="LN31" s="543"/>
      <c r="LO31" s="543"/>
      <c r="LP31" s="543"/>
      <c r="LQ31" s="543"/>
      <c r="LR31" s="543"/>
      <c r="LS31" s="543"/>
      <c r="LT31" s="543"/>
      <c r="LU31" s="543"/>
      <c r="LV31" s="543"/>
      <c r="LW31" s="543"/>
      <c r="LX31" s="543"/>
      <c r="LY31" s="543"/>
      <c r="LZ31" s="543"/>
      <c r="MA31" s="543"/>
      <c r="MB31" s="543"/>
      <c r="MC31" s="543"/>
      <c r="MD31" s="543"/>
      <c r="ME31" s="543"/>
      <c r="MF31" s="543"/>
      <c r="MG31" s="543"/>
      <c r="MH31" s="543"/>
      <c r="MI31" s="543"/>
      <c r="MJ31" s="543"/>
      <c r="MK31" s="543"/>
      <c r="ML31" s="543"/>
      <c r="MM31" s="543"/>
      <c r="MN31" s="543"/>
      <c r="MO31" s="543"/>
      <c r="MP31" s="543"/>
      <c r="MQ31" s="543"/>
      <c r="MR31" s="543"/>
      <c r="MS31" s="543"/>
      <c r="MT31" s="543"/>
      <c r="MU31" s="543"/>
      <c r="MV31" s="543"/>
      <c r="MW31" s="543"/>
      <c r="MX31" s="543"/>
      <c r="MY31" s="543"/>
      <c r="MZ31" s="543"/>
      <c r="NA31" s="543"/>
      <c r="NB31" s="543"/>
      <c r="NC31" s="543"/>
      <c r="ND31" s="543"/>
      <c r="NE31" s="543"/>
      <c r="NF31" s="543"/>
      <c r="NG31" s="543"/>
      <c r="NH31" s="543"/>
      <c r="NI31" s="543"/>
      <c r="NJ31" s="543"/>
      <c r="NK31" s="543"/>
      <c r="NL31" s="543"/>
      <c r="NM31" s="543"/>
      <c r="NN31" s="543"/>
      <c r="NO31" s="543"/>
      <c r="NP31" s="543"/>
      <c r="NQ31" s="543"/>
      <c r="NR31" s="543"/>
      <c r="NS31" s="543"/>
      <c r="NT31" s="543"/>
      <c r="NU31" s="543"/>
      <c r="NV31" s="543"/>
      <c r="NW31" s="543"/>
      <c r="NX31" s="543"/>
      <c r="NY31" s="543"/>
      <c r="NZ31" s="543"/>
      <c r="OA31" s="543"/>
      <c r="OB31" s="543"/>
      <c r="OC31" s="543"/>
      <c r="OD31" s="543"/>
      <c r="OE31" s="543"/>
      <c r="OF31" s="543"/>
      <c r="OG31" s="543"/>
      <c r="OH31" s="543"/>
      <c r="OI31" s="543"/>
      <c r="OJ31" s="543"/>
      <c r="OK31" s="543"/>
      <c r="OL31" s="543"/>
      <c r="OM31" s="543"/>
      <c r="ON31" s="543"/>
      <c r="OO31" s="543"/>
      <c r="OP31" s="543"/>
      <c r="OQ31" s="543"/>
      <c r="OR31" s="543"/>
      <c r="OS31" s="543"/>
      <c r="OT31" s="543"/>
      <c r="OU31" s="543"/>
      <c r="OV31" s="543"/>
      <c r="OW31" s="543"/>
      <c r="OX31" s="543"/>
      <c r="OY31" s="543"/>
      <c r="OZ31" s="543"/>
      <c r="PA31" s="543"/>
      <c r="PB31" s="543"/>
      <c r="PC31" s="543"/>
      <c r="PD31" s="543"/>
      <c r="PE31" s="543"/>
      <c r="PF31" s="543"/>
      <c r="PG31" s="543"/>
      <c r="PH31" s="543"/>
      <c r="PI31" s="543"/>
      <c r="PJ31" s="543"/>
      <c r="PK31" s="543"/>
      <c r="PL31" s="543"/>
      <c r="PM31" s="543"/>
      <c r="PN31" s="543"/>
      <c r="PO31" s="543"/>
      <c r="PP31" s="543"/>
      <c r="PQ31" s="543"/>
      <c r="PR31" s="543"/>
      <c r="PS31" s="543"/>
      <c r="PT31" s="543"/>
      <c r="PU31" s="543"/>
      <c r="PV31" s="543"/>
      <c r="PW31" s="543"/>
      <c r="PX31" s="543"/>
      <c r="PY31" s="543"/>
      <c r="PZ31" s="543"/>
      <c r="QA31" s="543"/>
      <c r="QB31" s="543"/>
      <c r="QC31" s="543"/>
      <c r="QD31" s="543"/>
      <c r="QE31" s="543"/>
      <c r="QF31" s="543"/>
      <c r="QG31" s="543"/>
      <c r="QH31" s="543"/>
      <c r="QI31" s="543"/>
      <c r="QJ31" s="543"/>
      <c r="QK31" s="543"/>
      <c r="QL31" s="543"/>
      <c r="QM31" s="543"/>
      <c r="QN31" s="543"/>
      <c r="QO31" s="543"/>
      <c r="QP31" s="543"/>
      <c r="QQ31" s="543"/>
      <c r="QR31" s="543"/>
      <c r="QS31" s="543"/>
      <c r="QT31" s="543"/>
      <c r="QU31" s="543"/>
      <c r="QV31" s="543"/>
      <c r="QW31" s="543"/>
      <c r="QX31" s="543"/>
      <c r="QY31" s="543"/>
      <c r="QZ31" s="543"/>
      <c r="RA31" s="543"/>
      <c r="RB31" s="543"/>
      <c r="RC31" s="543"/>
      <c r="RD31" s="543"/>
      <c r="RE31" s="543"/>
      <c r="RF31" s="543"/>
      <c r="RG31" s="543"/>
      <c r="RH31" s="543"/>
      <c r="RI31" s="543"/>
      <c r="RJ31" s="543"/>
      <c r="RK31" s="543"/>
      <c r="RL31" s="543"/>
      <c r="RM31" s="543"/>
      <c r="RN31" s="543"/>
      <c r="RO31" s="543"/>
      <c r="RP31" s="543"/>
      <c r="RQ31" s="543"/>
      <c r="RR31" s="543"/>
      <c r="RS31" s="543"/>
      <c r="RT31" s="543"/>
      <c r="RU31" s="543"/>
      <c r="RV31" s="543"/>
      <c r="RW31" s="543"/>
      <c r="RX31" s="543"/>
      <c r="RY31" s="543"/>
      <c r="RZ31" s="543"/>
      <c r="SA31" s="543"/>
      <c r="SB31" s="543"/>
      <c r="SC31" s="543"/>
      <c r="SD31" s="543"/>
      <c r="SE31" s="543"/>
      <c r="SF31" s="543"/>
      <c r="SG31" s="543"/>
      <c r="SH31" s="543"/>
      <c r="SI31" s="543"/>
      <c r="SJ31" s="543"/>
      <c r="SK31" s="543"/>
      <c r="SL31" s="543"/>
      <c r="SM31" s="543"/>
      <c r="SN31" s="543"/>
      <c r="SO31" s="543"/>
      <c r="SP31" s="543"/>
      <c r="SQ31" s="543"/>
      <c r="SR31" s="543"/>
      <c r="SS31" s="543"/>
      <c r="ST31" s="543"/>
      <c r="SU31" s="543"/>
      <c r="SV31" s="543"/>
      <c r="SW31" s="543"/>
      <c r="SX31" s="543"/>
      <c r="SY31" s="543"/>
      <c r="SZ31" s="543"/>
      <c r="TA31" s="543"/>
      <c r="TB31" s="543"/>
      <c r="TC31" s="543"/>
      <c r="TD31" s="543"/>
      <c r="TE31" s="543"/>
      <c r="TF31" s="543"/>
      <c r="TG31" s="543"/>
      <c r="TH31" s="543"/>
      <c r="TI31" s="543"/>
      <c r="TJ31" s="543"/>
      <c r="TK31" s="543"/>
      <c r="TL31" s="543"/>
      <c r="TM31" s="543"/>
      <c r="TN31" s="543"/>
      <c r="TO31" s="543"/>
      <c r="TP31" s="543"/>
      <c r="TQ31" s="543"/>
      <c r="TR31" s="543"/>
      <c r="TS31" s="543"/>
      <c r="TT31" s="543"/>
      <c r="TU31" s="543"/>
      <c r="TV31" s="543"/>
      <c r="TW31" s="543"/>
      <c r="TX31" s="543"/>
      <c r="TY31" s="543"/>
      <c r="TZ31" s="543"/>
      <c r="UA31" s="543"/>
      <c r="UB31" s="543"/>
      <c r="UC31" s="543"/>
      <c r="UD31" s="543"/>
      <c r="UE31" s="543"/>
      <c r="UF31" s="543"/>
      <c r="UG31" s="543"/>
      <c r="UH31" s="543"/>
      <c r="UI31" s="543"/>
      <c r="UJ31" s="543"/>
      <c r="UK31" s="543"/>
      <c r="UL31" s="543"/>
      <c r="UM31" s="543"/>
      <c r="UN31" s="543"/>
      <c r="UO31" s="543"/>
      <c r="UP31" s="543"/>
      <c r="UQ31" s="543"/>
      <c r="UR31" s="543"/>
      <c r="US31" s="543"/>
      <c r="UT31" s="543"/>
      <c r="UU31" s="543"/>
      <c r="UV31" s="543"/>
      <c r="UW31" s="543"/>
      <c r="UX31" s="543"/>
      <c r="UY31" s="543"/>
      <c r="UZ31" s="543"/>
      <c r="VA31" s="543"/>
      <c r="VB31" s="543"/>
      <c r="VC31" s="543"/>
      <c r="VD31" s="543"/>
      <c r="VE31" s="543"/>
      <c r="VF31" s="543"/>
      <c r="VG31" s="543"/>
      <c r="VH31" s="543"/>
      <c r="VI31" s="543"/>
      <c r="VJ31" s="543"/>
      <c r="VK31" s="543"/>
      <c r="VL31" s="543"/>
      <c r="VM31" s="543"/>
      <c r="VN31" s="543"/>
      <c r="VO31" s="543"/>
      <c r="VP31" s="543"/>
      <c r="VQ31" s="543"/>
      <c r="VR31" s="543"/>
      <c r="VS31" s="543"/>
      <c r="VT31" s="543"/>
      <c r="VU31" s="543"/>
      <c r="VV31" s="543"/>
      <c r="VW31" s="543"/>
      <c r="VX31" s="543"/>
      <c r="VY31" s="543"/>
      <c r="VZ31" s="543"/>
      <c r="WA31" s="543"/>
      <c r="WB31" s="543"/>
      <c r="WC31" s="543"/>
      <c r="WD31" s="543"/>
      <c r="WE31" s="543"/>
      <c r="WF31" s="543"/>
      <c r="WG31" s="543"/>
      <c r="WH31" s="543"/>
      <c r="WI31" s="543"/>
      <c r="WJ31" s="543"/>
      <c r="WK31" s="543"/>
      <c r="WL31" s="543"/>
      <c r="WM31" s="543"/>
      <c r="WN31" s="543"/>
      <c r="WO31" s="543"/>
      <c r="WP31" s="543"/>
      <c r="WQ31" s="543"/>
      <c r="WR31" s="543"/>
      <c r="WS31" s="543"/>
      <c r="WT31" s="543"/>
      <c r="WU31" s="543"/>
      <c r="WV31" s="543"/>
      <c r="WW31" s="543"/>
      <c r="WX31" s="543"/>
      <c r="WY31" s="543"/>
      <c r="WZ31" s="543"/>
      <c r="XA31" s="543"/>
      <c r="XB31" s="543"/>
      <c r="XC31" s="543"/>
      <c r="XD31" s="543"/>
      <c r="XE31" s="543"/>
      <c r="XF31" s="543"/>
      <c r="XG31" s="543"/>
      <c r="XH31" s="543"/>
      <c r="XI31" s="543"/>
      <c r="XJ31" s="543"/>
      <c r="XK31" s="543"/>
      <c r="XL31" s="543"/>
      <c r="XM31" s="543"/>
      <c r="XN31" s="543"/>
      <c r="XO31" s="543"/>
      <c r="XP31" s="543"/>
      <c r="XQ31" s="543"/>
      <c r="XR31" s="543"/>
      <c r="XS31" s="543"/>
      <c r="XT31" s="543"/>
      <c r="XU31" s="543"/>
      <c r="XV31" s="543"/>
      <c r="XW31" s="543"/>
      <c r="XX31" s="543"/>
      <c r="XY31" s="543"/>
      <c r="XZ31" s="543"/>
      <c r="YA31" s="543"/>
      <c r="YB31" s="543"/>
      <c r="YC31" s="543"/>
      <c r="YD31" s="543"/>
      <c r="YE31" s="543"/>
      <c r="YF31" s="543"/>
      <c r="YG31" s="543"/>
      <c r="YH31" s="543"/>
      <c r="YI31" s="543"/>
      <c r="YJ31" s="543"/>
      <c r="YK31" s="543"/>
      <c r="YL31" s="543"/>
      <c r="YM31" s="543"/>
      <c r="YN31" s="543"/>
      <c r="YO31" s="543"/>
      <c r="YP31" s="543"/>
      <c r="YQ31" s="543"/>
      <c r="YR31" s="543"/>
      <c r="YS31" s="543"/>
      <c r="YT31" s="543"/>
      <c r="YU31" s="543"/>
      <c r="YV31" s="543"/>
      <c r="YW31" s="543"/>
      <c r="YX31" s="543"/>
      <c r="YY31" s="543"/>
      <c r="YZ31" s="543"/>
      <c r="ZA31" s="543"/>
      <c r="ZB31" s="543"/>
      <c r="ZC31" s="543"/>
      <c r="ZD31" s="543"/>
      <c r="ZE31" s="543"/>
      <c r="ZF31" s="543"/>
      <c r="ZG31" s="543"/>
      <c r="ZH31" s="543"/>
      <c r="ZI31" s="543"/>
      <c r="ZJ31" s="543"/>
      <c r="ZK31" s="543"/>
      <c r="ZL31" s="543"/>
      <c r="ZM31" s="543"/>
      <c r="ZN31" s="543"/>
      <c r="ZO31" s="543"/>
      <c r="ZP31" s="543"/>
      <c r="ZQ31" s="543"/>
      <c r="ZR31" s="543"/>
      <c r="ZS31" s="543"/>
      <c r="ZT31" s="543"/>
      <c r="ZU31" s="543"/>
      <c r="ZV31" s="543"/>
      <c r="ZW31" s="543"/>
      <c r="ZX31" s="543"/>
      <c r="ZY31" s="543"/>
      <c r="ZZ31" s="543"/>
      <c r="AAA31" s="543"/>
      <c r="AAB31" s="543"/>
      <c r="AAC31" s="543"/>
      <c r="AAD31" s="543"/>
      <c r="AAE31" s="543"/>
      <c r="AAF31" s="543"/>
      <c r="AAG31" s="543"/>
      <c r="AAH31" s="543"/>
      <c r="AAI31" s="543"/>
      <c r="AAJ31" s="543"/>
      <c r="AAK31" s="543"/>
      <c r="AAL31" s="543"/>
      <c r="AAM31" s="543"/>
      <c r="AAN31" s="543"/>
      <c r="AAO31" s="543"/>
      <c r="AAP31" s="543"/>
      <c r="AAQ31" s="543"/>
      <c r="AAR31" s="543"/>
      <c r="AAS31" s="543"/>
      <c r="AAT31" s="543"/>
      <c r="AAU31" s="543"/>
      <c r="AAV31" s="543"/>
      <c r="AAW31" s="543"/>
      <c r="AAX31" s="543"/>
      <c r="AAY31" s="543"/>
      <c r="AAZ31" s="543"/>
      <c r="ABA31" s="543"/>
      <c r="ABB31" s="543"/>
      <c r="ABC31" s="543"/>
      <c r="ABD31" s="543"/>
      <c r="ABE31" s="543"/>
      <c r="ABF31" s="543"/>
      <c r="ABG31" s="543"/>
      <c r="ABH31" s="543"/>
      <c r="ABI31" s="543"/>
      <c r="ABJ31" s="543"/>
      <c r="ABK31" s="543"/>
      <c r="ABL31" s="543"/>
      <c r="ABM31" s="543"/>
      <c r="ABN31" s="543"/>
      <c r="ABO31" s="543"/>
      <c r="ABP31" s="543"/>
      <c r="ABQ31" s="543"/>
      <c r="ABR31" s="543"/>
      <c r="ABS31" s="543"/>
      <c r="ABT31" s="543"/>
      <c r="ABU31" s="543"/>
      <c r="ABV31" s="543"/>
      <c r="ABW31" s="543"/>
      <c r="ABX31" s="543"/>
      <c r="ABY31" s="543"/>
      <c r="ABZ31" s="543"/>
      <c r="ACA31" s="543"/>
      <c r="ACB31" s="543"/>
      <c r="ACC31" s="543"/>
      <c r="ACD31" s="543"/>
      <c r="ACE31" s="543"/>
      <c r="ACF31" s="543"/>
      <c r="ACG31" s="543"/>
      <c r="ACH31" s="543"/>
      <c r="ACI31" s="543"/>
      <c r="ACJ31" s="543"/>
      <c r="ACK31" s="543"/>
      <c r="ACL31" s="543"/>
      <c r="ACM31" s="543"/>
      <c r="ACN31" s="543"/>
      <c r="ACO31" s="543"/>
      <c r="ACP31" s="543"/>
      <c r="ACQ31" s="543"/>
      <c r="ACR31" s="543"/>
      <c r="ACS31" s="543"/>
      <c r="ACT31" s="543"/>
      <c r="ACU31" s="543"/>
      <c r="ACV31" s="543"/>
      <c r="ACW31" s="543"/>
      <c r="ACX31" s="543"/>
      <c r="ACY31" s="543"/>
      <c r="ACZ31" s="543"/>
      <c r="ADA31" s="543"/>
      <c r="ADB31" s="543"/>
      <c r="ADC31" s="543"/>
      <c r="ADD31" s="543"/>
      <c r="ADE31" s="543"/>
      <c r="ADF31" s="543"/>
      <c r="ADG31" s="543"/>
      <c r="ADH31" s="543"/>
      <c r="ADI31" s="543"/>
      <c r="ADJ31" s="543"/>
      <c r="ADK31" s="543"/>
      <c r="ADL31" s="543"/>
      <c r="ADM31" s="543"/>
      <c r="ADN31" s="543"/>
      <c r="ADO31" s="543"/>
      <c r="ADP31" s="543"/>
      <c r="ADQ31" s="543"/>
      <c r="ADR31" s="543"/>
      <c r="ADS31" s="543"/>
      <c r="ADT31" s="543"/>
      <c r="ADU31" s="543"/>
      <c r="ADV31" s="543"/>
      <c r="ADW31" s="543"/>
      <c r="ADX31" s="543"/>
      <c r="ADY31" s="543"/>
      <c r="ADZ31" s="543"/>
      <c r="AEA31" s="543"/>
      <c r="AEB31" s="543"/>
      <c r="AEC31" s="543"/>
      <c r="AED31" s="543"/>
      <c r="AEE31" s="543"/>
      <c r="AEF31" s="543"/>
      <c r="AEG31" s="543"/>
      <c r="AEH31" s="543"/>
      <c r="AEI31" s="543"/>
      <c r="AEJ31" s="543"/>
      <c r="AEK31" s="543"/>
      <c r="AEL31" s="543"/>
      <c r="AEM31" s="543"/>
      <c r="AEN31" s="543"/>
      <c r="AEO31" s="543"/>
      <c r="AEP31" s="543"/>
      <c r="AEQ31" s="543"/>
      <c r="AER31" s="543"/>
      <c r="AES31" s="543"/>
      <c r="AET31" s="543"/>
      <c r="AEU31" s="543"/>
      <c r="AEV31" s="543"/>
      <c r="AEW31" s="543"/>
      <c r="AEX31" s="543"/>
      <c r="AEY31" s="543"/>
      <c r="AEZ31" s="543"/>
      <c r="AFA31" s="543"/>
      <c r="AFB31" s="543"/>
      <c r="AFC31" s="543"/>
      <c r="AFD31" s="543"/>
      <c r="AFE31" s="543"/>
      <c r="AFF31" s="543"/>
      <c r="AFG31" s="543"/>
      <c r="AFH31" s="543"/>
      <c r="AFI31" s="543"/>
      <c r="AFJ31" s="543"/>
      <c r="AFK31" s="543"/>
      <c r="AFL31" s="543"/>
      <c r="AFM31" s="543"/>
      <c r="AFN31" s="543"/>
      <c r="AFO31" s="543"/>
      <c r="AFP31" s="543"/>
      <c r="AFQ31" s="543"/>
      <c r="AFR31" s="543"/>
      <c r="AFS31" s="543"/>
      <c r="AFT31" s="543"/>
      <c r="AFU31" s="543"/>
      <c r="AFV31" s="543"/>
      <c r="AFW31" s="543"/>
      <c r="AFX31" s="543"/>
      <c r="AFY31" s="543"/>
      <c r="AFZ31" s="543"/>
      <c r="AGA31" s="543"/>
      <c r="AGB31" s="543"/>
      <c r="AGC31" s="543"/>
      <c r="AGD31" s="543"/>
      <c r="AGE31" s="543"/>
      <c r="AGF31" s="543"/>
      <c r="AGG31" s="543"/>
      <c r="AGH31" s="543"/>
      <c r="AGI31" s="543"/>
      <c r="AGJ31" s="543"/>
      <c r="AGK31" s="543"/>
      <c r="AGL31" s="543"/>
      <c r="AGM31" s="543"/>
      <c r="AGN31" s="543"/>
      <c r="AGO31" s="543"/>
      <c r="AGP31" s="543"/>
      <c r="AGQ31" s="543"/>
      <c r="AGR31" s="543"/>
      <c r="AGS31" s="543"/>
      <c r="AGT31" s="543"/>
      <c r="AGU31" s="543"/>
      <c r="AGV31" s="543"/>
      <c r="AGW31" s="543"/>
      <c r="AGX31" s="543"/>
      <c r="AGY31" s="543"/>
      <c r="AGZ31" s="543"/>
      <c r="AHA31" s="543"/>
      <c r="AHB31" s="543"/>
      <c r="AHC31" s="543"/>
      <c r="AHD31" s="543"/>
      <c r="AHE31" s="543"/>
      <c r="AHF31" s="543"/>
      <c r="AHG31" s="543"/>
      <c r="AHH31" s="543"/>
      <c r="AHI31" s="543"/>
      <c r="AHJ31" s="543"/>
      <c r="AHK31" s="543"/>
      <c r="AHL31" s="543"/>
      <c r="AHM31" s="543"/>
      <c r="AHN31" s="543"/>
      <c r="AHO31" s="543"/>
      <c r="AHP31" s="543"/>
      <c r="AHQ31" s="543"/>
      <c r="AHR31" s="543"/>
      <c r="AHS31" s="543"/>
      <c r="AHT31" s="543"/>
      <c r="AHU31" s="543"/>
      <c r="AHV31" s="543"/>
      <c r="AHW31" s="543"/>
      <c r="AHX31" s="543"/>
      <c r="AHY31" s="543"/>
      <c r="AHZ31" s="543"/>
      <c r="AIA31" s="543"/>
      <c r="AIB31" s="543"/>
      <c r="AIC31" s="543"/>
      <c r="AID31" s="543"/>
      <c r="AIE31" s="543"/>
      <c r="AIF31" s="543"/>
      <c r="AIG31" s="543"/>
      <c r="AIH31" s="543"/>
      <c r="AII31" s="543"/>
      <c r="AIJ31" s="543"/>
      <c r="AIK31" s="543"/>
      <c r="AIL31" s="543"/>
      <c r="AIM31" s="543"/>
      <c r="AIN31" s="543"/>
      <c r="AIO31" s="543"/>
      <c r="AIP31" s="543"/>
      <c r="AIQ31" s="543"/>
      <c r="AIR31" s="543"/>
      <c r="AIS31" s="543"/>
      <c r="AIT31" s="543"/>
      <c r="AIU31" s="543"/>
      <c r="AIV31" s="543"/>
      <c r="AIW31" s="543"/>
      <c r="AIX31" s="543"/>
      <c r="AIY31" s="543"/>
      <c r="AIZ31" s="543"/>
      <c r="AJA31" s="543"/>
      <c r="AJB31" s="543"/>
      <c r="AJC31" s="543"/>
      <c r="AJD31" s="543"/>
      <c r="AJE31" s="543"/>
      <c r="AJF31" s="543"/>
      <c r="AJG31" s="543"/>
      <c r="AJH31" s="543"/>
      <c r="AJI31" s="543"/>
      <c r="AJJ31" s="543"/>
      <c r="AJK31" s="543"/>
      <c r="AJL31" s="543"/>
      <c r="AJM31" s="543"/>
      <c r="AJN31" s="543"/>
      <c r="AJO31" s="543"/>
      <c r="AJP31" s="543"/>
      <c r="AJQ31" s="543"/>
      <c r="AJR31" s="543"/>
      <c r="AJS31" s="543"/>
      <c r="AJT31" s="543"/>
      <c r="AJU31" s="543"/>
      <c r="AJV31" s="543"/>
      <c r="AJW31" s="543"/>
      <c r="AJX31" s="543"/>
      <c r="AJY31" s="543"/>
      <c r="AJZ31" s="543"/>
      <c r="AKA31" s="543"/>
      <c r="AKB31" s="543"/>
      <c r="AKC31" s="543"/>
      <c r="AKD31" s="543"/>
      <c r="AKE31" s="543"/>
      <c r="AKF31" s="543"/>
      <c r="AKG31" s="543"/>
      <c r="AKH31" s="543"/>
      <c r="AKI31" s="543"/>
      <c r="AKJ31" s="543"/>
      <c r="AKK31" s="543"/>
      <c r="AKL31" s="543"/>
      <c r="AKM31" s="543"/>
      <c r="AKN31" s="543"/>
      <c r="AKO31" s="543"/>
      <c r="AKP31" s="543"/>
      <c r="AKQ31" s="543"/>
      <c r="AKR31" s="543"/>
      <c r="AKS31" s="543"/>
      <c r="AKT31" s="543"/>
      <c r="AKU31" s="543"/>
      <c r="AKV31" s="543"/>
      <c r="AKW31" s="543"/>
      <c r="AKX31" s="543"/>
      <c r="AKY31" s="543"/>
      <c r="AKZ31" s="543"/>
      <c r="ALA31" s="543"/>
      <c r="ALB31" s="543"/>
      <c r="ALC31" s="543"/>
      <c r="ALD31" s="543"/>
      <c r="ALE31" s="543"/>
      <c r="ALF31" s="543"/>
      <c r="ALG31" s="543"/>
      <c r="ALH31" s="543"/>
      <c r="ALI31" s="543"/>
      <c r="ALJ31" s="543"/>
      <c r="ALK31" s="543"/>
      <c r="ALL31" s="543"/>
      <c r="ALM31" s="543"/>
      <c r="ALN31" s="543"/>
      <c r="ALO31" s="543"/>
      <c r="ALP31" s="543"/>
      <c r="ALQ31" s="543"/>
      <c r="ALR31" s="543"/>
      <c r="ALS31" s="543"/>
      <c r="ALT31" s="543"/>
      <c r="ALU31" s="543"/>
      <c r="ALV31" s="543"/>
      <c r="ALW31" s="543"/>
      <c r="ALX31" s="543"/>
      <c r="ALY31" s="543"/>
      <c r="ALZ31" s="543"/>
      <c r="AMA31" s="543"/>
      <c r="AMB31" s="543"/>
      <c r="AMC31" s="543"/>
      <c r="AMD31" s="543"/>
      <c r="AME31" s="543"/>
      <c r="AMF31" s="543"/>
      <c r="AMG31" s="543"/>
      <c r="AMH31" s="543"/>
      <c r="AMI31" s="543"/>
      <c r="AMJ31" s="543"/>
      <c r="AMK31" s="543"/>
      <c r="AML31" s="543"/>
      <c r="AMM31" s="543"/>
      <c r="AMN31" s="543"/>
      <c r="AMO31" s="543"/>
      <c r="AMP31" s="543"/>
      <c r="AMQ31" s="543"/>
      <c r="AMR31" s="543"/>
      <c r="AMS31" s="543"/>
      <c r="AMT31" s="543"/>
      <c r="AMU31" s="543"/>
      <c r="AMV31" s="543"/>
      <c r="AMW31" s="543"/>
      <c r="AMX31" s="543"/>
      <c r="AMY31" s="543"/>
      <c r="AMZ31" s="543"/>
      <c r="ANA31" s="543"/>
      <c r="ANB31" s="543"/>
      <c r="ANC31" s="543"/>
      <c r="AND31" s="543"/>
      <c r="ANE31" s="543"/>
      <c r="ANF31" s="543"/>
      <c r="ANG31" s="543"/>
      <c r="ANH31" s="543"/>
      <c r="ANI31" s="543"/>
      <c r="ANJ31" s="543"/>
      <c r="ANK31" s="543"/>
      <c r="ANL31" s="543"/>
      <c r="ANM31" s="543"/>
      <c r="ANN31" s="543"/>
      <c r="ANO31" s="543"/>
      <c r="ANP31" s="543"/>
      <c r="ANQ31" s="543"/>
      <c r="ANR31" s="543"/>
      <c r="ANS31" s="543"/>
      <c r="ANT31" s="543"/>
      <c r="ANU31" s="543"/>
      <c r="ANV31" s="543"/>
      <c r="ANW31" s="543"/>
      <c r="ANX31" s="543"/>
      <c r="ANY31" s="543"/>
      <c r="ANZ31" s="543"/>
      <c r="AOA31" s="543"/>
      <c r="AOB31" s="543"/>
      <c r="AOC31" s="543"/>
      <c r="AOD31" s="543"/>
      <c r="AOE31" s="543"/>
      <c r="AOF31" s="543"/>
      <c r="AOG31" s="543"/>
      <c r="AOH31" s="543"/>
      <c r="AOI31" s="543"/>
      <c r="AOJ31" s="543"/>
      <c r="AOK31" s="543"/>
      <c r="AOL31" s="543"/>
      <c r="AOM31" s="543"/>
      <c r="AON31" s="543"/>
      <c r="AOO31" s="543"/>
      <c r="AOP31" s="543"/>
      <c r="AOQ31" s="543"/>
      <c r="AOR31" s="543"/>
      <c r="AOS31" s="543"/>
      <c r="AOT31" s="543"/>
      <c r="AOU31" s="543"/>
      <c r="AOV31" s="543"/>
      <c r="AOW31" s="543"/>
      <c r="AOX31" s="543"/>
      <c r="AOY31" s="543"/>
      <c r="AOZ31" s="543"/>
      <c r="APA31" s="543"/>
      <c r="APB31" s="543"/>
      <c r="APC31" s="543"/>
      <c r="APD31" s="543"/>
      <c r="APE31" s="543"/>
      <c r="APF31" s="543"/>
      <c r="APG31" s="543"/>
      <c r="APH31" s="543"/>
      <c r="API31" s="543"/>
      <c r="APJ31" s="543"/>
      <c r="APK31" s="543"/>
      <c r="APL31" s="543"/>
      <c r="APM31" s="543"/>
      <c r="APN31" s="543"/>
      <c r="APO31" s="543"/>
      <c r="APP31" s="543"/>
      <c r="APQ31" s="543"/>
      <c r="APR31" s="543"/>
      <c r="APS31" s="543"/>
      <c r="APT31" s="543"/>
      <c r="APU31" s="543"/>
      <c r="APV31" s="543"/>
      <c r="APW31" s="543"/>
      <c r="APX31" s="543"/>
      <c r="APY31" s="543"/>
      <c r="APZ31" s="543"/>
      <c r="AQA31" s="543"/>
      <c r="AQB31" s="543"/>
      <c r="AQC31" s="543"/>
      <c r="AQD31" s="543"/>
      <c r="AQE31" s="543"/>
      <c r="AQF31" s="543"/>
      <c r="AQG31" s="543"/>
      <c r="AQH31" s="543"/>
      <c r="AQI31" s="543"/>
      <c r="AQJ31" s="543"/>
      <c r="AQK31" s="543"/>
      <c r="AQL31" s="543"/>
      <c r="AQM31" s="543"/>
      <c r="AQN31" s="543"/>
      <c r="AQO31" s="543"/>
      <c r="AQP31" s="543"/>
      <c r="AQQ31" s="543"/>
      <c r="AQR31" s="543"/>
      <c r="AQS31" s="543"/>
      <c r="AQT31" s="543"/>
      <c r="AQU31" s="543"/>
      <c r="AQV31" s="543"/>
      <c r="AQW31" s="543"/>
      <c r="AQX31" s="543"/>
      <c r="AQY31" s="543"/>
      <c r="AQZ31" s="543"/>
      <c r="ARA31" s="543"/>
      <c r="ARB31" s="543"/>
      <c r="ARC31" s="543"/>
      <c r="ARD31" s="543"/>
      <c r="ARE31" s="543"/>
      <c r="ARF31" s="543"/>
      <c r="ARG31" s="543"/>
      <c r="ARH31" s="543"/>
      <c r="ARI31" s="543"/>
      <c r="ARJ31" s="543"/>
      <c r="ARK31" s="543"/>
      <c r="ARL31" s="543"/>
      <c r="ARM31" s="543"/>
      <c r="ARN31" s="543"/>
      <c r="ARO31" s="543"/>
      <c r="ARP31" s="543"/>
      <c r="ARQ31" s="543"/>
      <c r="ARR31" s="543"/>
      <c r="ARS31" s="543"/>
      <c r="ART31" s="543"/>
      <c r="ARU31" s="543"/>
      <c r="ARV31" s="543"/>
      <c r="ARW31" s="543"/>
      <c r="ARX31" s="543"/>
      <c r="ARY31" s="543"/>
      <c r="ARZ31" s="543"/>
      <c r="ASA31" s="543"/>
      <c r="ASB31" s="543"/>
      <c r="ASC31" s="543"/>
      <c r="ASD31" s="543"/>
      <c r="ASE31" s="543"/>
      <c r="ASF31" s="543"/>
      <c r="ASG31" s="543"/>
      <c r="ASH31" s="543"/>
      <c r="ASI31" s="543"/>
      <c r="ASJ31" s="543"/>
      <c r="ASK31" s="543"/>
      <c r="ASL31" s="543"/>
      <c r="ASM31" s="543"/>
      <c r="ASN31" s="543"/>
      <c r="ASO31" s="543"/>
      <c r="ASP31" s="543"/>
      <c r="ASQ31" s="543"/>
      <c r="ASR31" s="543"/>
      <c r="ASS31" s="543"/>
      <c r="AST31" s="543"/>
      <c r="ASU31" s="543"/>
      <c r="ASV31" s="543"/>
      <c r="ASW31" s="543"/>
      <c r="ASX31" s="543"/>
      <c r="ASY31" s="543"/>
      <c r="ASZ31" s="543"/>
      <c r="ATA31" s="543"/>
      <c r="ATB31" s="543"/>
      <c r="ATC31" s="543"/>
      <c r="ATD31" s="543"/>
      <c r="ATE31" s="543"/>
      <c r="ATF31" s="543"/>
      <c r="ATG31" s="543"/>
      <c r="ATH31" s="543"/>
      <c r="ATI31" s="543"/>
      <c r="ATJ31" s="543"/>
      <c r="ATK31" s="543"/>
      <c r="ATL31" s="543"/>
      <c r="ATM31" s="543"/>
      <c r="ATN31" s="543"/>
      <c r="ATO31" s="543"/>
      <c r="ATP31" s="543"/>
      <c r="ATQ31" s="543"/>
      <c r="ATR31" s="543"/>
      <c r="ATS31" s="543"/>
      <c r="ATT31" s="543"/>
      <c r="ATU31" s="543"/>
      <c r="ATV31" s="543"/>
      <c r="ATW31" s="543"/>
      <c r="ATX31" s="543"/>
      <c r="ATY31" s="543"/>
      <c r="ATZ31" s="543"/>
      <c r="AUA31" s="543"/>
      <c r="AUB31" s="543"/>
      <c r="AUC31" s="543"/>
      <c r="AUD31" s="543"/>
      <c r="AUE31" s="543"/>
      <c r="AUF31" s="543"/>
      <c r="AUG31" s="543"/>
      <c r="AUH31" s="543"/>
      <c r="AUI31" s="543"/>
      <c r="AUJ31" s="543"/>
      <c r="AUK31" s="543"/>
      <c r="AUL31" s="543"/>
      <c r="AUM31" s="543"/>
      <c r="AUN31" s="543"/>
      <c r="AUO31" s="543"/>
      <c r="AUP31" s="543"/>
      <c r="AUQ31" s="543"/>
      <c r="AUR31" s="543"/>
      <c r="AUS31" s="543"/>
      <c r="AUT31" s="543"/>
      <c r="AUU31" s="543"/>
      <c r="AUV31" s="543"/>
      <c r="AUW31" s="543"/>
      <c r="AUX31" s="543"/>
      <c r="AUY31" s="543"/>
      <c r="AUZ31" s="543"/>
      <c r="AVA31" s="543"/>
      <c r="AVB31" s="543"/>
      <c r="AVC31" s="543"/>
      <c r="AVD31" s="543"/>
      <c r="AVE31" s="543"/>
      <c r="AVF31" s="543"/>
      <c r="AVG31" s="543"/>
      <c r="AVH31" s="543"/>
      <c r="AVI31" s="543"/>
      <c r="AVJ31" s="543"/>
      <c r="AVK31" s="543"/>
      <c r="AVL31" s="543"/>
      <c r="AVM31" s="543"/>
      <c r="AVN31" s="543"/>
      <c r="AVO31" s="543"/>
      <c r="AVP31" s="543"/>
      <c r="AVQ31" s="543"/>
      <c r="AVR31" s="543"/>
      <c r="AVS31" s="543"/>
      <c r="AVT31" s="543"/>
      <c r="AVU31" s="543"/>
      <c r="AVV31" s="543"/>
      <c r="AVW31" s="543"/>
      <c r="AVX31" s="543"/>
      <c r="AVY31" s="543"/>
      <c r="AVZ31" s="543"/>
      <c r="AWA31" s="543"/>
      <c r="AWB31" s="543"/>
      <c r="AWC31" s="543"/>
      <c r="AWD31" s="543"/>
      <c r="AWE31" s="543"/>
      <c r="AWF31" s="543"/>
      <c r="AWG31" s="543"/>
      <c r="AWH31" s="543"/>
      <c r="AWI31" s="543"/>
      <c r="AWJ31" s="543"/>
      <c r="AWK31" s="543"/>
      <c r="AWL31" s="543"/>
      <c r="AWM31" s="543"/>
      <c r="AWN31" s="543"/>
      <c r="AWO31" s="543"/>
      <c r="AWP31" s="543"/>
      <c r="AWQ31" s="543"/>
      <c r="AWR31" s="543"/>
      <c r="AWS31" s="543"/>
      <c r="AWT31" s="543"/>
      <c r="AWU31" s="543"/>
      <c r="AWV31" s="543"/>
      <c r="AWW31" s="543"/>
      <c r="AWX31" s="543"/>
      <c r="AWY31" s="543"/>
      <c r="AWZ31" s="543"/>
      <c r="AXA31" s="543"/>
      <c r="AXB31" s="543"/>
      <c r="AXC31" s="543"/>
      <c r="AXD31" s="543"/>
      <c r="AXE31" s="543"/>
      <c r="AXF31" s="543"/>
      <c r="AXG31" s="543"/>
      <c r="AXH31" s="543"/>
      <c r="AXI31" s="543"/>
      <c r="AXJ31" s="543"/>
      <c r="AXK31" s="543"/>
      <c r="AXL31" s="543"/>
      <c r="AXM31" s="543"/>
      <c r="AXN31" s="543"/>
      <c r="AXO31" s="543"/>
      <c r="AXP31" s="543"/>
      <c r="AXQ31" s="543"/>
      <c r="AXR31" s="543"/>
      <c r="AXS31" s="543"/>
      <c r="AXT31" s="543"/>
      <c r="AXU31" s="543"/>
      <c r="AXV31" s="543"/>
      <c r="AXW31" s="543"/>
      <c r="AXX31" s="543"/>
      <c r="AXY31" s="543"/>
      <c r="AXZ31" s="543"/>
      <c r="AYA31" s="543"/>
      <c r="AYB31" s="543"/>
      <c r="AYC31" s="543"/>
      <c r="AYD31" s="543"/>
      <c r="AYE31" s="543"/>
      <c r="AYF31" s="543"/>
      <c r="AYG31" s="543"/>
      <c r="AYH31" s="543"/>
      <c r="AYI31" s="543"/>
      <c r="AYJ31" s="543"/>
      <c r="AYK31" s="543"/>
      <c r="AYL31" s="543"/>
      <c r="AYM31" s="543"/>
      <c r="AYN31" s="543"/>
      <c r="AYO31" s="543"/>
      <c r="AYP31" s="543"/>
      <c r="AYQ31" s="543"/>
      <c r="AYR31" s="543"/>
      <c r="AYS31" s="543"/>
      <c r="AYT31" s="543"/>
      <c r="AYU31" s="543"/>
      <c r="AYV31" s="543"/>
      <c r="AYW31" s="543"/>
      <c r="AYX31" s="543"/>
      <c r="AYY31" s="543"/>
      <c r="AYZ31" s="543"/>
      <c r="AZA31" s="543"/>
      <c r="AZB31" s="543"/>
      <c r="AZC31" s="543"/>
      <c r="AZD31" s="543"/>
      <c r="AZE31" s="543"/>
      <c r="AZF31" s="543"/>
      <c r="AZG31" s="543"/>
      <c r="AZH31" s="543"/>
      <c r="AZI31" s="543"/>
      <c r="AZJ31" s="543"/>
      <c r="AZK31" s="543"/>
      <c r="AZL31" s="543"/>
      <c r="AZM31" s="543"/>
      <c r="AZN31" s="543"/>
      <c r="AZO31" s="543"/>
      <c r="AZP31" s="543"/>
      <c r="AZQ31" s="543"/>
      <c r="AZR31" s="543"/>
      <c r="AZS31" s="543"/>
      <c r="AZT31" s="543"/>
      <c r="AZU31" s="543"/>
      <c r="AZV31" s="543"/>
      <c r="AZW31" s="543"/>
      <c r="AZX31" s="543"/>
      <c r="AZY31" s="543"/>
      <c r="AZZ31" s="543"/>
      <c r="BAA31" s="543"/>
      <c r="BAB31" s="543"/>
      <c r="BAC31" s="543"/>
      <c r="BAD31" s="543"/>
      <c r="BAE31" s="543"/>
      <c r="BAF31" s="543"/>
      <c r="BAG31" s="543"/>
      <c r="BAH31" s="543"/>
      <c r="BAI31" s="543"/>
      <c r="BAJ31" s="543"/>
      <c r="BAK31" s="543"/>
      <c r="BAL31" s="543"/>
      <c r="BAM31" s="543"/>
      <c r="BAN31" s="543"/>
      <c r="BAO31" s="543"/>
      <c r="BAP31" s="543"/>
      <c r="BAQ31" s="543"/>
      <c r="BAR31" s="543"/>
      <c r="BAS31" s="543"/>
      <c r="BAT31" s="543"/>
      <c r="BAU31" s="543"/>
      <c r="BAV31" s="543"/>
      <c r="BAW31" s="543"/>
      <c r="BAX31" s="543"/>
      <c r="BAY31" s="543"/>
      <c r="BAZ31" s="543"/>
      <c r="BBA31" s="543"/>
      <c r="BBB31" s="543"/>
      <c r="BBC31" s="543"/>
      <c r="BBD31" s="543"/>
      <c r="BBE31" s="543"/>
      <c r="BBF31" s="543"/>
      <c r="BBG31" s="543"/>
      <c r="BBH31" s="543"/>
      <c r="BBI31" s="543"/>
      <c r="BBJ31" s="543"/>
      <c r="BBK31" s="543"/>
      <c r="BBL31" s="543"/>
      <c r="BBM31" s="543"/>
      <c r="BBN31" s="543"/>
      <c r="BBO31" s="543"/>
      <c r="BBP31" s="543"/>
      <c r="BBQ31" s="543"/>
      <c r="BBR31" s="543"/>
      <c r="BBS31" s="543"/>
      <c r="BBT31" s="543"/>
      <c r="BBU31" s="543"/>
      <c r="BBV31" s="543"/>
      <c r="BBW31" s="543"/>
      <c r="BBX31" s="543"/>
      <c r="BBY31" s="543"/>
      <c r="BBZ31" s="543"/>
      <c r="BCA31" s="543"/>
      <c r="BCB31" s="543"/>
      <c r="BCC31" s="543"/>
      <c r="BCD31" s="543"/>
      <c r="BCE31" s="543"/>
      <c r="BCF31" s="543"/>
      <c r="BCG31" s="543"/>
      <c r="BCH31" s="543"/>
      <c r="BCI31" s="543"/>
      <c r="BCJ31" s="543"/>
      <c r="BCK31" s="543"/>
      <c r="BCL31" s="543"/>
      <c r="BCM31" s="543"/>
      <c r="BCN31" s="543"/>
      <c r="BCO31" s="543"/>
      <c r="BCP31" s="543"/>
      <c r="BCQ31" s="543"/>
      <c r="BCR31" s="543"/>
      <c r="BCS31" s="543"/>
      <c r="BCT31" s="543"/>
      <c r="BCU31" s="543"/>
      <c r="BCV31" s="543"/>
      <c r="BCW31" s="543"/>
      <c r="BCX31" s="543"/>
      <c r="BCY31" s="543"/>
      <c r="BCZ31" s="543"/>
      <c r="BDA31" s="543"/>
      <c r="BDB31" s="543"/>
      <c r="BDC31" s="543"/>
      <c r="BDD31" s="543"/>
      <c r="BDE31" s="543"/>
      <c r="BDF31" s="543"/>
      <c r="BDG31" s="543"/>
      <c r="BDH31" s="543"/>
      <c r="BDI31" s="543"/>
      <c r="BDJ31" s="543"/>
      <c r="BDK31" s="543"/>
      <c r="BDL31" s="543"/>
      <c r="BDM31" s="543"/>
      <c r="BDN31" s="543"/>
      <c r="BDO31" s="543"/>
      <c r="BDP31" s="543"/>
      <c r="BDQ31" s="543"/>
      <c r="BDR31" s="543"/>
      <c r="BDS31" s="543"/>
      <c r="BDT31" s="543"/>
      <c r="BDU31" s="543"/>
      <c r="BDV31" s="543"/>
      <c r="BDW31" s="543"/>
      <c r="BDX31" s="543"/>
      <c r="BDY31" s="543"/>
      <c r="BDZ31" s="543"/>
      <c r="BEA31" s="543"/>
      <c r="BEB31" s="543"/>
      <c r="BEC31" s="543"/>
      <c r="BED31" s="543"/>
      <c r="BEE31" s="543"/>
      <c r="BEF31" s="543"/>
      <c r="BEG31" s="543"/>
      <c r="BEH31" s="543"/>
      <c r="BEI31" s="543"/>
      <c r="BEJ31" s="543"/>
      <c r="BEK31" s="543"/>
      <c r="BEL31" s="543"/>
      <c r="BEM31" s="543"/>
      <c r="BEN31" s="543"/>
      <c r="BEO31" s="543"/>
      <c r="BEP31" s="543"/>
      <c r="BEQ31" s="543"/>
      <c r="BER31" s="543"/>
      <c r="BES31" s="543"/>
      <c r="BET31" s="543"/>
      <c r="BEU31" s="543"/>
      <c r="BEV31" s="543"/>
      <c r="BEW31" s="543"/>
      <c r="BEX31" s="543"/>
      <c r="BEY31" s="543"/>
      <c r="BEZ31" s="543"/>
      <c r="BFA31" s="543"/>
      <c r="BFB31" s="543"/>
      <c r="BFC31" s="543"/>
      <c r="BFD31" s="543"/>
      <c r="BFE31" s="543"/>
      <c r="BFF31" s="543"/>
      <c r="BFG31" s="543"/>
      <c r="BFH31" s="543"/>
      <c r="BFI31" s="543"/>
      <c r="BFJ31" s="543"/>
      <c r="BFK31" s="543"/>
      <c r="BFL31" s="543"/>
      <c r="BFM31" s="543"/>
      <c r="BFN31" s="543"/>
      <c r="BFO31" s="543"/>
      <c r="BFP31" s="543"/>
      <c r="BFQ31" s="543"/>
      <c r="BFR31" s="543"/>
      <c r="BFS31" s="543"/>
      <c r="BFT31" s="543"/>
      <c r="BFU31" s="543"/>
      <c r="BFV31" s="543"/>
      <c r="BFW31" s="543"/>
      <c r="BFX31" s="543"/>
      <c r="BFY31" s="543"/>
      <c r="BFZ31" s="543"/>
      <c r="BGA31" s="543"/>
      <c r="BGB31" s="543"/>
      <c r="BGC31" s="543"/>
      <c r="BGD31" s="543"/>
      <c r="BGE31" s="543"/>
      <c r="BGF31" s="543"/>
      <c r="BGG31" s="543"/>
      <c r="BGH31" s="543"/>
      <c r="BGI31" s="543"/>
      <c r="BGJ31" s="543"/>
      <c r="BGK31" s="543"/>
      <c r="BGL31" s="543"/>
      <c r="BGM31" s="543"/>
      <c r="BGN31" s="543"/>
      <c r="BGO31" s="543"/>
      <c r="BGP31" s="543"/>
      <c r="BGQ31" s="543"/>
      <c r="BGR31" s="543"/>
      <c r="BGS31" s="543"/>
      <c r="BGT31" s="543"/>
      <c r="BGU31" s="543"/>
      <c r="BGV31" s="543"/>
      <c r="BGW31" s="543"/>
      <c r="BGX31" s="543"/>
      <c r="BGY31" s="543"/>
      <c r="BGZ31" s="543"/>
      <c r="BHA31" s="543"/>
      <c r="BHB31" s="543"/>
      <c r="BHC31" s="543"/>
      <c r="BHD31" s="543"/>
      <c r="BHE31" s="543"/>
      <c r="BHF31" s="543"/>
      <c r="BHG31" s="543"/>
      <c r="BHH31" s="543"/>
      <c r="BHI31" s="543"/>
      <c r="BHJ31" s="543"/>
      <c r="BHK31" s="543"/>
      <c r="BHL31" s="543"/>
      <c r="BHM31" s="543"/>
      <c r="BHN31" s="543"/>
      <c r="BHO31" s="543"/>
      <c r="BHP31" s="543"/>
      <c r="BHQ31" s="543"/>
      <c r="BHR31" s="543"/>
      <c r="BHS31" s="543"/>
      <c r="BHT31" s="543"/>
      <c r="BHU31" s="543"/>
      <c r="BHV31" s="543"/>
      <c r="BHW31" s="543"/>
      <c r="BHX31" s="543"/>
      <c r="BHY31" s="543"/>
      <c r="BHZ31" s="543"/>
      <c r="BIA31" s="543"/>
      <c r="BIB31" s="543"/>
      <c r="BIC31" s="543"/>
      <c r="BID31" s="543"/>
      <c r="BIE31" s="543"/>
      <c r="BIF31" s="543"/>
      <c r="BIG31" s="543"/>
      <c r="BIH31" s="543"/>
      <c r="BII31" s="543"/>
      <c r="BIJ31" s="543"/>
      <c r="BIK31" s="543"/>
      <c r="BIL31" s="543"/>
      <c r="BIM31" s="543"/>
      <c r="BIN31" s="543"/>
      <c r="BIO31" s="543"/>
      <c r="BIP31" s="543"/>
      <c r="BIQ31" s="543"/>
      <c r="BIR31" s="543"/>
      <c r="BIS31" s="543"/>
      <c r="BIT31" s="543"/>
      <c r="BIU31" s="543"/>
      <c r="BIV31" s="543"/>
      <c r="BIW31" s="543"/>
      <c r="BIX31" s="543"/>
      <c r="BIY31" s="543"/>
      <c r="BIZ31" s="543"/>
      <c r="BJA31" s="543"/>
      <c r="BJB31" s="543"/>
      <c r="BJC31" s="543"/>
      <c r="BJD31" s="543"/>
      <c r="BJE31" s="543"/>
      <c r="BJF31" s="543"/>
      <c r="BJG31" s="543"/>
      <c r="BJH31" s="543"/>
      <c r="BJI31" s="543"/>
      <c r="BJJ31" s="543"/>
      <c r="BJK31" s="543"/>
      <c r="BJL31" s="543"/>
      <c r="BJM31" s="543"/>
      <c r="BJN31" s="543"/>
      <c r="BJO31" s="543"/>
      <c r="BJP31" s="543"/>
      <c r="BJQ31" s="543"/>
      <c r="BJR31" s="543"/>
      <c r="BJS31" s="543"/>
      <c r="BJT31" s="543"/>
      <c r="BJU31" s="543"/>
      <c r="BJV31" s="543"/>
      <c r="BJW31" s="543"/>
      <c r="BJX31" s="543"/>
      <c r="BJY31" s="543"/>
      <c r="BJZ31" s="543"/>
      <c r="BKA31" s="543"/>
      <c r="BKB31" s="543"/>
      <c r="BKC31" s="543"/>
      <c r="BKD31" s="543"/>
      <c r="BKE31" s="543"/>
      <c r="BKF31" s="543"/>
      <c r="BKG31" s="543"/>
      <c r="BKH31" s="543"/>
      <c r="BKI31" s="543"/>
      <c r="BKJ31" s="543"/>
      <c r="BKK31" s="543"/>
      <c r="BKL31" s="543"/>
      <c r="BKM31" s="543"/>
      <c r="BKN31" s="543"/>
      <c r="BKO31" s="543"/>
      <c r="BKP31" s="543"/>
      <c r="BKQ31" s="543"/>
      <c r="BKR31" s="543"/>
      <c r="BKS31" s="543"/>
      <c r="BKT31" s="543"/>
      <c r="BKU31" s="543"/>
      <c r="BKV31" s="543"/>
      <c r="BKW31" s="543"/>
      <c r="BKX31" s="543"/>
      <c r="BKY31" s="543"/>
      <c r="BKZ31" s="543"/>
      <c r="BLA31" s="543"/>
      <c r="BLB31" s="543"/>
      <c r="BLC31" s="543"/>
      <c r="BLD31" s="543"/>
      <c r="BLE31" s="543"/>
      <c r="BLF31" s="543"/>
      <c r="BLG31" s="543"/>
      <c r="BLH31" s="543"/>
      <c r="BLI31" s="543"/>
      <c r="BLJ31" s="543"/>
      <c r="BLK31" s="543"/>
      <c r="BLL31" s="543"/>
      <c r="BLM31" s="543"/>
      <c r="BLN31" s="543"/>
      <c r="BLO31" s="543"/>
      <c r="BLP31" s="543"/>
      <c r="BLQ31" s="543"/>
      <c r="BLR31" s="543"/>
      <c r="BLS31" s="543"/>
      <c r="BLT31" s="543"/>
      <c r="BLU31" s="543"/>
      <c r="BLV31" s="543"/>
      <c r="BLW31" s="543"/>
      <c r="BLX31" s="543"/>
      <c r="BLY31" s="543"/>
      <c r="BLZ31" s="543"/>
      <c r="BMA31" s="543"/>
      <c r="BMB31" s="543"/>
      <c r="BMC31" s="543"/>
      <c r="BMD31" s="543"/>
      <c r="BME31" s="543"/>
      <c r="BMF31" s="543"/>
      <c r="BMG31" s="543"/>
      <c r="BMH31" s="543"/>
      <c r="BMI31" s="543"/>
      <c r="BMJ31" s="543"/>
      <c r="BMK31" s="543"/>
      <c r="BML31" s="543"/>
      <c r="BMM31" s="543"/>
      <c r="BMN31" s="543"/>
      <c r="BMO31" s="543"/>
      <c r="BMP31" s="543"/>
      <c r="BMQ31" s="543"/>
      <c r="BMR31" s="543"/>
      <c r="BMS31" s="543"/>
      <c r="BMT31" s="543"/>
      <c r="BMU31" s="543"/>
      <c r="BMV31" s="543"/>
      <c r="BMW31" s="543"/>
      <c r="BMX31" s="543"/>
      <c r="BMY31" s="543"/>
      <c r="BMZ31" s="543"/>
      <c r="BNA31" s="543"/>
      <c r="BNB31" s="543"/>
      <c r="BNC31" s="543"/>
      <c r="BND31" s="543"/>
      <c r="BNE31" s="543"/>
      <c r="BNF31" s="543"/>
      <c r="BNG31" s="543"/>
      <c r="BNH31" s="543"/>
      <c r="BNI31" s="543"/>
      <c r="BNJ31" s="543"/>
      <c r="BNK31" s="543"/>
      <c r="BNL31" s="543"/>
      <c r="BNM31" s="543"/>
      <c r="BNN31" s="543"/>
      <c r="BNO31" s="543"/>
      <c r="BNP31" s="543"/>
      <c r="BNQ31" s="543"/>
      <c r="BNR31" s="543"/>
      <c r="BNS31" s="543"/>
      <c r="BNT31" s="543"/>
      <c r="BNU31" s="543"/>
      <c r="BNV31" s="543"/>
      <c r="BNW31" s="543"/>
      <c r="BNX31" s="543"/>
      <c r="BNY31" s="543"/>
      <c r="BNZ31" s="543"/>
      <c r="BOA31" s="543"/>
      <c r="BOB31" s="543"/>
      <c r="BOC31" s="543"/>
      <c r="BOD31" s="543"/>
      <c r="BOE31" s="543"/>
      <c r="BOF31" s="543"/>
      <c r="BOG31" s="543"/>
      <c r="BOH31" s="543"/>
      <c r="BOI31" s="543"/>
      <c r="BOJ31" s="543"/>
      <c r="BOK31" s="543"/>
      <c r="BOL31" s="543"/>
      <c r="BOM31" s="543"/>
      <c r="BON31" s="543"/>
      <c r="BOO31" s="543"/>
      <c r="BOP31" s="543"/>
      <c r="BOQ31" s="543"/>
      <c r="BOR31" s="543"/>
      <c r="BOS31" s="543"/>
      <c r="BOT31" s="543"/>
      <c r="BOU31" s="543"/>
      <c r="BOV31" s="543"/>
      <c r="BOW31" s="543"/>
      <c r="BOX31" s="543"/>
      <c r="BOY31" s="543"/>
      <c r="BOZ31" s="543"/>
      <c r="BPA31" s="543"/>
      <c r="BPB31" s="543"/>
      <c r="BPC31" s="543"/>
      <c r="BPD31" s="543"/>
      <c r="BPE31" s="543"/>
      <c r="BPF31" s="543"/>
      <c r="BPG31" s="543"/>
      <c r="BPH31" s="543"/>
      <c r="BPI31" s="543"/>
      <c r="BPJ31" s="543"/>
      <c r="BPK31" s="543"/>
      <c r="BPL31" s="543"/>
      <c r="BPM31" s="543"/>
      <c r="BPN31" s="543"/>
      <c r="BPO31" s="543"/>
      <c r="BPP31" s="543"/>
      <c r="BPQ31" s="543"/>
      <c r="BPR31" s="543"/>
      <c r="BPS31" s="543"/>
      <c r="BPT31" s="543"/>
      <c r="BPU31" s="543"/>
      <c r="BPV31" s="543"/>
      <c r="BPW31" s="543"/>
      <c r="BPX31" s="543"/>
      <c r="BPY31" s="543"/>
      <c r="BPZ31" s="543"/>
      <c r="BQA31" s="543"/>
      <c r="BQB31" s="543"/>
      <c r="BQC31" s="543"/>
      <c r="BQD31" s="543"/>
      <c r="BQE31" s="543"/>
      <c r="BQF31" s="543"/>
      <c r="BQG31" s="543"/>
      <c r="BQH31" s="543"/>
      <c r="BQI31" s="543"/>
      <c r="BQJ31" s="543"/>
      <c r="BQK31" s="543"/>
      <c r="BQL31" s="543"/>
      <c r="BQM31" s="543"/>
      <c r="BQN31" s="543"/>
      <c r="BQO31" s="543"/>
      <c r="BQP31" s="543"/>
      <c r="BQQ31" s="543"/>
      <c r="BQR31" s="543"/>
      <c r="BQS31" s="543"/>
      <c r="BQT31" s="543"/>
      <c r="BQU31" s="543"/>
      <c r="BQV31" s="543"/>
      <c r="BQW31" s="543"/>
      <c r="BQX31" s="543"/>
      <c r="BQY31" s="543"/>
      <c r="BQZ31" s="543"/>
      <c r="BRA31" s="543"/>
      <c r="BRB31" s="543"/>
      <c r="BRC31" s="543"/>
      <c r="BRD31" s="543"/>
      <c r="BRE31" s="543"/>
      <c r="BRF31" s="543"/>
      <c r="BRG31" s="543"/>
      <c r="BRH31" s="543"/>
      <c r="BRI31" s="543"/>
      <c r="BRJ31" s="543"/>
      <c r="BRK31" s="543"/>
      <c r="BRL31" s="543"/>
      <c r="BRM31" s="543"/>
      <c r="BRN31" s="543"/>
      <c r="BRO31" s="543"/>
      <c r="BRP31" s="543"/>
      <c r="BRQ31" s="543"/>
      <c r="BRR31" s="543"/>
      <c r="BRS31" s="543"/>
      <c r="BRT31" s="543"/>
      <c r="BRU31" s="543"/>
      <c r="BRV31" s="543"/>
      <c r="BRW31" s="543"/>
      <c r="BRX31" s="543"/>
      <c r="BRY31" s="543"/>
      <c r="BRZ31" s="543"/>
      <c r="BSA31" s="543"/>
      <c r="BSB31" s="543"/>
      <c r="BSC31" s="543"/>
      <c r="BSD31" s="543"/>
      <c r="BSE31" s="543"/>
      <c r="BSF31" s="543"/>
      <c r="BSG31" s="543"/>
      <c r="BSH31" s="543"/>
      <c r="BSI31" s="543"/>
      <c r="BSJ31" s="543"/>
      <c r="BSK31" s="543"/>
      <c r="BSL31" s="543"/>
      <c r="BSM31" s="543"/>
      <c r="BSN31" s="543"/>
      <c r="BSO31" s="543"/>
      <c r="BSP31" s="543"/>
      <c r="BSQ31" s="543"/>
      <c r="BSR31" s="543"/>
      <c r="BSS31" s="543"/>
      <c r="BST31" s="543"/>
      <c r="BSU31" s="543"/>
      <c r="BSV31" s="543"/>
      <c r="BSW31" s="543"/>
      <c r="BSX31" s="543"/>
      <c r="BSY31" s="543"/>
      <c r="BSZ31" s="543"/>
      <c r="BTA31" s="543"/>
      <c r="BTB31" s="543"/>
      <c r="BTC31" s="543"/>
      <c r="BTD31" s="543"/>
      <c r="BTE31" s="543"/>
      <c r="BTF31" s="543"/>
      <c r="BTG31" s="543"/>
      <c r="BTH31" s="543"/>
      <c r="BTI31" s="543"/>
      <c r="BTJ31" s="543"/>
      <c r="BTK31" s="543"/>
      <c r="BTL31" s="543"/>
      <c r="BTM31" s="543"/>
      <c r="BTN31" s="543"/>
      <c r="BTO31" s="543"/>
      <c r="BTP31" s="543"/>
      <c r="BTQ31" s="543"/>
      <c r="BTR31" s="543"/>
      <c r="BTS31" s="543"/>
      <c r="BTT31" s="543"/>
      <c r="BTU31" s="543"/>
      <c r="BTV31" s="543"/>
      <c r="BTW31" s="543"/>
      <c r="BTX31" s="543"/>
      <c r="BTY31" s="543"/>
      <c r="BTZ31" s="543"/>
      <c r="BUA31" s="543"/>
      <c r="BUB31" s="543"/>
      <c r="BUC31" s="543"/>
      <c r="BUD31" s="543"/>
      <c r="BUE31" s="543"/>
      <c r="BUF31" s="543"/>
      <c r="BUG31" s="543"/>
      <c r="BUH31" s="543"/>
      <c r="BUI31" s="543"/>
      <c r="BUJ31" s="543"/>
      <c r="BUK31" s="543"/>
      <c r="BUL31" s="543"/>
      <c r="BUM31" s="543"/>
      <c r="BUN31" s="543"/>
      <c r="BUO31" s="543"/>
      <c r="BUP31" s="543"/>
      <c r="BUQ31" s="543"/>
      <c r="BUR31" s="543"/>
      <c r="BUS31" s="543"/>
      <c r="BUT31" s="543"/>
      <c r="BUU31" s="543"/>
      <c r="BUV31" s="543"/>
      <c r="BUW31" s="543"/>
      <c r="BUX31" s="543"/>
      <c r="BUY31" s="543"/>
      <c r="BUZ31" s="543"/>
      <c r="BVA31" s="543"/>
      <c r="BVB31" s="543"/>
      <c r="BVC31" s="543"/>
      <c r="BVD31" s="543"/>
      <c r="BVE31" s="543"/>
      <c r="BVF31" s="543"/>
      <c r="BVG31" s="543"/>
      <c r="BVH31" s="543"/>
      <c r="BVI31" s="543"/>
      <c r="BVJ31" s="543"/>
      <c r="BVK31" s="543"/>
      <c r="BVL31" s="543"/>
      <c r="BVM31" s="543"/>
      <c r="BVN31" s="543"/>
      <c r="BVO31" s="543"/>
      <c r="BVP31" s="543"/>
      <c r="BVQ31" s="543"/>
      <c r="BVR31" s="543"/>
      <c r="BVS31" s="543"/>
      <c r="BVT31" s="543"/>
      <c r="BVU31" s="543"/>
      <c r="BVV31" s="543"/>
      <c r="BVW31" s="543"/>
      <c r="BVX31" s="543"/>
      <c r="BVY31" s="543"/>
      <c r="BVZ31" s="543"/>
      <c r="BWA31" s="543"/>
      <c r="BWB31" s="543"/>
      <c r="BWC31" s="543"/>
      <c r="BWD31" s="543"/>
      <c r="BWE31" s="543"/>
      <c r="BWF31" s="543"/>
      <c r="BWG31" s="543"/>
      <c r="BWH31" s="543"/>
      <c r="BWI31" s="543"/>
      <c r="BWJ31" s="543"/>
      <c r="BWK31" s="543"/>
      <c r="BWL31" s="543"/>
      <c r="BWM31" s="543"/>
      <c r="BWN31" s="543"/>
      <c r="BWO31" s="543"/>
      <c r="BWP31" s="543"/>
      <c r="BWQ31" s="543"/>
      <c r="BWR31" s="543"/>
      <c r="BWS31" s="543"/>
      <c r="BWT31" s="543"/>
      <c r="BWU31" s="543"/>
      <c r="BWV31" s="543"/>
      <c r="BWW31" s="543"/>
      <c r="BWX31" s="543"/>
      <c r="BWY31" s="543"/>
      <c r="BWZ31" s="543"/>
      <c r="BXA31" s="543"/>
      <c r="BXB31" s="543"/>
      <c r="BXC31" s="543"/>
      <c r="BXD31" s="543"/>
      <c r="BXE31" s="543"/>
      <c r="BXF31" s="543"/>
      <c r="BXG31" s="543"/>
      <c r="BXH31" s="543"/>
      <c r="BXI31" s="543"/>
      <c r="BXJ31" s="543"/>
      <c r="BXK31" s="543"/>
      <c r="BXL31" s="543"/>
      <c r="BXM31" s="543"/>
      <c r="BXN31" s="543"/>
      <c r="BXO31" s="543"/>
      <c r="BXP31" s="543"/>
      <c r="BXQ31" s="543"/>
      <c r="BXR31" s="543"/>
      <c r="BXS31" s="543"/>
      <c r="BXT31" s="543"/>
      <c r="BXU31" s="543"/>
      <c r="BXV31" s="543"/>
      <c r="BXW31" s="543"/>
      <c r="BXX31" s="543"/>
      <c r="BXY31" s="543"/>
      <c r="BXZ31" s="543"/>
      <c r="BYA31" s="543"/>
      <c r="BYB31" s="543"/>
      <c r="BYC31" s="543"/>
      <c r="BYD31" s="543"/>
      <c r="BYE31" s="543"/>
      <c r="BYF31" s="543"/>
      <c r="BYG31" s="543"/>
      <c r="BYH31" s="543"/>
      <c r="BYI31" s="543"/>
      <c r="BYJ31" s="543"/>
      <c r="BYK31" s="543"/>
      <c r="BYL31" s="543"/>
      <c r="BYM31" s="543"/>
      <c r="BYN31" s="543"/>
      <c r="BYO31" s="543"/>
      <c r="BYP31" s="543"/>
      <c r="BYQ31" s="543"/>
      <c r="BYR31" s="543"/>
      <c r="BYS31" s="543"/>
      <c r="BYT31" s="543"/>
      <c r="BYU31" s="543"/>
      <c r="BYV31" s="543"/>
      <c r="BYW31" s="543"/>
      <c r="BYX31" s="543"/>
      <c r="BYY31" s="543"/>
      <c r="BYZ31" s="543"/>
      <c r="BZA31" s="543"/>
      <c r="BZB31" s="543"/>
      <c r="BZC31" s="543"/>
      <c r="BZD31" s="543"/>
      <c r="BZE31" s="543"/>
      <c r="BZF31" s="543"/>
      <c r="BZG31" s="543"/>
      <c r="BZH31" s="543"/>
      <c r="BZI31" s="543"/>
      <c r="BZJ31" s="543"/>
      <c r="BZK31" s="543"/>
      <c r="BZL31" s="543"/>
      <c r="BZM31" s="543"/>
      <c r="BZN31" s="543"/>
      <c r="BZO31" s="543"/>
      <c r="BZP31" s="543"/>
      <c r="BZQ31" s="543"/>
      <c r="BZR31" s="543"/>
      <c r="BZS31" s="543"/>
      <c r="BZT31" s="543"/>
      <c r="BZU31" s="543"/>
      <c r="BZV31" s="543"/>
      <c r="BZW31" s="543"/>
      <c r="BZX31" s="543"/>
      <c r="BZY31" s="543"/>
      <c r="BZZ31" s="543"/>
      <c r="CAA31" s="543"/>
      <c r="CAB31" s="543"/>
      <c r="CAC31" s="543"/>
      <c r="CAD31" s="543"/>
      <c r="CAE31" s="543"/>
      <c r="CAF31" s="543"/>
      <c r="CAG31" s="543"/>
      <c r="CAH31" s="543"/>
      <c r="CAI31" s="543"/>
      <c r="CAJ31" s="543"/>
      <c r="CAK31" s="543"/>
      <c r="CAL31" s="543"/>
      <c r="CAM31" s="543"/>
      <c r="CAN31" s="543"/>
      <c r="CAO31" s="543"/>
      <c r="CAP31" s="543"/>
      <c r="CAQ31" s="543"/>
      <c r="CAR31" s="543"/>
      <c r="CAS31" s="543"/>
      <c r="CAT31" s="543"/>
      <c r="CAU31" s="543"/>
      <c r="CAV31" s="543"/>
      <c r="CAW31" s="543"/>
      <c r="CAX31" s="543"/>
      <c r="CAY31" s="543"/>
      <c r="CAZ31" s="543"/>
      <c r="CBA31" s="543"/>
      <c r="CBB31" s="543"/>
      <c r="CBC31" s="543"/>
      <c r="CBD31" s="543"/>
      <c r="CBE31" s="543"/>
      <c r="CBF31" s="543"/>
      <c r="CBG31" s="543"/>
      <c r="CBH31" s="543"/>
      <c r="CBI31" s="543"/>
      <c r="CBJ31" s="543"/>
      <c r="CBK31" s="543"/>
      <c r="CBL31" s="543"/>
      <c r="CBM31" s="543"/>
      <c r="CBN31" s="543"/>
      <c r="CBO31" s="543"/>
      <c r="CBP31" s="543"/>
      <c r="CBQ31" s="543"/>
      <c r="CBR31" s="543"/>
      <c r="CBS31" s="543"/>
      <c r="CBT31" s="543"/>
      <c r="CBU31" s="543"/>
      <c r="CBV31" s="543"/>
      <c r="CBW31" s="543"/>
      <c r="CBX31" s="543"/>
      <c r="CBY31" s="543"/>
      <c r="CBZ31" s="543"/>
      <c r="CCA31" s="543"/>
      <c r="CCB31" s="543"/>
      <c r="CCC31" s="543"/>
      <c r="CCD31" s="543"/>
      <c r="CCE31" s="543"/>
      <c r="CCF31" s="543"/>
      <c r="CCG31" s="543"/>
      <c r="CCH31" s="543"/>
      <c r="CCI31" s="543"/>
      <c r="CCJ31" s="543"/>
      <c r="CCK31" s="543"/>
      <c r="CCL31" s="543"/>
      <c r="CCM31" s="543"/>
      <c r="CCN31" s="543"/>
      <c r="CCO31" s="543"/>
      <c r="CCP31" s="543"/>
      <c r="CCQ31" s="543"/>
      <c r="CCR31" s="543"/>
      <c r="CCS31" s="543"/>
      <c r="CCT31" s="543"/>
      <c r="CCU31" s="543"/>
      <c r="CCV31" s="543"/>
      <c r="CCW31" s="543"/>
      <c r="CCX31" s="543"/>
      <c r="CCY31" s="543"/>
      <c r="CCZ31" s="543"/>
      <c r="CDA31" s="543"/>
      <c r="CDB31" s="543"/>
      <c r="CDC31" s="543"/>
      <c r="CDD31" s="543"/>
      <c r="CDE31" s="543"/>
      <c r="CDF31" s="543"/>
      <c r="CDG31" s="543"/>
      <c r="CDH31" s="543"/>
      <c r="CDI31" s="543"/>
      <c r="CDJ31" s="543"/>
      <c r="CDK31" s="543"/>
      <c r="CDL31" s="543"/>
      <c r="CDM31" s="543"/>
      <c r="CDN31" s="543"/>
      <c r="CDO31" s="543"/>
      <c r="CDP31" s="543"/>
      <c r="CDQ31" s="543"/>
      <c r="CDR31" s="543"/>
      <c r="CDS31" s="543"/>
      <c r="CDT31" s="543"/>
      <c r="CDU31" s="543"/>
      <c r="CDV31" s="543"/>
      <c r="CDW31" s="543"/>
      <c r="CDX31" s="543"/>
      <c r="CDY31" s="543"/>
      <c r="CDZ31" s="543"/>
      <c r="CEA31" s="543"/>
      <c r="CEB31" s="543"/>
      <c r="CEC31" s="543"/>
      <c r="CED31" s="543"/>
      <c r="CEE31" s="543"/>
      <c r="CEF31" s="543"/>
      <c r="CEG31" s="543"/>
      <c r="CEH31" s="543"/>
      <c r="CEI31" s="543"/>
      <c r="CEJ31" s="543"/>
      <c r="CEK31" s="543"/>
      <c r="CEL31" s="543"/>
      <c r="CEM31" s="543"/>
      <c r="CEN31" s="543"/>
      <c r="CEO31" s="543"/>
      <c r="CEP31" s="543"/>
      <c r="CEQ31" s="543"/>
      <c r="CER31" s="543"/>
      <c r="CES31" s="543"/>
      <c r="CET31" s="543"/>
      <c r="CEU31" s="543"/>
      <c r="CEV31" s="543"/>
      <c r="CEW31" s="543"/>
      <c r="CEX31" s="543"/>
      <c r="CEY31" s="543"/>
      <c r="CEZ31" s="543"/>
      <c r="CFA31" s="543"/>
      <c r="CFB31" s="543"/>
      <c r="CFC31" s="543"/>
      <c r="CFD31" s="543"/>
      <c r="CFE31" s="543"/>
      <c r="CFF31" s="543"/>
      <c r="CFG31" s="543"/>
      <c r="CFH31" s="543"/>
      <c r="CFI31" s="543"/>
      <c r="CFJ31" s="543"/>
      <c r="CFK31" s="543"/>
      <c r="CFL31" s="543"/>
      <c r="CFM31" s="543"/>
      <c r="CFN31" s="543"/>
      <c r="CFO31" s="543"/>
      <c r="CFP31" s="543"/>
      <c r="CFQ31" s="543"/>
      <c r="CFR31" s="543"/>
      <c r="CFS31" s="543"/>
      <c r="CFT31" s="543"/>
      <c r="CFU31" s="543"/>
      <c r="CFV31" s="543"/>
      <c r="CFW31" s="543"/>
      <c r="CFX31" s="543"/>
      <c r="CFY31" s="543"/>
      <c r="CFZ31" s="543"/>
      <c r="CGA31" s="543"/>
      <c r="CGB31" s="543"/>
      <c r="CGC31" s="543"/>
      <c r="CGD31" s="543"/>
      <c r="CGE31" s="543"/>
      <c r="CGF31" s="543"/>
      <c r="CGG31" s="543"/>
      <c r="CGH31" s="543"/>
      <c r="CGI31" s="543"/>
      <c r="CGJ31" s="543"/>
      <c r="CGK31" s="543"/>
      <c r="CGL31" s="543"/>
      <c r="CGM31" s="543"/>
      <c r="CGN31" s="543"/>
      <c r="CGO31" s="543"/>
      <c r="CGP31" s="543"/>
      <c r="CGQ31" s="543"/>
      <c r="CGR31" s="543"/>
      <c r="CGS31" s="543"/>
      <c r="CGT31" s="543"/>
      <c r="CGU31" s="543"/>
      <c r="CGV31" s="543"/>
      <c r="CGW31" s="543"/>
      <c r="CGX31" s="543"/>
      <c r="CGY31" s="543"/>
      <c r="CGZ31" s="543"/>
      <c r="CHA31" s="543"/>
      <c r="CHB31" s="543"/>
      <c r="CHC31" s="543"/>
      <c r="CHD31" s="543"/>
      <c r="CHE31" s="543"/>
      <c r="CHF31" s="543"/>
      <c r="CHG31" s="543"/>
      <c r="CHH31" s="543"/>
      <c r="CHI31" s="543"/>
      <c r="CHJ31" s="543"/>
      <c r="CHK31" s="543"/>
      <c r="CHL31" s="543"/>
      <c r="CHM31" s="543"/>
      <c r="CHN31" s="543"/>
      <c r="CHO31" s="543"/>
      <c r="CHP31" s="543"/>
      <c r="CHQ31" s="543"/>
      <c r="CHR31" s="543"/>
      <c r="CHS31" s="543"/>
      <c r="CHT31" s="543"/>
      <c r="CHU31" s="543"/>
      <c r="CHV31" s="543"/>
      <c r="CHW31" s="543"/>
      <c r="CHX31" s="543"/>
      <c r="CHY31" s="543"/>
      <c r="CHZ31" s="543"/>
      <c r="CIA31" s="543"/>
      <c r="CIB31" s="543"/>
      <c r="CIC31" s="543"/>
      <c r="CID31" s="543"/>
      <c r="CIE31" s="543"/>
      <c r="CIF31" s="543"/>
      <c r="CIG31" s="543"/>
      <c r="CIH31" s="543"/>
      <c r="CII31" s="543"/>
      <c r="CIJ31" s="543"/>
      <c r="CIK31" s="543"/>
      <c r="CIL31" s="543"/>
      <c r="CIM31" s="543"/>
      <c r="CIN31" s="543"/>
      <c r="CIO31" s="543"/>
      <c r="CIP31" s="543"/>
      <c r="CIQ31" s="543"/>
      <c r="CIR31" s="543"/>
      <c r="CIS31" s="543"/>
      <c r="CIT31" s="543"/>
      <c r="CIU31" s="543"/>
      <c r="CIV31" s="543"/>
      <c r="CIW31" s="543"/>
      <c r="CIX31" s="543"/>
      <c r="CIY31" s="543"/>
      <c r="CIZ31" s="543"/>
      <c r="CJA31" s="543"/>
      <c r="CJB31" s="543"/>
      <c r="CJC31" s="543"/>
      <c r="CJD31" s="543"/>
      <c r="CJE31" s="543"/>
      <c r="CJF31" s="543"/>
      <c r="CJG31" s="543"/>
      <c r="CJH31" s="543"/>
      <c r="CJI31" s="543"/>
      <c r="CJJ31" s="543"/>
      <c r="CJK31" s="543"/>
      <c r="CJL31" s="543"/>
      <c r="CJM31" s="543"/>
      <c r="CJN31" s="543"/>
      <c r="CJO31" s="543"/>
      <c r="CJP31" s="543"/>
      <c r="CJQ31" s="543"/>
      <c r="CJR31" s="543"/>
      <c r="CJS31" s="543"/>
      <c r="CJT31" s="543"/>
      <c r="CJU31" s="543"/>
      <c r="CJV31" s="543"/>
      <c r="CJW31" s="543"/>
      <c r="CJX31" s="543"/>
      <c r="CJY31" s="543"/>
      <c r="CJZ31" s="543"/>
      <c r="CKA31" s="543"/>
      <c r="CKB31" s="543"/>
      <c r="CKC31" s="543"/>
      <c r="CKD31" s="543"/>
      <c r="CKE31" s="543"/>
      <c r="CKF31" s="543"/>
      <c r="CKG31" s="543"/>
      <c r="CKH31" s="543"/>
      <c r="CKI31" s="543"/>
      <c r="CKJ31" s="543"/>
      <c r="CKK31" s="543"/>
      <c r="CKL31" s="543"/>
      <c r="CKM31" s="543"/>
      <c r="CKN31" s="543"/>
      <c r="CKO31" s="543"/>
      <c r="CKP31" s="543"/>
      <c r="CKQ31" s="543"/>
      <c r="CKR31" s="543"/>
      <c r="CKS31" s="543"/>
      <c r="CKT31" s="543"/>
      <c r="CKU31" s="543"/>
      <c r="CKV31" s="543"/>
      <c r="CKW31" s="543"/>
      <c r="CKX31" s="543"/>
      <c r="CKY31" s="543"/>
      <c r="CKZ31" s="543"/>
      <c r="CLA31" s="543"/>
      <c r="CLB31" s="543"/>
      <c r="CLC31" s="543"/>
      <c r="CLD31" s="543"/>
      <c r="CLE31" s="543"/>
      <c r="CLF31" s="543"/>
      <c r="CLG31" s="543"/>
      <c r="CLH31" s="543"/>
      <c r="CLI31" s="543"/>
      <c r="CLJ31" s="543"/>
      <c r="CLK31" s="543"/>
      <c r="CLL31" s="543"/>
      <c r="CLM31" s="543"/>
      <c r="CLN31" s="543"/>
      <c r="CLO31" s="543"/>
      <c r="CLP31" s="543"/>
      <c r="CLQ31" s="543"/>
      <c r="CLR31" s="543"/>
      <c r="CLS31" s="543"/>
      <c r="CLT31" s="543"/>
      <c r="CLU31" s="543"/>
      <c r="CLV31" s="543"/>
      <c r="CLW31" s="543"/>
      <c r="CLX31" s="543"/>
      <c r="CLY31" s="543"/>
      <c r="CLZ31" s="543"/>
      <c r="CMA31" s="543"/>
      <c r="CMB31" s="543"/>
      <c r="CMC31" s="543"/>
      <c r="CMD31" s="543"/>
      <c r="CME31" s="543"/>
      <c r="CMF31" s="543"/>
      <c r="CMG31" s="543"/>
      <c r="CMH31" s="543"/>
      <c r="CMI31" s="543"/>
      <c r="CMJ31" s="543"/>
      <c r="CMK31" s="543"/>
      <c r="CML31" s="543"/>
      <c r="CMM31" s="543"/>
      <c r="CMN31" s="543"/>
      <c r="CMO31" s="543"/>
      <c r="CMP31" s="543"/>
      <c r="CMQ31" s="543"/>
      <c r="CMR31" s="543"/>
      <c r="CMS31" s="543"/>
      <c r="CMT31" s="543"/>
      <c r="CMU31" s="543"/>
      <c r="CMV31" s="543"/>
      <c r="CMW31" s="543"/>
      <c r="CMX31" s="543"/>
      <c r="CMY31" s="543"/>
      <c r="CMZ31" s="543"/>
      <c r="CNA31" s="543"/>
      <c r="CNB31" s="543"/>
      <c r="CNC31" s="543"/>
      <c r="CND31" s="543"/>
      <c r="CNE31" s="543"/>
      <c r="CNF31" s="543"/>
      <c r="CNG31" s="543"/>
      <c r="CNH31" s="543"/>
      <c r="CNI31" s="543"/>
      <c r="CNJ31" s="543"/>
      <c r="CNK31" s="543"/>
      <c r="CNL31" s="543"/>
      <c r="CNM31" s="543"/>
      <c r="CNN31" s="543"/>
      <c r="CNO31" s="543"/>
      <c r="CNP31" s="543"/>
      <c r="CNQ31" s="543"/>
      <c r="CNR31" s="543"/>
      <c r="CNS31" s="543"/>
      <c r="CNT31" s="543"/>
      <c r="CNU31" s="543"/>
      <c r="CNV31" s="543"/>
      <c r="CNW31" s="543"/>
      <c r="CNX31" s="543"/>
      <c r="CNY31" s="543"/>
      <c r="CNZ31" s="543"/>
      <c r="COA31" s="543"/>
      <c r="COB31" s="543"/>
      <c r="COC31" s="543"/>
      <c r="COD31" s="543"/>
      <c r="COE31" s="543"/>
      <c r="COF31" s="543"/>
      <c r="COG31" s="543"/>
      <c r="COH31" s="543"/>
      <c r="COI31" s="543"/>
      <c r="COJ31" s="543"/>
      <c r="COK31" s="543"/>
      <c r="COL31" s="543"/>
      <c r="COM31" s="543"/>
      <c r="CON31" s="543"/>
      <c r="COO31" s="543"/>
      <c r="COP31" s="543"/>
      <c r="COQ31" s="543"/>
      <c r="COR31" s="543"/>
      <c r="COS31" s="543"/>
      <c r="COT31" s="543"/>
      <c r="COU31" s="543"/>
      <c r="COV31" s="543"/>
      <c r="COW31" s="543"/>
      <c r="COX31" s="543"/>
      <c r="COY31" s="543"/>
      <c r="COZ31" s="543"/>
      <c r="CPA31" s="543"/>
      <c r="CPB31" s="543"/>
      <c r="CPC31" s="543"/>
      <c r="CPD31" s="543"/>
      <c r="CPE31" s="543"/>
      <c r="CPF31" s="543"/>
      <c r="CPG31" s="543"/>
      <c r="CPH31" s="543"/>
      <c r="CPI31" s="543"/>
      <c r="CPJ31" s="543"/>
      <c r="CPK31" s="543"/>
      <c r="CPL31" s="543"/>
      <c r="CPM31" s="543"/>
      <c r="CPN31" s="543"/>
      <c r="CPO31" s="543"/>
      <c r="CPP31" s="543"/>
      <c r="CPQ31" s="543"/>
      <c r="CPR31" s="543"/>
      <c r="CPS31" s="543"/>
      <c r="CPT31" s="543"/>
      <c r="CPU31" s="543"/>
      <c r="CPV31" s="543"/>
      <c r="CPW31" s="543"/>
      <c r="CPX31" s="543"/>
      <c r="CPY31" s="543"/>
      <c r="CPZ31" s="543"/>
      <c r="CQA31" s="543"/>
      <c r="CQB31" s="543"/>
      <c r="CQC31" s="543"/>
      <c r="CQD31" s="543"/>
      <c r="CQE31" s="543"/>
      <c r="CQF31" s="543"/>
      <c r="CQG31" s="543"/>
      <c r="CQH31" s="543"/>
      <c r="CQI31" s="543"/>
      <c r="CQJ31" s="543"/>
      <c r="CQK31" s="543"/>
      <c r="CQL31" s="543"/>
      <c r="CQM31" s="543"/>
      <c r="CQN31" s="543"/>
      <c r="CQO31" s="543"/>
      <c r="CQP31" s="543"/>
      <c r="CQQ31" s="543"/>
      <c r="CQR31" s="543"/>
      <c r="CQS31" s="543"/>
      <c r="CQT31" s="543"/>
      <c r="CQU31" s="543"/>
      <c r="CQV31" s="543"/>
      <c r="CQW31" s="543"/>
      <c r="CQX31" s="543"/>
      <c r="CQY31" s="543"/>
      <c r="CQZ31" s="543"/>
      <c r="CRA31" s="543"/>
      <c r="CRB31" s="543"/>
      <c r="CRC31" s="543"/>
      <c r="CRD31" s="543"/>
      <c r="CRE31" s="543"/>
      <c r="CRF31" s="543"/>
      <c r="CRG31" s="543"/>
      <c r="CRH31" s="543"/>
      <c r="CRI31" s="543"/>
      <c r="CRJ31" s="543"/>
      <c r="CRK31" s="543"/>
      <c r="CRL31" s="543"/>
      <c r="CRM31" s="543"/>
      <c r="CRN31" s="543"/>
      <c r="CRO31" s="543"/>
      <c r="CRP31" s="543"/>
      <c r="CRQ31" s="543"/>
      <c r="CRR31" s="543"/>
      <c r="CRS31" s="543"/>
      <c r="CRT31" s="543"/>
      <c r="CRU31" s="543"/>
      <c r="CRV31" s="543"/>
      <c r="CRW31" s="543"/>
      <c r="CRX31" s="543"/>
      <c r="CRY31" s="543"/>
      <c r="CRZ31" s="543"/>
      <c r="CSA31" s="543"/>
      <c r="CSB31" s="543"/>
      <c r="CSC31" s="543"/>
      <c r="CSD31" s="543"/>
      <c r="CSE31" s="543"/>
      <c r="CSF31" s="543"/>
      <c r="CSG31" s="543"/>
      <c r="CSH31" s="543"/>
      <c r="CSI31" s="543"/>
      <c r="CSJ31" s="543"/>
      <c r="CSK31" s="543"/>
      <c r="CSL31" s="543"/>
      <c r="CSM31" s="543"/>
      <c r="CSN31" s="543"/>
      <c r="CSO31" s="543"/>
      <c r="CSP31" s="543"/>
      <c r="CSQ31" s="543"/>
      <c r="CSR31" s="543"/>
      <c r="CSS31" s="543"/>
      <c r="CST31" s="543"/>
      <c r="CSU31" s="543"/>
      <c r="CSV31" s="543"/>
      <c r="CSW31" s="543"/>
      <c r="CSX31" s="543"/>
      <c r="CSY31" s="543"/>
      <c r="CSZ31" s="543"/>
      <c r="CTA31" s="543"/>
      <c r="CTB31" s="543"/>
      <c r="CTC31" s="543"/>
      <c r="CTD31" s="543"/>
      <c r="CTE31" s="543"/>
      <c r="CTF31" s="543"/>
      <c r="CTG31" s="543"/>
      <c r="CTH31" s="543"/>
      <c r="CTI31" s="543"/>
      <c r="CTJ31" s="543"/>
      <c r="CTK31" s="543"/>
      <c r="CTL31" s="543"/>
      <c r="CTM31" s="543"/>
      <c r="CTN31" s="543"/>
      <c r="CTO31" s="543"/>
      <c r="CTP31" s="543"/>
      <c r="CTQ31" s="543"/>
      <c r="CTR31" s="543"/>
      <c r="CTS31" s="543"/>
      <c r="CTT31" s="543"/>
      <c r="CTU31" s="543"/>
      <c r="CTV31" s="543"/>
      <c r="CTW31" s="543"/>
      <c r="CTX31" s="543"/>
      <c r="CTY31" s="543"/>
      <c r="CTZ31" s="543"/>
      <c r="CUA31" s="543"/>
      <c r="CUB31" s="543"/>
      <c r="CUC31" s="543"/>
      <c r="CUD31" s="543"/>
      <c r="CUE31" s="543"/>
      <c r="CUF31" s="543"/>
      <c r="CUG31" s="543"/>
      <c r="CUH31" s="543"/>
      <c r="CUI31" s="543"/>
      <c r="CUJ31" s="543"/>
      <c r="CUK31" s="543"/>
      <c r="CUL31" s="543"/>
      <c r="CUM31" s="543"/>
      <c r="CUN31" s="543"/>
      <c r="CUO31" s="543"/>
      <c r="CUP31" s="543"/>
      <c r="CUQ31" s="543"/>
      <c r="CUR31" s="543"/>
      <c r="CUS31" s="543"/>
      <c r="CUT31" s="543"/>
      <c r="CUU31" s="543"/>
      <c r="CUV31" s="543"/>
      <c r="CUW31" s="543"/>
      <c r="CUX31" s="543"/>
      <c r="CUY31" s="543"/>
      <c r="CUZ31" s="543"/>
      <c r="CVA31" s="543"/>
      <c r="CVB31" s="543"/>
      <c r="CVC31" s="543"/>
      <c r="CVD31" s="543"/>
      <c r="CVE31" s="543"/>
      <c r="CVF31" s="543"/>
      <c r="CVG31" s="543"/>
      <c r="CVH31" s="543"/>
      <c r="CVI31" s="543"/>
      <c r="CVJ31" s="543"/>
      <c r="CVK31" s="543"/>
      <c r="CVL31" s="543"/>
      <c r="CVM31" s="543"/>
      <c r="CVN31" s="543"/>
      <c r="CVO31" s="543"/>
      <c r="CVP31" s="543"/>
      <c r="CVQ31" s="543"/>
      <c r="CVR31" s="543"/>
      <c r="CVS31" s="543"/>
      <c r="CVT31" s="543"/>
      <c r="CVU31" s="543"/>
      <c r="CVV31" s="543"/>
      <c r="CVW31" s="543"/>
      <c r="CVX31" s="543"/>
      <c r="CVY31" s="543"/>
      <c r="CVZ31" s="543"/>
      <c r="CWA31" s="543"/>
      <c r="CWB31" s="543"/>
      <c r="CWC31" s="543"/>
      <c r="CWD31" s="543"/>
      <c r="CWE31" s="543"/>
      <c r="CWF31" s="543"/>
      <c r="CWG31" s="543"/>
      <c r="CWH31" s="543"/>
      <c r="CWI31" s="543"/>
      <c r="CWJ31" s="543"/>
      <c r="CWK31" s="543"/>
      <c r="CWL31" s="543"/>
      <c r="CWM31" s="543"/>
      <c r="CWN31" s="543"/>
      <c r="CWO31" s="543"/>
      <c r="CWP31" s="543"/>
      <c r="CWQ31" s="543"/>
      <c r="CWR31" s="543"/>
      <c r="CWS31" s="543"/>
      <c r="CWT31" s="543"/>
      <c r="CWU31" s="543"/>
      <c r="CWV31" s="543"/>
      <c r="CWW31" s="543"/>
      <c r="CWX31" s="543"/>
      <c r="CWY31" s="543"/>
      <c r="CWZ31" s="543"/>
      <c r="CXA31" s="543"/>
      <c r="CXB31" s="543"/>
      <c r="CXC31" s="543"/>
      <c r="CXD31" s="543"/>
      <c r="CXE31" s="543"/>
      <c r="CXF31" s="543"/>
      <c r="CXG31" s="543"/>
      <c r="CXH31" s="543"/>
      <c r="CXI31" s="543"/>
      <c r="CXJ31" s="543"/>
      <c r="CXK31" s="543"/>
      <c r="CXL31" s="543"/>
      <c r="CXM31" s="543"/>
      <c r="CXN31" s="543"/>
      <c r="CXO31" s="543"/>
      <c r="CXP31" s="543"/>
      <c r="CXQ31" s="543"/>
      <c r="CXR31" s="543"/>
      <c r="CXS31" s="543"/>
      <c r="CXT31" s="543"/>
      <c r="CXU31" s="543"/>
      <c r="CXV31" s="543"/>
      <c r="CXW31" s="543"/>
      <c r="CXX31" s="543"/>
      <c r="CXY31" s="543"/>
      <c r="CXZ31" s="543"/>
      <c r="CYA31" s="543"/>
      <c r="CYB31" s="543"/>
      <c r="CYC31" s="543"/>
      <c r="CYD31" s="543"/>
      <c r="CYE31" s="543"/>
      <c r="CYF31" s="543"/>
      <c r="CYG31" s="543"/>
      <c r="CYH31" s="543"/>
      <c r="CYI31" s="543"/>
      <c r="CYJ31" s="543"/>
      <c r="CYK31" s="543"/>
      <c r="CYL31" s="543"/>
      <c r="CYM31" s="543"/>
      <c r="CYN31" s="543"/>
      <c r="CYO31" s="543"/>
      <c r="CYP31" s="543"/>
      <c r="CYQ31" s="543"/>
      <c r="CYR31" s="543"/>
      <c r="CYS31" s="543"/>
      <c r="CYT31" s="543"/>
      <c r="CYU31" s="543"/>
      <c r="CYV31" s="543"/>
      <c r="CYW31" s="543"/>
      <c r="CYX31" s="543"/>
      <c r="CYY31" s="543"/>
      <c r="CYZ31" s="543"/>
      <c r="CZA31" s="543"/>
      <c r="CZB31" s="543"/>
      <c r="CZC31" s="543"/>
      <c r="CZD31" s="543"/>
      <c r="CZE31" s="543"/>
      <c r="CZF31" s="543"/>
      <c r="CZG31" s="543"/>
      <c r="CZH31" s="543"/>
      <c r="CZI31" s="543"/>
      <c r="CZJ31" s="543"/>
      <c r="CZK31" s="543"/>
      <c r="CZL31" s="543"/>
      <c r="CZM31" s="543"/>
      <c r="CZN31" s="543"/>
      <c r="CZO31" s="543"/>
      <c r="CZP31" s="543"/>
      <c r="CZQ31" s="543"/>
      <c r="CZR31" s="543"/>
      <c r="CZS31" s="543"/>
      <c r="CZT31" s="543"/>
      <c r="CZU31" s="543"/>
      <c r="CZV31" s="543"/>
      <c r="CZW31" s="543"/>
      <c r="CZX31" s="543"/>
      <c r="CZY31" s="543"/>
      <c r="CZZ31" s="543"/>
      <c r="DAA31" s="543"/>
      <c r="DAB31" s="543"/>
      <c r="DAC31" s="543"/>
      <c r="DAD31" s="543"/>
      <c r="DAE31" s="543"/>
      <c r="DAF31" s="543"/>
      <c r="DAG31" s="543"/>
      <c r="DAH31" s="543"/>
      <c r="DAI31" s="543"/>
      <c r="DAJ31" s="543"/>
      <c r="DAK31" s="543"/>
      <c r="DAL31" s="543"/>
      <c r="DAM31" s="543"/>
      <c r="DAN31" s="543"/>
      <c r="DAO31" s="543"/>
      <c r="DAP31" s="543"/>
      <c r="DAQ31" s="543"/>
      <c r="DAR31" s="543"/>
      <c r="DAS31" s="543"/>
      <c r="DAT31" s="543"/>
      <c r="DAU31" s="543"/>
      <c r="DAV31" s="543"/>
      <c r="DAW31" s="543"/>
      <c r="DAX31" s="543"/>
      <c r="DAY31" s="543"/>
      <c r="DAZ31" s="543"/>
      <c r="DBA31" s="543"/>
      <c r="DBB31" s="543"/>
      <c r="DBC31" s="543"/>
      <c r="DBD31" s="543"/>
      <c r="DBE31" s="543"/>
      <c r="DBF31" s="543"/>
      <c r="DBG31" s="543"/>
      <c r="DBH31" s="543"/>
      <c r="DBI31" s="543"/>
      <c r="DBJ31" s="543"/>
      <c r="DBK31" s="543"/>
      <c r="DBL31" s="543"/>
      <c r="DBM31" s="543"/>
      <c r="DBN31" s="543"/>
      <c r="DBO31" s="543"/>
      <c r="DBP31" s="543"/>
      <c r="DBQ31" s="543"/>
      <c r="DBR31" s="543"/>
      <c r="DBS31" s="543"/>
      <c r="DBT31" s="543"/>
      <c r="DBU31" s="543"/>
      <c r="DBV31" s="543"/>
      <c r="DBW31" s="543"/>
      <c r="DBX31" s="543"/>
      <c r="DBY31" s="543"/>
      <c r="DBZ31" s="543"/>
      <c r="DCA31" s="543"/>
      <c r="DCB31" s="543"/>
      <c r="DCC31" s="543"/>
      <c r="DCD31" s="543"/>
      <c r="DCE31" s="543"/>
      <c r="DCF31" s="543"/>
      <c r="DCG31" s="543"/>
      <c r="DCH31" s="543"/>
      <c r="DCI31" s="543"/>
      <c r="DCJ31" s="543"/>
      <c r="DCK31" s="543"/>
      <c r="DCL31" s="543"/>
      <c r="DCM31" s="543"/>
      <c r="DCN31" s="543"/>
      <c r="DCO31" s="543"/>
      <c r="DCP31" s="543"/>
      <c r="DCQ31" s="543"/>
      <c r="DCR31" s="543"/>
      <c r="DCS31" s="543"/>
      <c r="DCT31" s="543"/>
      <c r="DCU31" s="543"/>
      <c r="DCV31" s="543"/>
      <c r="DCW31" s="543"/>
      <c r="DCX31" s="543"/>
      <c r="DCY31" s="543"/>
      <c r="DCZ31" s="543"/>
      <c r="DDA31" s="543"/>
      <c r="DDB31" s="543"/>
      <c r="DDC31" s="543"/>
      <c r="DDD31" s="543"/>
      <c r="DDE31" s="543"/>
      <c r="DDF31" s="543"/>
      <c r="DDG31" s="543"/>
      <c r="DDH31" s="543"/>
      <c r="DDI31" s="543"/>
      <c r="DDJ31" s="543"/>
      <c r="DDK31" s="543"/>
      <c r="DDL31" s="543"/>
      <c r="DDM31" s="543"/>
      <c r="DDN31" s="543"/>
      <c r="DDO31" s="543"/>
      <c r="DDP31" s="543"/>
      <c r="DDQ31" s="543"/>
      <c r="DDR31" s="543"/>
      <c r="DDS31" s="543"/>
      <c r="DDT31" s="543"/>
      <c r="DDU31" s="543"/>
      <c r="DDV31" s="543"/>
      <c r="DDW31" s="543"/>
      <c r="DDX31" s="543"/>
      <c r="DDY31" s="543"/>
      <c r="DDZ31" s="543"/>
      <c r="DEA31" s="543"/>
      <c r="DEB31" s="543"/>
      <c r="DEC31" s="543"/>
      <c r="DED31" s="543"/>
      <c r="DEE31" s="543"/>
      <c r="DEF31" s="543"/>
      <c r="DEG31" s="543"/>
      <c r="DEH31" s="543"/>
      <c r="DEI31" s="543"/>
      <c r="DEJ31" s="543"/>
      <c r="DEK31" s="543"/>
      <c r="DEL31" s="543"/>
      <c r="DEM31" s="543"/>
      <c r="DEN31" s="543"/>
      <c r="DEO31" s="543"/>
      <c r="DEP31" s="543"/>
      <c r="DEQ31" s="543"/>
      <c r="DER31" s="543"/>
      <c r="DES31" s="543"/>
      <c r="DET31" s="543"/>
      <c r="DEU31" s="543"/>
      <c r="DEV31" s="543"/>
      <c r="DEW31" s="543"/>
      <c r="DEX31" s="543"/>
      <c r="DEY31" s="543"/>
      <c r="DEZ31" s="543"/>
      <c r="DFA31" s="543"/>
      <c r="DFB31" s="543"/>
      <c r="DFC31" s="543"/>
      <c r="DFD31" s="543"/>
      <c r="DFE31" s="543"/>
      <c r="DFF31" s="543"/>
      <c r="DFG31" s="543"/>
      <c r="DFH31" s="543"/>
      <c r="DFI31" s="543"/>
      <c r="DFJ31" s="543"/>
      <c r="DFK31" s="543"/>
      <c r="DFL31" s="543"/>
      <c r="DFM31" s="543"/>
      <c r="DFN31" s="543"/>
      <c r="DFO31" s="543"/>
      <c r="DFP31" s="543"/>
      <c r="DFQ31" s="543"/>
      <c r="DFR31" s="543"/>
      <c r="DFS31" s="543"/>
      <c r="DFT31" s="543"/>
      <c r="DFU31" s="543"/>
      <c r="DFV31" s="543"/>
      <c r="DFW31" s="543"/>
      <c r="DFX31" s="543"/>
      <c r="DFY31" s="543"/>
      <c r="DFZ31" s="543"/>
      <c r="DGA31" s="543"/>
      <c r="DGB31" s="543"/>
      <c r="DGC31" s="543"/>
      <c r="DGD31" s="543"/>
      <c r="DGE31" s="543"/>
      <c r="DGF31" s="543"/>
      <c r="DGG31" s="543"/>
      <c r="DGH31" s="543"/>
      <c r="DGI31" s="543"/>
      <c r="DGJ31" s="543"/>
      <c r="DGK31" s="543"/>
      <c r="DGL31" s="543"/>
      <c r="DGM31" s="543"/>
      <c r="DGN31" s="543"/>
      <c r="DGO31" s="543"/>
      <c r="DGP31" s="543"/>
      <c r="DGQ31" s="543"/>
      <c r="DGR31" s="543"/>
      <c r="DGS31" s="543"/>
      <c r="DGT31" s="543"/>
      <c r="DGU31" s="543"/>
      <c r="DGV31" s="543"/>
      <c r="DGW31" s="543"/>
      <c r="DGX31" s="543"/>
      <c r="DGY31" s="543"/>
      <c r="DGZ31" s="543"/>
      <c r="DHA31" s="543"/>
      <c r="DHB31" s="543"/>
      <c r="DHC31" s="543"/>
      <c r="DHD31" s="543"/>
      <c r="DHE31" s="543"/>
      <c r="DHF31" s="543"/>
      <c r="DHG31" s="543"/>
      <c r="DHH31" s="543"/>
      <c r="DHI31" s="543"/>
      <c r="DHJ31" s="543"/>
      <c r="DHK31" s="543"/>
      <c r="DHL31" s="543"/>
      <c r="DHM31" s="543"/>
      <c r="DHN31" s="543"/>
      <c r="DHO31" s="543"/>
      <c r="DHP31" s="543"/>
      <c r="DHQ31" s="543"/>
      <c r="DHR31" s="543"/>
      <c r="DHS31" s="543"/>
      <c r="DHT31" s="543"/>
      <c r="DHU31" s="543"/>
      <c r="DHV31" s="543"/>
      <c r="DHW31" s="543"/>
      <c r="DHX31" s="543"/>
      <c r="DHY31" s="543"/>
      <c r="DHZ31" s="543"/>
      <c r="DIA31" s="543"/>
      <c r="DIB31" s="543"/>
      <c r="DIC31" s="543"/>
      <c r="DID31" s="543"/>
      <c r="DIE31" s="543"/>
      <c r="DIF31" s="543"/>
      <c r="DIG31" s="543"/>
      <c r="DIH31" s="543"/>
      <c r="DII31" s="543"/>
      <c r="DIJ31" s="543"/>
      <c r="DIK31" s="543"/>
      <c r="DIL31" s="543"/>
      <c r="DIM31" s="543"/>
      <c r="DIN31" s="543"/>
      <c r="DIO31" s="543"/>
      <c r="DIP31" s="543"/>
      <c r="DIQ31" s="543"/>
      <c r="DIR31" s="543"/>
      <c r="DIS31" s="543"/>
      <c r="DIT31" s="543"/>
      <c r="DIU31" s="543"/>
      <c r="DIV31" s="543"/>
      <c r="DIW31" s="543"/>
      <c r="DIX31" s="543"/>
      <c r="DIY31" s="543"/>
      <c r="DIZ31" s="543"/>
      <c r="DJA31" s="543"/>
      <c r="DJB31" s="543"/>
      <c r="DJC31" s="543"/>
      <c r="DJD31" s="543"/>
      <c r="DJE31" s="543"/>
      <c r="DJF31" s="543"/>
      <c r="DJG31" s="543"/>
      <c r="DJH31" s="543"/>
      <c r="DJI31" s="543"/>
      <c r="DJJ31" s="543"/>
      <c r="DJK31" s="543"/>
      <c r="DJL31" s="543"/>
      <c r="DJM31" s="543"/>
      <c r="DJN31" s="543"/>
      <c r="DJO31" s="543"/>
      <c r="DJP31" s="543"/>
      <c r="DJQ31" s="543"/>
      <c r="DJR31" s="543"/>
      <c r="DJS31" s="543"/>
      <c r="DJT31" s="543"/>
      <c r="DJU31" s="543"/>
      <c r="DJV31" s="543"/>
      <c r="DJW31" s="543"/>
      <c r="DJX31" s="543"/>
      <c r="DJY31" s="543"/>
      <c r="DJZ31" s="543"/>
      <c r="DKA31" s="543"/>
      <c r="DKB31" s="543"/>
      <c r="DKC31" s="543"/>
      <c r="DKD31" s="543"/>
      <c r="DKE31" s="543"/>
      <c r="DKF31" s="543"/>
      <c r="DKG31" s="543"/>
      <c r="DKH31" s="543"/>
      <c r="DKI31" s="543"/>
      <c r="DKJ31" s="543"/>
      <c r="DKK31" s="543"/>
      <c r="DKL31" s="543"/>
      <c r="DKM31" s="543"/>
      <c r="DKN31" s="543"/>
      <c r="DKO31" s="543"/>
      <c r="DKP31" s="543"/>
      <c r="DKQ31" s="543"/>
      <c r="DKR31" s="543"/>
      <c r="DKS31" s="543"/>
      <c r="DKT31" s="543"/>
      <c r="DKU31" s="543"/>
      <c r="DKV31" s="543"/>
      <c r="DKW31" s="543"/>
      <c r="DKX31" s="543"/>
      <c r="DKY31" s="543"/>
      <c r="DKZ31" s="543"/>
      <c r="DLA31" s="543"/>
      <c r="DLB31" s="543"/>
      <c r="DLC31" s="543"/>
      <c r="DLD31" s="543"/>
      <c r="DLE31" s="543"/>
      <c r="DLF31" s="543"/>
      <c r="DLG31" s="543"/>
      <c r="DLH31" s="543"/>
      <c r="DLI31" s="543"/>
      <c r="DLJ31" s="543"/>
      <c r="DLK31" s="543"/>
      <c r="DLL31" s="543"/>
      <c r="DLM31" s="543"/>
      <c r="DLN31" s="543"/>
      <c r="DLO31" s="543"/>
      <c r="DLP31" s="543"/>
      <c r="DLQ31" s="543"/>
      <c r="DLR31" s="543"/>
      <c r="DLS31" s="543"/>
      <c r="DLT31" s="543"/>
      <c r="DLU31" s="543"/>
      <c r="DLV31" s="543"/>
      <c r="DLW31" s="543"/>
      <c r="DLX31" s="543"/>
      <c r="DLY31" s="543"/>
      <c r="DLZ31" s="543"/>
      <c r="DMA31" s="543"/>
      <c r="DMB31" s="543"/>
      <c r="DMC31" s="543"/>
      <c r="DMD31" s="543"/>
      <c r="DME31" s="543"/>
      <c r="DMF31" s="543"/>
      <c r="DMG31" s="543"/>
      <c r="DMH31" s="543"/>
      <c r="DMI31" s="543"/>
      <c r="DMJ31" s="543"/>
      <c r="DMK31" s="543"/>
      <c r="DML31" s="543"/>
      <c r="DMM31" s="543"/>
      <c r="DMN31" s="543"/>
      <c r="DMO31" s="543"/>
      <c r="DMP31" s="543"/>
      <c r="DMQ31" s="543"/>
      <c r="DMR31" s="543"/>
      <c r="DMS31" s="543"/>
      <c r="DMT31" s="543"/>
      <c r="DMU31" s="543"/>
      <c r="DMV31" s="543"/>
      <c r="DMW31" s="543"/>
      <c r="DMX31" s="543"/>
      <c r="DMY31" s="543"/>
      <c r="DMZ31" s="543"/>
      <c r="DNA31" s="543"/>
      <c r="DNB31" s="543"/>
      <c r="DNC31" s="543"/>
      <c r="DND31" s="543"/>
      <c r="DNE31" s="543"/>
      <c r="DNF31" s="543"/>
      <c r="DNG31" s="543"/>
      <c r="DNH31" s="543"/>
      <c r="DNI31" s="543"/>
      <c r="DNJ31" s="543"/>
      <c r="DNK31" s="543"/>
      <c r="DNL31" s="543"/>
      <c r="DNM31" s="543"/>
      <c r="DNN31" s="543"/>
      <c r="DNO31" s="543"/>
      <c r="DNP31" s="543"/>
      <c r="DNQ31" s="543"/>
      <c r="DNR31" s="543"/>
      <c r="DNS31" s="543"/>
      <c r="DNT31" s="543"/>
      <c r="DNU31" s="543"/>
      <c r="DNV31" s="543"/>
      <c r="DNW31" s="543"/>
      <c r="DNX31" s="543"/>
      <c r="DNY31" s="543"/>
      <c r="DNZ31" s="543"/>
      <c r="DOA31" s="543"/>
      <c r="DOB31" s="543"/>
      <c r="DOC31" s="543"/>
      <c r="DOD31" s="543"/>
      <c r="DOE31" s="543"/>
      <c r="DOF31" s="543"/>
      <c r="DOG31" s="543"/>
      <c r="DOH31" s="543"/>
      <c r="DOI31" s="543"/>
      <c r="DOJ31" s="543"/>
      <c r="DOK31" s="543"/>
      <c r="DOL31" s="543"/>
      <c r="DOM31" s="543"/>
      <c r="DON31" s="543"/>
      <c r="DOO31" s="543"/>
      <c r="DOP31" s="543"/>
      <c r="DOQ31" s="543"/>
      <c r="DOR31" s="543"/>
      <c r="DOS31" s="543"/>
      <c r="DOT31" s="543"/>
      <c r="DOU31" s="543"/>
      <c r="DOV31" s="543"/>
      <c r="DOW31" s="543"/>
      <c r="DOX31" s="543"/>
      <c r="DOY31" s="543"/>
      <c r="DOZ31" s="543"/>
      <c r="DPA31" s="543"/>
      <c r="DPB31" s="543"/>
      <c r="DPC31" s="543"/>
      <c r="DPD31" s="543"/>
      <c r="DPE31" s="543"/>
      <c r="DPF31" s="543"/>
      <c r="DPG31" s="543"/>
      <c r="DPH31" s="543"/>
      <c r="DPI31" s="543"/>
      <c r="DPJ31" s="543"/>
      <c r="DPK31" s="543"/>
      <c r="DPL31" s="543"/>
      <c r="DPM31" s="543"/>
      <c r="DPN31" s="543"/>
      <c r="DPO31" s="543"/>
      <c r="DPP31" s="543"/>
      <c r="DPQ31" s="543"/>
      <c r="DPR31" s="543"/>
      <c r="DPS31" s="543"/>
      <c r="DPT31" s="543"/>
      <c r="DPU31" s="543"/>
      <c r="DPV31" s="543"/>
      <c r="DPW31" s="543"/>
      <c r="DPX31" s="543"/>
      <c r="DPY31" s="543"/>
      <c r="DPZ31" s="543"/>
      <c r="DQA31" s="543"/>
      <c r="DQB31" s="543"/>
      <c r="DQC31" s="543"/>
      <c r="DQD31" s="543"/>
      <c r="DQE31" s="543"/>
      <c r="DQF31" s="543"/>
      <c r="DQG31" s="543"/>
      <c r="DQH31" s="543"/>
      <c r="DQI31" s="543"/>
      <c r="DQJ31" s="543"/>
      <c r="DQK31" s="543"/>
      <c r="DQL31" s="543"/>
      <c r="DQM31" s="543"/>
      <c r="DQN31" s="543"/>
      <c r="DQO31" s="543"/>
      <c r="DQP31" s="543"/>
      <c r="DQQ31" s="543"/>
      <c r="DQR31" s="543"/>
      <c r="DQS31" s="543"/>
      <c r="DQT31" s="543"/>
      <c r="DQU31" s="543"/>
      <c r="DQV31" s="543"/>
      <c r="DQW31" s="543"/>
      <c r="DQX31" s="543"/>
      <c r="DQY31" s="543"/>
      <c r="DQZ31" s="543"/>
      <c r="DRA31" s="543"/>
      <c r="DRB31" s="543"/>
      <c r="DRC31" s="543"/>
      <c r="DRD31" s="543"/>
      <c r="DRE31" s="543"/>
      <c r="DRF31" s="543"/>
      <c r="DRG31" s="543"/>
      <c r="DRH31" s="543"/>
      <c r="DRI31" s="543"/>
      <c r="DRJ31" s="543"/>
      <c r="DRK31" s="543"/>
      <c r="DRL31" s="543"/>
      <c r="DRM31" s="543"/>
      <c r="DRN31" s="543"/>
      <c r="DRO31" s="543"/>
      <c r="DRP31" s="543"/>
      <c r="DRQ31" s="543"/>
      <c r="DRR31" s="543"/>
      <c r="DRS31" s="543"/>
      <c r="DRT31" s="543"/>
      <c r="DRU31" s="543"/>
      <c r="DRV31" s="543"/>
      <c r="DRW31" s="543"/>
      <c r="DRX31" s="543"/>
      <c r="DRY31" s="543"/>
      <c r="DRZ31" s="543"/>
      <c r="DSA31" s="543"/>
      <c r="DSB31" s="543"/>
      <c r="DSC31" s="543"/>
      <c r="DSD31" s="543"/>
      <c r="DSE31" s="543"/>
      <c r="DSF31" s="543"/>
      <c r="DSG31" s="543"/>
      <c r="DSH31" s="543"/>
      <c r="DSI31" s="543"/>
      <c r="DSJ31" s="543"/>
      <c r="DSK31" s="543"/>
      <c r="DSL31" s="543"/>
      <c r="DSM31" s="543"/>
      <c r="DSN31" s="543"/>
      <c r="DSO31" s="543"/>
      <c r="DSP31" s="543"/>
      <c r="DSQ31" s="543"/>
      <c r="DSR31" s="543"/>
      <c r="DSS31" s="543"/>
      <c r="DST31" s="543"/>
      <c r="DSU31" s="543"/>
      <c r="DSV31" s="543"/>
      <c r="DSW31" s="543"/>
      <c r="DSX31" s="543"/>
      <c r="DSY31" s="543"/>
      <c r="DSZ31" s="543"/>
      <c r="DTA31" s="543"/>
      <c r="DTB31" s="543"/>
      <c r="DTC31" s="543"/>
      <c r="DTD31" s="543"/>
      <c r="DTE31" s="543"/>
      <c r="DTF31" s="543"/>
      <c r="DTG31" s="543"/>
      <c r="DTH31" s="543"/>
      <c r="DTI31" s="543"/>
      <c r="DTJ31" s="543"/>
      <c r="DTK31" s="543"/>
      <c r="DTL31" s="543"/>
      <c r="DTM31" s="543"/>
      <c r="DTN31" s="543"/>
      <c r="DTO31" s="543"/>
      <c r="DTP31" s="543"/>
      <c r="DTQ31" s="543"/>
      <c r="DTR31" s="543"/>
      <c r="DTS31" s="543"/>
      <c r="DTT31" s="543"/>
      <c r="DTU31" s="543"/>
      <c r="DTV31" s="543"/>
      <c r="DTW31" s="543"/>
      <c r="DTX31" s="543"/>
      <c r="DTY31" s="543"/>
      <c r="DTZ31" s="543"/>
      <c r="DUA31" s="543"/>
      <c r="DUB31" s="543"/>
      <c r="DUC31" s="543"/>
      <c r="DUD31" s="543"/>
      <c r="DUE31" s="543"/>
      <c r="DUF31" s="543"/>
      <c r="DUG31" s="543"/>
      <c r="DUH31" s="543"/>
      <c r="DUI31" s="543"/>
      <c r="DUJ31" s="543"/>
      <c r="DUK31" s="543"/>
      <c r="DUL31" s="543"/>
      <c r="DUM31" s="543"/>
      <c r="DUN31" s="543"/>
      <c r="DUO31" s="543"/>
      <c r="DUP31" s="543"/>
      <c r="DUQ31" s="543"/>
      <c r="DUR31" s="543"/>
      <c r="DUS31" s="543"/>
      <c r="DUT31" s="543"/>
      <c r="DUU31" s="543"/>
      <c r="DUV31" s="543"/>
      <c r="DUW31" s="543"/>
      <c r="DUX31" s="543"/>
      <c r="DUY31" s="543"/>
      <c r="DUZ31" s="543"/>
      <c r="DVA31" s="543"/>
      <c r="DVB31" s="543"/>
      <c r="DVC31" s="543"/>
      <c r="DVD31" s="543"/>
      <c r="DVE31" s="543"/>
      <c r="DVF31" s="543"/>
      <c r="DVG31" s="543"/>
      <c r="DVH31" s="543"/>
      <c r="DVI31" s="543"/>
      <c r="DVJ31" s="543"/>
      <c r="DVK31" s="543"/>
      <c r="DVL31" s="543"/>
      <c r="DVM31" s="543"/>
      <c r="DVN31" s="543"/>
      <c r="DVO31" s="543"/>
      <c r="DVP31" s="543"/>
      <c r="DVQ31" s="543"/>
      <c r="DVR31" s="543"/>
      <c r="DVS31" s="543"/>
      <c r="DVT31" s="543"/>
      <c r="DVU31" s="543"/>
      <c r="DVV31" s="543"/>
      <c r="DVW31" s="543"/>
      <c r="DVX31" s="543"/>
      <c r="DVY31" s="543"/>
      <c r="DVZ31" s="543"/>
      <c r="DWA31" s="543"/>
      <c r="DWB31" s="543"/>
      <c r="DWC31" s="543"/>
      <c r="DWD31" s="543"/>
      <c r="DWE31" s="543"/>
      <c r="DWF31" s="543"/>
      <c r="DWG31" s="543"/>
      <c r="DWH31" s="543"/>
      <c r="DWI31" s="543"/>
      <c r="DWJ31" s="543"/>
      <c r="DWK31" s="543"/>
      <c r="DWL31" s="543"/>
      <c r="DWM31" s="543"/>
      <c r="DWN31" s="543"/>
      <c r="DWO31" s="543"/>
      <c r="DWP31" s="543"/>
      <c r="DWQ31" s="543"/>
      <c r="DWR31" s="543"/>
      <c r="DWS31" s="543"/>
      <c r="DWT31" s="543"/>
      <c r="DWU31" s="543"/>
      <c r="DWV31" s="543"/>
      <c r="DWW31" s="543"/>
      <c r="DWX31" s="543"/>
      <c r="DWY31" s="543"/>
      <c r="DWZ31" s="543"/>
      <c r="DXA31" s="543"/>
      <c r="DXB31" s="543"/>
      <c r="DXC31" s="543"/>
      <c r="DXD31" s="543"/>
      <c r="DXE31" s="543"/>
      <c r="DXF31" s="543"/>
      <c r="DXG31" s="543"/>
      <c r="DXH31" s="543"/>
      <c r="DXI31" s="543"/>
      <c r="DXJ31" s="543"/>
      <c r="DXK31" s="543"/>
      <c r="DXL31" s="543"/>
      <c r="DXM31" s="543"/>
      <c r="DXN31" s="543"/>
      <c r="DXO31" s="543"/>
      <c r="DXP31" s="543"/>
      <c r="DXQ31" s="543"/>
      <c r="DXR31" s="543"/>
      <c r="DXS31" s="543"/>
      <c r="DXT31" s="543"/>
      <c r="DXU31" s="543"/>
      <c r="DXV31" s="543"/>
      <c r="DXW31" s="543"/>
      <c r="DXX31" s="543"/>
      <c r="DXY31" s="543"/>
      <c r="DXZ31" s="543"/>
      <c r="DYA31" s="543"/>
      <c r="DYB31" s="543"/>
      <c r="DYC31" s="543"/>
      <c r="DYD31" s="543"/>
      <c r="DYE31" s="543"/>
      <c r="DYF31" s="543"/>
      <c r="DYG31" s="543"/>
      <c r="DYH31" s="543"/>
      <c r="DYI31" s="543"/>
      <c r="DYJ31" s="543"/>
      <c r="DYK31" s="543"/>
      <c r="DYL31" s="543"/>
      <c r="DYM31" s="543"/>
      <c r="DYN31" s="543"/>
      <c r="DYO31" s="543"/>
      <c r="DYP31" s="543"/>
      <c r="DYQ31" s="543"/>
      <c r="DYR31" s="543"/>
      <c r="DYS31" s="543"/>
      <c r="DYT31" s="543"/>
      <c r="DYU31" s="543"/>
      <c r="DYV31" s="543"/>
      <c r="DYW31" s="543"/>
      <c r="DYX31" s="543"/>
      <c r="DYY31" s="543"/>
      <c r="DYZ31" s="543"/>
      <c r="DZA31" s="543"/>
      <c r="DZB31" s="543"/>
      <c r="DZC31" s="543"/>
      <c r="DZD31" s="543"/>
      <c r="DZE31" s="543"/>
      <c r="DZF31" s="543"/>
      <c r="DZG31" s="543"/>
      <c r="DZH31" s="543"/>
      <c r="DZI31" s="543"/>
      <c r="DZJ31" s="543"/>
      <c r="DZK31" s="543"/>
      <c r="DZL31" s="543"/>
      <c r="DZM31" s="543"/>
      <c r="DZN31" s="543"/>
      <c r="DZO31" s="543"/>
      <c r="DZP31" s="543"/>
      <c r="DZQ31" s="543"/>
      <c r="DZR31" s="543"/>
      <c r="DZS31" s="543"/>
      <c r="DZT31" s="543"/>
      <c r="DZU31" s="543"/>
      <c r="DZV31" s="543"/>
      <c r="DZW31" s="543"/>
      <c r="DZX31" s="543"/>
      <c r="DZY31" s="543"/>
      <c r="DZZ31" s="543"/>
      <c r="EAA31" s="543"/>
      <c r="EAB31" s="543"/>
      <c r="EAC31" s="543"/>
      <c r="EAD31" s="543"/>
      <c r="EAE31" s="543"/>
      <c r="EAF31" s="543"/>
      <c r="EAG31" s="543"/>
      <c r="EAH31" s="543"/>
      <c r="EAI31" s="543"/>
      <c r="EAJ31" s="543"/>
      <c r="EAK31" s="543"/>
      <c r="EAL31" s="543"/>
      <c r="EAM31" s="543"/>
      <c r="EAN31" s="543"/>
      <c r="EAO31" s="543"/>
      <c r="EAP31" s="543"/>
      <c r="EAQ31" s="543"/>
      <c r="EAR31" s="543"/>
      <c r="EAS31" s="543"/>
      <c r="EAT31" s="543"/>
      <c r="EAU31" s="543"/>
      <c r="EAV31" s="543"/>
      <c r="EAW31" s="543"/>
      <c r="EAX31" s="543"/>
      <c r="EAY31" s="543"/>
      <c r="EAZ31" s="543"/>
      <c r="EBA31" s="543"/>
      <c r="EBB31" s="543"/>
      <c r="EBC31" s="543"/>
      <c r="EBD31" s="543"/>
      <c r="EBE31" s="543"/>
      <c r="EBF31" s="543"/>
      <c r="EBG31" s="543"/>
      <c r="EBH31" s="543"/>
      <c r="EBI31" s="543"/>
      <c r="EBJ31" s="543"/>
      <c r="EBK31" s="543"/>
      <c r="EBL31" s="543"/>
      <c r="EBM31" s="543"/>
      <c r="EBN31" s="543"/>
      <c r="EBO31" s="543"/>
      <c r="EBP31" s="543"/>
      <c r="EBQ31" s="543"/>
      <c r="EBR31" s="543"/>
      <c r="EBS31" s="543"/>
      <c r="EBT31" s="543"/>
      <c r="EBU31" s="543"/>
      <c r="EBV31" s="543"/>
      <c r="EBW31" s="543"/>
      <c r="EBX31" s="543"/>
      <c r="EBY31" s="543"/>
      <c r="EBZ31" s="543"/>
      <c r="ECA31" s="543"/>
      <c r="ECB31" s="543"/>
      <c r="ECC31" s="543"/>
      <c r="ECD31" s="543"/>
      <c r="ECE31" s="543"/>
      <c r="ECF31" s="543"/>
      <c r="ECG31" s="543"/>
      <c r="ECH31" s="543"/>
      <c r="ECI31" s="543"/>
      <c r="ECJ31" s="543"/>
      <c r="ECK31" s="543"/>
      <c r="ECL31" s="543"/>
      <c r="ECM31" s="543"/>
      <c r="ECN31" s="543"/>
      <c r="ECO31" s="543"/>
      <c r="ECP31" s="543"/>
      <c r="ECQ31" s="543"/>
      <c r="ECR31" s="543"/>
      <c r="ECS31" s="543"/>
      <c r="ECT31" s="543"/>
      <c r="ECU31" s="543"/>
      <c r="ECV31" s="543"/>
      <c r="ECW31" s="543"/>
      <c r="ECX31" s="543"/>
      <c r="ECY31" s="543"/>
      <c r="ECZ31" s="543"/>
      <c r="EDA31" s="543"/>
      <c r="EDB31" s="543"/>
      <c r="EDC31" s="543"/>
      <c r="EDD31" s="543"/>
      <c r="EDE31" s="543"/>
      <c r="EDF31" s="543"/>
      <c r="EDG31" s="543"/>
      <c r="EDH31" s="543"/>
      <c r="EDI31" s="543"/>
      <c r="EDJ31" s="543"/>
      <c r="EDK31" s="543"/>
      <c r="EDL31" s="543"/>
      <c r="EDM31" s="543"/>
      <c r="EDN31" s="543"/>
      <c r="EDO31" s="543"/>
      <c r="EDP31" s="543"/>
      <c r="EDQ31" s="543"/>
      <c r="EDR31" s="543"/>
      <c r="EDS31" s="543"/>
      <c r="EDT31" s="543"/>
      <c r="EDU31" s="543"/>
      <c r="EDV31" s="543"/>
      <c r="EDW31" s="543"/>
      <c r="EDX31" s="543"/>
      <c r="EDY31" s="543"/>
      <c r="EDZ31" s="543"/>
      <c r="EEA31" s="543"/>
      <c r="EEB31" s="543"/>
      <c r="EEC31" s="543"/>
      <c r="EED31" s="543"/>
      <c r="EEE31" s="543"/>
      <c r="EEF31" s="543"/>
      <c r="EEG31" s="543"/>
      <c r="EEH31" s="543"/>
      <c r="EEI31" s="543"/>
      <c r="EEJ31" s="543"/>
      <c r="EEK31" s="543"/>
      <c r="EEL31" s="543"/>
      <c r="EEM31" s="543"/>
      <c r="EEN31" s="543"/>
      <c r="EEO31" s="543"/>
      <c r="EEP31" s="543"/>
      <c r="EEQ31" s="543"/>
      <c r="EER31" s="543"/>
      <c r="EES31" s="543"/>
      <c r="EET31" s="543"/>
      <c r="EEU31" s="543"/>
      <c r="EEV31" s="543"/>
      <c r="EEW31" s="543"/>
      <c r="EEX31" s="543"/>
      <c r="EEY31" s="543"/>
      <c r="EEZ31" s="543"/>
      <c r="EFA31" s="543"/>
      <c r="EFB31" s="543"/>
      <c r="EFC31" s="543"/>
      <c r="EFD31" s="543"/>
      <c r="EFE31" s="543"/>
      <c r="EFF31" s="543"/>
      <c r="EFG31" s="543"/>
      <c r="EFH31" s="543"/>
      <c r="EFI31" s="543"/>
      <c r="EFJ31" s="543"/>
      <c r="EFK31" s="543"/>
      <c r="EFL31" s="543"/>
      <c r="EFM31" s="543"/>
      <c r="EFN31" s="543"/>
      <c r="EFO31" s="543"/>
      <c r="EFP31" s="543"/>
      <c r="EFQ31" s="543"/>
      <c r="EFR31" s="543"/>
      <c r="EFS31" s="543"/>
      <c r="EFT31" s="543"/>
      <c r="EFU31" s="543"/>
      <c r="EFV31" s="543"/>
      <c r="EFW31" s="543"/>
      <c r="EFX31" s="543"/>
      <c r="EFY31" s="543"/>
      <c r="EFZ31" s="543"/>
      <c r="EGA31" s="543"/>
      <c r="EGB31" s="543"/>
      <c r="EGC31" s="543"/>
      <c r="EGD31" s="543"/>
      <c r="EGE31" s="543"/>
      <c r="EGF31" s="543"/>
      <c r="EGG31" s="543"/>
      <c r="EGH31" s="543"/>
      <c r="EGI31" s="543"/>
      <c r="EGJ31" s="543"/>
      <c r="EGK31" s="543"/>
      <c r="EGL31" s="543"/>
      <c r="EGM31" s="543"/>
      <c r="EGN31" s="543"/>
      <c r="EGO31" s="543"/>
      <c r="EGP31" s="543"/>
      <c r="EGQ31" s="543"/>
      <c r="EGR31" s="543"/>
      <c r="EGS31" s="543"/>
      <c r="EGT31" s="543"/>
      <c r="EGU31" s="543"/>
      <c r="EGV31" s="543"/>
      <c r="EGW31" s="543"/>
      <c r="EGX31" s="543"/>
      <c r="EGY31" s="543"/>
      <c r="EGZ31" s="543"/>
      <c r="EHA31" s="543"/>
      <c r="EHB31" s="543"/>
      <c r="EHC31" s="543"/>
      <c r="EHD31" s="543"/>
      <c r="EHE31" s="543"/>
      <c r="EHF31" s="543"/>
      <c r="EHG31" s="543"/>
      <c r="EHH31" s="543"/>
      <c r="EHI31" s="543"/>
      <c r="EHJ31" s="543"/>
      <c r="EHK31" s="543"/>
      <c r="EHL31" s="543"/>
      <c r="EHM31" s="543"/>
      <c r="EHN31" s="543"/>
      <c r="EHO31" s="543"/>
      <c r="EHP31" s="543"/>
      <c r="EHQ31" s="543"/>
      <c r="EHR31" s="543"/>
      <c r="EHS31" s="543"/>
      <c r="EHT31" s="543"/>
      <c r="EHU31" s="543"/>
      <c r="EHV31" s="543"/>
      <c r="EHW31" s="543"/>
      <c r="EHX31" s="543"/>
      <c r="EHY31" s="543"/>
      <c r="EHZ31" s="543"/>
      <c r="EIA31" s="543"/>
      <c r="EIB31" s="543"/>
      <c r="EIC31" s="543"/>
      <c r="EID31" s="543"/>
      <c r="EIE31" s="543"/>
      <c r="EIF31" s="543"/>
      <c r="EIG31" s="543"/>
      <c r="EIH31" s="543"/>
      <c r="EII31" s="543"/>
      <c r="EIJ31" s="543"/>
      <c r="EIK31" s="543"/>
      <c r="EIL31" s="543"/>
      <c r="EIM31" s="543"/>
      <c r="EIN31" s="543"/>
      <c r="EIO31" s="543"/>
      <c r="EIP31" s="543"/>
      <c r="EIQ31" s="543"/>
      <c r="EIR31" s="543"/>
      <c r="EIS31" s="543"/>
      <c r="EIT31" s="543"/>
      <c r="EIU31" s="543"/>
      <c r="EIV31" s="543"/>
      <c r="EIW31" s="543"/>
      <c r="EIX31" s="543"/>
      <c r="EIY31" s="543"/>
      <c r="EIZ31" s="543"/>
      <c r="EJA31" s="543"/>
      <c r="EJB31" s="543"/>
      <c r="EJC31" s="543"/>
      <c r="EJD31" s="543"/>
      <c r="EJE31" s="543"/>
      <c r="EJF31" s="543"/>
      <c r="EJG31" s="543"/>
      <c r="EJH31" s="543"/>
      <c r="EJI31" s="543"/>
      <c r="EJJ31" s="543"/>
      <c r="EJK31" s="543"/>
      <c r="EJL31" s="543"/>
      <c r="EJM31" s="543"/>
      <c r="EJN31" s="543"/>
      <c r="EJO31" s="543"/>
      <c r="EJP31" s="543"/>
      <c r="EJQ31" s="543"/>
      <c r="EJR31" s="543"/>
      <c r="EJS31" s="543"/>
      <c r="EJT31" s="543"/>
      <c r="EJU31" s="543"/>
      <c r="EJV31" s="543"/>
      <c r="EJW31" s="543"/>
      <c r="EJX31" s="543"/>
      <c r="EJY31" s="543"/>
      <c r="EJZ31" s="543"/>
      <c r="EKA31" s="543"/>
      <c r="EKB31" s="543"/>
      <c r="EKC31" s="543"/>
      <c r="EKD31" s="543"/>
      <c r="EKE31" s="543"/>
      <c r="EKF31" s="543"/>
      <c r="EKG31" s="543"/>
      <c r="EKH31" s="543"/>
      <c r="EKI31" s="543"/>
      <c r="EKJ31" s="543"/>
      <c r="EKK31" s="543"/>
      <c r="EKL31" s="543"/>
      <c r="EKM31" s="543"/>
      <c r="EKN31" s="543"/>
      <c r="EKO31" s="543"/>
      <c r="EKP31" s="543"/>
      <c r="EKQ31" s="543"/>
      <c r="EKR31" s="543"/>
      <c r="EKS31" s="543"/>
      <c r="EKT31" s="543"/>
      <c r="EKU31" s="543"/>
      <c r="EKV31" s="543"/>
      <c r="EKW31" s="543"/>
      <c r="EKX31" s="543"/>
      <c r="EKY31" s="543"/>
      <c r="EKZ31" s="543"/>
      <c r="ELA31" s="543"/>
      <c r="ELB31" s="543"/>
      <c r="ELC31" s="543"/>
      <c r="ELD31" s="543"/>
      <c r="ELE31" s="543"/>
      <c r="ELF31" s="543"/>
      <c r="ELG31" s="543"/>
      <c r="ELH31" s="543"/>
      <c r="ELI31" s="543"/>
      <c r="ELJ31" s="543"/>
      <c r="ELK31" s="543"/>
      <c r="ELL31" s="543"/>
      <c r="ELM31" s="543"/>
      <c r="ELN31" s="543"/>
      <c r="ELO31" s="543"/>
      <c r="ELP31" s="543"/>
      <c r="ELQ31" s="543"/>
      <c r="ELR31" s="543"/>
      <c r="ELS31" s="543"/>
      <c r="ELT31" s="543"/>
      <c r="ELU31" s="543"/>
      <c r="ELV31" s="543"/>
      <c r="ELW31" s="543"/>
      <c r="ELX31" s="543"/>
      <c r="ELY31" s="543"/>
      <c r="ELZ31" s="543"/>
      <c r="EMA31" s="543"/>
      <c r="EMB31" s="543"/>
      <c r="EMC31" s="543"/>
      <c r="EMD31" s="543"/>
      <c r="EME31" s="543"/>
      <c r="EMF31" s="543"/>
      <c r="EMG31" s="543"/>
      <c r="EMH31" s="543"/>
      <c r="EMI31" s="543"/>
      <c r="EMJ31" s="543"/>
      <c r="EMK31" s="543"/>
      <c r="EML31" s="543"/>
      <c r="EMM31" s="543"/>
      <c r="EMN31" s="543"/>
      <c r="EMO31" s="543"/>
      <c r="EMP31" s="543"/>
      <c r="EMQ31" s="543"/>
      <c r="EMR31" s="543"/>
      <c r="EMS31" s="543"/>
      <c r="EMT31" s="543"/>
      <c r="EMU31" s="543"/>
      <c r="EMV31" s="543"/>
      <c r="EMW31" s="543"/>
      <c r="EMX31" s="543"/>
      <c r="EMY31" s="543"/>
      <c r="EMZ31" s="543"/>
      <c r="ENA31" s="543"/>
      <c r="ENB31" s="543"/>
      <c r="ENC31" s="543"/>
      <c r="END31" s="543"/>
      <c r="ENE31" s="543"/>
      <c r="ENF31" s="543"/>
      <c r="ENG31" s="543"/>
      <c r="ENH31" s="543"/>
      <c r="ENI31" s="543"/>
      <c r="ENJ31" s="543"/>
      <c r="ENK31" s="543"/>
      <c r="ENL31" s="543"/>
      <c r="ENM31" s="543"/>
      <c r="ENN31" s="543"/>
      <c r="ENO31" s="543"/>
      <c r="ENP31" s="543"/>
      <c r="ENQ31" s="543"/>
      <c r="ENR31" s="543"/>
      <c r="ENS31" s="543"/>
      <c r="ENT31" s="543"/>
      <c r="ENU31" s="543"/>
      <c r="ENV31" s="543"/>
      <c r="ENW31" s="543"/>
      <c r="ENX31" s="543"/>
      <c r="ENY31" s="543"/>
      <c r="ENZ31" s="543"/>
      <c r="EOA31" s="543"/>
      <c r="EOB31" s="543"/>
      <c r="EOC31" s="543"/>
      <c r="EOD31" s="543"/>
      <c r="EOE31" s="543"/>
      <c r="EOF31" s="543"/>
      <c r="EOG31" s="543"/>
      <c r="EOH31" s="543"/>
      <c r="EOI31" s="543"/>
      <c r="EOJ31" s="543"/>
      <c r="EOK31" s="543"/>
      <c r="EOL31" s="543"/>
      <c r="EOM31" s="543"/>
      <c r="EON31" s="543"/>
      <c r="EOO31" s="543"/>
      <c r="EOP31" s="543"/>
      <c r="EOQ31" s="543"/>
      <c r="EOR31" s="543"/>
      <c r="EOS31" s="543"/>
      <c r="EOT31" s="543"/>
      <c r="EOU31" s="543"/>
      <c r="EOV31" s="543"/>
      <c r="EOW31" s="543"/>
      <c r="EOX31" s="543"/>
      <c r="EOY31" s="543"/>
      <c r="EOZ31" s="543"/>
      <c r="EPA31" s="543"/>
      <c r="EPB31" s="543"/>
      <c r="EPC31" s="543"/>
      <c r="EPD31" s="543"/>
      <c r="EPE31" s="543"/>
      <c r="EPF31" s="543"/>
      <c r="EPG31" s="543"/>
      <c r="EPH31" s="543"/>
      <c r="EPI31" s="543"/>
      <c r="EPJ31" s="543"/>
      <c r="EPK31" s="543"/>
      <c r="EPL31" s="543"/>
      <c r="EPM31" s="543"/>
      <c r="EPN31" s="543"/>
      <c r="EPO31" s="543"/>
      <c r="EPP31" s="543"/>
      <c r="EPQ31" s="543"/>
      <c r="EPR31" s="543"/>
      <c r="EPS31" s="543"/>
      <c r="EPT31" s="543"/>
      <c r="EPU31" s="543"/>
      <c r="EPV31" s="543"/>
      <c r="EPW31" s="543"/>
      <c r="EPX31" s="543"/>
      <c r="EPY31" s="543"/>
      <c r="EPZ31" s="543"/>
      <c r="EQA31" s="543"/>
      <c r="EQB31" s="543"/>
      <c r="EQC31" s="543"/>
      <c r="EQD31" s="543"/>
      <c r="EQE31" s="543"/>
      <c r="EQF31" s="543"/>
      <c r="EQG31" s="543"/>
      <c r="EQH31" s="543"/>
      <c r="EQI31" s="543"/>
      <c r="EQJ31" s="543"/>
      <c r="EQK31" s="543"/>
      <c r="EQL31" s="543"/>
      <c r="EQM31" s="543"/>
      <c r="EQN31" s="543"/>
      <c r="EQO31" s="543"/>
      <c r="EQP31" s="543"/>
      <c r="EQQ31" s="543"/>
      <c r="EQR31" s="543"/>
      <c r="EQS31" s="543"/>
      <c r="EQT31" s="543"/>
      <c r="EQU31" s="543"/>
      <c r="EQV31" s="543"/>
      <c r="EQW31" s="543"/>
      <c r="EQX31" s="543"/>
      <c r="EQY31" s="543"/>
      <c r="EQZ31" s="543"/>
      <c r="ERA31" s="543"/>
      <c r="ERB31" s="543"/>
      <c r="ERC31" s="543"/>
      <c r="ERD31" s="543"/>
      <c r="ERE31" s="543"/>
      <c r="ERF31" s="543"/>
      <c r="ERG31" s="543"/>
      <c r="ERH31" s="543"/>
      <c r="ERI31" s="543"/>
      <c r="ERJ31" s="543"/>
      <c r="ERK31" s="543"/>
      <c r="ERL31" s="543"/>
      <c r="ERM31" s="543"/>
      <c r="ERN31" s="543"/>
      <c r="ERO31" s="543"/>
      <c r="ERP31" s="543"/>
      <c r="ERQ31" s="543"/>
      <c r="ERR31" s="543"/>
      <c r="ERS31" s="543"/>
      <c r="ERT31" s="543"/>
      <c r="ERU31" s="543"/>
      <c r="ERV31" s="543"/>
      <c r="ERW31" s="543"/>
      <c r="ERX31" s="543"/>
      <c r="ERY31" s="543"/>
      <c r="ERZ31" s="543"/>
      <c r="ESA31" s="543"/>
      <c r="ESB31" s="543"/>
      <c r="ESC31" s="543"/>
      <c r="ESD31" s="543"/>
      <c r="ESE31" s="543"/>
      <c r="ESF31" s="543"/>
      <c r="ESG31" s="543"/>
      <c r="ESH31" s="543"/>
      <c r="ESI31" s="543"/>
      <c r="ESJ31" s="543"/>
      <c r="ESK31" s="543"/>
      <c r="ESL31" s="543"/>
      <c r="ESM31" s="543"/>
      <c r="ESN31" s="543"/>
      <c r="ESO31" s="543"/>
      <c r="ESP31" s="543"/>
      <c r="ESQ31" s="543"/>
      <c r="ESR31" s="543"/>
      <c r="ESS31" s="543"/>
      <c r="EST31" s="543"/>
      <c r="ESU31" s="543"/>
      <c r="ESV31" s="543"/>
      <c r="ESW31" s="543"/>
      <c r="ESX31" s="543"/>
      <c r="ESY31" s="543"/>
      <c r="ESZ31" s="543"/>
      <c r="ETA31" s="543"/>
      <c r="ETB31" s="543"/>
      <c r="ETC31" s="543"/>
      <c r="ETD31" s="543"/>
      <c r="ETE31" s="543"/>
      <c r="ETF31" s="543"/>
      <c r="ETG31" s="543"/>
      <c r="ETH31" s="543"/>
      <c r="ETI31" s="543"/>
      <c r="ETJ31" s="543"/>
      <c r="ETK31" s="543"/>
      <c r="ETL31" s="543"/>
      <c r="ETM31" s="543"/>
      <c r="ETN31" s="543"/>
      <c r="ETO31" s="543"/>
      <c r="ETP31" s="543"/>
      <c r="ETQ31" s="543"/>
      <c r="ETR31" s="543"/>
      <c r="ETS31" s="543"/>
      <c r="ETT31" s="543"/>
      <c r="ETU31" s="543"/>
      <c r="ETV31" s="543"/>
      <c r="ETW31" s="543"/>
      <c r="ETX31" s="543"/>
      <c r="ETY31" s="543"/>
      <c r="ETZ31" s="543"/>
      <c r="EUA31" s="543"/>
      <c r="EUB31" s="543"/>
      <c r="EUC31" s="543"/>
      <c r="EUD31" s="543"/>
      <c r="EUE31" s="543"/>
      <c r="EUF31" s="543"/>
      <c r="EUG31" s="543"/>
      <c r="EUH31" s="543"/>
      <c r="EUI31" s="543"/>
      <c r="EUJ31" s="543"/>
      <c r="EUK31" s="543"/>
      <c r="EUL31" s="543"/>
      <c r="EUM31" s="543"/>
      <c r="EUN31" s="543"/>
      <c r="EUO31" s="543"/>
      <c r="EUP31" s="543"/>
      <c r="EUQ31" s="543"/>
      <c r="EUR31" s="543"/>
      <c r="EUS31" s="543"/>
      <c r="EUT31" s="543"/>
      <c r="EUU31" s="543"/>
      <c r="EUV31" s="543"/>
      <c r="EUW31" s="543"/>
      <c r="EUX31" s="543"/>
      <c r="EUY31" s="543"/>
      <c r="EUZ31" s="543"/>
      <c r="EVA31" s="543"/>
      <c r="EVB31" s="543"/>
      <c r="EVC31" s="543"/>
      <c r="EVD31" s="543"/>
      <c r="EVE31" s="543"/>
      <c r="EVF31" s="543"/>
      <c r="EVG31" s="543"/>
      <c r="EVH31" s="543"/>
      <c r="EVI31" s="543"/>
      <c r="EVJ31" s="543"/>
      <c r="EVK31" s="543"/>
      <c r="EVL31" s="543"/>
      <c r="EVM31" s="543"/>
      <c r="EVN31" s="543"/>
      <c r="EVO31" s="543"/>
      <c r="EVP31" s="543"/>
      <c r="EVQ31" s="543"/>
      <c r="EVR31" s="543"/>
      <c r="EVS31" s="543"/>
      <c r="EVT31" s="543"/>
      <c r="EVU31" s="543"/>
      <c r="EVV31" s="543"/>
      <c r="EVW31" s="543"/>
      <c r="EVX31" s="543"/>
      <c r="EVY31" s="543"/>
      <c r="EVZ31" s="543"/>
      <c r="EWA31" s="543"/>
      <c r="EWB31" s="543"/>
      <c r="EWC31" s="543"/>
      <c r="EWD31" s="543"/>
      <c r="EWE31" s="543"/>
      <c r="EWF31" s="543"/>
      <c r="EWG31" s="543"/>
      <c r="EWH31" s="543"/>
      <c r="EWI31" s="543"/>
      <c r="EWJ31" s="543"/>
      <c r="EWK31" s="543"/>
      <c r="EWL31" s="543"/>
      <c r="EWM31" s="543"/>
      <c r="EWN31" s="543"/>
      <c r="EWO31" s="543"/>
      <c r="EWP31" s="543"/>
      <c r="EWQ31" s="543"/>
      <c r="EWR31" s="543"/>
      <c r="EWS31" s="543"/>
      <c r="EWT31" s="543"/>
      <c r="EWU31" s="543"/>
      <c r="EWV31" s="543"/>
      <c r="EWW31" s="543"/>
      <c r="EWX31" s="543"/>
      <c r="EWY31" s="543"/>
      <c r="EWZ31" s="543"/>
      <c r="EXA31" s="543"/>
      <c r="EXB31" s="543"/>
      <c r="EXC31" s="543"/>
      <c r="EXD31" s="543"/>
      <c r="EXE31" s="543"/>
      <c r="EXF31" s="543"/>
      <c r="EXG31" s="543"/>
      <c r="EXH31" s="543"/>
      <c r="EXI31" s="543"/>
      <c r="EXJ31" s="543"/>
      <c r="EXK31" s="543"/>
      <c r="EXL31" s="543"/>
      <c r="EXM31" s="543"/>
      <c r="EXN31" s="543"/>
      <c r="EXO31" s="543"/>
      <c r="EXP31" s="543"/>
      <c r="EXQ31" s="543"/>
      <c r="EXR31" s="543"/>
      <c r="EXS31" s="543"/>
      <c r="EXT31" s="543"/>
      <c r="EXU31" s="543"/>
      <c r="EXV31" s="543"/>
      <c r="EXW31" s="543"/>
      <c r="EXX31" s="543"/>
      <c r="EXY31" s="543"/>
      <c r="EXZ31" s="543"/>
      <c r="EYA31" s="543"/>
      <c r="EYB31" s="543"/>
      <c r="EYC31" s="543"/>
      <c r="EYD31" s="543"/>
      <c r="EYE31" s="543"/>
      <c r="EYF31" s="543"/>
      <c r="EYG31" s="543"/>
      <c r="EYH31" s="543"/>
      <c r="EYI31" s="543"/>
      <c r="EYJ31" s="543"/>
      <c r="EYK31" s="543"/>
      <c r="EYL31" s="543"/>
      <c r="EYM31" s="543"/>
      <c r="EYN31" s="543"/>
      <c r="EYO31" s="543"/>
      <c r="EYP31" s="543"/>
      <c r="EYQ31" s="543"/>
      <c r="EYR31" s="543"/>
      <c r="EYS31" s="543"/>
      <c r="EYT31" s="543"/>
      <c r="EYU31" s="543"/>
      <c r="EYV31" s="543"/>
      <c r="EYW31" s="543"/>
      <c r="EYX31" s="543"/>
      <c r="EYY31" s="543"/>
      <c r="EYZ31" s="543"/>
      <c r="EZA31" s="543"/>
      <c r="EZB31" s="543"/>
      <c r="EZC31" s="543"/>
      <c r="EZD31" s="543"/>
      <c r="EZE31" s="543"/>
      <c r="EZF31" s="543"/>
      <c r="EZG31" s="543"/>
      <c r="EZH31" s="543"/>
      <c r="EZI31" s="543"/>
      <c r="EZJ31" s="543"/>
      <c r="EZK31" s="543"/>
      <c r="EZL31" s="543"/>
      <c r="EZM31" s="543"/>
      <c r="EZN31" s="543"/>
      <c r="EZO31" s="543"/>
      <c r="EZP31" s="543"/>
      <c r="EZQ31" s="543"/>
      <c r="EZR31" s="543"/>
      <c r="EZS31" s="543"/>
      <c r="EZT31" s="543"/>
      <c r="EZU31" s="543"/>
      <c r="EZV31" s="543"/>
      <c r="EZW31" s="543"/>
      <c r="EZX31" s="543"/>
      <c r="EZY31" s="543"/>
      <c r="EZZ31" s="543"/>
      <c r="FAA31" s="543"/>
      <c r="FAB31" s="543"/>
      <c r="FAC31" s="543"/>
      <c r="FAD31" s="543"/>
      <c r="FAE31" s="543"/>
      <c r="FAF31" s="543"/>
      <c r="FAG31" s="543"/>
      <c r="FAH31" s="543"/>
      <c r="FAI31" s="543"/>
      <c r="FAJ31" s="543"/>
      <c r="FAK31" s="543"/>
      <c r="FAL31" s="543"/>
      <c r="FAM31" s="543"/>
      <c r="FAN31" s="543"/>
      <c r="FAO31" s="543"/>
      <c r="FAP31" s="543"/>
      <c r="FAQ31" s="543"/>
      <c r="FAR31" s="543"/>
      <c r="FAS31" s="543"/>
      <c r="FAT31" s="543"/>
      <c r="FAU31" s="543"/>
      <c r="FAV31" s="543"/>
      <c r="FAW31" s="543"/>
      <c r="FAX31" s="543"/>
      <c r="FAY31" s="543"/>
      <c r="FAZ31" s="543"/>
      <c r="FBA31" s="543"/>
      <c r="FBB31" s="543"/>
      <c r="FBC31" s="543"/>
      <c r="FBD31" s="543"/>
      <c r="FBE31" s="543"/>
      <c r="FBF31" s="543"/>
      <c r="FBG31" s="543"/>
      <c r="FBH31" s="543"/>
      <c r="FBI31" s="543"/>
      <c r="FBJ31" s="543"/>
      <c r="FBK31" s="543"/>
      <c r="FBL31" s="543"/>
      <c r="FBM31" s="543"/>
      <c r="FBN31" s="543"/>
      <c r="FBO31" s="543"/>
      <c r="FBP31" s="543"/>
      <c r="FBQ31" s="543"/>
      <c r="FBR31" s="543"/>
      <c r="FBS31" s="543"/>
      <c r="FBT31" s="543"/>
      <c r="FBU31" s="543"/>
      <c r="FBV31" s="543"/>
      <c r="FBW31" s="543"/>
      <c r="FBX31" s="543"/>
      <c r="FBY31" s="543"/>
      <c r="FBZ31" s="543"/>
      <c r="FCA31" s="543"/>
      <c r="FCB31" s="543"/>
      <c r="FCC31" s="543"/>
      <c r="FCD31" s="543"/>
      <c r="FCE31" s="543"/>
      <c r="FCF31" s="543"/>
      <c r="FCG31" s="543"/>
      <c r="FCH31" s="543"/>
      <c r="FCI31" s="543"/>
      <c r="FCJ31" s="543"/>
      <c r="FCK31" s="543"/>
      <c r="FCL31" s="543"/>
      <c r="FCM31" s="543"/>
      <c r="FCN31" s="543"/>
      <c r="FCO31" s="543"/>
      <c r="FCP31" s="543"/>
      <c r="FCQ31" s="543"/>
      <c r="FCR31" s="543"/>
      <c r="FCS31" s="543"/>
      <c r="FCT31" s="543"/>
      <c r="FCU31" s="543"/>
      <c r="FCV31" s="543"/>
      <c r="FCW31" s="543"/>
      <c r="FCX31" s="543"/>
      <c r="FCY31" s="543"/>
      <c r="FCZ31" s="543"/>
      <c r="FDA31" s="543"/>
      <c r="FDB31" s="543"/>
      <c r="FDC31" s="543"/>
      <c r="FDD31" s="543"/>
      <c r="FDE31" s="543"/>
      <c r="FDF31" s="543"/>
      <c r="FDG31" s="543"/>
      <c r="FDH31" s="543"/>
      <c r="FDI31" s="543"/>
      <c r="FDJ31" s="543"/>
      <c r="FDK31" s="543"/>
      <c r="FDL31" s="543"/>
      <c r="FDM31" s="543"/>
      <c r="FDN31" s="543"/>
      <c r="FDO31" s="543"/>
      <c r="FDP31" s="543"/>
      <c r="FDQ31" s="543"/>
      <c r="FDR31" s="543"/>
      <c r="FDS31" s="543"/>
      <c r="FDT31" s="543"/>
      <c r="FDU31" s="543"/>
      <c r="FDV31" s="543"/>
      <c r="FDW31" s="543"/>
      <c r="FDX31" s="543"/>
      <c r="FDY31" s="543"/>
      <c r="FDZ31" s="543"/>
      <c r="FEA31" s="543"/>
      <c r="FEB31" s="543"/>
      <c r="FEC31" s="543"/>
      <c r="FED31" s="543"/>
      <c r="FEE31" s="543"/>
      <c r="FEF31" s="543"/>
      <c r="FEG31" s="543"/>
      <c r="FEH31" s="543"/>
      <c r="FEI31" s="543"/>
      <c r="FEJ31" s="543"/>
      <c r="FEK31" s="543"/>
      <c r="FEL31" s="543"/>
      <c r="FEM31" s="543"/>
      <c r="FEN31" s="543"/>
      <c r="FEO31" s="543"/>
      <c r="FEP31" s="543"/>
      <c r="FEQ31" s="543"/>
      <c r="FER31" s="543"/>
      <c r="FES31" s="543"/>
      <c r="FET31" s="543"/>
      <c r="FEU31" s="543"/>
      <c r="FEV31" s="543"/>
      <c r="FEW31" s="543"/>
      <c r="FEX31" s="543"/>
      <c r="FEY31" s="543"/>
      <c r="FEZ31" s="543"/>
      <c r="FFA31" s="543"/>
      <c r="FFB31" s="543"/>
      <c r="FFC31" s="543"/>
      <c r="FFD31" s="543"/>
      <c r="FFE31" s="543"/>
      <c r="FFF31" s="543"/>
      <c r="FFG31" s="543"/>
      <c r="FFH31" s="543"/>
      <c r="FFI31" s="543"/>
      <c r="FFJ31" s="543"/>
      <c r="FFK31" s="543"/>
      <c r="FFL31" s="543"/>
      <c r="FFM31" s="543"/>
      <c r="FFN31" s="543"/>
      <c r="FFO31" s="543"/>
      <c r="FFP31" s="543"/>
      <c r="FFQ31" s="543"/>
      <c r="FFR31" s="543"/>
      <c r="FFS31" s="543"/>
      <c r="FFT31" s="543"/>
      <c r="FFU31" s="543"/>
      <c r="FFV31" s="543"/>
      <c r="FFW31" s="543"/>
      <c r="FFX31" s="543"/>
      <c r="FFY31" s="543"/>
      <c r="FFZ31" s="543"/>
      <c r="FGA31" s="543"/>
      <c r="FGB31" s="543"/>
      <c r="FGC31" s="543"/>
      <c r="FGD31" s="543"/>
      <c r="FGE31" s="543"/>
      <c r="FGF31" s="543"/>
      <c r="FGG31" s="543"/>
      <c r="FGH31" s="543"/>
      <c r="FGI31" s="543"/>
      <c r="FGJ31" s="543"/>
      <c r="FGK31" s="543"/>
      <c r="FGL31" s="543"/>
      <c r="FGM31" s="543"/>
      <c r="FGN31" s="543"/>
      <c r="FGO31" s="543"/>
      <c r="FGP31" s="543"/>
      <c r="FGQ31" s="543"/>
      <c r="FGR31" s="543"/>
      <c r="FGS31" s="543"/>
      <c r="FGT31" s="543"/>
      <c r="FGU31" s="543"/>
      <c r="FGV31" s="543"/>
      <c r="FGW31" s="543"/>
      <c r="FGX31" s="543"/>
      <c r="FGY31" s="543"/>
      <c r="FGZ31" s="543"/>
      <c r="FHA31" s="543"/>
      <c r="FHB31" s="543"/>
      <c r="FHC31" s="543"/>
      <c r="FHD31" s="543"/>
      <c r="FHE31" s="543"/>
      <c r="FHF31" s="543"/>
      <c r="FHG31" s="543"/>
      <c r="FHH31" s="543"/>
      <c r="FHI31" s="543"/>
      <c r="FHJ31" s="543"/>
      <c r="FHK31" s="543"/>
      <c r="FHL31" s="543"/>
      <c r="FHM31" s="543"/>
      <c r="FHN31" s="543"/>
      <c r="FHO31" s="543"/>
      <c r="FHP31" s="543"/>
      <c r="FHQ31" s="543"/>
      <c r="FHR31" s="543"/>
      <c r="FHS31" s="543"/>
      <c r="FHT31" s="543"/>
      <c r="FHU31" s="543"/>
      <c r="FHV31" s="543"/>
      <c r="FHW31" s="543"/>
      <c r="FHX31" s="543"/>
      <c r="FHY31" s="543"/>
      <c r="FHZ31" s="543"/>
      <c r="FIA31" s="543"/>
      <c r="FIB31" s="543"/>
      <c r="FIC31" s="543"/>
      <c r="FID31" s="543"/>
      <c r="FIE31" s="543"/>
      <c r="FIF31" s="543"/>
      <c r="FIG31" s="543"/>
      <c r="FIH31" s="543"/>
      <c r="FII31" s="543"/>
      <c r="FIJ31" s="543"/>
      <c r="FIK31" s="543"/>
      <c r="FIL31" s="543"/>
      <c r="FIM31" s="543"/>
      <c r="FIN31" s="543"/>
      <c r="FIO31" s="543"/>
      <c r="FIP31" s="543"/>
      <c r="FIQ31" s="543"/>
      <c r="FIR31" s="543"/>
      <c r="FIS31" s="543"/>
      <c r="FIT31" s="543"/>
      <c r="FIU31" s="543"/>
      <c r="FIV31" s="543"/>
      <c r="FIW31" s="543"/>
      <c r="FIX31" s="543"/>
      <c r="FIY31" s="543"/>
      <c r="FIZ31" s="543"/>
      <c r="FJA31" s="543"/>
      <c r="FJB31" s="543"/>
      <c r="FJC31" s="543"/>
      <c r="FJD31" s="543"/>
      <c r="FJE31" s="543"/>
      <c r="FJF31" s="543"/>
      <c r="FJG31" s="543"/>
      <c r="FJH31" s="543"/>
      <c r="FJI31" s="543"/>
      <c r="FJJ31" s="543"/>
      <c r="FJK31" s="543"/>
      <c r="FJL31" s="543"/>
      <c r="FJM31" s="543"/>
      <c r="FJN31" s="543"/>
      <c r="FJO31" s="543"/>
      <c r="FJP31" s="543"/>
      <c r="FJQ31" s="543"/>
      <c r="FJR31" s="543"/>
      <c r="FJS31" s="543"/>
      <c r="FJT31" s="543"/>
      <c r="FJU31" s="543"/>
      <c r="FJV31" s="543"/>
      <c r="FJW31" s="543"/>
      <c r="FJX31" s="543"/>
      <c r="FJY31" s="543"/>
      <c r="FJZ31" s="543"/>
      <c r="FKA31" s="543"/>
      <c r="FKB31" s="543"/>
      <c r="FKC31" s="543"/>
      <c r="FKD31" s="543"/>
      <c r="FKE31" s="543"/>
      <c r="FKF31" s="543"/>
      <c r="FKG31" s="543"/>
      <c r="FKH31" s="543"/>
      <c r="FKI31" s="543"/>
      <c r="FKJ31" s="543"/>
      <c r="FKK31" s="543"/>
      <c r="FKL31" s="543"/>
      <c r="FKM31" s="543"/>
      <c r="FKN31" s="543"/>
      <c r="FKO31" s="543"/>
      <c r="FKP31" s="543"/>
      <c r="FKQ31" s="543"/>
      <c r="FKR31" s="543"/>
      <c r="FKS31" s="543"/>
      <c r="FKT31" s="543"/>
      <c r="FKU31" s="543"/>
      <c r="FKV31" s="543"/>
      <c r="FKW31" s="543"/>
      <c r="FKX31" s="543"/>
      <c r="FKY31" s="543"/>
      <c r="FKZ31" s="543"/>
      <c r="FLA31" s="543"/>
      <c r="FLB31" s="543"/>
      <c r="FLC31" s="543"/>
      <c r="FLD31" s="543"/>
      <c r="FLE31" s="543"/>
      <c r="FLF31" s="543"/>
      <c r="FLG31" s="543"/>
      <c r="FLH31" s="543"/>
      <c r="FLI31" s="543"/>
      <c r="FLJ31" s="543"/>
      <c r="FLK31" s="543"/>
      <c r="FLL31" s="543"/>
      <c r="FLM31" s="543"/>
      <c r="FLN31" s="543"/>
      <c r="FLO31" s="543"/>
      <c r="FLP31" s="543"/>
      <c r="FLQ31" s="543"/>
      <c r="FLR31" s="543"/>
      <c r="FLS31" s="543"/>
      <c r="FLT31" s="543"/>
      <c r="FLU31" s="543"/>
      <c r="FLV31" s="543"/>
      <c r="FLW31" s="543"/>
      <c r="FLX31" s="543"/>
      <c r="FLY31" s="543"/>
      <c r="FLZ31" s="543"/>
      <c r="FMA31" s="543"/>
      <c r="FMB31" s="543"/>
      <c r="FMC31" s="543"/>
      <c r="FMD31" s="543"/>
      <c r="FME31" s="543"/>
      <c r="FMF31" s="543"/>
      <c r="FMG31" s="543"/>
      <c r="FMH31" s="543"/>
      <c r="FMI31" s="543"/>
      <c r="FMJ31" s="543"/>
      <c r="FMK31" s="543"/>
      <c r="FML31" s="543"/>
      <c r="FMM31" s="543"/>
      <c r="FMN31" s="543"/>
      <c r="FMO31" s="543"/>
      <c r="FMP31" s="543"/>
      <c r="FMQ31" s="543"/>
      <c r="FMR31" s="543"/>
      <c r="FMS31" s="543"/>
      <c r="FMT31" s="543"/>
      <c r="FMU31" s="543"/>
      <c r="FMV31" s="543"/>
      <c r="FMW31" s="543"/>
      <c r="FMX31" s="543"/>
      <c r="FMY31" s="543"/>
      <c r="FMZ31" s="543"/>
      <c r="FNA31" s="543"/>
      <c r="FNB31" s="543"/>
      <c r="FNC31" s="543"/>
      <c r="FND31" s="543"/>
      <c r="FNE31" s="543"/>
      <c r="FNF31" s="543"/>
      <c r="FNG31" s="543"/>
      <c r="FNH31" s="543"/>
      <c r="FNI31" s="543"/>
      <c r="FNJ31" s="543"/>
      <c r="FNK31" s="543"/>
      <c r="FNL31" s="543"/>
      <c r="FNM31" s="543"/>
      <c r="FNN31" s="543"/>
      <c r="FNO31" s="543"/>
      <c r="FNP31" s="543"/>
      <c r="FNQ31" s="543"/>
      <c r="FNR31" s="543"/>
      <c r="FNS31" s="543"/>
      <c r="FNT31" s="543"/>
      <c r="FNU31" s="543"/>
      <c r="FNV31" s="543"/>
      <c r="FNW31" s="543"/>
      <c r="FNX31" s="543"/>
      <c r="FNY31" s="543"/>
      <c r="FNZ31" s="543"/>
      <c r="FOA31" s="543"/>
      <c r="FOB31" s="543"/>
      <c r="FOC31" s="543"/>
      <c r="FOD31" s="543"/>
      <c r="FOE31" s="543"/>
      <c r="FOF31" s="543"/>
      <c r="FOG31" s="543"/>
      <c r="FOH31" s="543"/>
      <c r="FOI31" s="543"/>
      <c r="FOJ31" s="543"/>
      <c r="FOK31" s="543"/>
      <c r="FOL31" s="543"/>
      <c r="FOM31" s="543"/>
      <c r="FON31" s="543"/>
      <c r="FOO31" s="543"/>
      <c r="FOP31" s="543"/>
      <c r="FOQ31" s="543"/>
      <c r="FOR31" s="543"/>
      <c r="FOS31" s="543"/>
      <c r="FOT31" s="543"/>
      <c r="FOU31" s="543"/>
      <c r="FOV31" s="543"/>
      <c r="FOW31" s="543"/>
      <c r="FOX31" s="543"/>
      <c r="FOY31" s="543"/>
      <c r="FOZ31" s="543"/>
      <c r="FPA31" s="543"/>
      <c r="FPB31" s="543"/>
      <c r="FPC31" s="543"/>
      <c r="FPD31" s="543"/>
      <c r="FPE31" s="543"/>
      <c r="FPF31" s="543"/>
      <c r="FPG31" s="543"/>
      <c r="FPH31" s="543"/>
      <c r="FPI31" s="543"/>
      <c r="FPJ31" s="543"/>
      <c r="FPK31" s="543"/>
      <c r="FPL31" s="543"/>
      <c r="FPM31" s="543"/>
      <c r="FPN31" s="543"/>
      <c r="FPO31" s="543"/>
      <c r="FPP31" s="543"/>
      <c r="FPQ31" s="543"/>
      <c r="FPR31" s="543"/>
      <c r="FPS31" s="543"/>
      <c r="FPT31" s="543"/>
      <c r="FPU31" s="543"/>
      <c r="FPV31" s="543"/>
      <c r="FPW31" s="543"/>
      <c r="FPX31" s="543"/>
      <c r="FPY31" s="543"/>
      <c r="FPZ31" s="543"/>
      <c r="FQA31" s="543"/>
      <c r="FQB31" s="543"/>
      <c r="FQC31" s="543"/>
      <c r="FQD31" s="543"/>
      <c r="FQE31" s="543"/>
      <c r="FQF31" s="543"/>
      <c r="FQG31" s="543"/>
      <c r="FQH31" s="543"/>
      <c r="FQI31" s="543"/>
      <c r="FQJ31" s="543"/>
      <c r="FQK31" s="543"/>
      <c r="FQL31" s="543"/>
      <c r="FQM31" s="543"/>
      <c r="FQN31" s="543"/>
      <c r="FQO31" s="543"/>
      <c r="FQP31" s="543"/>
      <c r="FQQ31" s="543"/>
      <c r="FQR31" s="543"/>
      <c r="FQS31" s="543"/>
      <c r="FQT31" s="543"/>
      <c r="FQU31" s="543"/>
      <c r="FQV31" s="543"/>
      <c r="FQW31" s="543"/>
      <c r="FQX31" s="543"/>
      <c r="FQY31" s="543"/>
      <c r="FQZ31" s="543"/>
      <c r="FRA31" s="543"/>
      <c r="FRB31" s="543"/>
      <c r="FRC31" s="543"/>
      <c r="FRD31" s="543"/>
      <c r="FRE31" s="543"/>
      <c r="FRF31" s="543"/>
      <c r="FRG31" s="543"/>
      <c r="FRH31" s="543"/>
      <c r="FRI31" s="543"/>
      <c r="FRJ31" s="543"/>
      <c r="FRK31" s="543"/>
      <c r="FRL31" s="543"/>
      <c r="FRM31" s="543"/>
      <c r="FRN31" s="543"/>
      <c r="FRO31" s="543"/>
      <c r="FRP31" s="543"/>
      <c r="FRQ31" s="543"/>
      <c r="FRR31" s="543"/>
      <c r="FRS31" s="543"/>
      <c r="FRT31" s="543"/>
      <c r="FRU31" s="543"/>
      <c r="FRV31" s="543"/>
      <c r="FRW31" s="543"/>
      <c r="FRX31" s="543"/>
      <c r="FRY31" s="543"/>
      <c r="FRZ31" s="543"/>
      <c r="FSA31" s="543"/>
      <c r="FSB31" s="543"/>
      <c r="FSC31" s="543"/>
      <c r="FSD31" s="543"/>
      <c r="FSE31" s="543"/>
      <c r="FSF31" s="543"/>
      <c r="FSG31" s="543"/>
      <c r="FSH31" s="543"/>
      <c r="FSI31" s="543"/>
      <c r="FSJ31" s="543"/>
      <c r="FSK31" s="543"/>
      <c r="FSL31" s="543"/>
      <c r="FSM31" s="543"/>
      <c r="FSN31" s="543"/>
      <c r="FSO31" s="543"/>
      <c r="FSP31" s="543"/>
      <c r="FSQ31" s="543"/>
      <c r="FSR31" s="543"/>
      <c r="FSS31" s="543"/>
      <c r="FST31" s="543"/>
      <c r="FSU31" s="543"/>
      <c r="FSV31" s="543"/>
      <c r="FSW31" s="543"/>
      <c r="FSX31" s="543"/>
      <c r="FSY31" s="543"/>
      <c r="FSZ31" s="543"/>
      <c r="FTA31" s="543"/>
      <c r="FTB31" s="543"/>
      <c r="FTC31" s="543"/>
      <c r="FTD31" s="543"/>
      <c r="FTE31" s="543"/>
      <c r="FTF31" s="543"/>
      <c r="FTG31" s="543"/>
      <c r="FTH31" s="543"/>
      <c r="FTI31" s="543"/>
      <c r="FTJ31" s="543"/>
      <c r="FTK31" s="543"/>
      <c r="FTL31" s="543"/>
      <c r="FTM31" s="543"/>
      <c r="FTN31" s="543"/>
      <c r="FTO31" s="543"/>
      <c r="FTP31" s="543"/>
      <c r="FTQ31" s="543"/>
      <c r="FTR31" s="543"/>
      <c r="FTS31" s="543"/>
      <c r="FTT31" s="543"/>
      <c r="FTU31" s="543"/>
      <c r="FTV31" s="543"/>
      <c r="FTW31" s="543"/>
      <c r="FTX31" s="543"/>
      <c r="FTY31" s="543"/>
      <c r="FTZ31" s="543"/>
      <c r="FUA31" s="543"/>
      <c r="FUB31" s="543"/>
      <c r="FUC31" s="543"/>
      <c r="FUD31" s="543"/>
      <c r="FUE31" s="543"/>
      <c r="FUF31" s="543"/>
      <c r="FUG31" s="543"/>
      <c r="FUH31" s="543"/>
      <c r="FUI31" s="543"/>
      <c r="FUJ31" s="543"/>
      <c r="FUK31" s="543"/>
      <c r="FUL31" s="543"/>
      <c r="FUM31" s="543"/>
      <c r="FUN31" s="543"/>
      <c r="FUO31" s="543"/>
      <c r="FUP31" s="543"/>
      <c r="FUQ31" s="543"/>
      <c r="FUR31" s="543"/>
      <c r="FUS31" s="543"/>
      <c r="FUT31" s="543"/>
      <c r="FUU31" s="543"/>
      <c r="FUV31" s="543"/>
      <c r="FUW31" s="543"/>
      <c r="FUX31" s="543"/>
      <c r="FUY31" s="543"/>
      <c r="FUZ31" s="543"/>
      <c r="FVA31" s="543"/>
      <c r="FVB31" s="543"/>
      <c r="FVC31" s="543"/>
      <c r="FVD31" s="543"/>
      <c r="FVE31" s="543"/>
      <c r="FVF31" s="543"/>
      <c r="FVG31" s="543"/>
      <c r="FVH31" s="543"/>
      <c r="FVI31" s="543"/>
      <c r="FVJ31" s="543"/>
      <c r="FVK31" s="543"/>
      <c r="FVL31" s="543"/>
      <c r="FVM31" s="543"/>
      <c r="FVN31" s="543"/>
      <c r="FVO31" s="543"/>
      <c r="FVP31" s="543"/>
      <c r="FVQ31" s="543"/>
      <c r="FVR31" s="543"/>
      <c r="FVS31" s="543"/>
      <c r="FVT31" s="543"/>
      <c r="FVU31" s="543"/>
      <c r="FVV31" s="543"/>
      <c r="FVW31" s="543"/>
      <c r="FVX31" s="543"/>
      <c r="FVY31" s="543"/>
      <c r="FVZ31" s="543"/>
      <c r="FWA31" s="543"/>
      <c r="FWB31" s="543"/>
      <c r="FWC31" s="543"/>
      <c r="FWD31" s="543"/>
      <c r="FWE31" s="543"/>
      <c r="FWF31" s="543"/>
      <c r="FWG31" s="543"/>
      <c r="FWH31" s="543"/>
      <c r="FWI31" s="543"/>
      <c r="FWJ31" s="543"/>
      <c r="FWK31" s="543"/>
      <c r="FWL31" s="543"/>
      <c r="FWM31" s="543"/>
      <c r="FWN31" s="543"/>
      <c r="FWO31" s="543"/>
      <c r="FWP31" s="543"/>
      <c r="FWQ31" s="543"/>
      <c r="FWR31" s="543"/>
      <c r="FWS31" s="543"/>
      <c r="FWT31" s="543"/>
      <c r="FWU31" s="543"/>
      <c r="FWV31" s="543"/>
      <c r="FWW31" s="543"/>
      <c r="FWX31" s="543"/>
      <c r="FWY31" s="543"/>
      <c r="FWZ31" s="543"/>
      <c r="FXA31" s="543"/>
      <c r="FXB31" s="543"/>
      <c r="FXC31" s="543"/>
      <c r="FXD31" s="543"/>
      <c r="FXE31" s="543"/>
      <c r="FXF31" s="543"/>
      <c r="FXG31" s="543"/>
      <c r="FXH31" s="543"/>
      <c r="FXI31" s="543"/>
      <c r="FXJ31" s="543"/>
      <c r="FXK31" s="543"/>
      <c r="FXL31" s="543"/>
      <c r="FXM31" s="543"/>
      <c r="FXN31" s="543"/>
      <c r="FXO31" s="543"/>
      <c r="FXP31" s="543"/>
      <c r="FXQ31" s="543"/>
      <c r="FXR31" s="543"/>
      <c r="FXS31" s="543"/>
      <c r="FXT31" s="543"/>
      <c r="FXU31" s="543"/>
      <c r="FXV31" s="543"/>
      <c r="FXW31" s="543"/>
      <c r="FXX31" s="543"/>
      <c r="FXY31" s="543"/>
      <c r="FXZ31" s="543"/>
      <c r="FYA31" s="543"/>
      <c r="FYB31" s="543"/>
      <c r="FYC31" s="543"/>
      <c r="FYD31" s="543"/>
      <c r="FYE31" s="543"/>
      <c r="FYF31" s="543"/>
      <c r="FYG31" s="543"/>
      <c r="FYH31" s="543"/>
      <c r="FYI31" s="543"/>
      <c r="FYJ31" s="543"/>
      <c r="FYK31" s="543"/>
      <c r="FYL31" s="543"/>
      <c r="FYM31" s="543"/>
      <c r="FYN31" s="543"/>
      <c r="FYO31" s="543"/>
      <c r="FYP31" s="543"/>
      <c r="FYQ31" s="543"/>
      <c r="FYR31" s="543"/>
      <c r="FYS31" s="543"/>
      <c r="FYT31" s="543"/>
      <c r="FYU31" s="543"/>
      <c r="FYV31" s="543"/>
      <c r="FYW31" s="543"/>
      <c r="FYX31" s="543"/>
      <c r="FYY31" s="543"/>
      <c r="FYZ31" s="543"/>
      <c r="FZA31" s="543"/>
      <c r="FZB31" s="543"/>
      <c r="FZC31" s="543"/>
      <c r="FZD31" s="543"/>
      <c r="FZE31" s="543"/>
      <c r="FZF31" s="543"/>
      <c r="FZG31" s="543"/>
      <c r="FZH31" s="543"/>
      <c r="FZI31" s="543"/>
      <c r="FZJ31" s="543"/>
      <c r="FZK31" s="543"/>
      <c r="FZL31" s="543"/>
      <c r="FZM31" s="543"/>
      <c r="FZN31" s="543"/>
      <c r="FZO31" s="543"/>
      <c r="FZP31" s="543"/>
      <c r="FZQ31" s="543"/>
      <c r="FZR31" s="543"/>
      <c r="FZS31" s="543"/>
      <c r="FZT31" s="543"/>
      <c r="FZU31" s="543"/>
      <c r="FZV31" s="543"/>
      <c r="FZW31" s="543"/>
      <c r="FZX31" s="543"/>
      <c r="FZY31" s="543"/>
      <c r="FZZ31" s="543"/>
      <c r="GAA31" s="543"/>
      <c r="GAB31" s="543"/>
      <c r="GAC31" s="543"/>
      <c r="GAD31" s="543"/>
      <c r="GAE31" s="543"/>
      <c r="GAF31" s="543"/>
      <c r="GAG31" s="543"/>
      <c r="GAH31" s="543"/>
      <c r="GAI31" s="543"/>
      <c r="GAJ31" s="543"/>
      <c r="GAK31" s="543"/>
      <c r="GAL31" s="543"/>
      <c r="GAM31" s="543"/>
      <c r="GAN31" s="543"/>
      <c r="GAO31" s="543"/>
      <c r="GAP31" s="543"/>
      <c r="GAQ31" s="543"/>
      <c r="GAR31" s="543"/>
      <c r="GAS31" s="543"/>
      <c r="GAT31" s="543"/>
      <c r="GAU31" s="543"/>
      <c r="GAV31" s="543"/>
      <c r="GAW31" s="543"/>
      <c r="GAX31" s="543"/>
      <c r="GAY31" s="543"/>
      <c r="GAZ31" s="543"/>
      <c r="GBA31" s="543"/>
      <c r="GBB31" s="543"/>
      <c r="GBC31" s="543"/>
      <c r="GBD31" s="543"/>
      <c r="GBE31" s="543"/>
      <c r="GBF31" s="543"/>
      <c r="GBG31" s="543"/>
      <c r="GBH31" s="543"/>
      <c r="GBI31" s="543"/>
      <c r="GBJ31" s="543"/>
      <c r="GBK31" s="543"/>
      <c r="GBL31" s="543"/>
      <c r="GBM31" s="543"/>
      <c r="GBN31" s="543"/>
      <c r="GBO31" s="543"/>
      <c r="GBP31" s="543"/>
      <c r="GBQ31" s="543"/>
      <c r="GBR31" s="543"/>
      <c r="GBS31" s="543"/>
      <c r="GBT31" s="543"/>
      <c r="GBU31" s="543"/>
      <c r="GBV31" s="543"/>
      <c r="GBW31" s="543"/>
      <c r="GBX31" s="543"/>
      <c r="GBY31" s="543"/>
      <c r="GBZ31" s="543"/>
      <c r="GCA31" s="543"/>
      <c r="GCB31" s="543"/>
      <c r="GCC31" s="543"/>
      <c r="GCD31" s="543"/>
      <c r="GCE31" s="543"/>
      <c r="GCF31" s="543"/>
      <c r="GCG31" s="543"/>
      <c r="GCH31" s="543"/>
      <c r="GCI31" s="543"/>
      <c r="GCJ31" s="543"/>
      <c r="GCK31" s="543"/>
      <c r="GCL31" s="543"/>
      <c r="GCM31" s="543"/>
      <c r="GCN31" s="543"/>
      <c r="GCO31" s="543"/>
      <c r="GCP31" s="543"/>
      <c r="GCQ31" s="543"/>
      <c r="GCR31" s="543"/>
      <c r="GCS31" s="543"/>
      <c r="GCT31" s="543"/>
      <c r="GCU31" s="543"/>
      <c r="GCV31" s="543"/>
      <c r="GCW31" s="543"/>
      <c r="GCX31" s="543"/>
      <c r="GCY31" s="543"/>
      <c r="GCZ31" s="543"/>
      <c r="GDA31" s="543"/>
      <c r="GDB31" s="543"/>
      <c r="GDC31" s="543"/>
      <c r="GDD31" s="543"/>
      <c r="GDE31" s="543"/>
      <c r="GDF31" s="543"/>
      <c r="GDG31" s="543"/>
      <c r="GDH31" s="543"/>
      <c r="GDI31" s="543"/>
      <c r="GDJ31" s="543"/>
      <c r="GDK31" s="543"/>
      <c r="GDL31" s="543"/>
      <c r="GDM31" s="543"/>
      <c r="GDN31" s="543"/>
      <c r="GDO31" s="543"/>
      <c r="GDP31" s="543"/>
      <c r="GDQ31" s="543"/>
      <c r="GDR31" s="543"/>
      <c r="GDS31" s="543"/>
      <c r="GDT31" s="543"/>
      <c r="GDU31" s="543"/>
      <c r="GDV31" s="543"/>
      <c r="GDW31" s="543"/>
      <c r="GDX31" s="543"/>
      <c r="GDY31" s="543"/>
      <c r="GDZ31" s="543"/>
      <c r="GEA31" s="543"/>
      <c r="GEB31" s="543"/>
      <c r="GEC31" s="543"/>
      <c r="GED31" s="543"/>
      <c r="GEE31" s="543"/>
      <c r="GEF31" s="543"/>
      <c r="GEG31" s="543"/>
      <c r="GEH31" s="543"/>
      <c r="GEI31" s="543"/>
      <c r="GEJ31" s="543"/>
      <c r="GEK31" s="543"/>
      <c r="GEL31" s="543"/>
      <c r="GEM31" s="543"/>
      <c r="GEN31" s="543"/>
      <c r="GEO31" s="543"/>
      <c r="GEP31" s="543"/>
      <c r="GEQ31" s="543"/>
      <c r="GER31" s="543"/>
      <c r="GES31" s="543"/>
      <c r="GET31" s="543"/>
      <c r="GEU31" s="543"/>
      <c r="GEV31" s="543"/>
      <c r="GEW31" s="543"/>
      <c r="GEX31" s="543"/>
      <c r="GEY31" s="543"/>
      <c r="GEZ31" s="543"/>
      <c r="GFA31" s="543"/>
      <c r="GFB31" s="543"/>
      <c r="GFC31" s="543"/>
      <c r="GFD31" s="543"/>
      <c r="GFE31" s="543"/>
      <c r="GFF31" s="543"/>
      <c r="GFG31" s="543"/>
      <c r="GFH31" s="543"/>
      <c r="GFI31" s="543"/>
      <c r="GFJ31" s="543"/>
      <c r="GFK31" s="543"/>
      <c r="GFL31" s="543"/>
      <c r="GFM31" s="543"/>
      <c r="GFN31" s="543"/>
      <c r="GFO31" s="543"/>
      <c r="GFP31" s="543"/>
      <c r="GFQ31" s="543"/>
      <c r="GFR31" s="543"/>
      <c r="GFS31" s="543"/>
      <c r="GFT31" s="543"/>
      <c r="GFU31" s="543"/>
      <c r="GFV31" s="543"/>
      <c r="GFW31" s="543"/>
      <c r="GFX31" s="543"/>
      <c r="GFY31" s="543"/>
      <c r="GFZ31" s="543"/>
      <c r="GGA31" s="543"/>
      <c r="GGB31" s="543"/>
      <c r="GGC31" s="543"/>
      <c r="GGD31" s="543"/>
      <c r="GGE31" s="543"/>
      <c r="GGF31" s="543"/>
      <c r="GGG31" s="543"/>
      <c r="GGH31" s="543"/>
      <c r="GGI31" s="543"/>
      <c r="GGJ31" s="543"/>
      <c r="GGK31" s="543"/>
      <c r="GGL31" s="543"/>
      <c r="GGM31" s="543"/>
      <c r="GGN31" s="543"/>
      <c r="GGO31" s="543"/>
      <c r="GGP31" s="543"/>
      <c r="GGQ31" s="543"/>
      <c r="GGR31" s="543"/>
      <c r="GGS31" s="543"/>
      <c r="GGT31" s="543"/>
      <c r="GGU31" s="543"/>
      <c r="GGV31" s="543"/>
      <c r="GGW31" s="543"/>
      <c r="GGX31" s="543"/>
      <c r="GGY31" s="543"/>
      <c r="GGZ31" s="543"/>
      <c r="GHA31" s="543"/>
      <c r="GHB31" s="543"/>
      <c r="GHC31" s="543"/>
      <c r="GHD31" s="543"/>
      <c r="GHE31" s="543"/>
      <c r="GHF31" s="543"/>
      <c r="GHG31" s="543"/>
      <c r="GHH31" s="543"/>
      <c r="GHI31" s="543"/>
      <c r="GHJ31" s="543"/>
      <c r="GHK31" s="543"/>
      <c r="GHL31" s="543"/>
      <c r="GHM31" s="543"/>
      <c r="GHN31" s="543"/>
      <c r="GHO31" s="543"/>
      <c r="GHP31" s="543"/>
      <c r="GHQ31" s="543"/>
      <c r="GHR31" s="543"/>
      <c r="GHS31" s="543"/>
      <c r="GHT31" s="543"/>
      <c r="GHU31" s="543"/>
      <c r="GHV31" s="543"/>
      <c r="GHW31" s="543"/>
      <c r="GHX31" s="543"/>
      <c r="GHY31" s="543"/>
      <c r="GHZ31" s="543"/>
      <c r="GIA31" s="543"/>
      <c r="GIB31" s="543"/>
      <c r="GIC31" s="543"/>
      <c r="GID31" s="543"/>
      <c r="GIE31" s="543"/>
      <c r="GIF31" s="543"/>
      <c r="GIG31" s="543"/>
      <c r="GIH31" s="543"/>
      <c r="GII31" s="543"/>
      <c r="GIJ31" s="543"/>
      <c r="GIK31" s="543"/>
      <c r="GIL31" s="543"/>
      <c r="GIM31" s="543"/>
      <c r="GIN31" s="543"/>
      <c r="GIO31" s="543"/>
      <c r="GIP31" s="543"/>
      <c r="GIQ31" s="543"/>
      <c r="GIR31" s="543"/>
      <c r="GIS31" s="543"/>
      <c r="GIT31" s="543"/>
      <c r="GIU31" s="543"/>
      <c r="GIV31" s="543"/>
      <c r="GIW31" s="543"/>
      <c r="GIX31" s="543"/>
      <c r="GIY31" s="543"/>
      <c r="GIZ31" s="543"/>
      <c r="GJA31" s="543"/>
      <c r="GJB31" s="543"/>
      <c r="GJC31" s="543"/>
      <c r="GJD31" s="543"/>
      <c r="GJE31" s="543"/>
      <c r="GJF31" s="543"/>
      <c r="GJG31" s="543"/>
      <c r="GJH31" s="543"/>
      <c r="GJI31" s="543"/>
      <c r="GJJ31" s="543"/>
      <c r="GJK31" s="543"/>
      <c r="GJL31" s="543"/>
      <c r="GJM31" s="543"/>
      <c r="GJN31" s="543"/>
      <c r="GJO31" s="543"/>
      <c r="GJP31" s="543"/>
      <c r="GJQ31" s="543"/>
      <c r="GJR31" s="543"/>
      <c r="GJS31" s="543"/>
      <c r="GJT31" s="543"/>
      <c r="GJU31" s="543"/>
      <c r="GJV31" s="543"/>
      <c r="GJW31" s="543"/>
      <c r="GJX31" s="543"/>
      <c r="GJY31" s="543"/>
      <c r="GJZ31" s="543"/>
      <c r="GKA31" s="543"/>
      <c r="GKB31" s="543"/>
      <c r="GKC31" s="543"/>
      <c r="GKD31" s="543"/>
      <c r="GKE31" s="543"/>
      <c r="GKF31" s="543"/>
      <c r="GKG31" s="543"/>
      <c r="GKH31" s="543"/>
      <c r="GKI31" s="543"/>
      <c r="GKJ31" s="543"/>
      <c r="GKK31" s="543"/>
      <c r="GKL31" s="543"/>
      <c r="GKM31" s="543"/>
      <c r="GKN31" s="543"/>
      <c r="GKO31" s="543"/>
      <c r="GKP31" s="543"/>
      <c r="GKQ31" s="543"/>
      <c r="GKR31" s="543"/>
      <c r="GKS31" s="543"/>
      <c r="GKT31" s="543"/>
      <c r="GKU31" s="543"/>
      <c r="GKV31" s="543"/>
      <c r="GKW31" s="543"/>
      <c r="GKX31" s="543"/>
      <c r="GKY31" s="543"/>
      <c r="GKZ31" s="543"/>
      <c r="GLA31" s="543"/>
      <c r="GLB31" s="543"/>
      <c r="GLC31" s="543"/>
      <c r="GLD31" s="543"/>
      <c r="GLE31" s="543"/>
      <c r="GLF31" s="543"/>
      <c r="GLG31" s="543"/>
      <c r="GLH31" s="543"/>
      <c r="GLI31" s="543"/>
      <c r="GLJ31" s="543"/>
      <c r="GLK31" s="543"/>
      <c r="GLL31" s="543"/>
      <c r="GLM31" s="543"/>
      <c r="GLN31" s="543"/>
      <c r="GLO31" s="543"/>
      <c r="GLP31" s="543"/>
      <c r="GLQ31" s="543"/>
      <c r="GLR31" s="543"/>
      <c r="GLS31" s="543"/>
      <c r="GLT31" s="543"/>
      <c r="GLU31" s="543"/>
      <c r="GLV31" s="543"/>
      <c r="GLW31" s="543"/>
      <c r="GLX31" s="543"/>
      <c r="GLY31" s="543"/>
      <c r="GLZ31" s="543"/>
      <c r="GMA31" s="543"/>
      <c r="GMB31" s="543"/>
      <c r="GMC31" s="543"/>
      <c r="GMD31" s="543"/>
      <c r="GME31" s="543"/>
      <c r="GMF31" s="543"/>
      <c r="GMG31" s="543"/>
      <c r="GMH31" s="543"/>
      <c r="GMI31" s="543"/>
      <c r="GMJ31" s="543"/>
      <c r="GMK31" s="543"/>
      <c r="GML31" s="543"/>
      <c r="GMM31" s="543"/>
      <c r="GMN31" s="543"/>
      <c r="GMO31" s="543"/>
      <c r="GMP31" s="543"/>
      <c r="GMQ31" s="543"/>
      <c r="GMR31" s="543"/>
      <c r="GMS31" s="543"/>
      <c r="GMT31" s="543"/>
      <c r="GMU31" s="543"/>
      <c r="GMV31" s="543"/>
      <c r="GMW31" s="543"/>
      <c r="GMX31" s="543"/>
      <c r="GMY31" s="543"/>
      <c r="GMZ31" s="543"/>
      <c r="GNA31" s="543"/>
      <c r="GNB31" s="543"/>
      <c r="GNC31" s="543"/>
      <c r="GND31" s="543"/>
      <c r="GNE31" s="543"/>
      <c r="GNF31" s="543"/>
      <c r="GNG31" s="543"/>
      <c r="GNH31" s="543"/>
      <c r="GNI31" s="543"/>
      <c r="GNJ31" s="543"/>
      <c r="GNK31" s="543"/>
      <c r="GNL31" s="543"/>
      <c r="GNM31" s="543"/>
      <c r="GNN31" s="543"/>
      <c r="GNO31" s="543"/>
      <c r="GNP31" s="543"/>
      <c r="GNQ31" s="543"/>
      <c r="GNR31" s="543"/>
      <c r="GNS31" s="543"/>
      <c r="GNT31" s="543"/>
      <c r="GNU31" s="543"/>
      <c r="GNV31" s="543"/>
      <c r="GNW31" s="543"/>
      <c r="GNX31" s="543"/>
      <c r="GNY31" s="543"/>
      <c r="GNZ31" s="543"/>
      <c r="GOA31" s="543"/>
      <c r="GOB31" s="543"/>
      <c r="GOC31" s="543"/>
      <c r="GOD31" s="543"/>
      <c r="GOE31" s="543"/>
      <c r="GOF31" s="543"/>
      <c r="GOG31" s="543"/>
      <c r="GOH31" s="543"/>
      <c r="GOI31" s="543"/>
      <c r="GOJ31" s="543"/>
      <c r="GOK31" s="543"/>
      <c r="GOL31" s="543"/>
      <c r="GOM31" s="543"/>
      <c r="GON31" s="543"/>
      <c r="GOO31" s="543"/>
      <c r="GOP31" s="543"/>
      <c r="GOQ31" s="543"/>
      <c r="GOR31" s="543"/>
      <c r="GOS31" s="543"/>
      <c r="GOT31" s="543"/>
      <c r="GOU31" s="543"/>
      <c r="GOV31" s="543"/>
      <c r="GOW31" s="543"/>
      <c r="GOX31" s="543"/>
      <c r="GOY31" s="543"/>
      <c r="GOZ31" s="543"/>
      <c r="GPA31" s="543"/>
      <c r="GPB31" s="543"/>
      <c r="GPC31" s="543"/>
      <c r="GPD31" s="543"/>
      <c r="GPE31" s="543"/>
      <c r="GPF31" s="543"/>
      <c r="GPG31" s="543"/>
      <c r="GPH31" s="543"/>
      <c r="GPI31" s="543"/>
      <c r="GPJ31" s="543"/>
      <c r="GPK31" s="543"/>
      <c r="GPL31" s="543"/>
      <c r="GPM31" s="543"/>
      <c r="GPN31" s="543"/>
      <c r="GPO31" s="543"/>
      <c r="GPP31" s="543"/>
      <c r="GPQ31" s="543"/>
      <c r="GPR31" s="543"/>
      <c r="GPS31" s="543"/>
      <c r="GPT31" s="543"/>
      <c r="GPU31" s="543"/>
      <c r="GPV31" s="543"/>
      <c r="GPW31" s="543"/>
      <c r="GPX31" s="543"/>
      <c r="GPY31" s="543"/>
      <c r="GPZ31" s="543"/>
      <c r="GQA31" s="543"/>
      <c r="GQB31" s="543"/>
      <c r="GQC31" s="543"/>
      <c r="GQD31" s="543"/>
      <c r="GQE31" s="543"/>
      <c r="GQF31" s="543"/>
      <c r="GQG31" s="543"/>
      <c r="GQH31" s="543"/>
      <c r="GQI31" s="543"/>
      <c r="GQJ31" s="543"/>
      <c r="GQK31" s="543"/>
      <c r="GQL31" s="543"/>
      <c r="GQM31" s="543"/>
      <c r="GQN31" s="543"/>
      <c r="GQO31" s="543"/>
      <c r="GQP31" s="543"/>
      <c r="GQQ31" s="543"/>
      <c r="GQR31" s="543"/>
      <c r="GQS31" s="543"/>
      <c r="GQT31" s="543"/>
      <c r="GQU31" s="543"/>
      <c r="GQV31" s="543"/>
      <c r="GQW31" s="543"/>
      <c r="GQX31" s="543"/>
      <c r="GQY31" s="543"/>
      <c r="GQZ31" s="543"/>
      <c r="GRA31" s="543"/>
      <c r="GRB31" s="543"/>
      <c r="GRC31" s="543"/>
      <c r="GRD31" s="543"/>
      <c r="GRE31" s="543"/>
      <c r="GRF31" s="543"/>
      <c r="GRG31" s="543"/>
      <c r="GRH31" s="543"/>
      <c r="GRI31" s="543"/>
      <c r="GRJ31" s="543"/>
      <c r="GRK31" s="543"/>
      <c r="GRL31" s="543"/>
      <c r="GRM31" s="543"/>
      <c r="GRN31" s="543"/>
      <c r="GRO31" s="543"/>
      <c r="GRP31" s="543"/>
      <c r="GRQ31" s="543"/>
      <c r="GRR31" s="543"/>
      <c r="GRS31" s="543"/>
      <c r="GRT31" s="543"/>
      <c r="GRU31" s="543"/>
      <c r="GRV31" s="543"/>
      <c r="GRW31" s="543"/>
      <c r="GRX31" s="543"/>
      <c r="GRY31" s="543"/>
      <c r="GRZ31" s="543"/>
      <c r="GSA31" s="543"/>
      <c r="GSB31" s="543"/>
      <c r="GSC31" s="543"/>
      <c r="GSD31" s="543"/>
      <c r="GSE31" s="543"/>
      <c r="GSF31" s="543"/>
      <c r="GSG31" s="543"/>
      <c r="GSH31" s="543"/>
      <c r="GSI31" s="543"/>
      <c r="GSJ31" s="543"/>
      <c r="GSK31" s="543"/>
      <c r="GSL31" s="543"/>
      <c r="GSM31" s="543"/>
      <c r="GSN31" s="543"/>
      <c r="GSO31" s="543"/>
      <c r="GSP31" s="543"/>
      <c r="GSQ31" s="543"/>
      <c r="GSR31" s="543"/>
      <c r="GSS31" s="543"/>
      <c r="GST31" s="543"/>
      <c r="GSU31" s="543"/>
      <c r="GSV31" s="543"/>
      <c r="GSW31" s="543"/>
      <c r="GSX31" s="543"/>
      <c r="GSY31" s="543"/>
      <c r="GSZ31" s="543"/>
      <c r="GTA31" s="543"/>
      <c r="GTB31" s="543"/>
      <c r="GTC31" s="543"/>
      <c r="GTD31" s="543"/>
      <c r="GTE31" s="543"/>
      <c r="GTF31" s="543"/>
      <c r="GTG31" s="543"/>
      <c r="GTH31" s="543"/>
      <c r="GTI31" s="543"/>
      <c r="GTJ31" s="543"/>
      <c r="GTK31" s="543"/>
      <c r="GTL31" s="543"/>
      <c r="GTM31" s="543"/>
      <c r="GTN31" s="543"/>
      <c r="GTO31" s="543"/>
      <c r="GTP31" s="543"/>
      <c r="GTQ31" s="543"/>
      <c r="GTR31" s="543"/>
      <c r="GTS31" s="543"/>
      <c r="GTT31" s="543"/>
      <c r="GTU31" s="543"/>
      <c r="GTV31" s="543"/>
      <c r="GTW31" s="543"/>
      <c r="GTX31" s="543"/>
      <c r="GTY31" s="543"/>
      <c r="GTZ31" s="543"/>
      <c r="GUA31" s="543"/>
      <c r="GUB31" s="543"/>
      <c r="GUC31" s="543"/>
      <c r="GUD31" s="543"/>
      <c r="GUE31" s="543"/>
      <c r="GUF31" s="543"/>
      <c r="GUG31" s="543"/>
      <c r="GUH31" s="543"/>
      <c r="GUI31" s="543"/>
      <c r="GUJ31" s="543"/>
      <c r="GUK31" s="543"/>
      <c r="GUL31" s="543"/>
      <c r="GUM31" s="543"/>
      <c r="GUN31" s="543"/>
      <c r="GUO31" s="543"/>
      <c r="GUP31" s="543"/>
      <c r="GUQ31" s="543"/>
      <c r="GUR31" s="543"/>
      <c r="GUS31" s="543"/>
      <c r="GUT31" s="543"/>
      <c r="GUU31" s="543"/>
      <c r="GUV31" s="543"/>
      <c r="GUW31" s="543"/>
      <c r="GUX31" s="543"/>
      <c r="GUY31" s="543"/>
      <c r="GUZ31" s="543"/>
      <c r="GVA31" s="543"/>
      <c r="GVB31" s="543"/>
      <c r="GVC31" s="543"/>
      <c r="GVD31" s="543"/>
      <c r="GVE31" s="543"/>
      <c r="GVF31" s="543"/>
      <c r="GVG31" s="543"/>
      <c r="GVH31" s="543"/>
      <c r="GVI31" s="543"/>
      <c r="GVJ31" s="543"/>
      <c r="GVK31" s="543"/>
      <c r="GVL31" s="543"/>
      <c r="GVM31" s="543"/>
      <c r="GVN31" s="543"/>
      <c r="GVO31" s="543"/>
      <c r="GVP31" s="543"/>
      <c r="GVQ31" s="543"/>
      <c r="GVR31" s="543"/>
      <c r="GVS31" s="543"/>
      <c r="GVT31" s="543"/>
      <c r="GVU31" s="543"/>
      <c r="GVV31" s="543"/>
      <c r="GVW31" s="543"/>
      <c r="GVX31" s="543"/>
      <c r="GVY31" s="543"/>
      <c r="GVZ31" s="543"/>
      <c r="GWA31" s="543"/>
      <c r="GWB31" s="543"/>
      <c r="GWC31" s="543"/>
      <c r="GWD31" s="543"/>
      <c r="GWE31" s="543"/>
      <c r="GWF31" s="543"/>
      <c r="GWG31" s="543"/>
      <c r="GWH31" s="543"/>
      <c r="GWI31" s="543"/>
      <c r="GWJ31" s="543"/>
      <c r="GWK31" s="543"/>
      <c r="GWL31" s="543"/>
      <c r="GWM31" s="543"/>
      <c r="GWN31" s="543"/>
      <c r="GWO31" s="543"/>
      <c r="GWP31" s="543"/>
      <c r="GWQ31" s="543"/>
      <c r="GWR31" s="543"/>
      <c r="GWS31" s="543"/>
      <c r="GWT31" s="543"/>
      <c r="GWU31" s="543"/>
      <c r="GWV31" s="543"/>
      <c r="GWW31" s="543"/>
      <c r="GWX31" s="543"/>
      <c r="GWY31" s="543"/>
      <c r="GWZ31" s="543"/>
      <c r="GXA31" s="543"/>
      <c r="GXB31" s="543"/>
      <c r="GXC31" s="543"/>
      <c r="GXD31" s="543"/>
      <c r="GXE31" s="543"/>
      <c r="GXF31" s="543"/>
      <c r="GXG31" s="543"/>
      <c r="GXH31" s="543"/>
      <c r="GXI31" s="543"/>
      <c r="GXJ31" s="543"/>
      <c r="GXK31" s="543"/>
      <c r="GXL31" s="543"/>
      <c r="GXM31" s="543"/>
      <c r="GXN31" s="543"/>
      <c r="GXO31" s="543"/>
      <c r="GXP31" s="543"/>
      <c r="GXQ31" s="543"/>
      <c r="GXR31" s="543"/>
      <c r="GXS31" s="543"/>
      <c r="GXT31" s="543"/>
      <c r="GXU31" s="543"/>
      <c r="GXV31" s="543"/>
      <c r="GXW31" s="543"/>
      <c r="GXX31" s="543"/>
      <c r="GXY31" s="543"/>
      <c r="GXZ31" s="543"/>
      <c r="GYA31" s="543"/>
      <c r="GYB31" s="543"/>
      <c r="GYC31" s="543"/>
      <c r="GYD31" s="543"/>
      <c r="GYE31" s="543"/>
      <c r="GYF31" s="543"/>
      <c r="GYG31" s="543"/>
      <c r="GYH31" s="543"/>
      <c r="GYI31" s="543"/>
      <c r="GYJ31" s="543"/>
      <c r="GYK31" s="543"/>
      <c r="GYL31" s="543"/>
      <c r="GYM31" s="543"/>
      <c r="GYN31" s="543"/>
      <c r="GYO31" s="543"/>
      <c r="GYP31" s="543"/>
      <c r="GYQ31" s="543"/>
      <c r="GYR31" s="543"/>
      <c r="GYS31" s="543"/>
      <c r="GYT31" s="543"/>
      <c r="GYU31" s="543"/>
      <c r="GYV31" s="543"/>
      <c r="GYW31" s="543"/>
      <c r="GYX31" s="543"/>
      <c r="GYY31" s="543"/>
      <c r="GYZ31" s="543"/>
      <c r="GZA31" s="543"/>
      <c r="GZB31" s="543"/>
      <c r="GZC31" s="543"/>
      <c r="GZD31" s="543"/>
      <c r="GZE31" s="543"/>
      <c r="GZF31" s="543"/>
      <c r="GZG31" s="543"/>
      <c r="GZH31" s="543"/>
      <c r="GZI31" s="543"/>
      <c r="GZJ31" s="543"/>
      <c r="GZK31" s="543"/>
      <c r="GZL31" s="543"/>
      <c r="GZM31" s="543"/>
      <c r="GZN31" s="543"/>
      <c r="GZO31" s="543"/>
      <c r="GZP31" s="543"/>
      <c r="GZQ31" s="543"/>
      <c r="GZR31" s="543"/>
      <c r="GZS31" s="543"/>
      <c r="GZT31" s="543"/>
      <c r="GZU31" s="543"/>
      <c r="GZV31" s="543"/>
      <c r="GZW31" s="543"/>
      <c r="GZX31" s="543"/>
      <c r="GZY31" s="543"/>
      <c r="GZZ31" s="543"/>
      <c r="HAA31" s="543"/>
      <c r="HAB31" s="543"/>
      <c r="HAC31" s="543"/>
      <c r="HAD31" s="543"/>
      <c r="HAE31" s="543"/>
      <c r="HAF31" s="543"/>
      <c r="HAG31" s="543"/>
      <c r="HAH31" s="543"/>
      <c r="HAI31" s="543"/>
      <c r="HAJ31" s="543"/>
      <c r="HAK31" s="543"/>
      <c r="HAL31" s="543"/>
      <c r="HAM31" s="543"/>
      <c r="HAN31" s="543"/>
      <c r="HAO31" s="543"/>
      <c r="HAP31" s="543"/>
      <c r="HAQ31" s="543"/>
      <c r="HAR31" s="543"/>
      <c r="HAS31" s="543"/>
      <c r="HAT31" s="543"/>
      <c r="HAU31" s="543"/>
      <c r="HAV31" s="543"/>
      <c r="HAW31" s="543"/>
      <c r="HAX31" s="543"/>
      <c r="HAY31" s="543"/>
      <c r="HAZ31" s="543"/>
      <c r="HBA31" s="543"/>
      <c r="HBB31" s="543"/>
      <c r="HBC31" s="543"/>
      <c r="HBD31" s="543"/>
      <c r="HBE31" s="543"/>
      <c r="HBF31" s="543"/>
      <c r="HBG31" s="543"/>
      <c r="HBH31" s="543"/>
      <c r="HBI31" s="543"/>
      <c r="HBJ31" s="543"/>
      <c r="HBK31" s="543"/>
      <c r="HBL31" s="543"/>
      <c r="HBM31" s="543"/>
      <c r="HBN31" s="543"/>
      <c r="HBO31" s="543"/>
      <c r="HBP31" s="543"/>
      <c r="HBQ31" s="543"/>
      <c r="HBR31" s="543"/>
      <c r="HBS31" s="543"/>
      <c r="HBT31" s="543"/>
      <c r="HBU31" s="543"/>
      <c r="HBV31" s="543"/>
      <c r="HBW31" s="543"/>
      <c r="HBX31" s="543"/>
      <c r="HBY31" s="543"/>
      <c r="HBZ31" s="543"/>
      <c r="HCA31" s="543"/>
      <c r="HCB31" s="543"/>
      <c r="HCC31" s="543"/>
      <c r="HCD31" s="543"/>
      <c r="HCE31" s="543"/>
      <c r="HCF31" s="543"/>
      <c r="HCG31" s="543"/>
      <c r="HCH31" s="543"/>
      <c r="HCI31" s="543"/>
      <c r="HCJ31" s="543"/>
      <c r="HCK31" s="543"/>
      <c r="HCL31" s="543"/>
      <c r="HCM31" s="543"/>
      <c r="HCN31" s="543"/>
      <c r="HCO31" s="543"/>
      <c r="HCP31" s="543"/>
      <c r="HCQ31" s="543"/>
      <c r="HCR31" s="543"/>
      <c r="HCS31" s="543"/>
      <c r="HCT31" s="543"/>
      <c r="HCU31" s="543"/>
      <c r="HCV31" s="543"/>
      <c r="HCW31" s="543"/>
      <c r="HCX31" s="543"/>
      <c r="HCY31" s="543"/>
      <c r="HCZ31" s="543"/>
      <c r="HDA31" s="543"/>
      <c r="HDB31" s="543"/>
      <c r="HDC31" s="543"/>
      <c r="HDD31" s="543"/>
      <c r="HDE31" s="543"/>
      <c r="HDF31" s="543"/>
      <c r="HDG31" s="543"/>
      <c r="HDH31" s="543"/>
      <c r="HDI31" s="543"/>
      <c r="HDJ31" s="543"/>
      <c r="HDK31" s="543"/>
      <c r="HDL31" s="543"/>
      <c r="HDM31" s="543"/>
      <c r="HDN31" s="543"/>
      <c r="HDO31" s="543"/>
      <c r="HDP31" s="543"/>
      <c r="HDQ31" s="543"/>
      <c r="HDR31" s="543"/>
      <c r="HDS31" s="543"/>
      <c r="HDT31" s="543"/>
      <c r="HDU31" s="543"/>
      <c r="HDV31" s="543"/>
      <c r="HDW31" s="543"/>
      <c r="HDX31" s="543"/>
      <c r="HDY31" s="543"/>
      <c r="HDZ31" s="543"/>
      <c r="HEA31" s="543"/>
      <c r="HEB31" s="543"/>
      <c r="HEC31" s="543"/>
      <c r="HED31" s="543"/>
      <c r="HEE31" s="543"/>
      <c r="HEF31" s="543"/>
      <c r="HEG31" s="543"/>
      <c r="HEH31" s="543"/>
      <c r="HEI31" s="543"/>
      <c r="HEJ31" s="543"/>
      <c r="HEK31" s="543"/>
      <c r="HEL31" s="543"/>
      <c r="HEM31" s="543"/>
      <c r="HEN31" s="543"/>
      <c r="HEO31" s="543"/>
      <c r="HEP31" s="543"/>
      <c r="HEQ31" s="543"/>
      <c r="HER31" s="543"/>
      <c r="HES31" s="543"/>
      <c r="HET31" s="543"/>
      <c r="HEU31" s="543"/>
      <c r="HEV31" s="543"/>
      <c r="HEW31" s="543"/>
      <c r="HEX31" s="543"/>
      <c r="HEY31" s="543"/>
      <c r="HEZ31" s="543"/>
      <c r="HFA31" s="543"/>
      <c r="HFB31" s="543"/>
      <c r="HFC31" s="543"/>
      <c r="HFD31" s="543"/>
      <c r="HFE31" s="543"/>
      <c r="HFF31" s="543"/>
      <c r="HFG31" s="543"/>
      <c r="HFH31" s="543"/>
      <c r="HFI31" s="543"/>
      <c r="HFJ31" s="543"/>
      <c r="HFK31" s="543"/>
      <c r="HFL31" s="543"/>
      <c r="HFM31" s="543"/>
      <c r="HFN31" s="543"/>
      <c r="HFO31" s="543"/>
      <c r="HFP31" s="543"/>
      <c r="HFQ31" s="543"/>
      <c r="HFR31" s="543"/>
      <c r="HFS31" s="543"/>
      <c r="HFT31" s="543"/>
      <c r="HFU31" s="543"/>
      <c r="HFV31" s="543"/>
      <c r="HFW31" s="543"/>
      <c r="HFX31" s="543"/>
      <c r="HFY31" s="543"/>
      <c r="HFZ31" s="543"/>
      <c r="HGA31" s="543"/>
      <c r="HGB31" s="543"/>
      <c r="HGC31" s="543"/>
      <c r="HGD31" s="543"/>
      <c r="HGE31" s="543"/>
      <c r="HGF31" s="543"/>
      <c r="HGG31" s="543"/>
      <c r="HGH31" s="543"/>
      <c r="HGI31" s="543"/>
      <c r="HGJ31" s="543"/>
      <c r="HGK31" s="543"/>
      <c r="HGL31" s="543"/>
      <c r="HGM31" s="543"/>
      <c r="HGN31" s="543"/>
      <c r="HGO31" s="543"/>
      <c r="HGP31" s="543"/>
      <c r="HGQ31" s="543"/>
      <c r="HGR31" s="543"/>
      <c r="HGS31" s="543"/>
      <c r="HGT31" s="543"/>
      <c r="HGU31" s="543"/>
      <c r="HGV31" s="543"/>
      <c r="HGW31" s="543"/>
      <c r="HGX31" s="543"/>
      <c r="HGY31" s="543"/>
      <c r="HGZ31" s="543"/>
      <c r="HHA31" s="543"/>
      <c r="HHB31" s="543"/>
      <c r="HHC31" s="543"/>
      <c r="HHD31" s="543"/>
      <c r="HHE31" s="543"/>
      <c r="HHF31" s="543"/>
      <c r="HHG31" s="543"/>
      <c r="HHH31" s="543"/>
      <c r="HHI31" s="543"/>
      <c r="HHJ31" s="543"/>
      <c r="HHK31" s="543"/>
      <c r="HHL31" s="543"/>
      <c r="HHM31" s="543"/>
      <c r="HHN31" s="543"/>
      <c r="HHO31" s="543"/>
      <c r="HHP31" s="543"/>
      <c r="HHQ31" s="543"/>
      <c r="HHR31" s="543"/>
      <c r="HHS31" s="543"/>
      <c r="HHT31" s="543"/>
      <c r="HHU31" s="543"/>
      <c r="HHV31" s="543"/>
      <c r="HHW31" s="543"/>
      <c r="HHX31" s="543"/>
      <c r="HHY31" s="543"/>
      <c r="HHZ31" s="543"/>
      <c r="HIA31" s="543"/>
      <c r="HIB31" s="543"/>
      <c r="HIC31" s="543"/>
      <c r="HID31" s="543"/>
      <c r="HIE31" s="543"/>
      <c r="HIF31" s="543"/>
      <c r="HIG31" s="543"/>
      <c r="HIH31" s="543"/>
      <c r="HII31" s="543"/>
      <c r="HIJ31" s="543"/>
      <c r="HIK31" s="543"/>
      <c r="HIL31" s="543"/>
      <c r="HIM31" s="543"/>
      <c r="HIN31" s="543"/>
      <c r="HIO31" s="543"/>
      <c r="HIP31" s="543"/>
      <c r="HIQ31" s="543"/>
      <c r="HIR31" s="543"/>
      <c r="HIS31" s="543"/>
      <c r="HIT31" s="543"/>
      <c r="HIU31" s="543"/>
      <c r="HIV31" s="543"/>
      <c r="HIW31" s="543"/>
      <c r="HIX31" s="543"/>
      <c r="HIY31" s="543"/>
      <c r="HIZ31" s="543"/>
      <c r="HJA31" s="543"/>
      <c r="HJB31" s="543"/>
      <c r="HJC31" s="543"/>
      <c r="HJD31" s="543"/>
      <c r="HJE31" s="543"/>
      <c r="HJF31" s="543"/>
      <c r="HJG31" s="543"/>
      <c r="HJH31" s="543"/>
      <c r="HJI31" s="543"/>
      <c r="HJJ31" s="543"/>
      <c r="HJK31" s="543"/>
      <c r="HJL31" s="543"/>
      <c r="HJM31" s="543"/>
      <c r="HJN31" s="543"/>
      <c r="HJO31" s="543"/>
      <c r="HJP31" s="543"/>
      <c r="HJQ31" s="543"/>
      <c r="HJR31" s="543"/>
      <c r="HJS31" s="543"/>
      <c r="HJT31" s="543"/>
      <c r="HJU31" s="543"/>
      <c r="HJV31" s="543"/>
      <c r="HJW31" s="543"/>
      <c r="HJX31" s="543"/>
      <c r="HJY31" s="543"/>
      <c r="HJZ31" s="543"/>
      <c r="HKA31" s="543"/>
      <c r="HKB31" s="543"/>
      <c r="HKC31" s="543"/>
      <c r="HKD31" s="543"/>
      <c r="HKE31" s="543"/>
      <c r="HKF31" s="543"/>
      <c r="HKG31" s="543"/>
      <c r="HKH31" s="543"/>
      <c r="HKI31" s="543"/>
      <c r="HKJ31" s="543"/>
      <c r="HKK31" s="543"/>
      <c r="HKL31" s="543"/>
      <c r="HKM31" s="543"/>
      <c r="HKN31" s="543"/>
      <c r="HKO31" s="543"/>
      <c r="HKP31" s="543"/>
      <c r="HKQ31" s="543"/>
      <c r="HKR31" s="543"/>
      <c r="HKS31" s="543"/>
      <c r="HKT31" s="543"/>
      <c r="HKU31" s="543"/>
      <c r="HKV31" s="543"/>
      <c r="HKW31" s="543"/>
      <c r="HKX31" s="543"/>
      <c r="HKY31" s="543"/>
      <c r="HKZ31" s="543"/>
      <c r="HLA31" s="543"/>
      <c r="HLB31" s="543"/>
      <c r="HLC31" s="543"/>
      <c r="HLD31" s="543"/>
      <c r="HLE31" s="543"/>
      <c r="HLF31" s="543"/>
      <c r="HLG31" s="543"/>
      <c r="HLH31" s="543"/>
      <c r="HLI31" s="543"/>
      <c r="HLJ31" s="543"/>
      <c r="HLK31" s="543"/>
      <c r="HLL31" s="543"/>
      <c r="HLM31" s="543"/>
      <c r="HLN31" s="543"/>
      <c r="HLO31" s="543"/>
      <c r="HLP31" s="543"/>
      <c r="HLQ31" s="543"/>
      <c r="HLR31" s="543"/>
      <c r="HLS31" s="543"/>
      <c r="HLT31" s="543"/>
      <c r="HLU31" s="543"/>
      <c r="HLV31" s="543"/>
      <c r="HLW31" s="543"/>
      <c r="HLX31" s="543"/>
      <c r="HLY31" s="543"/>
      <c r="HLZ31" s="543"/>
      <c r="HMA31" s="543"/>
      <c r="HMB31" s="543"/>
      <c r="HMC31" s="543"/>
      <c r="HMD31" s="543"/>
      <c r="HME31" s="543"/>
      <c r="HMF31" s="543"/>
      <c r="HMG31" s="543"/>
      <c r="HMH31" s="543"/>
      <c r="HMI31" s="543"/>
      <c r="HMJ31" s="543"/>
      <c r="HMK31" s="543"/>
      <c r="HML31" s="543"/>
      <c r="HMM31" s="543"/>
      <c r="HMN31" s="543"/>
      <c r="HMO31" s="543"/>
      <c r="HMP31" s="543"/>
      <c r="HMQ31" s="543"/>
      <c r="HMR31" s="543"/>
      <c r="HMS31" s="543"/>
      <c r="HMT31" s="543"/>
      <c r="HMU31" s="543"/>
      <c r="HMV31" s="543"/>
      <c r="HMW31" s="543"/>
      <c r="HMX31" s="543"/>
      <c r="HMY31" s="543"/>
      <c r="HMZ31" s="543"/>
      <c r="HNA31" s="543"/>
      <c r="HNB31" s="543"/>
      <c r="HNC31" s="543"/>
      <c r="HND31" s="543"/>
      <c r="HNE31" s="543"/>
      <c r="HNF31" s="543"/>
      <c r="HNG31" s="543"/>
      <c r="HNH31" s="543"/>
      <c r="HNI31" s="543"/>
      <c r="HNJ31" s="543"/>
      <c r="HNK31" s="543"/>
      <c r="HNL31" s="543"/>
      <c r="HNM31" s="543"/>
      <c r="HNN31" s="543"/>
      <c r="HNO31" s="543"/>
      <c r="HNP31" s="543"/>
      <c r="HNQ31" s="543"/>
      <c r="HNR31" s="543"/>
      <c r="HNS31" s="543"/>
      <c r="HNT31" s="543"/>
      <c r="HNU31" s="543"/>
      <c r="HNV31" s="543"/>
      <c r="HNW31" s="543"/>
      <c r="HNX31" s="543"/>
      <c r="HNY31" s="543"/>
      <c r="HNZ31" s="543"/>
      <c r="HOA31" s="543"/>
      <c r="HOB31" s="543"/>
      <c r="HOC31" s="543"/>
      <c r="HOD31" s="543"/>
      <c r="HOE31" s="543"/>
      <c r="HOF31" s="543"/>
      <c r="HOG31" s="543"/>
      <c r="HOH31" s="543"/>
      <c r="HOI31" s="543"/>
      <c r="HOJ31" s="543"/>
      <c r="HOK31" s="543"/>
      <c r="HOL31" s="543"/>
      <c r="HOM31" s="543"/>
      <c r="HON31" s="543"/>
      <c r="HOO31" s="543"/>
      <c r="HOP31" s="543"/>
      <c r="HOQ31" s="543"/>
      <c r="HOR31" s="543"/>
      <c r="HOS31" s="543"/>
      <c r="HOT31" s="543"/>
      <c r="HOU31" s="543"/>
      <c r="HOV31" s="543"/>
      <c r="HOW31" s="543"/>
      <c r="HOX31" s="543"/>
      <c r="HOY31" s="543"/>
      <c r="HOZ31" s="543"/>
      <c r="HPA31" s="543"/>
      <c r="HPB31" s="543"/>
      <c r="HPC31" s="543"/>
      <c r="HPD31" s="543"/>
      <c r="HPE31" s="543"/>
      <c r="HPF31" s="543"/>
      <c r="HPG31" s="543"/>
      <c r="HPH31" s="543"/>
      <c r="HPI31" s="543"/>
      <c r="HPJ31" s="543"/>
      <c r="HPK31" s="543"/>
      <c r="HPL31" s="543"/>
      <c r="HPM31" s="543"/>
      <c r="HPN31" s="543"/>
      <c r="HPO31" s="543"/>
      <c r="HPP31" s="543"/>
      <c r="HPQ31" s="543"/>
      <c r="HPR31" s="543"/>
      <c r="HPS31" s="543"/>
      <c r="HPT31" s="543"/>
      <c r="HPU31" s="543"/>
      <c r="HPV31" s="543"/>
      <c r="HPW31" s="543"/>
      <c r="HPX31" s="543"/>
      <c r="HPY31" s="543"/>
      <c r="HPZ31" s="543"/>
      <c r="HQA31" s="543"/>
      <c r="HQB31" s="543"/>
      <c r="HQC31" s="543"/>
      <c r="HQD31" s="543"/>
      <c r="HQE31" s="543"/>
      <c r="HQF31" s="543"/>
      <c r="HQG31" s="543"/>
      <c r="HQH31" s="543"/>
      <c r="HQI31" s="543"/>
      <c r="HQJ31" s="543"/>
      <c r="HQK31" s="543"/>
      <c r="HQL31" s="543"/>
      <c r="HQM31" s="543"/>
      <c r="HQN31" s="543"/>
      <c r="HQO31" s="543"/>
      <c r="HQP31" s="543"/>
      <c r="HQQ31" s="543"/>
      <c r="HQR31" s="543"/>
      <c r="HQS31" s="543"/>
      <c r="HQT31" s="543"/>
      <c r="HQU31" s="543"/>
      <c r="HQV31" s="543"/>
      <c r="HQW31" s="543"/>
      <c r="HQX31" s="543"/>
      <c r="HQY31" s="543"/>
      <c r="HQZ31" s="543"/>
      <c r="HRA31" s="543"/>
      <c r="HRB31" s="543"/>
      <c r="HRC31" s="543"/>
      <c r="HRD31" s="543"/>
      <c r="HRE31" s="543"/>
      <c r="HRF31" s="543"/>
      <c r="HRG31" s="543"/>
      <c r="HRH31" s="543"/>
      <c r="HRI31" s="543"/>
      <c r="HRJ31" s="543"/>
      <c r="HRK31" s="543"/>
      <c r="HRL31" s="543"/>
      <c r="HRM31" s="543"/>
      <c r="HRN31" s="543"/>
      <c r="HRO31" s="543"/>
      <c r="HRP31" s="543"/>
      <c r="HRQ31" s="543"/>
      <c r="HRR31" s="543"/>
      <c r="HRS31" s="543"/>
      <c r="HRT31" s="543"/>
      <c r="HRU31" s="543"/>
      <c r="HRV31" s="543"/>
      <c r="HRW31" s="543"/>
      <c r="HRX31" s="543"/>
      <c r="HRY31" s="543"/>
      <c r="HRZ31" s="543"/>
      <c r="HSA31" s="543"/>
      <c r="HSB31" s="543"/>
      <c r="HSC31" s="543"/>
      <c r="HSD31" s="543"/>
      <c r="HSE31" s="543"/>
      <c r="HSF31" s="543"/>
      <c r="HSG31" s="543"/>
      <c r="HSH31" s="543"/>
      <c r="HSI31" s="543"/>
      <c r="HSJ31" s="543"/>
      <c r="HSK31" s="543"/>
      <c r="HSL31" s="543"/>
      <c r="HSM31" s="543"/>
      <c r="HSN31" s="543"/>
      <c r="HSO31" s="543"/>
      <c r="HSP31" s="543"/>
      <c r="HSQ31" s="543"/>
      <c r="HSR31" s="543"/>
      <c r="HSS31" s="543"/>
      <c r="HST31" s="543"/>
      <c r="HSU31" s="543"/>
      <c r="HSV31" s="543"/>
      <c r="HSW31" s="543"/>
      <c r="HSX31" s="543"/>
      <c r="HSY31" s="543"/>
      <c r="HSZ31" s="543"/>
      <c r="HTA31" s="543"/>
      <c r="HTB31" s="543"/>
      <c r="HTC31" s="543"/>
      <c r="HTD31" s="543"/>
      <c r="HTE31" s="543"/>
      <c r="HTF31" s="543"/>
      <c r="HTG31" s="543"/>
      <c r="HTH31" s="543"/>
      <c r="HTI31" s="543"/>
      <c r="HTJ31" s="543"/>
      <c r="HTK31" s="543"/>
      <c r="HTL31" s="543"/>
      <c r="HTM31" s="543"/>
      <c r="HTN31" s="543"/>
      <c r="HTO31" s="543"/>
      <c r="HTP31" s="543"/>
      <c r="HTQ31" s="543"/>
      <c r="HTR31" s="543"/>
      <c r="HTS31" s="543"/>
      <c r="HTT31" s="543"/>
      <c r="HTU31" s="543"/>
      <c r="HTV31" s="543"/>
      <c r="HTW31" s="543"/>
      <c r="HTX31" s="543"/>
      <c r="HTY31" s="543"/>
      <c r="HTZ31" s="543"/>
      <c r="HUA31" s="543"/>
      <c r="HUB31" s="543"/>
      <c r="HUC31" s="543"/>
      <c r="HUD31" s="543"/>
      <c r="HUE31" s="543"/>
      <c r="HUF31" s="543"/>
      <c r="HUG31" s="543"/>
      <c r="HUH31" s="543"/>
      <c r="HUI31" s="543"/>
      <c r="HUJ31" s="543"/>
      <c r="HUK31" s="543"/>
      <c r="HUL31" s="543"/>
      <c r="HUM31" s="543"/>
      <c r="HUN31" s="543"/>
      <c r="HUO31" s="543"/>
      <c r="HUP31" s="543"/>
      <c r="HUQ31" s="543"/>
      <c r="HUR31" s="543"/>
      <c r="HUS31" s="543"/>
      <c r="HUT31" s="543"/>
      <c r="HUU31" s="543"/>
      <c r="HUV31" s="543"/>
      <c r="HUW31" s="543"/>
      <c r="HUX31" s="543"/>
      <c r="HUY31" s="543"/>
      <c r="HUZ31" s="543"/>
      <c r="HVA31" s="543"/>
      <c r="HVB31" s="543"/>
      <c r="HVC31" s="543"/>
      <c r="HVD31" s="543"/>
      <c r="HVE31" s="543"/>
      <c r="HVF31" s="543"/>
      <c r="HVG31" s="543"/>
      <c r="HVH31" s="543"/>
      <c r="HVI31" s="543"/>
      <c r="HVJ31" s="543"/>
      <c r="HVK31" s="543"/>
      <c r="HVL31" s="543"/>
      <c r="HVM31" s="543"/>
      <c r="HVN31" s="543"/>
      <c r="HVO31" s="543"/>
      <c r="HVP31" s="543"/>
      <c r="HVQ31" s="543"/>
      <c r="HVR31" s="543"/>
      <c r="HVS31" s="543"/>
      <c r="HVT31" s="543"/>
      <c r="HVU31" s="543"/>
      <c r="HVV31" s="543"/>
      <c r="HVW31" s="543"/>
      <c r="HVX31" s="543"/>
      <c r="HVY31" s="543"/>
      <c r="HVZ31" s="543"/>
      <c r="HWA31" s="543"/>
      <c r="HWB31" s="543"/>
      <c r="HWC31" s="543"/>
      <c r="HWD31" s="543"/>
      <c r="HWE31" s="543"/>
      <c r="HWF31" s="543"/>
      <c r="HWG31" s="543"/>
      <c r="HWH31" s="543"/>
      <c r="HWI31" s="543"/>
      <c r="HWJ31" s="543"/>
      <c r="HWK31" s="543"/>
      <c r="HWL31" s="543"/>
      <c r="HWM31" s="543"/>
      <c r="HWN31" s="543"/>
      <c r="HWO31" s="543"/>
      <c r="HWP31" s="543"/>
      <c r="HWQ31" s="543"/>
      <c r="HWR31" s="543"/>
      <c r="HWS31" s="543"/>
      <c r="HWT31" s="543"/>
      <c r="HWU31" s="543"/>
      <c r="HWV31" s="543"/>
      <c r="HWW31" s="543"/>
      <c r="HWX31" s="543"/>
      <c r="HWY31" s="543"/>
      <c r="HWZ31" s="543"/>
      <c r="HXA31" s="543"/>
      <c r="HXB31" s="543"/>
      <c r="HXC31" s="543"/>
      <c r="HXD31" s="543"/>
      <c r="HXE31" s="543"/>
      <c r="HXF31" s="543"/>
      <c r="HXG31" s="543"/>
      <c r="HXH31" s="543"/>
      <c r="HXI31" s="543"/>
      <c r="HXJ31" s="543"/>
      <c r="HXK31" s="543"/>
      <c r="HXL31" s="543"/>
      <c r="HXM31" s="543"/>
      <c r="HXN31" s="543"/>
      <c r="HXO31" s="543"/>
      <c r="HXP31" s="543"/>
      <c r="HXQ31" s="543"/>
      <c r="HXR31" s="543"/>
      <c r="HXS31" s="543"/>
      <c r="HXT31" s="543"/>
      <c r="HXU31" s="543"/>
      <c r="HXV31" s="543"/>
      <c r="HXW31" s="543"/>
      <c r="HXX31" s="543"/>
      <c r="HXY31" s="543"/>
      <c r="HXZ31" s="543"/>
      <c r="HYA31" s="543"/>
      <c r="HYB31" s="543"/>
      <c r="HYC31" s="543"/>
      <c r="HYD31" s="543"/>
      <c r="HYE31" s="543"/>
      <c r="HYF31" s="543"/>
      <c r="HYG31" s="543"/>
      <c r="HYH31" s="543"/>
      <c r="HYI31" s="543"/>
      <c r="HYJ31" s="543"/>
      <c r="HYK31" s="543"/>
      <c r="HYL31" s="543"/>
      <c r="HYM31" s="543"/>
      <c r="HYN31" s="543"/>
      <c r="HYO31" s="543"/>
      <c r="HYP31" s="543"/>
      <c r="HYQ31" s="543"/>
      <c r="HYR31" s="543"/>
      <c r="HYS31" s="543"/>
      <c r="HYT31" s="543"/>
      <c r="HYU31" s="543"/>
      <c r="HYV31" s="543"/>
      <c r="HYW31" s="543"/>
      <c r="HYX31" s="543"/>
      <c r="HYY31" s="543"/>
      <c r="HYZ31" s="543"/>
      <c r="HZA31" s="543"/>
      <c r="HZB31" s="543"/>
      <c r="HZC31" s="543"/>
      <c r="HZD31" s="543"/>
      <c r="HZE31" s="543"/>
      <c r="HZF31" s="543"/>
      <c r="HZG31" s="543"/>
      <c r="HZH31" s="543"/>
      <c r="HZI31" s="543"/>
      <c r="HZJ31" s="543"/>
      <c r="HZK31" s="543"/>
      <c r="HZL31" s="543"/>
      <c r="HZM31" s="543"/>
      <c r="HZN31" s="543"/>
      <c r="HZO31" s="543"/>
      <c r="HZP31" s="543"/>
      <c r="HZQ31" s="543"/>
      <c r="HZR31" s="543"/>
      <c r="HZS31" s="543"/>
      <c r="HZT31" s="543"/>
      <c r="HZU31" s="543"/>
      <c r="HZV31" s="543"/>
      <c r="HZW31" s="543"/>
      <c r="HZX31" s="543"/>
      <c r="HZY31" s="543"/>
      <c r="HZZ31" s="543"/>
      <c r="IAA31" s="543"/>
      <c r="IAB31" s="543"/>
      <c r="IAC31" s="543"/>
      <c r="IAD31" s="543"/>
      <c r="IAE31" s="543"/>
      <c r="IAF31" s="543"/>
      <c r="IAG31" s="543"/>
      <c r="IAH31" s="543"/>
      <c r="IAI31" s="543"/>
      <c r="IAJ31" s="543"/>
      <c r="IAK31" s="543"/>
      <c r="IAL31" s="543"/>
      <c r="IAM31" s="543"/>
      <c r="IAN31" s="543"/>
      <c r="IAO31" s="543"/>
      <c r="IAP31" s="543"/>
      <c r="IAQ31" s="543"/>
      <c r="IAR31" s="543"/>
      <c r="IAS31" s="543"/>
      <c r="IAT31" s="543"/>
      <c r="IAU31" s="543"/>
      <c r="IAV31" s="543"/>
      <c r="IAW31" s="543"/>
      <c r="IAX31" s="543"/>
      <c r="IAY31" s="543"/>
      <c r="IAZ31" s="543"/>
      <c r="IBA31" s="543"/>
      <c r="IBB31" s="543"/>
      <c r="IBC31" s="543"/>
      <c r="IBD31" s="543"/>
      <c r="IBE31" s="543"/>
      <c r="IBF31" s="543"/>
      <c r="IBG31" s="543"/>
      <c r="IBH31" s="543"/>
      <c r="IBI31" s="543"/>
      <c r="IBJ31" s="543"/>
      <c r="IBK31" s="543"/>
      <c r="IBL31" s="543"/>
      <c r="IBM31" s="543"/>
      <c r="IBN31" s="543"/>
      <c r="IBO31" s="543"/>
      <c r="IBP31" s="543"/>
      <c r="IBQ31" s="543"/>
      <c r="IBR31" s="543"/>
      <c r="IBS31" s="543"/>
      <c r="IBT31" s="543"/>
      <c r="IBU31" s="543"/>
      <c r="IBV31" s="543"/>
      <c r="IBW31" s="543"/>
      <c r="IBX31" s="543"/>
      <c r="IBY31" s="543"/>
      <c r="IBZ31" s="543"/>
      <c r="ICA31" s="543"/>
      <c r="ICB31" s="543"/>
      <c r="ICC31" s="543"/>
      <c r="ICD31" s="543"/>
      <c r="ICE31" s="543"/>
      <c r="ICF31" s="543"/>
      <c r="ICG31" s="543"/>
      <c r="ICH31" s="543"/>
      <c r="ICI31" s="543"/>
      <c r="ICJ31" s="543"/>
      <c r="ICK31" s="543"/>
      <c r="ICL31" s="543"/>
      <c r="ICM31" s="543"/>
      <c r="ICN31" s="543"/>
      <c r="ICO31" s="543"/>
      <c r="ICP31" s="543"/>
      <c r="ICQ31" s="543"/>
      <c r="ICR31" s="543"/>
      <c r="ICS31" s="543"/>
      <c r="ICT31" s="543"/>
      <c r="ICU31" s="543"/>
      <c r="ICV31" s="543"/>
      <c r="ICW31" s="543"/>
      <c r="ICX31" s="543"/>
      <c r="ICY31" s="543"/>
      <c r="ICZ31" s="543"/>
      <c r="IDA31" s="543"/>
      <c r="IDB31" s="543"/>
      <c r="IDC31" s="543"/>
      <c r="IDD31" s="543"/>
      <c r="IDE31" s="543"/>
      <c r="IDF31" s="543"/>
      <c r="IDG31" s="543"/>
      <c r="IDH31" s="543"/>
      <c r="IDI31" s="543"/>
      <c r="IDJ31" s="543"/>
      <c r="IDK31" s="543"/>
      <c r="IDL31" s="543"/>
      <c r="IDM31" s="543"/>
      <c r="IDN31" s="543"/>
      <c r="IDO31" s="543"/>
      <c r="IDP31" s="543"/>
      <c r="IDQ31" s="543"/>
      <c r="IDR31" s="543"/>
      <c r="IDS31" s="543"/>
      <c r="IDT31" s="543"/>
      <c r="IDU31" s="543"/>
      <c r="IDV31" s="543"/>
      <c r="IDW31" s="543"/>
      <c r="IDX31" s="543"/>
      <c r="IDY31" s="543"/>
      <c r="IDZ31" s="543"/>
      <c r="IEA31" s="543"/>
      <c r="IEB31" s="543"/>
      <c r="IEC31" s="543"/>
      <c r="IED31" s="543"/>
      <c r="IEE31" s="543"/>
      <c r="IEF31" s="543"/>
      <c r="IEG31" s="543"/>
      <c r="IEH31" s="543"/>
      <c r="IEI31" s="543"/>
      <c r="IEJ31" s="543"/>
      <c r="IEK31" s="543"/>
      <c r="IEL31" s="543"/>
      <c r="IEM31" s="543"/>
      <c r="IEN31" s="543"/>
      <c r="IEO31" s="543"/>
      <c r="IEP31" s="543"/>
      <c r="IEQ31" s="543"/>
      <c r="IER31" s="543"/>
      <c r="IES31" s="543"/>
      <c r="IET31" s="543"/>
      <c r="IEU31" s="543"/>
      <c r="IEV31" s="543"/>
      <c r="IEW31" s="543"/>
      <c r="IEX31" s="543"/>
      <c r="IEY31" s="543"/>
      <c r="IEZ31" s="543"/>
      <c r="IFA31" s="543"/>
      <c r="IFB31" s="543"/>
      <c r="IFC31" s="543"/>
      <c r="IFD31" s="543"/>
      <c r="IFE31" s="543"/>
      <c r="IFF31" s="543"/>
      <c r="IFG31" s="543"/>
      <c r="IFH31" s="543"/>
      <c r="IFI31" s="543"/>
      <c r="IFJ31" s="543"/>
      <c r="IFK31" s="543"/>
      <c r="IFL31" s="543"/>
      <c r="IFM31" s="543"/>
      <c r="IFN31" s="543"/>
      <c r="IFO31" s="543"/>
      <c r="IFP31" s="543"/>
      <c r="IFQ31" s="543"/>
      <c r="IFR31" s="543"/>
      <c r="IFS31" s="543"/>
      <c r="IFT31" s="543"/>
      <c r="IFU31" s="543"/>
      <c r="IFV31" s="543"/>
      <c r="IFW31" s="543"/>
      <c r="IFX31" s="543"/>
      <c r="IFY31" s="543"/>
      <c r="IFZ31" s="543"/>
      <c r="IGA31" s="543"/>
      <c r="IGB31" s="543"/>
      <c r="IGC31" s="543"/>
      <c r="IGD31" s="543"/>
      <c r="IGE31" s="543"/>
      <c r="IGF31" s="543"/>
      <c r="IGG31" s="543"/>
      <c r="IGH31" s="543"/>
      <c r="IGI31" s="543"/>
      <c r="IGJ31" s="543"/>
      <c r="IGK31" s="543"/>
      <c r="IGL31" s="543"/>
      <c r="IGM31" s="543"/>
      <c r="IGN31" s="543"/>
      <c r="IGO31" s="543"/>
      <c r="IGP31" s="543"/>
      <c r="IGQ31" s="543"/>
      <c r="IGR31" s="543"/>
      <c r="IGS31" s="543"/>
      <c r="IGT31" s="543"/>
      <c r="IGU31" s="543"/>
      <c r="IGV31" s="543"/>
      <c r="IGW31" s="543"/>
      <c r="IGX31" s="543"/>
      <c r="IGY31" s="543"/>
      <c r="IGZ31" s="543"/>
      <c r="IHA31" s="543"/>
      <c r="IHB31" s="543"/>
      <c r="IHC31" s="543"/>
      <c r="IHD31" s="543"/>
      <c r="IHE31" s="543"/>
      <c r="IHF31" s="543"/>
      <c r="IHG31" s="543"/>
      <c r="IHH31" s="543"/>
      <c r="IHI31" s="543"/>
      <c r="IHJ31" s="543"/>
      <c r="IHK31" s="543"/>
      <c r="IHL31" s="543"/>
      <c r="IHM31" s="543"/>
      <c r="IHN31" s="543"/>
      <c r="IHO31" s="543"/>
      <c r="IHP31" s="543"/>
      <c r="IHQ31" s="543"/>
      <c r="IHR31" s="543"/>
      <c r="IHS31" s="543"/>
      <c r="IHT31" s="543"/>
      <c r="IHU31" s="543"/>
      <c r="IHV31" s="543"/>
      <c r="IHW31" s="543"/>
      <c r="IHX31" s="543"/>
      <c r="IHY31" s="543"/>
      <c r="IHZ31" s="543"/>
      <c r="IIA31" s="543"/>
      <c r="IIB31" s="543"/>
      <c r="IIC31" s="543"/>
      <c r="IID31" s="543"/>
      <c r="IIE31" s="543"/>
      <c r="IIF31" s="543"/>
      <c r="IIG31" s="543"/>
      <c r="IIH31" s="543"/>
      <c r="III31" s="543"/>
      <c r="IIJ31" s="543"/>
      <c r="IIK31" s="543"/>
      <c r="IIL31" s="543"/>
      <c r="IIM31" s="543"/>
      <c r="IIN31" s="543"/>
      <c r="IIO31" s="543"/>
      <c r="IIP31" s="543"/>
      <c r="IIQ31" s="543"/>
      <c r="IIR31" s="543"/>
      <c r="IIS31" s="543"/>
      <c r="IIT31" s="543"/>
      <c r="IIU31" s="543"/>
      <c r="IIV31" s="543"/>
      <c r="IIW31" s="543"/>
      <c r="IIX31" s="543"/>
      <c r="IIY31" s="543"/>
      <c r="IIZ31" s="543"/>
      <c r="IJA31" s="543"/>
      <c r="IJB31" s="543"/>
      <c r="IJC31" s="543"/>
      <c r="IJD31" s="543"/>
      <c r="IJE31" s="543"/>
      <c r="IJF31" s="543"/>
      <c r="IJG31" s="543"/>
      <c r="IJH31" s="543"/>
      <c r="IJI31" s="543"/>
      <c r="IJJ31" s="543"/>
      <c r="IJK31" s="543"/>
      <c r="IJL31" s="543"/>
      <c r="IJM31" s="543"/>
      <c r="IJN31" s="543"/>
      <c r="IJO31" s="543"/>
      <c r="IJP31" s="543"/>
      <c r="IJQ31" s="543"/>
      <c r="IJR31" s="543"/>
      <c r="IJS31" s="543"/>
      <c r="IJT31" s="543"/>
      <c r="IJU31" s="543"/>
      <c r="IJV31" s="543"/>
      <c r="IJW31" s="543"/>
      <c r="IJX31" s="543"/>
      <c r="IJY31" s="543"/>
      <c r="IJZ31" s="543"/>
      <c r="IKA31" s="543"/>
      <c r="IKB31" s="543"/>
      <c r="IKC31" s="543"/>
      <c r="IKD31" s="543"/>
      <c r="IKE31" s="543"/>
      <c r="IKF31" s="543"/>
      <c r="IKG31" s="543"/>
      <c r="IKH31" s="543"/>
      <c r="IKI31" s="543"/>
      <c r="IKJ31" s="543"/>
      <c r="IKK31" s="543"/>
      <c r="IKL31" s="543"/>
      <c r="IKM31" s="543"/>
      <c r="IKN31" s="543"/>
      <c r="IKO31" s="543"/>
      <c r="IKP31" s="543"/>
      <c r="IKQ31" s="543"/>
      <c r="IKR31" s="543"/>
      <c r="IKS31" s="543"/>
      <c r="IKT31" s="543"/>
      <c r="IKU31" s="543"/>
      <c r="IKV31" s="543"/>
      <c r="IKW31" s="543"/>
      <c r="IKX31" s="543"/>
      <c r="IKY31" s="543"/>
      <c r="IKZ31" s="543"/>
      <c r="ILA31" s="543"/>
      <c r="ILB31" s="543"/>
      <c r="ILC31" s="543"/>
      <c r="ILD31" s="543"/>
      <c r="ILE31" s="543"/>
      <c r="ILF31" s="543"/>
      <c r="ILG31" s="543"/>
      <c r="ILH31" s="543"/>
      <c r="ILI31" s="543"/>
      <c r="ILJ31" s="543"/>
      <c r="ILK31" s="543"/>
      <c r="ILL31" s="543"/>
      <c r="ILM31" s="543"/>
      <c r="ILN31" s="543"/>
      <c r="ILO31" s="543"/>
      <c r="ILP31" s="543"/>
      <c r="ILQ31" s="543"/>
      <c r="ILR31" s="543"/>
      <c r="ILS31" s="543"/>
      <c r="ILT31" s="543"/>
      <c r="ILU31" s="543"/>
      <c r="ILV31" s="543"/>
      <c r="ILW31" s="543"/>
      <c r="ILX31" s="543"/>
      <c r="ILY31" s="543"/>
      <c r="ILZ31" s="543"/>
      <c r="IMA31" s="543"/>
      <c r="IMB31" s="543"/>
      <c r="IMC31" s="543"/>
      <c r="IMD31" s="543"/>
      <c r="IME31" s="543"/>
      <c r="IMF31" s="543"/>
      <c r="IMG31" s="543"/>
      <c r="IMH31" s="543"/>
      <c r="IMI31" s="543"/>
      <c r="IMJ31" s="543"/>
      <c r="IMK31" s="543"/>
      <c r="IML31" s="543"/>
      <c r="IMM31" s="543"/>
      <c r="IMN31" s="543"/>
      <c r="IMO31" s="543"/>
      <c r="IMP31" s="543"/>
      <c r="IMQ31" s="543"/>
      <c r="IMR31" s="543"/>
      <c r="IMS31" s="543"/>
      <c r="IMT31" s="543"/>
      <c r="IMU31" s="543"/>
      <c r="IMV31" s="543"/>
      <c r="IMW31" s="543"/>
      <c r="IMX31" s="543"/>
      <c r="IMY31" s="543"/>
      <c r="IMZ31" s="543"/>
      <c r="INA31" s="543"/>
      <c r="INB31" s="543"/>
      <c r="INC31" s="543"/>
      <c r="IND31" s="543"/>
      <c r="INE31" s="543"/>
      <c r="INF31" s="543"/>
      <c r="ING31" s="543"/>
      <c r="INH31" s="543"/>
      <c r="INI31" s="543"/>
      <c r="INJ31" s="543"/>
      <c r="INK31" s="543"/>
      <c r="INL31" s="543"/>
      <c r="INM31" s="543"/>
      <c r="INN31" s="543"/>
      <c r="INO31" s="543"/>
      <c r="INP31" s="543"/>
      <c r="INQ31" s="543"/>
      <c r="INR31" s="543"/>
      <c r="INS31" s="543"/>
      <c r="INT31" s="543"/>
      <c r="INU31" s="543"/>
      <c r="INV31" s="543"/>
      <c r="INW31" s="543"/>
      <c r="INX31" s="543"/>
      <c r="INY31" s="543"/>
      <c r="INZ31" s="543"/>
      <c r="IOA31" s="543"/>
      <c r="IOB31" s="543"/>
      <c r="IOC31" s="543"/>
      <c r="IOD31" s="543"/>
      <c r="IOE31" s="543"/>
      <c r="IOF31" s="543"/>
      <c r="IOG31" s="543"/>
      <c r="IOH31" s="543"/>
      <c r="IOI31" s="543"/>
      <c r="IOJ31" s="543"/>
      <c r="IOK31" s="543"/>
      <c r="IOL31" s="543"/>
      <c r="IOM31" s="543"/>
      <c r="ION31" s="543"/>
      <c r="IOO31" s="543"/>
      <c r="IOP31" s="543"/>
      <c r="IOQ31" s="543"/>
      <c r="IOR31" s="543"/>
      <c r="IOS31" s="543"/>
      <c r="IOT31" s="543"/>
      <c r="IOU31" s="543"/>
      <c r="IOV31" s="543"/>
      <c r="IOW31" s="543"/>
      <c r="IOX31" s="543"/>
      <c r="IOY31" s="543"/>
      <c r="IOZ31" s="543"/>
      <c r="IPA31" s="543"/>
      <c r="IPB31" s="543"/>
      <c r="IPC31" s="543"/>
      <c r="IPD31" s="543"/>
      <c r="IPE31" s="543"/>
      <c r="IPF31" s="543"/>
      <c r="IPG31" s="543"/>
      <c r="IPH31" s="543"/>
      <c r="IPI31" s="543"/>
      <c r="IPJ31" s="543"/>
      <c r="IPK31" s="543"/>
      <c r="IPL31" s="543"/>
      <c r="IPM31" s="543"/>
      <c r="IPN31" s="543"/>
      <c r="IPO31" s="543"/>
      <c r="IPP31" s="543"/>
      <c r="IPQ31" s="543"/>
      <c r="IPR31" s="543"/>
      <c r="IPS31" s="543"/>
      <c r="IPT31" s="543"/>
      <c r="IPU31" s="543"/>
      <c r="IPV31" s="543"/>
      <c r="IPW31" s="543"/>
      <c r="IPX31" s="543"/>
      <c r="IPY31" s="543"/>
      <c r="IPZ31" s="543"/>
      <c r="IQA31" s="543"/>
      <c r="IQB31" s="543"/>
      <c r="IQC31" s="543"/>
      <c r="IQD31" s="543"/>
      <c r="IQE31" s="543"/>
      <c r="IQF31" s="543"/>
      <c r="IQG31" s="543"/>
      <c r="IQH31" s="543"/>
      <c r="IQI31" s="543"/>
      <c r="IQJ31" s="543"/>
      <c r="IQK31" s="543"/>
      <c r="IQL31" s="543"/>
      <c r="IQM31" s="543"/>
      <c r="IQN31" s="543"/>
      <c r="IQO31" s="543"/>
      <c r="IQP31" s="543"/>
      <c r="IQQ31" s="543"/>
      <c r="IQR31" s="543"/>
      <c r="IQS31" s="543"/>
      <c r="IQT31" s="543"/>
      <c r="IQU31" s="543"/>
      <c r="IQV31" s="543"/>
      <c r="IQW31" s="543"/>
      <c r="IQX31" s="543"/>
      <c r="IQY31" s="543"/>
      <c r="IQZ31" s="543"/>
      <c r="IRA31" s="543"/>
      <c r="IRB31" s="543"/>
      <c r="IRC31" s="543"/>
      <c r="IRD31" s="543"/>
      <c r="IRE31" s="543"/>
      <c r="IRF31" s="543"/>
      <c r="IRG31" s="543"/>
      <c r="IRH31" s="543"/>
      <c r="IRI31" s="543"/>
      <c r="IRJ31" s="543"/>
      <c r="IRK31" s="543"/>
      <c r="IRL31" s="543"/>
      <c r="IRM31" s="543"/>
      <c r="IRN31" s="543"/>
      <c r="IRO31" s="543"/>
      <c r="IRP31" s="543"/>
      <c r="IRQ31" s="543"/>
      <c r="IRR31" s="543"/>
      <c r="IRS31" s="543"/>
      <c r="IRT31" s="543"/>
      <c r="IRU31" s="543"/>
      <c r="IRV31" s="543"/>
      <c r="IRW31" s="543"/>
      <c r="IRX31" s="543"/>
      <c r="IRY31" s="543"/>
      <c r="IRZ31" s="543"/>
      <c r="ISA31" s="543"/>
      <c r="ISB31" s="543"/>
      <c r="ISC31" s="543"/>
      <c r="ISD31" s="543"/>
      <c r="ISE31" s="543"/>
      <c r="ISF31" s="543"/>
      <c r="ISG31" s="543"/>
      <c r="ISH31" s="543"/>
      <c r="ISI31" s="543"/>
      <c r="ISJ31" s="543"/>
      <c r="ISK31" s="543"/>
      <c r="ISL31" s="543"/>
      <c r="ISM31" s="543"/>
      <c r="ISN31" s="543"/>
      <c r="ISO31" s="543"/>
      <c r="ISP31" s="543"/>
      <c r="ISQ31" s="543"/>
      <c r="ISR31" s="543"/>
      <c r="ISS31" s="543"/>
      <c r="IST31" s="543"/>
      <c r="ISU31" s="543"/>
      <c r="ISV31" s="543"/>
      <c r="ISW31" s="543"/>
      <c r="ISX31" s="543"/>
      <c r="ISY31" s="543"/>
      <c r="ISZ31" s="543"/>
      <c r="ITA31" s="543"/>
      <c r="ITB31" s="543"/>
      <c r="ITC31" s="543"/>
      <c r="ITD31" s="543"/>
      <c r="ITE31" s="543"/>
      <c r="ITF31" s="543"/>
      <c r="ITG31" s="543"/>
      <c r="ITH31" s="543"/>
      <c r="ITI31" s="543"/>
      <c r="ITJ31" s="543"/>
      <c r="ITK31" s="543"/>
      <c r="ITL31" s="543"/>
      <c r="ITM31" s="543"/>
      <c r="ITN31" s="543"/>
      <c r="ITO31" s="543"/>
      <c r="ITP31" s="543"/>
      <c r="ITQ31" s="543"/>
      <c r="ITR31" s="543"/>
      <c r="ITS31" s="543"/>
      <c r="ITT31" s="543"/>
      <c r="ITU31" s="543"/>
      <c r="ITV31" s="543"/>
      <c r="ITW31" s="543"/>
      <c r="ITX31" s="543"/>
      <c r="ITY31" s="543"/>
      <c r="ITZ31" s="543"/>
      <c r="IUA31" s="543"/>
      <c r="IUB31" s="543"/>
      <c r="IUC31" s="543"/>
      <c r="IUD31" s="543"/>
      <c r="IUE31" s="543"/>
      <c r="IUF31" s="543"/>
      <c r="IUG31" s="543"/>
      <c r="IUH31" s="543"/>
      <c r="IUI31" s="543"/>
      <c r="IUJ31" s="543"/>
      <c r="IUK31" s="543"/>
      <c r="IUL31" s="543"/>
      <c r="IUM31" s="543"/>
      <c r="IUN31" s="543"/>
      <c r="IUO31" s="543"/>
      <c r="IUP31" s="543"/>
      <c r="IUQ31" s="543"/>
      <c r="IUR31" s="543"/>
      <c r="IUS31" s="543"/>
      <c r="IUT31" s="543"/>
      <c r="IUU31" s="543"/>
      <c r="IUV31" s="543"/>
      <c r="IUW31" s="543"/>
      <c r="IUX31" s="543"/>
      <c r="IUY31" s="543"/>
      <c r="IUZ31" s="543"/>
      <c r="IVA31" s="543"/>
      <c r="IVB31" s="543"/>
      <c r="IVC31" s="543"/>
      <c r="IVD31" s="543"/>
      <c r="IVE31" s="543"/>
      <c r="IVF31" s="543"/>
      <c r="IVG31" s="543"/>
      <c r="IVH31" s="543"/>
      <c r="IVI31" s="543"/>
      <c r="IVJ31" s="543"/>
      <c r="IVK31" s="543"/>
      <c r="IVL31" s="543"/>
      <c r="IVM31" s="543"/>
      <c r="IVN31" s="543"/>
      <c r="IVO31" s="543"/>
      <c r="IVP31" s="543"/>
      <c r="IVQ31" s="543"/>
      <c r="IVR31" s="543"/>
      <c r="IVS31" s="543"/>
      <c r="IVT31" s="543"/>
      <c r="IVU31" s="543"/>
      <c r="IVV31" s="543"/>
      <c r="IVW31" s="543"/>
      <c r="IVX31" s="543"/>
      <c r="IVY31" s="543"/>
      <c r="IVZ31" s="543"/>
      <c r="IWA31" s="543"/>
      <c r="IWB31" s="543"/>
      <c r="IWC31" s="543"/>
      <c r="IWD31" s="543"/>
      <c r="IWE31" s="543"/>
      <c r="IWF31" s="543"/>
      <c r="IWG31" s="543"/>
      <c r="IWH31" s="543"/>
      <c r="IWI31" s="543"/>
      <c r="IWJ31" s="543"/>
      <c r="IWK31" s="543"/>
      <c r="IWL31" s="543"/>
      <c r="IWM31" s="543"/>
      <c r="IWN31" s="543"/>
      <c r="IWO31" s="543"/>
      <c r="IWP31" s="543"/>
      <c r="IWQ31" s="543"/>
      <c r="IWR31" s="543"/>
      <c r="IWS31" s="543"/>
      <c r="IWT31" s="543"/>
      <c r="IWU31" s="543"/>
      <c r="IWV31" s="543"/>
      <c r="IWW31" s="543"/>
      <c r="IWX31" s="543"/>
      <c r="IWY31" s="543"/>
      <c r="IWZ31" s="543"/>
      <c r="IXA31" s="543"/>
      <c r="IXB31" s="543"/>
      <c r="IXC31" s="543"/>
      <c r="IXD31" s="543"/>
      <c r="IXE31" s="543"/>
      <c r="IXF31" s="543"/>
      <c r="IXG31" s="543"/>
      <c r="IXH31" s="543"/>
      <c r="IXI31" s="543"/>
      <c r="IXJ31" s="543"/>
      <c r="IXK31" s="543"/>
      <c r="IXL31" s="543"/>
      <c r="IXM31" s="543"/>
      <c r="IXN31" s="543"/>
      <c r="IXO31" s="543"/>
      <c r="IXP31" s="543"/>
      <c r="IXQ31" s="543"/>
      <c r="IXR31" s="543"/>
      <c r="IXS31" s="543"/>
      <c r="IXT31" s="543"/>
      <c r="IXU31" s="543"/>
      <c r="IXV31" s="543"/>
      <c r="IXW31" s="543"/>
      <c r="IXX31" s="543"/>
      <c r="IXY31" s="543"/>
      <c r="IXZ31" s="543"/>
      <c r="IYA31" s="543"/>
      <c r="IYB31" s="543"/>
      <c r="IYC31" s="543"/>
      <c r="IYD31" s="543"/>
      <c r="IYE31" s="543"/>
      <c r="IYF31" s="543"/>
      <c r="IYG31" s="543"/>
      <c r="IYH31" s="543"/>
      <c r="IYI31" s="543"/>
      <c r="IYJ31" s="543"/>
      <c r="IYK31" s="543"/>
      <c r="IYL31" s="543"/>
      <c r="IYM31" s="543"/>
      <c r="IYN31" s="543"/>
      <c r="IYO31" s="543"/>
      <c r="IYP31" s="543"/>
      <c r="IYQ31" s="543"/>
      <c r="IYR31" s="543"/>
      <c r="IYS31" s="543"/>
      <c r="IYT31" s="543"/>
      <c r="IYU31" s="543"/>
      <c r="IYV31" s="543"/>
      <c r="IYW31" s="543"/>
      <c r="IYX31" s="543"/>
      <c r="IYY31" s="543"/>
      <c r="IYZ31" s="543"/>
      <c r="IZA31" s="543"/>
      <c r="IZB31" s="543"/>
      <c r="IZC31" s="543"/>
      <c r="IZD31" s="543"/>
      <c r="IZE31" s="543"/>
      <c r="IZF31" s="543"/>
      <c r="IZG31" s="543"/>
      <c r="IZH31" s="543"/>
      <c r="IZI31" s="543"/>
      <c r="IZJ31" s="543"/>
      <c r="IZK31" s="543"/>
      <c r="IZL31" s="543"/>
      <c r="IZM31" s="543"/>
      <c r="IZN31" s="543"/>
      <c r="IZO31" s="543"/>
      <c r="IZP31" s="543"/>
      <c r="IZQ31" s="543"/>
      <c r="IZR31" s="543"/>
      <c r="IZS31" s="543"/>
      <c r="IZT31" s="543"/>
      <c r="IZU31" s="543"/>
      <c r="IZV31" s="543"/>
      <c r="IZW31" s="543"/>
      <c r="IZX31" s="543"/>
      <c r="IZY31" s="543"/>
      <c r="IZZ31" s="543"/>
      <c r="JAA31" s="543"/>
      <c r="JAB31" s="543"/>
      <c r="JAC31" s="543"/>
      <c r="JAD31" s="543"/>
      <c r="JAE31" s="543"/>
      <c r="JAF31" s="543"/>
      <c r="JAG31" s="543"/>
      <c r="JAH31" s="543"/>
      <c r="JAI31" s="543"/>
      <c r="JAJ31" s="543"/>
      <c r="JAK31" s="543"/>
      <c r="JAL31" s="543"/>
      <c r="JAM31" s="543"/>
      <c r="JAN31" s="543"/>
      <c r="JAO31" s="543"/>
      <c r="JAP31" s="543"/>
      <c r="JAQ31" s="543"/>
      <c r="JAR31" s="543"/>
      <c r="JAS31" s="543"/>
      <c r="JAT31" s="543"/>
      <c r="JAU31" s="543"/>
      <c r="JAV31" s="543"/>
      <c r="JAW31" s="543"/>
      <c r="JAX31" s="543"/>
      <c r="JAY31" s="543"/>
      <c r="JAZ31" s="543"/>
      <c r="JBA31" s="543"/>
      <c r="JBB31" s="543"/>
      <c r="JBC31" s="543"/>
      <c r="JBD31" s="543"/>
      <c r="JBE31" s="543"/>
      <c r="JBF31" s="543"/>
      <c r="JBG31" s="543"/>
      <c r="JBH31" s="543"/>
      <c r="JBI31" s="543"/>
      <c r="JBJ31" s="543"/>
      <c r="JBK31" s="543"/>
      <c r="JBL31" s="543"/>
      <c r="JBM31" s="543"/>
      <c r="JBN31" s="543"/>
      <c r="JBO31" s="543"/>
      <c r="JBP31" s="543"/>
      <c r="JBQ31" s="543"/>
      <c r="JBR31" s="543"/>
      <c r="JBS31" s="543"/>
      <c r="JBT31" s="543"/>
      <c r="JBU31" s="543"/>
      <c r="JBV31" s="543"/>
      <c r="JBW31" s="543"/>
      <c r="JBX31" s="543"/>
      <c r="JBY31" s="543"/>
      <c r="JBZ31" s="543"/>
      <c r="JCA31" s="543"/>
      <c r="JCB31" s="543"/>
      <c r="JCC31" s="543"/>
      <c r="JCD31" s="543"/>
      <c r="JCE31" s="543"/>
      <c r="JCF31" s="543"/>
      <c r="JCG31" s="543"/>
      <c r="JCH31" s="543"/>
      <c r="JCI31" s="543"/>
      <c r="JCJ31" s="543"/>
      <c r="JCK31" s="543"/>
      <c r="JCL31" s="543"/>
      <c r="JCM31" s="543"/>
      <c r="JCN31" s="543"/>
      <c r="JCO31" s="543"/>
      <c r="JCP31" s="543"/>
      <c r="JCQ31" s="543"/>
      <c r="JCR31" s="543"/>
      <c r="JCS31" s="543"/>
      <c r="JCT31" s="543"/>
      <c r="JCU31" s="543"/>
      <c r="JCV31" s="543"/>
      <c r="JCW31" s="543"/>
      <c r="JCX31" s="543"/>
      <c r="JCY31" s="543"/>
      <c r="JCZ31" s="543"/>
      <c r="JDA31" s="543"/>
      <c r="JDB31" s="543"/>
      <c r="JDC31" s="543"/>
      <c r="JDD31" s="543"/>
      <c r="JDE31" s="543"/>
      <c r="JDF31" s="543"/>
      <c r="JDG31" s="543"/>
      <c r="JDH31" s="543"/>
      <c r="JDI31" s="543"/>
      <c r="JDJ31" s="543"/>
      <c r="JDK31" s="543"/>
      <c r="JDL31" s="543"/>
      <c r="JDM31" s="543"/>
      <c r="JDN31" s="543"/>
      <c r="JDO31" s="543"/>
      <c r="JDP31" s="543"/>
      <c r="JDQ31" s="543"/>
      <c r="JDR31" s="543"/>
      <c r="JDS31" s="543"/>
      <c r="JDT31" s="543"/>
      <c r="JDU31" s="543"/>
      <c r="JDV31" s="543"/>
      <c r="JDW31" s="543"/>
      <c r="JDX31" s="543"/>
      <c r="JDY31" s="543"/>
      <c r="JDZ31" s="543"/>
      <c r="JEA31" s="543"/>
      <c r="JEB31" s="543"/>
      <c r="JEC31" s="543"/>
      <c r="JED31" s="543"/>
      <c r="JEE31" s="543"/>
      <c r="JEF31" s="543"/>
      <c r="JEG31" s="543"/>
      <c r="JEH31" s="543"/>
      <c r="JEI31" s="543"/>
      <c r="JEJ31" s="543"/>
      <c r="JEK31" s="543"/>
      <c r="JEL31" s="543"/>
      <c r="JEM31" s="543"/>
      <c r="JEN31" s="543"/>
      <c r="JEO31" s="543"/>
      <c r="JEP31" s="543"/>
      <c r="JEQ31" s="543"/>
      <c r="JER31" s="543"/>
      <c r="JES31" s="543"/>
      <c r="JET31" s="543"/>
      <c r="JEU31" s="543"/>
      <c r="JEV31" s="543"/>
      <c r="JEW31" s="543"/>
      <c r="JEX31" s="543"/>
      <c r="JEY31" s="543"/>
      <c r="JEZ31" s="543"/>
      <c r="JFA31" s="543"/>
      <c r="JFB31" s="543"/>
      <c r="JFC31" s="543"/>
      <c r="JFD31" s="543"/>
      <c r="JFE31" s="543"/>
      <c r="JFF31" s="543"/>
      <c r="JFG31" s="543"/>
      <c r="JFH31" s="543"/>
      <c r="JFI31" s="543"/>
      <c r="JFJ31" s="543"/>
      <c r="JFK31" s="543"/>
      <c r="JFL31" s="543"/>
      <c r="JFM31" s="543"/>
      <c r="JFN31" s="543"/>
      <c r="JFO31" s="543"/>
      <c r="JFP31" s="543"/>
      <c r="JFQ31" s="543"/>
      <c r="JFR31" s="543"/>
      <c r="JFS31" s="543"/>
      <c r="JFT31" s="543"/>
      <c r="JFU31" s="543"/>
      <c r="JFV31" s="543"/>
      <c r="JFW31" s="543"/>
      <c r="JFX31" s="543"/>
      <c r="JFY31" s="543"/>
      <c r="JFZ31" s="543"/>
      <c r="JGA31" s="543"/>
      <c r="JGB31" s="543"/>
      <c r="JGC31" s="543"/>
      <c r="JGD31" s="543"/>
      <c r="JGE31" s="543"/>
      <c r="JGF31" s="543"/>
      <c r="JGG31" s="543"/>
      <c r="JGH31" s="543"/>
      <c r="JGI31" s="543"/>
      <c r="JGJ31" s="543"/>
      <c r="JGK31" s="543"/>
      <c r="JGL31" s="543"/>
      <c r="JGM31" s="543"/>
      <c r="JGN31" s="543"/>
      <c r="JGO31" s="543"/>
      <c r="JGP31" s="543"/>
      <c r="JGQ31" s="543"/>
      <c r="JGR31" s="543"/>
      <c r="JGS31" s="543"/>
      <c r="JGT31" s="543"/>
      <c r="JGU31" s="543"/>
      <c r="JGV31" s="543"/>
      <c r="JGW31" s="543"/>
      <c r="JGX31" s="543"/>
      <c r="JGY31" s="543"/>
      <c r="JGZ31" s="543"/>
      <c r="JHA31" s="543"/>
      <c r="JHB31" s="543"/>
      <c r="JHC31" s="543"/>
      <c r="JHD31" s="543"/>
      <c r="JHE31" s="543"/>
      <c r="JHF31" s="543"/>
      <c r="JHG31" s="543"/>
      <c r="JHH31" s="543"/>
      <c r="JHI31" s="543"/>
      <c r="JHJ31" s="543"/>
      <c r="JHK31" s="543"/>
      <c r="JHL31" s="543"/>
      <c r="JHM31" s="543"/>
      <c r="JHN31" s="543"/>
      <c r="JHO31" s="543"/>
      <c r="JHP31" s="543"/>
      <c r="JHQ31" s="543"/>
      <c r="JHR31" s="543"/>
      <c r="JHS31" s="543"/>
      <c r="JHT31" s="543"/>
      <c r="JHU31" s="543"/>
      <c r="JHV31" s="543"/>
      <c r="JHW31" s="543"/>
      <c r="JHX31" s="543"/>
      <c r="JHY31" s="543"/>
      <c r="JHZ31" s="543"/>
      <c r="JIA31" s="543"/>
      <c r="JIB31" s="543"/>
      <c r="JIC31" s="543"/>
      <c r="JID31" s="543"/>
      <c r="JIE31" s="543"/>
      <c r="JIF31" s="543"/>
      <c r="JIG31" s="543"/>
      <c r="JIH31" s="543"/>
      <c r="JII31" s="543"/>
      <c r="JIJ31" s="543"/>
      <c r="JIK31" s="543"/>
      <c r="JIL31" s="543"/>
      <c r="JIM31" s="543"/>
      <c r="JIN31" s="543"/>
      <c r="JIO31" s="543"/>
      <c r="JIP31" s="543"/>
      <c r="JIQ31" s="543"/>
      <c r="JIR31" s="543"/>
      <c r="JIS31" s="543"/>
      <c r="JIT31" s="543"/>
      <c r="JIU31" s="543"/>
      <c r="JIV31" s="543"/>
      <c r="JIW31" s="543"/>
      <c r="JIX31" s="543"/>
      <c r="JIY31" s="543"/>
      <c r="JIZ31" s="543"/>
      <c r="JJA31" s="543"/>
      <c r="JJB31" s="543"/>
      <c r="JJC31" s="543"/>
      <c r="JJD31" s="543"/>
      <c r="JJE31" s="543"/>
      <c r="JJF31" s="543"/>
      <c r="JJG31" s="543"/>
      <c r="JJH31" s="543"/>
      <c r="JJI31" s="543"/>
      <c r="JJJ31" s="543"/>
      <c r="JJK31" s="543"/>
      <c r="JJL31" s="543"/>
      <c r="JJM31" s="543"/>
      <c r="JJN31" s="543"/>
      <c r="JJO31" s="543"/>
      <c r="JJP31" s="543"/>
      <c r="JJQ31" s="543"/>
      <c r="JJR31" s="543"/>
      <c r="JJS31" s="543"/>
      <c r="JJT31" s="543"/>
      <c r="JJU31" s="543"/>
      <c r="JJV31" s="543"/>
      <c r="JJW31" s="543"/>
      <c r="JJX31" s="543"/>
      <c r="JJY31" s="543"/>
      <c r="JJZ31" s="543"/>
      <c r="JKA31" s="543"/>
      <c r="JKB31" s="543"/>
      <c r="JKC31" s="543"/>
      <c r="JKD31" s="543"/>
      <c r="JKE31" s="543"/>
      <c r="JKF31" s="543"/>
      <c r="JKG31" s="543"/>
      <c r="JKH31" s="543"/>
      <c r="JKI31" s="543"/>
      <c r="JKJ31" s="543"/>
      <c r="JKK31" s="543"/>
      <c r="JKL31" s="543"/>
      <c r="JKM31" s="543"/>
      <c r="JKN31" s="543"/>
      <c r="JKO31" s="543"/>
      <c r="JKP31" s="543"/>
      <c r="JKQ31" s="543"/>
      <c r="JKR31" s="543"/>
      <c r="JKS31" s="543"/>
      <c r="JKT31" s="543"/>
      <c r="JKU31" s="543"/>
      <c r="JKV31" s="543"/>
      <c r="JKW31" s="543"/>
      <c r="JKX31" s="543"/>
      <c r="JKY31" s="543"/>
      <c r="JKZ31" s="543"/>
      <c r="JLA31" s="543"/>
      <c r="JLB31" s="543"/>
      <c r="JLC31" s="543"/>
      <c r="JLD31" s="543"/>
      <c r="JLE31" s="543"/>
      <c r="JLF31" s="543"/>
      <c r="JLG31" s="543"/>
      <c r="JLH31" s="543"/>
      <c r="JLI31" s="543"/>
      <c r="JLJ31" s="543"/>
      <c r="JLK31" s="543"/>
      <c r="JLL31" s="543"/>
      <c r="JLM31" s="543"/>
      <c r="JLN31" s="543"/>
      <c r="JLO31" s="543"/>
      <c r="JLP31" s="543"/>
      <c r="JLQ31" s="543"/>
      <c r="JLR31" s="543"/>
      <c r="JLS31" s="543"/>
      <c r="JLT31" s="543"/>
      <c r="JLU31" s="543"/>
      <c r="JLV31" s="543"/>
      <c r="JLW31" s="543"/>
      <c r="JLX31" s="543"/>
      <c r="JLY31" s="543"/>
      <c r="JLZ31" s="543"/>
      <c r="JMA31" s="543"/>
      <c r="JMB31" s="543"/>
      <c r="JMC31" s="543"/>
      <c r="JMD31" s="543"/>
      <c r="JME31" s="543"/>
      <c r="JMF31" s="543"/>
      <c r="JMG31" s="543"/>
      <c r="JMH31" s="543"/>
      <c r="JMI31" s="543"/>
      <c r="JMJ31" s="543"/>
      <c r="JMK31" s="543"/>
      <c r="JML31" s="543"/>
      <c r="JMM31" s="543"/>
      <c r="JMN31" s="543"/>
      <c r="JMO31" s="543"/>
      <c r="JMP31" s="543"/>
      <c r="JMQ31" s="543"/>
      <c r="JMR31" s="543"/>
      <c r="JMS31" s="543"/>
      <c r="JMT31" s="543"/>
      <c r="JMU31" s="543"/>
      <c r="JMV31" s="543"/>
      <c r="JMW31" s="543"/>
      <c r="JMX31" s="543"/>
      <c r="JMY31" s="543"/>
      <c r="JMZ31" s="543"/>
      <c r="JNA31" s="543"/>
      <c r="JNB31" s="543"/>
      <c r="JNC31" s="543"/>
      <c r="JND31" s="543"/>
      <c r="JNE31" s="543"/>
      <c r="JNF31" s="543"/>
      <c r="JNG31" s="543"/>
      <c r="JNH31" s="543"/>
      <c r="JNI31" s="543"/>
      <c r="JNJ31" s="543"/>
      <c r="JNK31" s="543"/>
      <c r="JNL31" s="543"/>
      <c r="JNM31" s="543"/>
      <c r="JNN31" s="543"/>
      <c r="JNO31" s="543"/>
      <c r="JNP31" s="543"/>
      <c r="JNQ31" s="543"/>
      <c r="JNR31" s="543"/>
      <c r="JNS31" s="543"/>
      <c r="JNT31" s="543"/>
      <c r="JNU31" s="543"/>
      <c r="JNV31" s="543"/>
      <c r="JNW31" s="543"/>
      <c r="JNX31" s="543"/>
      <c r="JNY31" s="543"/>
      <c r="JNZ31" s="543"/>
      <c r="JOA31" s="543"/>
      <c r="JOB31" s="543"/>
      <c r="JOC31" s="543"/>
      <c r="JOD31" s="543"/>
      <c r="JOE31" s="543"/>
      <c r="JOF31" s="543"/>
      <c r="JOG31" s="543"/>
      <c r="JOH31" s="543"/>
      <c r="JOI31" s="543"/>
      <c r="JOJ31" s="543"/>
      <c r="JOK31" s="543"/>
      <c r="JOL31" s="543"/>
      <c r="JOM31" s="543"/>
      <c r="JON31" s="543"/>
      <c r="JOO31" s="543"/>
      <c r="JOP31" s="543"/>
      <c r="JOQ31" s="543"/>
      <c r="JOR31" s="543"/>
      <c r="JOS31" s="543"/>
      <c r="JOT31" s="543"/>
      <c r="JOU31" s="543"/>
      <c r="JOV31" s="543"/>
      <c r="JOW31" s="543"/>
      <c r="JOX31" s="543"/>
      <c r="JOY31" s="543"/>
      <c r="JOZ31" s="543"/>
      <c r="JPA31" s="543"/>
      <c r="JPB31" s="543"/>
      <c r="JPC31" s="543"/>
      <c r="JPD31" s="543"/>
      <c r="JPE31" s="543"/>
      <c r="JPF31" s="543"/>
      <c r="JPG31" s="543"/>
      <c r="JPH31" s="543"/>
      <c r="JPI31" s="543"/>
      <c r="JPJ31" s="543"/>
      <c r="JPK31" s="543"/>
      <c r="JPL31" s="543"/>
      <c r="JPM31" s="543"/>
      <c r="JPN31" s="543"/>
      <c r="JPO31" s="543"/>
      <c r="JPP31" s="543"/>
      <c r="JPQ31" s="543"/>
      <c r="JPR31" s="543"/>
      <c r="JPS31" s="543"/>
      <c r="JPT31" s="543"/>
      <c r="JPU31" s="543"/>
      <c r="JPV31" s="543"/>
      <c r="JPW31" s="543"/>
      <c r="JPX31" s="543"/>
      <c r="JPY31" s="543"/>
      <c r="JPZ31" s="543"/>
      <c r="JQA31" s="543"/>
      <c r="JQB31" s="543"/>
      <c r="JQC31" s="543"/>
      <c r="JQD31" s="543"/>
      <c r="JQE31" s="543"/>
      <c r="JQF31" s="543"/>
      <c r="JQG31" s="543"/>
      <c r="JQH31" s="543"/>
      <c r="JQI31" s="543"/>
      <c r="JQJ31" s="543"/>
      <c r="JQK31" s="543"/>
      <c r="JQL31" s="543"/>
      <c r="JQM31" s="543"/>
      <c r="JQN31" s="543"/>
      <c r="JQO31" s="543"/>
      <c r="JQP31" s="543"/>
      <c r="JQQ31" s="543"/>
      <c r="JQR31" s="543"/>
      <c r="JQS31" s="543"/>
      <c r="JQT31" s="543"/>
      <c r="JQU31" s="543"/>
      <c r="JQV31" s="543"/>
      <c r="JQW31" s="543"/>
      <c r="JQX31" s="543"/>
      <c r="JQY31" s="543"/>
      <c r="JQZ31" s="543"/>
      <c r="JRA31" s="543"/>
      <c r="JRB31" s="543"/>
      <c r="JRC31" s="543"/>
      <c r="JRD31" s="543"/>
      <c r="JRE31" s="543"/>
      <c r="JRF31" s="543"/>
      <c r="JRG31" s="543"/>
      <c r="JRH31" s="543"/>
      <c r="JRI31" s="543"/>
      <c r="JRJ31" s="543"/>
      <c r="JRK31" s="543"/>
      <c r="JRL31" s="543"/>
      <c r="JRM31" s="543"/>
      <c r="JRN31" s="543"/>
      <c r="JRO31" s="543"/>
      <c r="JRP31" s="543"/>
      <c r="JRQ31" s="543"/>
      <c r="JRR31" s="543"/>
      <c r="JRS31" s="543"/>
      <c r="JRT31" s="543"/>
      <c r="JRU31" s="543"/>
      <c r="JRV31" s="543"/>
      <c r="JRW31" s="543"/>
      <c r="JRX31" s="543"/>
      <c r="JRY31" s="543"/>
      <c r="JRZ31" s="543"/>
      <c r="JSA31" s="543"/>
      <c r="JSB31" s="543"/>
      <c r="JSC31" s="543"/>
      <c r="JSD31" s="543"/>
      <c r="JSE31" s="543"/>
      <c r="JSF31" s="543"/>
      <c r="JSG31" s="543"/>
      <c r="JSH31" s="543"/>
      <c r="JSI31" s="543"/>
      <c r="JSJ31" s="543"/>
      <c r="JSK31" s="543"/>
      <c r="JSL31" s="543"/>
      <c r="JSM31" s="543"/>
      <c r="JSN31" s="543"/>
      <c r="JSO31" s="543"/>
      <c r="JSP31" s="543"/>
      <c r="JSQ31" s="543"/>
      <c r="JSR31" s="543"/>
      <c r="JSS31" s="543"/>
      <c r="JST31" s="543"/>
      <c r="JSU31" s="543"/>
      <c r="JSV31" s="543"/>
      <c r="JSW31" s="543"/>
      <c r="JSX31" s="543"/>
      <c r="JSY31" s="543"/>
      <c r="JSZ31" s="543"/>
      <c r="JTA31" s="543"/>
      <c r="JTB31" s="543"/>
      <c r="JTC31" s="543"/>
      <c r="JTD31" s="543"/>
      <c r="JTE31" s="543"/>
      <c r="JTF31" s="543"/>
      <c r="JTG31" s="543"/>
      <c r="JTH31" s="543"/>
      <c r="JTI31" s="543"/>
      <c r="JTJ31" s="543"/>
      <c r="JTK31" s="543"/>
      <c r="JTL31" s="543"/>
      <c r="JTM31" s="543"/>
      <c r="JTN31" s="543"/>
      <c r="JTO31" s="543"/>
      <c r="JTP31" s="543"/>
      <c r="JTQ31" s="543"/>
      <c r="JTR31" s="543"/>
      <c r="JTS31" s="543"/>
      <c r="JTT31" s="543"/>
      <c r="JTU31" s="543"/>
      <c r="JTV31" s="543"/>
      <c r="JTW31" s="543"/>
      <c r="JTX31" s="543"/>
      <c r="JTY31" s="543"/>
      <c r="JTZ31" s="543"/>
      <c r="JUA31" s="543"/>
      <c r="JUB31" s="543"/>
      <c r="JUC31" s="543"/>
      <c r="JUD31" s="543"/>
      <c r="JUE31" s="543"/>
      <c r="JUF31" s="543"/>
      <c r="JUG31" s="543"/>
      <c r="JUH31" s="543"/>
      <c r="JUI31" s="543"/>
      <c r="JUJ31" s="543"/>
      <c r="JUK31" s="543"/>
      <c r="JUL31" s="543"/>
      <c r="JUM31" s="543"/>
      <c r="JUN31" s="543"/>
      <c r="JUO31" s="543"/>
      <c r="JUP31" s="543"/>
      <c r="JUQ31" s="543"/>
      <c r="JUR31" s="543"/>
      <c r="JUS31" s="543"/>
      <c r="JUT31" s="543"/>
      <c r="JUU31" s="543"/>
      <c r="JUV31" s="543"/>
      <c r="JUW31" s="543"/>
      <c r="JUX31" s="543"/>
      <c r="JUY31" s="543"/>
      <c r="JUZ31" s="543"/>
      <c r="JVA31" s="543"/>
      <c r="JVB31" s="543"/>
      <c r="JVC31" s="543"/>
      <c r="JVD31" s="543"/>
      <c r="JVE31" s="543"/>
      <c r="JVF31" s="543"/>
      <c r="JVG31" s="543"/>
      <c r="JVH31" s="543"/>
      <c r="JVI31" s="543"/>
      <c r="JVJ31" s="543"/>
      <c r="JVK31" s="543"/>
      <c r="JVL31" s="543"/>
      <c r="JVM31" s="543"/>
      <c r="JVN31" s="543"/>
      <c r="JVO31" s="543"/>
      <c r="JVP31" s="543"/>
      <c r="JVQ31" s="543"/>
      <c r="JVR31" s="543"/>
      <c r="JVS31" s="543"/>
      <c r="JVT31" s="543"/>
      <c r="JVU31" s="543"/>
      <c r="JVV31" s="543"/>
      <c r="JVW31" s="543"/>
      <c r="JVX31" s="543"/>
      <c r="JVY31" s="543"/>
      <c r="JVZ31" s="543"/>
      <c r="JWA31" s="543"/>
      <c r="JWB31" s="543"/>
      <c r="JWC31" s="543"/>
      <c r="JWD31" s="543"/>
      <c r="JWE31" s="543"/>
      <c r="JWF31" s="543"/>
      <c r="JWG31" s="543"/>
      <c r="JWH31" s="543"/>
      <c r="JWI31" s="543"/>
      <c r="JWJ31" s="543"/>
      <c r="JWK31" s="543"/>
      <c r="JWL31" s="543"/>
      <c r="JWM31" s="543"/>
      <c r="JWN31" s="543"/>
      <c r="JWO31" s="543"/>
      <c r="JWP31" s="543"/>
      <c r="JWQ31" s="543"/>
      <c r="JWR31" s="543"/>
      <c r="JWS31" s="543"/>
      <c r="JWT31" s="543"/>
      <c r="JWU31" s="543"/>
      <c r="JWV31" s="543"/>
      <c r="JWW31" s="543"/>
      <c r="JWX31" s="543"/>
      <c r="JWY31" s="543"/>
      <c r="JWZ31" s="543"/>
      <c r="JXA31" s="543"/>
      <c r="JXB31" s="543"/>
      <c r="JXC31" s="543"/>
      <c r="JXD31" s="543"/>
      <c r="JXE31" s="543"/>
      <c r="JXF31" s="543"/>
      <c r="JXG31" s="543"/>
      <c r="JXH31" s="543"/>
      <c r="JXI31" s="543"/>
      <c r="JXJ31" s="543"/>
      <c r="JXK31" s="543"/>
      <c r="JXL31" s="543"/>
      <c r="JXM31" s="543"/>
      <c r="JXN31" s="543"/>
      <c r="JXO31" s="543"/>
      <c r="JXP31" s="543"/>
      <c r="JXQ31" s="543"/>
      <c r="JXR31" s="543"/>
      <c r="JXS31" s="543"/>
      <c r="JXT31" s="543"/>
      <c r="JXU31" s="543"/>
      <c r="JXV31" s="543"/>
      <c r="JXW31" s="543"/>
      <c r="JXX31" s="543"/>
      <c r="JXY31" s="543"/>
      <c r="JXZ31" s="543"/>
      <c r="JYA31" s="543"/>
      <c r="JYB31" s="543"/>
      <c r="JYC31" s="543"/>
      <c r="JYD31" s="543"/>
      <c r="JYE31" s="543"/>
      <c r="JYF31" s="543"/>
      <c r="JYG31" s="543"/>
      <c r="JYH31" s="543"/>
      <c r="JYI31" s="543"/>
      <c r="JYJ31" s="543"/>
      <c r="JYK31" s="543"/>
      <c r="JYL31" s="543"/>
      <c r="JYM31" s="543"/>
      <c r="JYN31" s="543"/>
      <c r="JYO31" s="543"/>
      <c r="JYP31" s="543"/>
      <c r="JYQ31" s="543"/>
      <c r="JYR31" s="543"/>
      <c r="JYS31" s="543"/>
      <c r="JYT31" s="543"/>
      <c r="JYU31" s="543"/>
      <c r="JYV31" s="543"/>
      <c r="JYW31" s="543"/>
      <c r="JYX31" s="543"/>
      <c r="JYY31" s="543"/>
      <c r="JYZ31" s="543"/>
      <c r="JZA31" s="543"/>
      <c r="JZB31" s="543"/>
      <c r="JZC31" s="543"/>
      <c r="JZD31" s="543"/>
      <c r="JZE31" s="543"/>
      <c r="JZF31" s="543"/>
      <c r="JZG31" s="543"/>
      <c r="JZH31" s="543"/>
      <c r="JZI31" s="543"/>
      <c r="JZJ31" s="543"/>
      <c r="JZK31" s="543"/>
      <c r="JZL31" s="543"/>
      <c r="JZM31" s="543"/>
      <c r="JZN31" s="543"/>
      <c r="JZO31" s="543"/>
      <c r="JZP31" s="543"/>
      <c r="JZQ31" s="543"/>
      <c r="JZR31" s="543"/>
      <c r="JZS31" s="543"/>
      <c r="JZT31" s="543"/>
      <c r="JZU31" s="543"/>
      <c r="JZV31" s="543"/>
      <c r="JZW31" s="543"/>
      <c r="JZX31" s="543"/>
      <c r="JZY31" s="543"/>
      <c r="JZZ31" s="543"/>
      <c r="KAA31" s="543"/>
      <c r="KAB31" s="543"/>
      <c r="KAC31" s="543"/>
      <c r="KAD31" s="543"/>
      <c r="KAE31" s="543"/>
      <c r="KAF31" s="543"/>
      <c r="KAG31" s="543"/>
      <c r="KAH31" s="543"/>
      <c r="KAI31" s="543"/>
      <c r="KAJ31" s="543"/>
      <c r="KAK31" s="543"/>
      <c r="KAL31" s="543"/>
      <c r="KAM31" s="543"/>
      <c r="KAN31" s="543"/>
      <c r="KAO31" s="543"/>
      <c r="KAP31" s="543"/>
      <c r="KAQ31" s="543"/>
      <c r="KAR31" s="543"/>
      <c r="KAS31" s="543"/>
      <c r="KAT31" s="543"/>
      <c r="KAU31" s="543"/>
      <c r="KAV31" s="543"/>
      <c r="KAW31" s="543"/>
      <c r="KAX31" s="543"/>
      <c r="KAY31" s="543"/>
      <c r="KAZ31" s="543"/>
      <c r="KBA31" s="543"/>
      <c r="KBB31" s="543"/>
      <c r="KBC31" s="543"/>
      <c r="KBD31" s="543"/>
      <c r="KBE31" s="543"/>
      <c r="KBF31" s="543"/>
      <c r="KBG31" s="543"/>
      <c r="KBH31" s="543"/>
      <c r="KBI31" s="543"/>
      <c r="KBJ31" s="543"/>
      <c r="KBK31" s="543"/>
      <c r="KBL31" s="543"/>
      <c r="KBM31" s="543"/>
      <c r="KBN31" s="543"/>
      <c r="KBO31" s="543"/>
      <c r="KBP31" s="543"/>
      <c r="KBQ31" s="543"/>
      <c r="KBR31" s="543"/>
      <c r="KBS31" s="543"/>
      <c r="KBT31" s="543"/>
      <c r="KBU31" s="543"/>
      <c r="KBV31" s="543"/>
      <c r="KBW31" s="543"/>
      <c r="KBX31" s="543"/>
      <c r="KBY31" s="543"/>
      <c r="KBZ31" s="543"/>
      <c r="KCA31" s="543"/>
      <c r="KCB31" s="543"/>
      <c r="KCC31" s="543"/>
      <c r="KCD31" s="543"/>
      <c r="KCE31" s="543"/>
      <c r="KCF31" s="543"/>
      <c r="KCG31" s="543"/>
      <c r="KCH31" s="543"/>
      <c r="KCI31" s="543"/>
      <c r="KCJ31" s="543"/>
      <c r="KCK31" s="543"/>
      <c r="KCL31" s="543"/>
      <c r="KCM31" s="543"/>
      <c r="KCN31" s="543"/>
      <c r="KCO31" s="543"/>
      <c r="KCP31" s="543"/>
      <c r="KCQ31" s="543"/>
      <c r="KCR31" s="543"/>
      <c r="KCS31" s="543"/>
      <c r="KCT31" s="543"/>
      <c r="KCU31" s="543"/>
      <c r="KCV31" s="543"/>
      <c r="KCW31" s="543"/>
      <c r="KCX31" s="543"/>
      <c r="KCY31" s="543"/>
      <c r="KCZ31" s="543"/>
      <c r="KDA31" s="543"/>
      <c r="KDB31" s="543"/>
      <c r="KDC31" s="543"/>
      <c r="KDD31" s="543"/>
      <c r="KDE31" s="543"/>
      <c r="KDF31" s="543"/>
      <c r="KDG31" s="543"/>
      <c r="KDH31" s="543"/>
      <c r="KDI31" s="543"/>
      <c r="KDJ31" s="543"/>
      <c r="KDK31" s="543"/>
      <c r="KDL31" s="543"/>
      <c r="KDM31" s="543"/>
      <c r="KDN31" s="543"/>
      <c r="KDO31" s="543"/>
      <c r="KDP31" s="543"/>
      <c r="KDQ31" s="543"/>
      <c r="KDR31" s="543"/>
      <c r="KDS31" s="543"/>
      <c r="KDT31" s="543"/>
      <c r="KDU31" s="543"/>
      <c r="KDV31" s="543"/>
      <c r="KDW31" s="543"/>
      <c r="KDX31" s="543"/>
      <c r="KDY31" s="543"/>
      <c r="KDZ31" s="543"/>
      <c r="KEA31" s="543"/>
      <c r="KEB31" s="543"/>
      <c r="KEC31" s="543"/>
      <c r="KED31" s="543"/>
      <c r="KEE31" s="543"/>
      <c r="KEF31" s="543"/>
      <c r="KEG31" s="543"/>
      <c r="KEH31" s="543"/>
      <c r="KEI31" s="543"/>
      <c r="KEJ31" s="543"/>
      <c r="KEK31" s="543"/>
      <c r="KEL31" s="543"/>
      <c r="KEM31" s="543"/>
      <c r="KEN31" s="543"/>
      <c r="KEO31" s="543"/>
      <c r="KEP31" s="543"/>
      <c r="KEQ31" s="543"/>
      <c r="KER31" s="543"/>
      <c r="KES31" s="543"/>
      <c r="KET31" s="543"/>
      <c r="KEU31" s="543"/>
      <c r="KEV31" s="543"/>
      <c r="KEW31" s="543"/>
      <c r="KEX31" s="543"/>
      <c r="KEY31" s="543"/>
      <c r="KEZ31" s="543"/>
      <c r="KFA31" s="543"/>
      <c r="KFB31" s="543"/>
      <c r="KFC31" s="543"/>
      <c r="KFD31" s="543"/>
      <c r="KFE31" s="543"/>
      <c r="KFF31" s="543"/>
      <c r="KFG31" s="543"/>
      <c r="KFH31" s="543"/>
      <c r="KFI31" s="543"/>
      <c r="KFJ31" s="543"/>
      <c r="KFK31" s="543"/>
      <c r="KFL31" s="543"/>
      <c r="KFM31" s="543"/>
      <c r="KFN31" s="543"/>
      <c r="KFO31" s="543"/>
      <c r="KFP31" s="543"/>
      <c r="KFQ31" s="543"/>
      <c r="KFR31" s="543"/>
      <c r="KFS31" s="543"/>
      <c r="KFT31" s="543"/>
      <c r="KFU31" s="543"/>
      <c r="KFV31" s="543"/>
      <c r="KFW31" s="543"/>
      <c r="KFX31" s="543"/>
      <c r="KFY31" s="543"/>
      <c r="KFZ31" s="543"/>
      <c r="KGA31" s="543"/>
      <c r="KGB31" s="543"/>
      <c r="KGC31" s="543"/>
      <c r="KGD31" s="543"/>
      <c r="KGE31" s="543"/>
      <c r="KGF31" s="543"/>
      <c r="KGG31" s="543"/>
      <c r="KGH31" s="543"/>
      <c r="KGI31" s="543"/>
      <c r="KGJ31" s="543"/>
      <c r="KGK31" s="543"/>
      <c r="KGL31" s="543"/>
      <c r="KGM31" s="543"/>
      <c r="KGN31" s="543"/>
      <c r="KGO31" s="543"/>
      <c r="KGP31" s="543"/>
      <c r="KGQ31" s="543"/>
      <c r="KGR31" s="543"/>
      <c r="KGS31" s="543"/>
      <c r="KGT31" s="543"/>
      <c r="KGU31" s="543"/>
      <c r="KGV31" s="543"/>
      <c r="KGW31" s="543"/>
      <c r="KGX31" s="543"/>
      <c r="KGY31" s="543"/>
      <c r="KGZ31" s="543"/>
      <c r="KHA31" s="543"/>
      <c r="KHB31" s="543"/>
      <c r="KHC31" s="543"/>
      <c r="KHD31" s="543"/>
      <c r="KHE31" s="543"/>
      <c r="KHF31" s="543"/>
      <c r="KHG31" s="543"/>
      <c r="KHH31" s="543"/>
      <c r="KHI31" s="543"/>
      <c r="KHJ31" s="543"/>
      <c r="KHK31" s="543"/>
      <c r="KHL31" s="543"/>
      <c r="KHM31" s="543"/>
      <c r="KHN31" s="543"/>
      <c r="KHO31" s="543"/>
      <c r="KHP31" s="543"/>
      <c r="KHQ31" s="543"/>
      <c r="KHR31" s="543"/>
      <c r="KHS31" s="543"/>
      <c r="KHT31" s="543"/>
      <c r="KHU31" s="543"/>
      <c r="KHV31" s="543"/>
      <c r="KHW31" s="543"/>
      <c r="KHX31" s="543"/>
      <c r="KHY31" s="543"/>
      <c r="KHZ31" s="543"/>
      <c r="KIA31" s="543"/>
      <c r="KIB31" s="543"/>
      <c r="KIC31" s="543"/>
      <c r="KID31" s="543"/>
      <c r="KIE31" s="543"/>
      <c r="KIF31" s="543"/>
      <c r="KIG31" s="543"/>
      <c r="KIH31" s="543"/>
      <c r="KII31" s="543"/>
      <c r="KIJ31" s="543"/>
      <c r="KIK31" s="543"/>
      <c r="KIL31" s="543"/>
      <c r="KIM31" s="543"/>
      <c r="KIN31" s="543"/>
      <c r="KIO31" s="543"/>
      <c r="KIP31" s="543"/>
      <c r="KIQ31" s="543"/>
      <c r="KIR31" s="543"/>
      <c r="KIS31" s="543"/>
      <c r="KIT31" s="543"/>
      <c r="KIU31" s="543"/>
      <c r="KIV31" s="543"/>
      <c r="KIW31" s="543"/>
      <c r="KIX31" s="543"/>
      <c r="KIY31" s="543"/>
      <c r="KIZ31" s="543"/>
      <c r="KJA31" s="543"/>
      <c r="KJB31" s="543"/>
      <c r="KJC31" s="543"/>
      <c r="KJD31" s="543"/>
      <c r="KJE31" s="543"/>
      <c r="KJF31" s="543"/>
      <c r="KJG31" s="543"/>
      <c r="KJH31" s="543"/>
      <c r="KJI31" s="543"/>
      <c r="KJJ31" s="543"/>
      <c r="KJK31" s="543"/>
      <c r="KJL31" s="543"/>
      <c r="KJM31" s="543"/>
      <c r="KJN31" s="543"/>
      <c r="KJO31" s="543"/>
      <c r="KJP31" s="543"/>
      <c r="KJQ31" s="543"/>
      <c r="KJR31" s="543"/>
      <c r="KJS31" s="543"/>
      <c r="KJT31" s="543"/>
      <c r="KJU31" s="543"/>
      <c r="KJV31" s="543"/>
      <c r="KJW31" s="543"/>
      <c r="KJX31" s="543"/>
      <c r="KJY31" s="543"/>
      <c r="KJZ31" s="543"/>
      <c r="KKA31" s="543"/>
      <c r="KKB31" s="543"/>
      <c r="KKC31" s="543"/>
      <c r="KKD31" s="543"/>
      <c r="KKE31" s="543"/>
      <c r="KKF31" s="543"/>
      <c r="KKG31" s="543"/>
      <c r="KKH31" s="543"/>
      <c r="KKI31" s="543"/>
      <c r="KKJ31" s="543"/>
      <c r="KKK31" s="543"/>
      <c r="KKL31" s="543"/>
      <c r="KKM31" s="543"/>
      <c r="KKN31" s="543"/>
      <c r="KKO31" s="543"/>
      <c r="KKP31" s="543"/>
      <c r="KKQ31" s="543"/>
      <c r="KKR31" s="543"/>
      <c r="KKS31" s="543"/>
      <c r="KKT31" s="543"/>
      <c r="KKU31" s="543"/>
      <c r="KKV31" s="543"/>
      <c r="KKW31" s="543"/>
      <c r="KKX31" s="543"/>
      <c r="KKY31" s="543"/>
      <c r="KKZ31" s="543"/>
      <c r="KLA31" s="543"/>
      <c r="KLB31" s="543"/>
      <c r="KLC31" s="543"/>
      <c r="KLD31" s="543"/>
      <c r="KLE31" s="543"/>
      <c r="KLF31" s="543"/>
      <c r="KLG31" s="543"/>
      <c r="KLH31" s="543"/>
      <c r="KLI31" s="543"/>
      <c r="KLJ31" s="543"/>
      <c r="KLK31" s="543"/>
      <c r="KLL31" s="543"/>
      <c r="KLM31" s="543"/>
      <c r="KLN31" s="543"/>
      <c r="KLO31" s="543"/>
      <c r="KLP31" s="543"/>
      <c r="KLQ31" s="543"/>
      <c r="KLR31" s="543"/>
      <c r="KLS31" s="543"/>
      <c r="KLT31" s="543"/>
      <c r="KLU31" s="543"/>
      <c r="KLV31" s="543"/>
      <c r="KLW31" s="543"/>
      <c r="KLX31" s="543"/>
      <c r="KLY31" s="543"/>
      <c r="KLZ31" s="543"/>
      <c r="KMA31" s="543"/>
      <c r="KMB31" s="543"/>
      <c r="KMC31" s="543"/>
      <c r="KMD31" s="543"/>
      <c r="KME31" s="543"/>
      <c r="KMF31" s="543"/>
      <c r="KMG31" s="543"/>
      <c r="KMH31" s="543"/>
      <c r="KMI31" s="543"/>
      <c r="KMJ31" s="543"/>
      <c r="KMK31" s="543"/>
      <c r="KML31" s="543"/>
      <c r="KMM31" s="543"/>
      <c r="KMN31" s="543"/>
      <c r="KMO31" s="543"/>
      <c r="KMP31" s="543"/>
      <c r="KMQ31" s="543"/>
      <c r="KMR31" s="543"/>
      <c r="KMS31" s="543"/>
      <c r="KMT31" s="543"/>
      <c r="KMU31" s="543"/>
      <c r="KMV31" s="543"/>
      <c r="KMW31" s="543"/>
      <c r="KMX31" s="543"/>
      <c r="KMY31" s="543"/>
      <c r="KMZ31" s="543"/>
      <c r="KNA31" s="543"/>
      <c r="KNB31" s="543"/>
      <c r="KNC31" s="543"/>
      <c r="KND31" s="543"/>
      <c r="KNE31" s="543"/>
      <c r="KNF31" s="543"/>
      <c r="KNG31" s="543"/>
      <c r="KNH31" s="543"/>
      <c r="KNI31" s="543"/>
      <c r="KNJ31" s="543"/>
      <c r="KNK31" s="543"/>
      <c r="KNL31" s="543"/>
      <c r="KNM31" s="543"/>
      <c r="KNN31" s="543"/>
      <c r="KNO31" s="543"/>
      <c r="KNP31" s="543"/>
      <c r="KNQ31" s="543"/>
      <c r="KNR31" s="543"/>
      <c r="KNS31" s="543"/>
      <c r="KNT31" s="543"/>
      <c r="KNU31" s="543"/>
      <c r="KNV31" s="543"/>
      <c r="KNW31" s="543"/>
      <c r="KNX31" s="543"/>
      <c r="KNY31" s="543"/>
      <c r="KNZ31" s="543"/>
      <c r="KOA31" s="543"/>
      <c r="KOB31" s="543"/>
      <c r="KOC31" s="543"/>
      <c r="KOD31" s="543"/>
      <c r="KOE31" s="543"/>
      <c r="KOF31" s="543"/>
      <c r="KOG31" s="543"/>
      <c r="KOH31" s="543"/>
      <c r="KOI31" s="543"/>
      <c r="KOJ31" s="543"/>
      <c r="KOK31" s="543"/>
      <c r="KOL31" s="543"/>
      <c r="KOM31" s="543"/>
      <c r="KON31" s="543"/>
      <c r="KOO31" s="543"/>
      <c r="KOP31" s="543"/>
      <c r="KOQ31" s="543"/>
      <c r="KOR31" s="543"/>
      <c r="KOS31" s="543"/>
      <c r="KOT31" s="543"/>
      <c r="KOU31" s="543"/>
      <c r="KOV31" s="543"/>
      <c r="KOW31" s="543"/>
      <c r="KOX31" s="543"/>
      <c r="KOY31" s="543"/>
      <c r="KOZ31" s="543"/>
      <c r="KPA31" s="543"/>
      <c r="KPB31" s="543"/>
      <c r="KPC31" s="543"/>
      <c r="KPD31" s="543"/>
      <c r="KPE31" s="543"/>
      <c r="KPF31" s="543"/>
      <c r="KPG31" s="543"/>
      <c r="KPH31" s="543"/>
      <c r="KPI31" s="543"/>
      <c r="KPJ31" s="543"/>
      <c r="KPK31" s="543"/>
      <c r="KPL31" s="543"/>
      <c r="KPM31" s="543"/>
      <c r="KPN31" s="543"/>
      <c r="KPO31" s="543"/>
      <c r="KPP31" s="543"/>
      <c r="KPQ31" s="543"/>
      <c r="KPR31" s="543"/>
      <c r="KPS31" s="543"/>
      <c r="KPT31" s="543"/>
      <c r="KPU31" s="543"/>
      <c r="KPV31" s="543"/>
      <c r="KPW31" s="543"/>
      <c r="KPX31" s="543"/>
      <c r="KPY31" s="543"/>
      <c r="KPZ31" s="543"/>
      <c r="KQA31" s="543"/>
      <c r="KQB31" s="543"/>
      <c r="KQC31" s="543"/>
      <c r="KQD31" s="543"/>
      <c r="KQE31" s="543"/>
      <c r="KQF31" s="543"/>
      <c r="KQG31" s="543"/>
      <c r="KQH31" s="543"/>
      <c r="KQI31" s="543"/>
      <c r="KQJ31" s="543"/>
      <c r="KQK31" s="543"/>
      <c r="KQL31" s="543"/>
      <c r="KQM31" s="543"/>
      <c r="KQN31" s="543"/>
      <c r="KQO31" s="543"/>
      <c r="KQP31" s="543"/>
      <c r="KQQ31" s="543"/>
      <c r="KQR31" s="543"/>
      <c r="KQS31" s="543"/>
      <c r="KQT31" s="543"/>
      <c r="KQU31" s="543"/>
      <c r="KQV31" s="543"/>
      <c r="KQW31" s="543"/>
      <c r="KQX31" s="543"/>
      <c r="KQY31" s="543"/>
      <c r="KQZ31" s="543"/>
      <c r="KRA31" s="543"/>
      <c r="KRB31" s="543"/>
      <c r="KRC31" s="543"/>
      <c r="KRD31" s="543"/>
      <c r="KRE31" s="543"/>
      <c r="KRF31" s="543"/>
      <c r="KRG31" s="543"/>
      <c r="KRH31" s="543"/>
      <c r="KRI31" s="543"/>
      <c r="KRJ31" s="543"/>
      <c r="KRK31" s="543"/>
      <c r="KRL31" s="543"/>
      <c r="KRM31" s="543"/>
      <c r="KRN31" s="543"/>
      <c r="KRO31" s="543"/>
      <c r="KRP31" s="543"/>
      <c r="KRQ31" s="543"/>
      <c r="KRR31" s="543"/>
      <c r="KRS31" s="543"/>
      <c r="KRT31" s="543"/>
      <c r="KRU31" s="543"/>
      <c r="KRV31" s="543"/>
      <c r="KRW31" s="543"/>
      <c r="KRX31" s="543"/>
      <c r="KRY31" s="543"/>
      <c r="KRZ31" s="543"/>
      <c r="KSA31" s="543"/>
      <c r="KSB31" s="543"/>
      <c r="KSC31" s="543"/>
      <c r="KSD31" s="543"/>
      <c r="KSE31" s="543"/>
      <c r="KSF31" s="543"/>
      <c r="KSG31" s="543"/>
      <c r="KSH31" s="543"/>
      <c r="KSI31" s="543"/>
      <c r="KSJ31" s="543"/>
      <c r="KSK31" s="543"/>
      <c r="KSL31" s="543"/>
      <c r="KSM31" s="543"/>
      <c r="KSN31" s="543"/>
      <c r="KSO31" s="543"/>
      <c r="KSP31" s="543"/>
      <c r="KSQ31" s="543"/>
      <c r="KSR31" s="543"/>
      <c r="KSS31" s="543"/>
      <c r="KST31" s="543"/>
      <c r="KSU31" s="543"/>
      <c r="KSV31" s="543"/>
      <c r="KSW31" s="543"/>
      <c r="KSX31" s="543"/>
      <c r="KSY31" s="543"/>
      <c r="KSZ31" s="543"/>
      <c r="KTA31" s="543"/>
      <c r="KTB31" s="543"/>
      <c r="KTC31" s="543"/>
      <c r="KTD31" s="543"/>
      <c r="KTE31" s="543"/>
      <c r="KTF31" s="543"/>
      <c r="KTG31" s="543"/>
      <c r="KTH31" s="543"/>
      <c r="KTI31" s="543"/>
      <c r="KTJ31" s="543"/>
      <c r="KTK31" s="543"/>
      <c r="KTL31" s="543"/>
      <c r="KTM31" s="543"/>
      <c r="KTN31" s="543"/>
      <c r="KTO31" s="543"/>
      <c r="KTP31" s="543"/>
      <c r="KTQ31" s="543"/>
      <c r="KTR31" s="543"/>
      <c r="KTS31" s="543"/>
      <c r="KTT31" s="543"/>
      <c r="KTU31" s="543"/>
      <c r="KTV31" s="543"/>
      <c r="KTW31" s="543"/>
      <c r="KTX31" s="543"/>
      <c r="KTY31" s="543"/>
      <c r="KTZ31" s="543"/>
      <c r="KUA31" s="543"/>
      <c r="KUB31" s="543"/>
      <c r="KUC31" s="543"/>
      <c r="KUD31" s="543"/>
      <c r="KUE31" s="543"/>
      <c r="KUF31" s="543"/>
      <c r="KUG31" s="543"/>
      <c r="KUH31" s="543"/>
      <c r="KUI31" s="543"/>
      <c r="KUJ31" s="543"/>
      <c r="KUK31" s="543"/>
      <c r="KUL31" s="543"/>
      <c r="KUM31" s="543"/>
      <c r="KUN31" s="543"/>
      <c r="KUO31" s="543"/>
      <c r="KUP31" s="543"/>
      <c r="KUQ31" s="543"/>
      <c r="KUR31" s="543"/>
      <c r="KUS31" s="543"/>
      <c r="KUT31" s="543"/>
      <c r="KUU31" s="543"/>
      <c r="KUV31" s="543"/>
      <c r="KUW31" s="543"/>
      <c r="KUX31" s="543"/>
      <c r="KUY31" s="543"/>
      <c r="KUZ31" s="543"/>
      <c r="KVA31" s="543"/>
      <c r="KVB31" s="543"/>
      <c r="KVC31" s="543"/>
      <c r="KVD31" s="543"/>
      <c r="KVE31" s="543"/>
      <c r="KVF31" s="543"/>
      <c r="KVG31" s="543"/>
      <c r="KVH31" s="543"/>
      <c r="KVI31" s="543"/>
      <c r="KVJ31" s="543"/>
      <c r="KVK31" s="543"/>
      <c r="KVL31" s="543"/>
      <c r="KVM31" s="543"/>
      <c r="KVN31" s="543"/>
      <c r="KVO31" s="543"/>
      <c r="KVP31" s="543"/>
      <c r="KVQ31" s="543"/>
      <c r="KVR31" s="543"/>
      <c r="KVS31" s="543"/>
      <c r="KVT31" s="543"/>
      <c r="KVU31" s="543"/>
      <c r="KVV31" s="543"/>
      <c r="KVW31" s="543"/>
      <c r="KVX31" s="543"/>
      <c r="KVY31" s="543"/>
      <c r="KVZ31" s="543"/>
      <c r="KWA31" s="543"/>
      <c r="KWB31" s="543"/>
      <c r="KWC31" s="543"/>
      <c r="KWD31" s="543"/>
      <c r="KWE31" s="543"/>
      <c r="KWF31" s="543"/>
      <c r="KWG31" s="543"/>
      <c r="KWH31" s="543"/>
      <c r="KWI31" s="543"/>
      <c r="KWJ31" s="543"/>
      <c r="KWK31" s="543"/>
      <c r="KWL31" s="543"/>
      <c r="KWM31" s="543"/>
      <c r="KWN31" s="543"/>
      <c r="KWO31" s="543"/>
      <c r="KWP31" s="543"/>
      <c r="KWQ31" s="543"/>
      <c r="KWR31" s="543"/>
      <c r="KWS31" s="543"/>
      <c r="KWT31" s="543"/>
      <c r="KWU31" s="543"/>
      <c r="KWV31" s="543"/>
      <c r="KWW31" s="543"/>
      <c r="KWX31" s="543"/>
      <c r="KWY31" s="543"/>
      <c r="KWZ31" s="543"/>
      <c r="KXA31" s="543"/>
      <c r="KXB31" s="543"/>
      <c r="KXC31" s="543"/>
      <c r="KXD31" s="543"/>
      <c r="KXE31" s="543"/>
      <c r="KXF31" s="543"/>
      <c r="KXG31" s="543"/>
      <c r="KXH31" s="543"/>
      <c r="KXI31" s="543"/>
      <c r="KXJ31" s="543"/>
      <c r="KXK31" s="543"/>
      <c r="KXL31" s="543"/>
      <c r="KXM31" s="543"/>
      <c r="KXN31" s="543"/>
      <c r="KXO31" s="543"/>
      <c r="KXP31" s="543"/>
      <c r="KXQ31" s="543"/>
      <c r="KXR31" s="543"/>
      <c r="KXS31" s="543"/>
      <c r="KXT31" s="543"/>
      <c r="KXU31" s="543"/>
      <c r="KXV31" s="543"/>
      <c r="KXW31" s="543"/>
      <c r="KXX31" s="543"/>
      <c r="KXY31" s="543"/>
      <c r="KXZ31" s="543"/>
      <c r="KYA31" s="543"/>
      <c r="KYB31" s="543"/>
      <c r="KYC31" s="543"/>
      <c r="KYD31" s="543"/>
      <c r="KYE31" s="543"/>
      <c r="KYF31" s="543"/>
      <c r="KYG31" s="543"/>
      <c r="KYH31" s="543"/>
      <c r="KYI31" s="543"/>
      <c r="KYJ31" s="543"/>
      <c r="KYK31" s="543"/>
      <c r="KYL31" s="543"/>
      <c r="KYM31" s="543"/>
      <c r="KYN31" s="543"/>
      <c r="KYO31" s="543"/>
      <c r="KYP31" s="543"/>
      <c r="KYQ31" s="543"/>
      <c r="KYR31" s="543"/>
      <c r="KYS31" s="543"/>
      <c r="KYT31" s="543"/>
      <c r="KYU31" s="543"/>
      <c r="KYV31" s="543"/>
      <c r="KYW31" s="543"/>
      <c r="KYX31" s="543"/>
      <c r="KYY31" s="543"/>
      <c r="KYZ31" s="543"/>
      <c r="KZA31" s="543"/>
      <c r="KZB31" s="543"/>
      <c r="KZC31" s="543"/>
      <c r="KZD31" s="543"/>
      <c r="KZE31" s="543"/>
      <c r="KZF31" s="543"/>
      <c r="KZG31" s="543"/>
      <c r="KZH31" s="543"/>
      <c r="KZI31" s="543"/>
      <c r="KZJ31" s="543"/>
      <c r="KZK31" s="543"/>
      <c r="KZL31" s="543"/>
      <c r="KZM31" s="543"/>
      <c r="KZN31" s="543"/>
      <c r="KZO31" s="543"/>
      <c r="KZP31" s="543"/>
      <c r="KZQ31" s="543"/>
      <c r="KZR31" s="543"/>
      <c r="KZS31" s="543"/>
      <c r="KZT31" s="543"/>
      <c r="KZU31" s="543"/>
      <c r="KZV31" s="543"/>
      <c r="KZW31" s="543"/>
      <c r="KZX31" s="543"/>
      <c r="KZY31" s="543"/>
      <c r="KZZ31" s="543"/>
      <c r="LAA31" s="543"/>
      <c r="LAB31" s="543"/>
      <c r="LAC31" s="543"/>
      <c r="LAD31" s="543"/>
      <c r="LAE31" s="543"/>
      <c r="LAF31" s="543"/>
      <c r="LAG31" s="543"/>
      <c r="LAH31" s="543"/>
      <c r="LAI31" s="543"/>
      <c r="LAJ31" s="543"/>
      <c r="LAK31" s="543"/>
      <c r="LAL31" s="543"/>
      <c r="LAM31" s="543"/>
      <c r="LAN31" s="543"/>
      <c r="LAO31" s="543"/>
      <c r="LAP31" s="543"/>
      <c r="LAQ31" s="543"/>
      <c r="LAR31" s="543"/>
      <c r="LAS31" s="543"/>
      <c r="LAT31" s="543"/>
      <c r="LAU31" s="543"/>
      <c r="LAV31" s="543"/>
      <c r="LAW31" s="543"/>
      <c r="LAX31" s="543"/>
      <c r="LAY31" s="543"/>
      <c r="LAZ31" s="543"/>
      <c r="LBA31" s="543"/>
      <c r="LBB31" s="543"/>
      <c r="LBC31" s="543"/>
      <c r="LBD31" s="543"/>
      <c r="LBE31" s="543"/>
      <c r="LBF31" s="543"/>
      <c r="LBG31" s="543"/>
      <c r="LBH31" s="543"/>
      <c r="LBI31" s="543"/>
      <c r="LBJ31" s="543"/>
      <c r="LBK31" s="543"/>
      <c r="LBL31" s="543"/>
      <c r="LBM31" s="543"/>
      <c r="LBN31" s="543"/>
      <c r="LBO31" s="543"/>
      <c r="LBP31" s="543"/>
      <c r="LBQ31" s="543"/>
      <c r="LBR31" s="543"/>
      <c r="LBS31" s="543"/>
      <c r="LBT31" s="543"/>
      <c r="LBU31" s="543"/>
      <c r="LBV31" s="543"/>
      <c r="LBW31" s="543"/>
      <c r="LBX31" s="543"/>
      <c r="LBY31" s="543"/>
      <c r="LBZ31" s="543"/>
      <c r="LCA31" s="543"/>
      <c r="LCB31" s="543"/>
      <c r="LCC31" s="543"/>
      <c r="LCD31" s="543"/>
      <c r="LCE31" s="543"/>
      <c r="LCF31" s="543"/>
      <c r="LCG31" s="543"/>
      <c r="LCH31" s="543"/>
      <c r="LCI31" s="543"/>
      <c r="LCJ31" s="543"/>
      <c r="LCK31" s="543"/>
      <c r="LCL31" s="543"/>
      <c r="LCM31" s="543"/>
      <c r="LCN31" s="543"/>
      <c r="LCO31" s="543"/>
      <c r="LCP31" s="543"/>
      <c r="LCQ31" s="543"/>
      <c r="LCR31" s="543"/>
      <c r="LCS31" s="543"/>
      <c r="LCT31" s="543"/>
      <c r="LCU31" s="543"/>
      <c r="LCV31" s="543"/>
      <c r="LCW31" s="543"/>
      <c r="LCX31" s="543"/>
      <c r="LCY31" s="543"/>
      <c r="LCZ31" s="543"/>
      <c r="LDA31" s="543"/>
      <c r="LDB31" s="543"/>
      <c r="LDC31" s="543"/>
      <c r="LDD31" s="543"/>
      <c r="LDE31" s="543"/>
      <c r="LDF31" s="543"/>
      <c r="LDG31" s="543"/>
      <c r="LDH31" s="543"/>
      <c r="LDI31" s="543"/>
      <c r="LDJ31" s="543"/>
      <c r="LDK31" s="543"/>
      <c r="LDL31" s="543"/>
      <c r="LDM31" s="543"/>
      <c r="LDN31" s="543"/>
      <c r="LDO31" s="543"/>
      <c r="LDP31" s="543"/>
      <c r="LDQ31" s="543"/>
      <c r="LDR31" s="543"/>
      <c r="LDS31" s="543"/>
      <c r="LDT31" s="543"/>
      <c r="LDU31" s="543"/>
      <c r="LDV31" s="543"/>
      <c r="LDW31" s="543"/>
      <c r="LDX31" s="543"/>
      <c r="LDY31" s="543"/>
      <c r="LDZ31" s="543"/>
      <c r="LEA31" s="543"/>
      <c r="LEB31" s="543"/>
      <c r="LEC31" s="543"/>
      <c r="LED31" s="543"/>
      <c r="LEE31" s="543"/>
      <c r="LEF31" s="543"/>
      <c r="LEG31" s="543"/>
      <c r="LEH31" s="543"/>
      <c r="LEI31" s="543"/>
      <c r="LEJ31" s="543"/>
      <c r="LEK31" s="543"/>
      <c r="LEL31" s="543"/>
      <c r="LEM31" s="543"/>
      <c r="LEN31" s="543"/>
      <c r="LEO31" s="543"/>
      <c r="LEP31" s="543"/>
      <c r="LEQ31" s="543"/>
      <c r="LER31" s="543"/>
      <c r="LES31" s="543"/>
      <c r="LET31" s="543"/>
      <c r="LEU31" s="543"/>
      <c r="LEV31" s="543"/>
      <c r="LEW31" s="543"/>
      <c r="LEX31" s="543"/>
      <c r="LEY31" s="543"/>
      <c r="LEZ31" s="543"/>
      <c r="LFA31" s="543"/>
      <c r="LFB31" s="543"/>
      <c r="LFC31" s="543"/>
      <c r="LFD31" s="543"/>
      <c r="LFE31" s="543"/>
      <c r="LFF31" s="543"/>
      <c r="LFG31" s="543"/>
      <c r="LFH31" s="543"/>
      <c r="LFI31" s="543"/>
      <c r="LFJ31" s="543"/>
      <c r="LFK31" s="543"/>
      <c r="LFL31" s="543"/>
      <c r="LFM31" s="543"/>
      <c r="LFN31" s="543"/>
      <c r="LFO31" s="543"/>
      <c r="LFP31" s="543"/>
      <c r="LFQ31" s="543"/>
      <c r="LFR31" s="543"/>
      <c r="LFS31" s="543"/>
      <c r="LFT31" s="543"/>
      <c r="LFU31" s="543"/>
      <c r="LFV31" s="543"/>
      <c r="LFW31" s="543"/>
      <c r="LFX31" s="543"/>
      <c r="LFY31" s="543"/>
      <c r="LFZ31" s="543"/>
      <c r="LGA31" s="543"/>
      <c r="LGB31" s="543"/>
      <c r="LGC31" s="543"/>
      <c r="LGD31" s="543"/>
      <c r="LGE31" s="543"/>
      <c r="LGF31" s="543"/>
      <c r="LGG31" s="543"/>
      <c r="LGH31" s="543"/>
      <c r="LGI31" s="543"/>
      <c r="LGJ31" s="543"/>
      <c r="LGK31" s="543"/>
      <c r="LGL31" s="543"/>
      <c r="LGM31" s="543"/>
      <c r="LGN31" s="543"/>
      <c r="LGO31" s="543"/>
      <c r="LGP31" s="543"/>
      <c r="LGQ31" s="543"/>
      <c r="LGR31" s="543"/>
      <c r="LGS31" s="543"/>
      <c r="LGT31" s="543"/>
      <c r="LGU31" s="543"/>
      <c r="LGV31" s="543"/>
      <c r="LGW31" s="543"/>
      <c r="LGX31" s="543"/>
      <c r="LGY31" s="543"/>
      <c r="LGZ31" s="543"/>
      <c r="LHA31" s="543"/>
      <c r="LHB31" s="543"/>
      <c r="LHC31" s="543"/>
      <c r="LHD31" s="543"/>
      <c r="LHE31" s="543"/>
      <c r="LHF31" s="543"/>
      <c r="LHG31" s="543"/>
      <c r="LHH31" s="543"/>
      <c r="LHI31" s="543"/>
      <c r="LHJ31" s="543"/>
      <c r="LHK31" s="543"/>
      <c r="LHL31" s="543"/>
      <c r="LHM31" s="543"/>
      <c r="LHN31" s="543"/>
      <c r="LHO31" s="543"/>
      <c r="LHP31" s="543"/>
      <c r="LHQ31" s="543"/>
      <c r="LHR31" s="543"/>
      <c r="LHS31" s="543"/>
      <c r="LHT31" s="543"/>
      <c r="LHU31" s="543"/>
      <c r="LHV31" s="543"/>
      <c r="LHW31" s="543"/>
      <c r="LHX31" s="543"/>
      <c r="LHY31" s="543"/>
      <c r="LHZ31" s="543"/>
      <c r="LIA31" s="543"/>
      <c r="LIB31" s="543"/>
      <c r="LIC31" s="543"/>
      <c r="LID31" s="543"/>
      <c r="LIE31" s="543"/>
      <c r="LIF31" s="543"/>
      <c r="LIG31" s="543"/>
      <c r="LIH31" s="543"/>
      <c r="LII31" s="543"/>
      <c r="LIJ31" s="543"/>
      <c r="LIK31" s="543"/>
      <c r="LIL31" s="543"/>
      <c r="LIM31" s="543"/>
      <c r="LIN31" s="543"/>
      <c r="LIO31" s="543"/>
      <c r="LIP31" s="543"/>
      <c r="LIQ31" s="543"/>
      <c r="LIR31" s="543"/>
      <c r="LIS31" s="543"/>
      <c r="LIT31" s="543"/>
      <c r="LIU31" s="543"/>
      <c r="LIV31" s="543"/>
      <c r="LIW31" s="543"/>
      <c r="LIX31" s="543"/>
      <c r="LIY31" s="543"/>
      <c r="LIZ31" s="543"/>
      <c r="LJA31" s="543"/>
      <c r="LJB31" s="543"/>
      <c r="LJC31" s="543"/>
      <c r="LJD31" s="543"/>
      <c r="LJE31" s="543"/>
      <c r="LJF31" s="543"/>
      <c r="LJG31" s="543"/>
      <c r="LJH31" s="543"/>
      <c r="LJI31" s="543"/>
      <c r="LJJ31" s="543"/>
      <c r="LJK31" s="543"/>
      <c r="LJL31" s="543"/>
      <c r="LJM31" s="543"/>
      <c r="LJN31" s="543"/>
      <c r="LJO31" s="543"/>
      <c r="LJP31" s="543"/>
      <c r="LJQ31" s="543"/>
      <c r="LJR31" s="543"/>
      <c r="LJS31" s="543"/>
      <c r="LJT31" s="543"/>
      <c r="LJU31" s="543"/>
      <c r="LJV31" s="543"/>
      <c r="LJW31" s="543"/>
      <c r="LJX31" s="543"/>
      <c r="LJY31" s="543"/>
      <c r="LJZ31" s="543"/>
      <c r="LKA31" s="543"/>
      <c r="LKB31" s="543"/>
      <c r="LKC31" s="543"/>
      <c r="LKD31" s="543"/>
      <c r="LKE31" s="543"/>
      <c r="LKF31" s="543"/>
      <c r="LKG31" s="543"/>
      <c r="LKH31" s="543"/>
      <c r="LKI31" s="543"/>
      <c r="LKJ31" s="543"/>
      <c r="LKK31" s="543"/>
      <c r="LKL31" s="543"/>
      <c r="LKM31" s="543"/>
      <c r="LKN31" s="543"/>
      <c r="LKO31" s="543"/>
      <c r="LKP31" s="543"/>
      <c r="LKQ31" s="543"/>
      <c r="LKR31" s="543"/>
      <c r="LKS31" s="543"/>
      <c r="LKT31" s="543"/>
      <c r="LKU31" s="543"/>
      <c r="LKV31" s="543"/>
      <c r="LKW31" s="543"/>
      <c r="LKX31" s="543"/>
      <c r="LKY31" s="543"/>
      <c r="LKZ31" s="543"/>
      <c r="LLA31" s="543"/>
      <c r="LLB31" s="543"/>
      <c r="LLC31" s="543"/>
      <c r="LLD31" s="543"/>
      <c r="LLE31" s="543"/>
      <c r="LLF31" s="543"/>
      <c r="LLG31" s="543"/>
      <c r="LLH31" s="543"/>
      <c r="LLI31" s="543"/>
      <c r="LLJ31" s="543"/>
      <c r="LLK31" s="543"/>
      <c r="LLL31" s="543"/>
      <c r="LLM31" s="543"/>
      <c r="LLN31" s="543"/>
      <c r="LLO31" s="543"/>
      <c r="LLP31" s="543"/>
      <c r="LLQ31" s="543"/>
      <c r="LLR31" s="543"/>
      <c r="LLS31" s="543"/>
      <c r="LLT31" s="543"/>
      <c r="LLU31" s="543"/>
      <c r="LLV31" s="543"/>
      <c r="LLW31" s="543"/>
      <c r="LLX31" s="543"/>
      <c r="LLY31" s="543"/>
      <c r="LLZ31" s="543"/>
      <c r="LMA31" s="543"/>
      <c r="LMB31" s="543"/>
      <c r="LMC31" s="543"/>
      <c r="LMD31" s="543"/>
      <c r="LME31" s="543"/>
      <c r="LMF31" s="543"/>
      <c r="LMG31" s="543"/>
      <c r="LMH31" s="543"/>
      <c r="LMI31" s="543"/>
      <c r="LMJ31" s="543"/>
      <c r="LMK31" s="543"/>
      <c r="LML31" s="543"/>
      <c r="LMM31" s="543"/>
      <c r="LMN31" s="543"/>
      <c r="LMO31" s="543"/>
      <c r="LMP31" s="543"/>
      <c r="LMQ31" s="543"/>
      <c r="LMR31" s="543"/>
      <c r="LMS31" s="543"/>
      <c r="LMT31" s="543"/>
      <c r="LMU31" s="543"/>
      <c r="LMV31" s="543"/>
      <c r="LMW31" s="543"/>
      <c r="LMX31" s="543"/>
      <c r="LMY31" s="543"/>
      <c r="LMZ31" s="543"/>
      <c r="LNA31" s="543"/>
      <c r="LNB31" s="543"/>
      <c r="LNC31" s="543"/>
      <c r="LND31" s="543"/>
      <c r="LNE31" s="543"/>
      <c r="LNF31" s="543"/>
      <c r="LNG31" s="543"/>
      <c r="LNH31" s="543"/>
      <c r="LNI31" s="543"/>
      <c r="LNJ31" s="543"/>
      <c r="LNK31" s="543"/>
      <c r="LNL31" s="543"/>
      <c r="LNM31" s="543"/>
      <c r="LNN31" s="543"/>
      <c r="LNO31" s="543"/>
      <c r="LNP31" s="543"/>
      <c r="LNQ31" s="543"/>
      <c r="LNR31" s="543"/>
      <c r="LNS31" s="543"/>
      <c r="LNT31" s="543"/>
      <c r="LNU31" s="543"/>
      <c r="LNV31" s="543"/>
      <c r="LNW31" s="543"/>
      <c r="LNX31" s="543"/>
      <c r="LNY31" s="543"/>
      <c r="LNZ31" s="543"/>
      <c r="LOA31" s="543"/>
      <c r="LOB31" s="543"/>
      <c r="LOC31" s="543"/>
      <c r="LOD31" s="543"/>
      <c r="LOE31" s="543"/>
      <c r="LOF31" s="543"/>
      <c r="LOG31" s="543"/>
      <c r="LOH31" s="543"/>
      <c r="LOI31" s="543"/>
      <c r="LOJ31" s="543"/>
      <c r="LOK31" s="543"/>
      <c r="LOL31" s="543"/>
      <c r="LOM31" s="543"/>
      <c r="LON31" s="543"/>
      <c r="LOO31" s="543"/>
      <c r="LOP31" s="543"/>
      <c r="LOQ31" s="543"/>
      <c r="LOR31" s="543"/>
      <c r="LOS31" s="543"/>
      <c r="LOT31" s="543"/>
      <c r="LOU31" s="543"/>
      <c r="LOV31" s="543"/>
      <c r="LOW31" s="543"/>
      <c r="LOX31" s="543"/>
      <c r="LOY31" s="543"/>
      <c r="LOZ31" s="543"/>
      <c r="LPA31" s="543"/>
      <c r="LPB31" s="543"/>
      <c r="LPC31" s="543"/>
      <c r="LPD31" s="543"/>
      <c r="LPE31" s="543"/>
      <c r="LPF31" s="543"/>
      <c r="LPG31" s="543"/>
      <c r="LPH31" s="543"/>
      <c r="LPI31" s="543"/>
      <c r="LPJ31" s="543"/>
      <c r="LPK31" s="543"/>
      <c r="LPL31" s="543"/>
      <c r="LPM31" s="543"/>
      <c r="LPN31" s="543"/>
      <c r="LPO31" s="543"/>
      <c r="LPP31" s="543"/>
      <c r="LPQ31" s="543"/>
      <c r="LPR31" s="543"/>
      <c r="LPS31" s="543"/>
      <c r="LPT31" s="543"/>
      <c r="LPU31" s="543"/>
      <c r="LPV31" s="543"/>
      <c r="LPW31" s="543"/>
      <c r="LPX31" s="543"/>
      <c r="LPY31" s="543"/>
      <c r="LPZ31" s="543"/>
      <c r="LQA31" s="543"/>
      <c r="LQB31" s="543"/>
      <c r="LQC31" s="543"/>
      <c r="LQD31" s="543"/>
      <c r="LQE31" s="543"/>
      <c r="LQF31" s="543"/>
      <c r="LQG31" s="543"/>
      <c r="LQH31" s="543"/>
      <c r="LQI31" s="543"/>
      <c r="LQJ31" s="543"/>
      <c r="LQK31" s="543"/>
      <c r="LQL31" s="543"/>
      <c r="LQM31" s="543"/>
      <c r="LQN31" s="543"/>
      <c r="LQO31" s="543"/>
      <c r="LQP31" s="543"/>
      <c r="LQQ31" s="543"/>
      <c r="LQR31" s="543"/>
      <c r="LQS31" s="543"/>
      <c r="LQT31" s="543"/>
      <c r="LQU31" s="543"/>
      <c r="LQV31" s="543"/>
      <c r="LQW31" s="543"/>
      <c r="LQX31" s="543"/>
      <c r="LQY31" s="543"/>
      <c r="LQZ31" s="543"/>
      <c r="LRA31" s="543"/>
      <c r="LRB31" s="543"/>
      <c r="LRC31" s="543"/>
      <c r="LRD31" s="543"/>
      <c r="LRE31" s="543"/>
      <c r="LRF31" s="543"/>
      <c r="LRG31" s="543"/>
      <c r="LRH31" s="543"/>
      <c r="LRI31" s="543"/>
      <c r="LRJ31" s="543"/>
      <c r="LRK31" s="543"/>
      <c r="LRL31" s="543"/>
      <c r="LRM31" s="543"/>
      <c r="LRN31" s="543"/>
      <c r="LRO31" s="543"/>
      <c r="LRP31" s="543"/>
      <c r="LRQ31" s="543"/>
      <c r="LRR31" s="543"/>
      <c r="LRS31" s="543"/>
      <c r="LRT31" s="543"/>
      <c r="LRU31" s="543"/>
      <c r="LRV31" s="543"/>
      <c r="LRW31" s="543"/>
      <c r="LRX31" s="543"/>
      <c r="LRY31" s="543"/>
      <c r="LRZ31" s="543"/>
      <c r="LSA31" s="543"/>
      <c r="LSB31" s="543"/>
      <c r="LSC31" s="543"/>
      <c r="LSD31" s="543"/>
      <c r="LSE31" s="543"/>
      <c r="LSF31" s="543"/>
      <c r="LSG31" s="543"/>
      <c r="LSH31" s="543"/>
      <c r="LSI31" s="543"/>
      <c r="LSJ31" s="543"/>
      <c r="LSK31" s="543"/>
      <c r="LSL31" s="543"/>
      <c r="LSM31" s="543"/>
      <c r="LSN31" s="543"/>
      <c r="LSO31" s="543"/>
      <c r="LSP31" s="543"/>
      <c r="LSQ31" s="543"/>
      <c r="LSR31" s="543"/>
      <c r="LSS31" s="543"/>
      <c r="LST31" s="543"/>
      <c r="LSU31" s="543"/>
      <c r="LSV31" s="543"/>
      <c r="LSW31" s="543"/>
      <c r="LSX31" s="543"/>
      <c r="LSY31" s="543"/>
      <c r="LSZ31" s="543"/>
      <c r="LTA31" s="543"/>
      <c r="LTB31" s="543"/>
      <c r="LTC31" s="543"/>
      <c r="LTD31" s="543"/>
      <c r="LTE31" s="543"/>
      <c r="LTF31" s="543"/>
      <c r="LTG31" s="543"/>
      <c r="LTH31" s="543"/>
      <c r="LTI31" s="543"/>
      <c r="LTJ31" s="543"/>
      <c r="LTK31" s="543"/>
      <c r="LTL31" s="543"/>
      <c r="LTM31" s="543"/>
      <c r="LTN31" s="543"/>
      <c r="LTO31" s="543"/>
      <c r="LTP31" s="543"/>
      <c r="LTQ31" s="543"/>
      <c r="LTR31" s="543"/>
      <c r="LTS31" s="543"/>
      <c r="LTT31" s="543"/>
      <c r="LTU31" s="543"/>
      <c r="LTV31" s="543"/>
      <c r="LTW31" s="543"/>
      <c r="LTX31" s="543"/>
      <c r="LTY31" s="543"/>
      <c r="LTZ31" s="543"/>
      <c r="LUA31" s="543"/>
      <c r="LUB31" s="543"/>
      <c r="LUC31" s="543"/>
      <c r="LUD31" s="543"/>
      <c r="LUE31" s="543"/>
      <c r="LUF31" s="543"/>
      <c r="LUG31" s="543"/>
      <c r="LUH31" s="543"/>
      <c r="LUI31" s="543"/>
      <c r="LUJ31" s="543"/>
      <c r="LUK31" s="543"/>
      <c r="LUL31" s="543"/>
      <c r="LUM31" s="543"/>
      <c r="LUN31" s="543"/>
      <c r="LUO31" s="543"/>
      <c r="LUP31" s="543"/>
      <c r="LUQ31" s="543"/>
      <c r="LUR31" s="543"/>
      <c r="LUS31" s="543"/>
      <c r="LUT31" s="543"/>
      <c r="LUU31" s="543"/>
      <c r="LUV31" s="543"/>
      <c r="LUW31" s="543"/>
      <c r="LUX31" s="543"/>
      <c r="LUY31" s="543"/>
      <c r="LUZ31" s="543"/>
      <c r="LVA31" s="543"/>
      <c r="LVB31" s="543"/>
      <c r="LVC31" s="543"/>
      <c r="LVD31" s="543"/>
      <c r="LVE31" s="543"/>
      <c r="LVF31" s="543"/>
      <c r="LVG31" s="543"/>
      <c r="LVH31" s="543"/>
      <c r="LVI31" s="543"/>
      <c r="LVJ31" s="543"/>
      <c r="LVK31" s="543"/>
      <c r="LVL31" s="543"/>
      <c r="LVM31" s="543"/>
      <c r="LVN31" s="543"/>
      <c r="LVO31" s="543"/>
      <c r="LVP31" s="543"/>
      <c r="LVQ31" s="543"/>
      <c r="LVR31" s="543"/>
      <c r="LVS31" s="543"/>
      <c r="LVT31" s="543"/>
      <c r="LVU31" s="543"/>
      <c r="LVV31" s="543"/>
      <c r="LVW31" s="543"/>
      <c r="LVX31" s="543"/>
      <c r="LVY31" s="543"/>
      <c r="LVZ31" s="543"/>
      <c r="LWA31" s="543"/>
      <c r="LWB31" s="543"/>
      <c r="LWC31" s="543"/>
      <c r="LWD31" s="543"/>
      <c r="LWE31" s="543"/>
      <c r="LWF31" s="543"/>
      <c r="LWG31" s="543"/>
      <c r="LWH31" s="543"/>
      <c r="LWI31" s="543"/>
      <c r="LWJ31" s="543"/>
      <c r="LWK31" s="543"/>
      <c r="LWL31" s="543"/>
      <c r="LWM31" s="543"/>
      <c r="LWN31" s="543"/>
      <c r="LWO31" s="543"/>
      <c r="LWP31" s="543"/>
      <c r="LWQ31" s="543"/>
      <c r="LWR31" s="543"/>
      <c r="LWS31" s="543"/>
      <c r="LWT31" s="543"/>
      <c r="LWU31" s="543"/>
      <c r="LWV31" s="543"/>
      <c r="LWW31" s="543"/>
      <c r="LWX31" s="543"/>
      <c r="LWY31" s="543"/>
      <c r="LWZ31" s="543"/>
      <c r="LXA31" s="543"/>
      <c r="LXB31" s="543"/>
      <c r="LXC31" s="543"/>
      <c r="LXD31" s="543"/>
      <c r="LXE31" s="543"/>
      <c r="LXF31" s="543"/>
      <c r="LXG31" s="543"/>
      <c r="LXH31" s="543"/>
      <c r="LXI31" s="543"/>
      <c r="LXJ31" s="543"/>
      <c r="LXK31" s="543"/>
      <c r="LXL31" s="543"/>
      <c r="LXM31" s="543"/>
      <c r="LXN31" s="543"/>
      <c r="LXO31" s="543"/>
      <c r="LXP31" s="543"/>
      <c r="LXQ31" s="543"/>
      <c r="LXR31" s="543"/>
      <c r="LXS31" s="543"/>
      <c r="LXT31" s="543"/>
      <c r="LXU31" s="543"/>
      <c r="LXV31" s="543"/>
      <c r="LXW31" s="543"/>
      <c r="LXX31" s="543"/>
      <c r="LXY31" s="543"/>
      <c r="LXZ31" s="543"/>
      <c r="LYA31" s="543"/>
      <c r="LYB31" s="543"/>
      <c r="LYC31" s="543"/>
      <c r="LYD31" s="543"/>
      <c r="LYE31" s="543"/>
      <c r="LYF31" s="543"/>
      <c r="LYG31" s="543"/>
      <c r="LYH31" s="543"/>
      <c r="LYI31" s="543"/>
      <c r="LYJ31" s="543"/>
      <c r="LYK31" s="543"/>
      <c r="LYL31" s="543"/>
      <c r="LYM31" s="543"/>
      <c r="LYN31" s="543"/>
      <c r="LYO31" s="543"/>
      <c r="LYP31" s="543"/>
      <c r="LYQ31" s="543"/>
      <c r="LYR31" s="543"/>
      <c r="LYS31" s="543"/>
      <c r="LYT31" s="543"/>
      <c r="LYU31" s="543"/>
      <c r="LYV31" s="543"/>
      <c r="LYW31" s="543"/>
      <c r="LYX31" s="543"/>
      <c r="LYY31" s="543"/>
      <c r="LYZ31" s="543"/>
      <c r="LZA31" s="543"/>
      <c r="LZB31" s="543"/>
      <c r="LZC31" s="543"/>
      <c r="LZD31" s="543"/>
      <c r="LZE31" s="543"/>
      <c r="LZF31" s="543"/>
      <c r="LZG31" s="543"/>
      <c r="LZH31" s="543"/>
      <c r="LZI31" s="543"/>
      <c r="LZJ31" s="543"/>
      <c r="LZK31" s="543"/>
      <c r="LZL31" s="543"/>
      <c r="LZM31" s="543"/>
      <c r="LZN31" s="543"/>
      <c r="LZO31" s="543"/>
      <c r="LZP31" s="543"/>
      <c r="LZQ31" s="543"/>
      <c r="LZR31" s="543"/>
      <c r="LZS31" s="543"/>
      <c r="LZT31" s="543"/>
      <c r="LZU31" s="543"/>
      <c r="LZV31" s="543"/>
      <c r="LZW31" s="543"/>
      <c r="LZX31" s="543"/>
      <c r="LZY31" s="543"/>
      <c r="LZZ31" s="543"/>
      <c r="MAA31" s="543"/>
      <c r="MAB31" s="543"/>
      <c r="MAC31" s="543"/>
      <c r="MAD31" s="543"/>
      <c r="MAE31" s="543"/>
      <c r="MAF31" s="543"/>
      <c r="MAG31" s="543"/>
      <c r="MAH31" s="543"/>
      <c r="MAI31" s="543"/>
      <c r="MAJ31" s="543"/>
      <c r="MAK31" s="543"/>
      <c r="MAL31" s="543"/>
      <c r="MAM31" s="543"/>
      <c r="MAN31" s="543"/>
      <c r="MAO31" s="543"/>
      <c r="MAP31" s="543"/>
      <c r="MAQ31" s="543"/>
      <c r="MAR31" s="543"/>
      <c r="MAS31" s="543"/>
      <c r="MAT31" s="543"/>
      <c r="MAU31" s="543"/>
      <c r="MAV31" s="543"/>
      <c r="MAW31" s="543"/>
      <c r="MAX31" s="543"/>
      <c r="MAY31" s="543"/>
      <c r="MAZ31" s="543"/>
      <c r="MBA31" s="543"/>
      <c r="MBB31" s="543"/>
      <c r="MBC31" s="543"/>
      <c r="MBD31" s="543"/>
      <c r="MBE31" s="543"/>
      <c r="MBF31" s="543"/>
      <c r="MBG31" s="543"/>
      <c r="MBH31" s="543"/>
      <c r="MBI31" s="543"/>
      <c r="MBJ31" s="543"/>
      <c r="MBK31" s="543"/>
      <c r="MBL31" s="543"/>
      <c r="MBM31" s="543"/>
      <c r="MBN31" s="543"/>
      <c r="MBO31" s="543"/>
      <c r="MBP31" s="543"/>
      <c r="MBQ31" s="543"/>
      <c r="MBR31" s="543"/>
      <c r="MBS31" s="543"/>
      <c r="MBT31" s="543"/>
      <c r="MBU31" s="543"/>
      <c r="MBV31" s="543"/>
      <c r="MBW31" s="543"/>
      <c r="MBX31" s="543"/>
      <c r="MBY31" s="543"/>
      <c r="MBZ31" s="543"/>
      <c r="MCA31" s="543"/>
      <c r="MCB31" s="543"/>
      <c r="MCC31" s="543"/>
      <c r="MCD31" s="543"/>
      <c r="MCE31" s="543"/>
      <c r="MCF31" s="543"/>
      <c r="MCG31" s="543"/>
      <c r="MCH31" s="543"/>
      <c r="MCI31" s="543"/>
      <c r="MCJ31" s="543"/>
      <c r="MCK31" s="543"/>
      <c r="MCL31" s="543"/>
      <c r="MCM31" s="543"/>
      <c r="MCN31" s="543"/>
      <c r="MCO31" s="543"/>
      <c r="MCP31" s="543"/>
      <c r="MCQ31" s="543"/>
      <c r="MCR31" s="543"/>
      <c r="MCS31" s="543"/>
      <c r="MCT31" s="543"/>
      <c r="MCU31" s="543"/>
      <c r="MCV31" s="543"/>
      <c r="MCW31" s="543"/>
      <c r="MCX31" s="543"/>
      <c r="MCY31" s="543"/>
      <c r="MCZ31" s="543"/>
      <c r="MDA31" s="543"/>
      <c r="MDB31" s="543"/>
      <c r="MDC31" s="543"/>
      <c r="MDD31" s="543"/>
      <c r="MDE31" s="543"/>
      <c r="MDF31" s="543"/>
      <c r="MDG31" s="543"/>
      <c r="MDH31" s="543"/>
      <c r="MDI31" s="543"/>
      <c r="MDJ31" s="543"/>
      <c r="MDK31" s="543"/>
      <c r="MDL31" s="543"/>
      <c r="MDM31" s="543"/>
      <c r="MDN31" s="543"/>
      <c r="MDO31" s="543"/>
      <c r="MDP31" s="543"/>
      <c r="MDQ31" s="543"/>
      <c r="MDR31" s="543"/>
      <c r="MDS31" s="543"/>
      <c r="MDT31" s="543"/>
      <c r="MDU31" s="543"/>
      <c r="MDV31" s="543"/>
      <c r="MDW31" s="543"/>
      <c r="MDX31" s="543"/>
      <c r="MDY31" s="543"/>
      <c r="MDZ31" s="543"/>
      <c r="MEA31" s="543"/>
      <c r="MEB31" s="543"/>
      <c r="MEC31" s="543"/>
      <c r="MED31" s="543"/>
      <c r="MEE31" s="543"/>
      <c r="MEF31" s="543"/>
      <c r="MEG31" s="543"/>
      <c r="MEH31" s="543"/>
      <c r="MEI31" s="543"/>
      <c r="MEJ31" s="543"/>
      <c r="MEK31" s="543"/>
      <c r="MEL31" s="543"/>
      <c r="MEM31" s="543"/>
      <c r="MEN31" s="543"/>
      <c r="MEO31" s="543"/>
      <c r="MEP31" s="543"/>
      <c r="MEQ31" s="543"/>
      <c r="MER31" s="543"/>
      <c r="MES31" s="543"/>
      <c r="MET31" s="543"/>
      <c r="MEU31" s="543"/>
      <c r="MEV31" s="543"/>
      <c r="MEW31" s="543"/>
      <c r="MEX31" s="543"/>
      <c r="MEY31" s="543"/>
      <c r="MEZ31" s="543"/>
      <c r="MFA31" s="543"/>
      <c r="MFB31" s="543"/>
      <c r="MFC31" s="543"/>
      <c r="MFD31" s="543"/>
      <c r="MFE31" s="543"/>
      <c r="MFF31" s="543"/>
      <c r="MFG31" s="543"/>
      <c r="MFH31" s="543"/>
      <c r="MFI31" s="543"/>
      <c r="MFJ31" s="543"/>
      <c r="MFK31" s="543"/>
      <c r="MFL31" s="543"/>
      <c r="MFM31" s="543"/>
      <c r="MFN31" s="543"/>
      <c r="MFO31" s="543"/>
      <c r="MFP31" s="543"/>
      <c r="MFQ31" s="543"/>
      <c r="MFR31" s="543"/>
      <c r="MFS31" s="543"/>
      <c r="MFT31" s="543"/>
      <c r="MFU31" s="543"/>
      <c r="MFV31" s="543"/>
      <c r="MFW31" s="543"/>
      <c r="MFX31" s="543"/>
      <c r="MFY31" s="543"/>
      <c r="MFZ31" s="543"/>
      <c r="MGA31" s="543"/>
      <c r="MGB31" s="543"/>
      <c r="MGC31" s="543"/>
      <c r="MGD31" s="543"/>
      <c r="MGE31" s="543"/>
      <c r="MGF31" s="543"/>
      <c r="MGG31" s="543"/>
      <c r="MGH31" s="543"/>
      <c r="MGI31" s="543"/>
      <c r="MGJ31" s="543"/>
      <c r="MGK31" s="543"/>
      <c r="MGL31" s="543"/>
      <c r="MGM31" s="543"/>
      <c r="MGN31" s="543"/>
      <c r="MGO31" s="543"/>
      <c r="MGP31" s="543"/>
      <c r="MGQ31" s="543"/>
      <c r="MGR31" s="543"/>
      <c r="MGS31" s="543"/>
      <c r="MGT31" s="543"/>
      <c r="MGU31" s="543"/>
      <c r="MGV31" s="543"/>
      <c r="MGW31" s="543"/>
      <c r="MGX31" s="543"/>
      <c r="MGY31" s="543"/>
      <c r="MGZ31" s="543"/>
      <c r="MHA31" s="543"/>
      <c r="MHB31" s="543"/>
      <c r="MHC31" s="543"/>
      <c r="MHD31" s="543"/>
      <c r="MHE31" s="543"/>
      <c r="MHF31" s="543"/>
      <c r="MHG31" s="543"/>
      <c r="MHH31" s="543"/>
      <c r="MHI31" s="543"/>
      <c r="MHJ31" s="543"/>
      <c r="MHK31" s="543"/>
      <c r="MHL31" s="543"/>
      <c r="MHM31" s="543"/>
      <c r="MHN31" s="543"/>
      <c r="MHO31" s="543"/>
      <c r="MHP31" s="543"/>
      <c r="MHQ31" s="543"/>
      <c r="MHR31" s="543"/>
      <c r="MHS31" s="543"/>
      <c r="MHT31" s="543"/>
      <c r="MHU31" s="543"/>
      <c r="MHV31" s="543"/>
      <c r="MHW31" s="543"/>
      <c r="MHX31" s="543"/>
      <c r="MHY31" s="543"/>
      <c r="MHZ31" s="543"/>
      <c r="MIA31" s="543"/>
      <c r="MIB31" s="543"/>
      <c r="MIC31" s="543"/>
      <c r="MID31" s="543"/>
      <c r="MIE31" s="543"/>
      <c r="MIF31" s="543"/>
      <c r="MIG31" s="543"/>
      <c r="MIH31" s="543"/>
      <c r="MII31" s="543"/>
      <c r="MIJ31" s="543"/>
      <c r="MIK31" s="543"/>
      <c r="MIL31" s="543"/>
      <c r="MIM31" s="543"/>
      <c r="MIN31" s="543"/>
      <c r="MIO31" s="543"/>
      <c r="MIP31" s="543"/>
      <c r="MIQ31" s="543"/>
      <c r="MIR31" s="543"/>
      <c r="MIS31" s="543"/>
      <c r="MIT31" s="543"/>
      <c r="MIU31" s="543"/>
      <c r="MIV31" s="543"/>
      <c r="MIW31" s="543"/>
      <c r="MIX31" s="543"/>
      <c r="MIY31" s="543"/>
      <c r="MIZ31" s="543"/>
      <c r="MJA31" s="543"/>
      <c r="MJB31" s="543"/>
      <c r="MJC31" s="543"/>
      <c r="MJD31" s="543"/>
      <c r="MJE31" s="543"/>
      <c r="MJF31" s="543"/>
      <c r="MJG31" s="543"/>
      <c r="MJH31" s="543"/>
      <c r="MJI31" s="543"/>
      <c r="MJJ31" s="543"/>
      <c r="MJK31" s="543"/>
      <c r="MJL31" s="543"/>
      <c r="MJM31" s="543"/>
      <c r="MJN31" s="543"/>
      <c r="MJO31" s="543"/>
      <c r="MJP31" s="543"/>
      <c r="MJQ31" s="543"/>
      <c r="MJR31" s="543"/>
      <c r="MJS31" s="543"/>
      <c r="MJT31" s="543"/>
      <c r="MJU31" s="543"/>
      <c r="MJV31" s="543"/>
      <c r="MJW31" s="543"/>
      <c r="MJX31" s="543"/>
      <c r="MJY31" s="543"/>
      <c r="MJZ31" s="543"/>
      <c r="MKA31" s="543"/>
      <c r="MKB31" s="543"/>
      <c r="MKC31" s="543"/>
      <c r="MKD31" s="543"/>
      <c r="MKE31" s="543"/>
      <c r="MKF31" s="543"/>
      <c r="MKG31" s="543"/>
      <c r="MKH31" s="543"/>
      <c r="MKI31" s="543"/>
      <c r="MKJ31" s="543"/>
      <c r="MKK31" s="543"/>
      <c r="MKL31" s="543"/>
      <c r="MKM31" s="543"/>
      <c r="MKN31" s="543"/>
      <c r="MKO31" s="543"/>
      <c r="MKP31" s="543"/>
      <c r="MKQ31" s="543"/>
      <c r="MKR31" s="543"/>
      <c r="MKS31" s="543"/>
      <c r="MKT31" s="543"/>
      <c r="MKU31" s="543"/>
      <c r="MKV31" s="543"/>
      <c r="MKW31" s="543"/>
      <c r="MKX31" s="543"/>
      <c r="MKY31" s="543"/>
      <c r="MKZ31" s="543"/>
      <c r="MLA31" s="543"/>
      <c r="MLB31" s="543"/>
      <c r="MLC31" s="543"/>
      <c r="MLD31" s="543"/>
      <c r="MLE31" s="543"/>
      <c r="MLF31" s="543"/>
      <c r="MLG31" s="543"/>
      <c r="MLH31" s="543"/>
      <c r="MLI31" s="543"/>
      <c r="MLJ31" s="543"/>
      <c r="MLK31" s="543"/>
      <c r="MLL31" s="543"/>
      <c r="MLM31" s="543"/>
      <c r="MLN31" s="543"/>
      <c r="MLO31" s="543"/>
      <c r="MLP31" s="543"/>
      <c r="MLQ31" s="543"/>
      <c r="MLR31" s="543"/>
      <c r="MLS31" s="543"/>
      <c r="MLT31" s="543"/>
      <c r="MLU31" s="543"/>
      <c r="MLV31" s="543"/>
      <c r="MLW31" s="543"/>
      <c r="MLX31" s="543"/>
      <c r="MLY31" s="543"/>
      <c r="MLZ31" s="543"/>
      <c r="MMA31" s="543"/>
      <c r="MMB31" s="543"/>
      <c r="MMC31" s="543"/>
      <c r="MMD31" s="543"/>
      <c r="MME31" s="543"/>
      <c r="MMF31" s="543"/>
      <c r="MMG31" s="543"/>
      <c r="MMH31" s="543"/>
      <c r="MMI31" s="543"/>
      <c r="MMJ31" s="543"/>
      <c r="MMK31" s="543"/>
      <c r="MML31" s="543"/>
      <c r="MMM31" s="543"/>
      <c r="MMN31" s="543"/>
      <c r="MMO31" s="543"/>
      <c r="MMP31" s="543"/>
      <c r="MMQ31" s="543"/>
      <c r="MMR31" s="543"/>
      <c r="MMS31" s="543"/>
      <c r="MMT31" s="543"/>
      <c r="MMU31" s="543"/>
      <c r="MMV31" s="543"/>
      <c r="MMW31" s="543"/>
      <c r="MMX31" s="543"/>
      <c r="MMY31" s="543"/>
      <c r="MMZ31" s="543"/>
      <c r="MNA31" s="543"/>
      <c r="MNB31" s="543"/>
      <c r="MNC31" s="543"/>
      <c r="MND31" s="543"/>
      <c r="MNE31" s="543"/>
      <c r="MNF31" s="543"/>
      <c r="MNG31" s="543"/>
      <c r="MNH31" s="543"/>
      <c r="MNI31" s="543"/>
      <c r="MNJ31" s="543"/>
      <c r="MNK31" s="543"/>
      <c r="MNL31" s="543"/>
      <c r="MNM31" s="543"/>
      <c r="MNN31" s="543"/>
      <c r="MNO31" s="543"/>
      <c r="MNP31" s="543"/>
      <c r="MNQ31" s="543"/>
      <c r="MNR31" s="543"/>
      <c r="MNS31" s="543"/>
      <c r="MNT31" s="543"/>
      <c r="MNU31" s="543"/>
      <c r="MNV31" s="543"/>
      <c r="MNW31" s="543"/>
      <c r="MNX31" s="543"/>
      <c r="MNY31" s="543"/>
      <c r="MNZ31" s="543"/>
      <c r="MOA31" s="543"/>
      <c r="MOB31" s="543"/>
      <c r="MOC31" s="543"/>
      <c r="MOD31" s="543"/>
      <c r="MOE31" s="543"/>
      <c r="MOF31" s="543"/>
      <c r="MOG31" s="543"/>
      <c r="MOH31" s="543"/>
      <c r="MOI31" s="543"/>
      <c r="MOJ31" s="543"/>
      <c r="MOK31" s="543"/>
      <c r="MOL31" s="543"/>
      <c r="MOM31" s="543"/>
      <c r="MON31" s="543"/>
      <c r="MOO31" s="543"/>
      <c r="MOP31" s="543"/>
      <c r="MOQ31" s="543"/>
      <c r="MOR31" s="543"/>
      <c r="MOS31" s="543"/>
      <c r="MOT31" s="543"/>
      <c r="MOU31" s="543"/>
      <c r="MOV31" s="543"/>
      <c r="MOW31" s="543"/>
      <c r="MOX31" s="543"/>
      <c r="MOY31" s="543"/>
      <c r="MOZ31" s="543"/>
      <c r="MPA31" s="543"/>
      <c r="MPB31" s="543"/>
      <c r="MPC31" s="543"/>
      <c r="MPD31" s="543"/>
      <c r="MPE31" s="543"/>
      <c r="MPF31" s="543"/>
      <c r="MPG31" s="543"/>
      <c r="MPH31" s="543"/>
      <c r="MPI31" s="543"/>
      <c r="MPJ31" s="543"/>
      <c r="MPK31" s="543"/>
      <c r="MPL31" s="543"/>
      <c r="MPM31" s="543"/>
      <c r="MPN31" s="543"/>
      <c r="MPO31" s="543"/>
      <c r="MPP31" s="543"/>
      <c r="MPQ31" s="543"/>
      <c r="MPR31" s="543"/>
      <c r="MPS31" s="543"/>
      <c r="MPT31" s="543"/>
      <c r="MPU31" s="543"/>
      <c r="MPV31" s="543"/>
      <c r="MPW31" s="543"/>
      <c r="MPX31" s="543"/>
      <c r="MPY31" s="543"/>
      <c r="MPZ31" s="543"/>
      <c r="MQA31" s="543"/>
      <c r="MQB31" s="543"/>
      <c r="MQC31" s="543"/>
      <c r="MQD31" s="543"/>
      <c r="MQE31" s="543"/>
      <c r="MQF31" s="543"/>
      <c r="MQG31" s="543"/>
      <c r="MQH31" s="543"/>
      <c r="MQI31" s="543"/>
      <c r="MQJ31" s="543"/>
      <c r="MQK31" s="543"/>
      <c r="MQL31" s="543"/>
      <c r="MQM31" s="543"/>
      <c r="MQN31" s="543"/>
      <c r="MQO31" s="543"/>
      <c r="MQP31" s="543"/>
      <c r="MQQ31" s="543"/>
      <c r="MQR31" s="543"/>
      <c r="MQS31" s="543"/>
      <c r="MQT31" s="543"/>
      <c r="MQU31" s="543"/>
      <c r="MQV31" s="543"/>
      <c r="MQW31" s="543"/>
      <c r="MQX31" s="543"/>
      <c r="MQY31" s="543"/>
      <c r="MQZ31" s="543"/>
      <c r="MRA31" s="543"/>
      <c r="MRB31" s="543"/>
      <c r="MRC31" s="543"/>
      <c r="MRD31" s="543"/>
      <c r="MRE31" s="543"/>
      <c r="MRF31" s="543"/>
      <c r="MRG31" s="543"/>
      <c r="MRH31" s="543"/>
      <c r="MRI31" s="543"/>
      <c r="MRJ31" s="543"/>
      <c r="MRK31" s="543"/>
      <c r="MRL31" s="543"/>
      <c r="MRM31" s="543"/>
      <c r="MRN31" s="543"/>
      <c r="MRO31" s="543"/>
      <c r="MRP31" s="543"/>
      <c r="MRQ31" s="543"/>
      <c r="MRR31" s="543"/>
      <c r="MRS31" s="543"/>
      <c r="MRT31" s="543"/>
      <c r="MRU31" s="543"/>
      <c r="MRV31" s="543"/>
      <c r="MRW31" s="543"/>
      <c r="MRX31" s="543"/>
      <c r="MRY31" s="543"/>
      <c r="MRZ31" s="543"/>
      <c r="MSA31" s="543"/>
      <c r="MSB31" s="543"/>
      <c r="MSC31" s="543"/>
      <c r="MSD31" s="543"/>
      <c r="MSE31" s="543"/>
      <c r="MSF31" s="543"/>
      <c r="MSG31" s="543"/>
      <c r="MSH31" s="543"/>
      <c r="MSI31" s="543"/>
      <c r="MSJ31" s="543"/>
      <c r="MSK31" s="543"/>
      <c r="MSL31" s="543"/>
      <c r="MSM31" s="543"/>
      <c r="MSN31" s="543"/>
      <c r="MSO31" s="543"/>
      <c r="MSP31" s="543"/>
      <c r="MSQ31" s="543"/>
      <c r="MSR31" s="543"/>
      <c r="MSS31" s="543"/>
      <c r="MST31" s="543"/>
      <c r="MSU31" s="543"/>
      <c r="MSV31" s="543"/>
      <c r="MSW31" s="543"/>
      <c r="MSX31" s="543"/>
      <c r="MSY31" s="543"/>
      <c r="MSZ31" s="543"/>
      <c r="MTA31" s="543"/>
      <c r="MTB31" s="543"/>
      <c r="MTC31" s="543"/>
      <c r="MTD31" s="543"/>
      <c r="MTE31" s="543"/>
      <c r="MTF31" s="543"/>
      <c r="MTG31" s="543"/>
      <c r="MTH31" s="543"/>
      <c r="MTI31" s="543"/>
      <c r="MTJ31" s="543"/>
      <c r="MTK31" s="543"/>
      <c r="MTL31" s="543"/>
      <c r="MTM31" s="543"/>
      <c r="MTN31" s="543"/>
      <c r="MTO31" s="543"/>
      <c r="MTP31" s="543"/>
      <c r="MTQ31" s="543"/>
      <c r="MTR31" s="543"/>
      <c r="MTS31" s="543"/>
      <c r="MTT31" s="543"/>
      <c r="MTU31" s="543"/>
      <c r="MTV31" s="543"/>
      <c r="MTW31" s="543"/>
      <c r="MTX31" s="543"/>
      <c r="MTY31" s="543"/>
      <c r="MTZ31" s="543"/>
      <c r="MUA31" s="543"/>
      <c r="MUB31" s="543"/>
      <c r="MUC31" s="543"/>
      <c r="MUD31" s="543"/>
      <c r="MUE31" s="543"/>
      <c r="MUF31" s="543"/>
      <c r="MUG31" s="543"/>
      <c r="MUH31" s="543"/>
      <c r="MUI31" s="543"/>
      <c r="MUJ31" s="543"/>
      <c r="MUK31" s="543"/>
      <c r="MUL31" s="543"/>
      <c r="MUM31" s="543"/>
      <c r="MUN31" s="543"/>
      <c r="MUO31" s="543"/>
      <c r="MUP31" s="543"/>
      <c r="MUQ31" s="543"/>
      <c r="MUR31" s="543"/>
      <c r="MUS31" s="543"/>
      <c r="MUT31" s="543"/>
      <c r="MUU31" s="543"/>
      <c r="MUV31" s="543"/>
      <c r="MUW31" s="543"/>
      <c r="MUX31" s="543"/>
      <c r="MUY31" s="543"/>
      <c r="MUZ31" s="543"/>
      <c r="MVA31" s="543"/>
      <c r="MVB31" s="543"/>
      <c r="MVC31" s="543"/>
      <c r="MVD31" s="543"/>
      <c r="MVE31" s="543"/>
      <c r="MVF31" s="543"/>
      <c r="MVG31" s="543"/>
      <c r="MVH31" s="543"/>
      <c r="MVI31" s="543"/>
      <c r="MVJ31" s="543"/>
      <c r="MVK31" s="543"/>
      <c r="MVL31" s="543"/>
      <c r="MVM31" s="543"/>
      <c r="MVN31" s="543"/>
      <c r="MVO31" s="543"/>
      <c r="MVP31" s="543"/>
      <c r="MVQ31" s="543"/>
      <c r="MVR31" s="543"/>
      <c r="MVS31" s="543"/>
      <c r="MVT31" s="543"/>
      <c r="MVU31" s="543"/>
      <c r="MVV31" s="543"/>
      <c r="MVW31" s="543"/>
      <c r="MVX31" s="543"/>
      <c r="MVY31" s="543"/>
      <c r="MVZ31" s="543"/>
      <c r="MWA31" s="543"/>
      <c r="MWB31" s="543"/>
      <c r="MWC31" s="543"/>
      <c r="MWD31" s="543"/>
      <c r="MWE31" s="543"/>
      <c r="MWF31" s="543"/>
      <c r="MWG31" s="543"/>
      <c r="MWH31" s="543"/>
      <c r="MWI31" s="543"/>
      <c r="MWJ31" s="543"/>
      <c r="MWK31" s="543"/>
      <c r="MWL31" s="543"/>
      <c r="MWM31" s="543"/>
      <c r="MWN31" s="543"/>
      <c r="MWO31" s="543"/>
      <c r="MWP31" s="543"/>
      <c r="MWQ31" s="543"/>
      <c r="MWR31" s="543"/>
      <c r="MWS31" s="543"/>
      <c r="MWT31" s="543"/>
      <c r="MWU31" s="543"/>
      <c r="MWV31" s="543"/>
      <c r="MWW31" s="543"/>
      <c r="MWX31" s="543"/>
      <c r="MWY31" s="543"/>
      <c r="MWZ31" s="543"/>
      <c r="MXA31" s="543"/>
      <c r="MXB31" s="543"/>
      <c r="MXC31" s="543"/>
      <c r="MXD31" s="543"/>
      <c r="MXE31" s="543"/>
      <c r="MXF31" s="543"/>
      <c r="MXG31" s="543"/>
      <c r="MXH31" s="543"/>
      <c r="MXI31" s="543"/>
      <c r="MXJ31" s="543"/>
      <c r="MXK31" s="543"/>
      <c r="MXL31" s="543"/>
      <c r="MXM31" s="543"/>
      <c r="MXN31" s="543"/>
      <c r="MXO31" s="543"/>
      <c r="MXP31" s="543"/>
      <c r="MXQ31" s="543"/>
      <c r="MXR31" s="543"/>
      <c r="MXS31" s="543"/>
      <c r="MXT31" s="543"/>
      <c r="MXU31" s="543"/>
      <c r="MXV31" s="543"/>
      <c r="MXW31" s="543"/>
      <c r="MXX31" s="543"/>
      <c r="MXY31" s="543"/>
      <c r="MXZ31" s="543"/>
      <c r="MYA31" s="543"/>
      <c r="MYB31" s="543"/>
      <c r="MYC31" s="543"/>
      <c r="MYD31" s="543"/>
      <c r="MYE31" s="543"/>
      <c r="MYF31" s="543"/>
      <c r="MYG31" s="543"/>
      <c r="MYH31" s="543"/>
      <c r="MYI31" s="543"/>
      <c r="MYJ31" s="543"/>
      <c r="MYK31" s="543"/>
      <c r="MYL31" s="543"/>
      <c r="MYM31" s="543"/>
      <c r="MYN31" s="543"/>
      <c r="MYO31" s="543"/>
      <c r="MYP31" s="543"/>
      <c r="MYQ31" s="543"/>
      <c r="MYR31" s="543"/>
      <c r="MYS31" s="543"/>
      <c r="MYT31" s="543"/>
      <c r="MYU31" s="543"/>
      <c r="MYV31" s="543"/>
      <c r="MYW31" s="543"/>
      <c r="MYX31" s="543"/>
      <c r="MYY31" s="543"/>
      <c r="MYZ31" s="543"/>
      <c r="MZA31" s="543"/>
      <c r="MZB31" s="543"/>
      <c r="MZC31" s="543"/>
      <c r="MZD31" s="543"/>
      <c r="MZE31" s="543"/>
      <c r="MZF31" s="543"/>
      <c r="MZG31" s="543"/>
      <c r="MZH31" s="543"/>
      <c r="MZI31" s="543"/>
      <c r="MZJ31" s="543"/>
      <c r="MZK31" s="543"/>
      <c r="MZL31" s="543"/>
      <c r="MZM31" s="543"/>
      <c r="MZN31" s="543"/>
      <c r="MZO31" s="543"/>
      <c r="MZP31" s="543"/>
      <c r="MZQ31" s="543"/>
      <c r="MZR31" s="543"/>
      <c r="MZS31" s="543"/>
      <c r="MZT31" s="543"/>
      <c r="MZU31" s="543"/>
      <c r="MZV31" s="543"/>
      <c r="MZW31" s="543"/>
      <c r="MZX31" s="543"/>
      <c r="MZY31" s="543"/>
      <c r="MZZ31" s="543"/>
      <c r="NAA31" s="543"/>
      <c r="NAB31" s="543"/>
      <c r="NAC31" s="543"/>
      <c r="NAD31" s="543"/>
      <c r="NAE31" s="543"/>
      <c r="NAF31" s="543"/>
      <c r="NAG31" s="543"/>
      <c r="NAH31" s="543"/>
      <c r="NAI31" s="543"/>
      <c r="NAJ31" s="543"/>
      <c r="NAK31" s="543"/>
      <c r="NAL31" s="543"/>
      <c r="NAM31" s="543"/>
      <c r="NAN31" s="543"/>
      <c r="NAO31" s="543"/>
      <c r="NAP31" s="543"/>
      <c r="NAQ31" s="543"/>
      <c r="NAR31" s="543"/>
      <c r="NAS31" s="543"/>
      <c r="NAT31" s="543"/>
      <c r="NAU31" s="543"/>
      <c r="NAV31" s="543"/>
      <c r="NAW31" s="543"/>
      <c r="NAX31" s="543"/>
      <c r="NAY31" s="543"/>
      <c r="NAZ31" s="543"/>
      <c r="NBA31" s="543"/>
      <c r="NBB31" s="543"/>
      <c r="NBC31" s="543"/>
      <c r="NBD31" s="543"/>
      <c r="NBE31" s="543"/>
      <c r="NBF31" s="543"/>
      <c r="NBG31" s="543"/>
      <c r="NBH31" s="543"/>
      <c r="NBI31" s="543"/>
      <c r="NBJ31" s="543"/>
      <c r="NBK31" s="543"/>
      <c r="NBL31" s="543"/>
      <c r="NBM31" s="543"/>
      <c r="NBN31" s="543"/>
      <c r="NBO31" s="543"/>
      <c r="NBP31" s="543"/>
      <c r="NBQ31" s="543"/>
      <c r="NBR31" s="543"/>
      <c r="NBS31" s="543"/>
      <c r="NBT31" s="543"/>
      <c r="NBU31" s="543"/>
      <c r="NBV31" s="543"/>
      <c r="NBW31" s="543"/>
      <c r="NBX31" s="543"/>
      <c r="NBY31" s="543"/>
      <c r="NBZ31" s="543"/>
      <c r="NCA31" s="543"/>
      <c r="NCB31" s="543"/>
      <c r="NCC31" s="543"/>
      <c r="NCD31" s="543"/>
      <c r="NCE31" s="543"/>
      <c r="NCF31" s="543"/>
      <c r="NCG31" s="543"/>
      <c r="NCH31" s="543"/>
      <c r="NCI31" s="543"/>
      <c r="NCJ31" s="543"/>
      <c r="NCK31" s="543"/>
      <c r="NCL31" s="543"/>
      <c r="NCM31" s="543"/>
      <c r="NCN31" s="543"/>
      <c r="NCO31" s="543"/>
      <c r="NCP31" s="543"/>
      <c r="NCQ31" s="543"/>
      <c r="NCR31" s="543"/>
      <c r="NCS31" s="543"/>
      <c r="NCT31" s="543"/>
      <c r="NCU31" s="543"/>
      <c r="NCV31" s="543"/>
      <c r="NCW31" s="543"/>
      <c r="NCX31" s="543"/>
      <c r="NCY31" s="543"/>
      <c r="NCZ31" s="543"/>
      <c r="NDA31" s="543"/>
      <c r="NDB31" s="543"/>
      <c r="NDC31" s="543"/>
      <c r="NDD31" s="543"/>
      <c r="NDE31" s="543"/>
      <c r="NDF31" s="543"/>
      <c r="NDG31" s="543"/>
      <c r="NDH31" s="543"/>
      <c r="NDI31" s="543"/>
      <c r="NDJ31" s="543"/>
      <c r="NDK31" s="543"/>
      <c r="NDL31" s="543"/>
      <c r="NDM31" s="543"/>
      <c r="NDN31" s="543"/>
      <c r="NDO31" s="543"/>
      <c r="NDP31" s="543"/>
      <c r="NDQ31" s="543"/>
      <c r="NDR31" s="543"/>
      <c r="NDS31" s="543"/>
      <c r="NDT31" s="543"/>
      <c r="NDU31" s="543"/>
      <c r="NDV31" s="543"/>
      <c r="NDW31" s="543"/>
      <c r="NDX31" s="543"/>
      <c r="NDY31" s="543"/>
      <c r="NDZ31" s="543"/>
      <c r="NEA31" s="543"/>
      <c r="NEB31" s="543"/>
      <c r="NEC31" s="543"/>
      <c r="NED31" s="543"/>
      <c r="NEE31" s="543"/>
      <c r="NEF31" s="543"/>
      <c r="NEG31" s="543"/>
      <c r="NEH31" s="543"/>
      <c r="NEI31" s="543"/>
      <c r="NEJ31" s="543"/>
      <c r="NEK31" s="543"/>
      <c r="NEL31" s="543"/>
      <c r="NEM31" s="543"/>
      <c r="NEN31" s="543"/>
      <c r="NEO31" s="543"/>
      <c r="NEP31" s="543"/>
      <c r="NEQ31" s="543"/>
      <c r="NER31" s="543"/>
      <c r="NES31" s="543"/>
      <c r="NET31" s="543"/>
      <c r="NEU31" s="543"/>
      <c r="NEV31" s="543"/>
      <c r="NEW31" s="543"/>
      <c r="NEX31" s="543"/>
      <c r="NEY31" s="543"/>
      <c r="NEZ31" s="543"/>
      <c r="NFA31" s="543"/>
      <c r="NFB31" s="543"/>
      <c r="NFC31" s="543"/>
      <c r="NFD31" s="543"/>
      <c r="NFE31" s="543"/>
      <c r="NFF31" s="543"/>
      <c r="NFG31" s="543"/>
      <c r="NFH31" s="543"/>
      <c r="NFI31" s="543"/>
      <c r="NFJ31" s="543"/>
      <c r="NFK31" s="543"/>
      <c r="NFL31" s="543"/>
      <c r="NFM31" s="543"/>
      <c r="NFN31" s="543"/>
      <c r="NFO31" s="543"/>
      <c r="NFP31" s="543"/>
      <c r="NFQ31" s="543"/>
      <c r="NFR31" s="543"/>
      <c r="NFS31" s="543"/>
      <c r="NFT31" s="543"/>
      <c r="NFU31" s="543"/>
      <c r="NFV31" s="543"/>
      <c r="NFW31" s="543"/>
      <c r="NFX31" s="543"/>
      <c r="NFY31" s="543"/>
      <c r="NFZ31" s="543"/>
      <c r="NGA31" s="543"/>
      <c r="NGB31" s="543"/>
      <c r="NGC31" s="543"/>
      <c r="NGD31" s="543"/>
      <c r="NGE31" s="543"/>
      <c r="NGF31" s="543"/>
      <c r="NGG31" s="543"/>
      <c r="NGH31" s="543"/>
      <c r="NGI31" s="543"/>
      <c r="NGJ31" s="543"/>
      <c r="NGK31" s="543"/>
      <c r="NGL31" s="543"/>
      <c r="NGM31" s="543"/>
      <c r="NGN31" s="543"/>
      <c r="NGO31" s="543"/>
      <c r="NGP31" s="543"/>
      <c r="NGQ31" s="543"/>
      <c r="NGR31" s="543"/>
      <c r="NGS31" s="543"/>
      <c r="NGT31" s="543"/>
      <c r="NGU31" s="543"/>
      <c r="NGV31" s="543"/>
      <c r="NGW31" s="543"/>
      <c r="NGX31" s="543"/>
      <c r="NGY31" s="543"/>
      <c r="NGZ31" s="543"/>
      <c r="NHA31" s="543"/>
      <c r="NHB31" s="543"/>
      <c r="NHC31" s="543"/>
      <c r="NHD31" s="543"/>
      <c r="NHE31" s="543"/>
      <c r="NHF31" s="543"/>
      <c r="NHG31" s="543"/>
      <c r="NHH31" s="543"/>
      <c r="NHI31" s="543"/>
      <c r="NHJ31" s="543"/>
      <c r="NHK31" s="543"/>
      <c r="NHL31" s="543"/>
      <c r="NHM31" s="543"/>
      <c r="NHN31" s="543"/>
      <c r="NHO31" s="543"/>
      <c r="NHP31" s="543"/>
      <c r="NHQ31" s="543"/>
      <c r="NHR31" s="543"/>
      <c r="NHS31" s="543"/>
      <c r="NHT31" s="543"/>
      <c r="NHU31" s="543"/>
      <c r="NHV31" s="543"/>
      <c r="NHW31" s="543"/>
      <c r="NHX31" s="543"/>
      <c r="NHY31" s="543"/>
      <c r="NHZ31" s="543"/>
      <c r="NIA31" s="543"/>
      <c r="NIB31" s="543"/>
      <c r="NIC31" s="543"/>
      <c r="NID31" s="543"/>
      <c r="NIE31" s="543"/>
      <c r="NIF31" s="543"/>
      <c r="NIG31" s="543"/>
      <c r="NIH31" s="543"/>
      <c r="NII31" s="543"/>
      <c r="NIJ31" s="543"/>
      <c r="NIK31" s="543"/>
      <c r="NIL31" s="543"/>
      <c r="NIM31" s="543"/>
      <c r="NIN31" s="543"/>
      <c r="NIO31" s="543"/>
      <c r="NIP31" s="543"/>
      <c r="NIQ31" s="543"/>
      <c r="NIR31" s="543"/>
      <c r="NIS31" s="543"/>
      <c r="NIT31" s="543"/>
      <c r="NIU31" s="543"/>
      <c r="NIV31" s="543"/>
      <c r="NIW31" s="543"/>
      <c r="NIX31" s="543"/>
      <c r="NIY31" s="543"/>
      <c r="NIZ31" s="543"/>
      <c r="NJA31" s="543"/>
      <c r="NJB31" s="543"/>
      <c r="NJC31" s="543"/>
      <c r="NJD31" s="543"/>
      <c r="NJE31" s="543"/>
      <c r="NJF31" s="543"/>
      <c r="NJG31" s="543"/>
      <c r="NJH31" s="543"/>
      <c r="NJI31" s="543"/>
      <c r="NJJ31" s="543"/>
      <c r="NJK31" s="543"/>
      <c r="NJL31" s="543"/>
      <c r="NJM31" s="543"/>
      <c r="NJN31" s="543"/>
      <c r="NJO31" s="543"/>
      <c r="NJP31" s="543"/>
      <c r="NJQ31" s="543"/>
      <c r="NJR31" s="543"/>
      <c r="NJS31" s="543"/>
      <c r="NJT31" s="543"/>
      <c r="NJU31" s="543"/>
      <c r="NJV31" s="543"/>
      <c r="NJW31" s="543"/>
      <c r="NJX31" s="543"/>
      <c r="NJY31" s="543"/>
      <c r="NJZ31" s="543"/>
      <c r="NKA31" s="543"/>
      <c r="NKB31" s="543"/>
      <c r="NKC31" s="543"/>
      <c r="NKD31" s="543"/>
      <c r="NKE31" s="543"/>
      <c r="NKF31" s="543"/>
      <c r="NKG31" s="543"/>
      <c r="NKH31" s="543"/>
      <c r="NKI31" s="543"/>
      <c r="NKJ31" s="543"/>
      <c r="NKK31" s="543"/>
      <c r="NKL31" s="543"/>
      <c r="NKM31" s="543"/>
      <c r="NKN31" s="543"/>
      <c r="NKO31" s="543"/>
      <c r="NKP31" s="543"/>
      <c r="NKQ31" s="543"/>
      <c r="NKR31" s="543"/>
      <c r="NKS31" s="543"/>
      <c r="NKT31" s="543"/>
      <c r="NKU31" s="543"/>
      <c r="NKV31" s="543"/>
      <c r="NKW31" s="543"/>
      <c r="NKX31" s="543"/>
      <c r="NKY31" s="543"/>
      <c r="NKZ31" s="543"/>
      <c r="NLA31" s="543"/>
      <c r="NLB31" s="543"/>
      <c r="NLC31" s="543"/>
      <c r="NLD31" s="543"/>
      <c r="NLE31" s="543"/>
      <c r="NLF31" s="543"/>
      <c r="NLG31" s="543"/>
      <c r="NLH31" s="543"/>
      <c r="NLI31" s="543"/>
      <c r="NLJ31" s="543"/>
      <c r="NLK31" s="543"/>
      <c r="NLL31" s="543"/>
      <c r="NLM31" s="543"/>
      <c r="NLN31" s="543"/>
      <c r="NLO31" s="543"/>
      <c r="NLP31" s="543"/>
      <c r="NLQ31" s="543"/>
      <c r="NLR31" s="543"/>
      <c r="NLS31" s="543"/>
      <c r="NLT31" s="543"/>
      <c r="NLU31" s="543"/>
      <c r="NLV31" s="543"/>
      <c r="NLW31" s="543"/>
      <c r="NLX31" s="543"/>
      <c r="NLY31" s="543"/>
      <c r="NLZ31" s="543"/>
      <c r="NMA31" s="543"/>
      <c r="NMB31" s="543"/>
      <c r="NMC31" s="543"/>
      <c r="NMD31" s="543"/>
      <c r="NME31" s="543"/>
      <c r="NMF31" s="543"/>
      <c r="NMG31" s="543"/>
      <c r="NMH31" s="543"/>
      <c r="NMI31" s="543"/>
      <c r="NMJ31" s="543"/>
      <c r="NMK31" s="543"/>
      <c r="NML31" s="543"/>
      <c r="NMM31" s="543"/>
      <c r="NMN31" s="543"/>
      <c r="NMO31" s="543"/>
      <c r="NMP31" s="543"/>
      <c r="NMQ31" s="543"/>
      <c r="NMR31" s="543"/>
      <c r="NMS31" s="543"/>
      <c r="NMT31" s="543"/>
      <c r="NMU31" s="543"/>
      <c r="NMV31" s="543"/>
      <c r="NMW31" s="543"/>
      <c r="NMX31" s="543"/>
      <c r="NMY31" s="543"/>
      <c r="NMZ31" s="543"/>
      <c r="NNA31" s="543"/>
      <c r="NNB31" s="543"/>
      <c r="NNC31" s="543"/>
      <c r="NND31" s="543"/>
      <c r="NNE31" s="543"/>
      <c r="NNF31" s="543"/>
      <c r="NNG31" s="543"/>
      <c r="NNH31" s="543"/>
      <c r="NNI31" s="543"/>
      <c r="NNJ31" s="543"/>
      <c r="NNK31" s="543"/>
      <c r="NNL31" s="543"/>
      <c r="NNM31" s="543"/>
      <c r="NNN31" s="543"/>
      <c r="NNO31" s="543"/>
      <c r="NNP31" s="543"/>
      <c r="NNQ31" s="543"/>
      <c r="NNR31" s="543"/>
      <c r="NNS31" s="543"/>
      <c r="NNT31" s="543"/>
      <c r="NNU31" s="543"/>
      <c r="NNV31" s="543"/>
      <c r="NNW31" s="543"/>
      <c r="NNX31" s="543"/>
      <c r="NNY31" s="543"/>
      <c r="NNZ31" s="543"/>
      <c r="NOA31" s="543"/>
      <c r="NOB31" s="543"/>
      <c r="NOC31" s="543"/>
      <c r="NOD31" s="543"/>
      <c r="NOE31" s="543"/>
      <c r="NOF31" s="543"/>
      <c r="NOG31" s="543"/>
      <c r="NOH31" s="543"/>
      <c r="NOI31" s="543"/>
      <c r="NOJ31" s="543"/>
      <c r="NOK31" s="543"/>
      <c r="NOL31" s="543"/>
      <c r="NOM31" s="543"/>
      <c r="NON31" s="543"/>
      <c r="NOO31" s="543"/>
      <c r="NOP31" s="543"/>
      <c r="NOQ31" s="543"/>
      <c r="NOR31" s="543"/>
      <c r="NOS31" s="543"/>
      <c r="NOT31" s="543"/>
      <c r="NOU31" s="543"/>
      <c r="NOV31" s="543"/>
      <c r="NOW31" s="543"/>
      <c r="NOX31" s="543"/>
      <c r="NOY31" s="543"/>
      <c r="NOZ31" s="543"/>
      <c r="NPA31" s="543"/>
      <c r="NPB31" s="543"/>
      <c r="NPC31" s="543"/>
      <c r="NPD31" s="543"/>
      <c r="NPE31" s="543"/>
      <c r="NPF31" s="543"/>
      <c r="NPG31" s="543"/>
      <c r="NPH31" s="543"/>
      <c r="NPI31" s="543"/>
      <c r="NPJ31" s="543"/>
      <c r="NPK31" s="543"/>
      <c r="NPL31" s="543"/>
      <c r="NPM31" s="543"/>
      <c r="NPN31" s="543"/>
      <c r="NPO31" s="543"/>
      <c r="NPP31" s="543"/>
      <c r="NPQ31" s="543"/>
      <c r="NPR31" s="543"/>
      <c r="NPS31" s="543"/>
      <c r="NPT31" s="543"/>
      <c r="NPU31" s="543"/>
      <c r="NPV31" s="543"/>
      <c r="NPW31" s="543"/>
      <c r="NPX31" s="543"/>
      <c r="NPY31" s="543"/>
      <c r="NPZ31" s="543"/>
      <c r="NQA31" s="543"/>
      <c r="NQB31" s="543"/>
      <c r="NQC31" s="543"/>
      <c r="NQD31" s="543"/>
      <c r="NQE31" s="543"/>
      <c r="NQF31" s="543"/>
      <c r="NQG31" s="543"/>
      <c r="NQH31" s="543"/>
      <c r="NQI31" s="543"/>
      <c r="NQJ31" s="543"/>
      <c r="NQK31" s="543"/>
      <c r="NQL31" s="543"/>
      <c r="NQM31" s="543"/>
      <c r="NQN31" s="543"/>
      <c r="NQO31" s="543"/>
      <c r="NQP31" s="543"/>
      <c r="NQQ31" s="543"/>
      <c r="NQR31" s="543"/>
      <c r="NQS31" s="543"/>
      <c r="NQT31" s="543"/>
      <c r="NQU31" s="543"/>
      <c r="NQV31" s="543"/>
      <c r="NQW31" s="543"/>
      <c r="NQX31" s="543"/>
      <c r="NQY31" s="543"/>
      <c r="NQZ31" s="543"/>
      <c r="NRA31" s="543"/>
      <c r="NRB31" s="543"/>
      <c r="NRC31" s="543"/>
      <c r="NRD31" s="543"/>
      <c r="NRE31" s="543"/>
      <c r="NRF31" s="543"/>
      <c r="NRG31" s="543"/>
      <c r="NRH31" s="543"/>
      <c r="NRI31" s="543"/>
      <c r="NRJ31" s="543"/>
      <c r="NRK31" s="543"/>
      <c r="NRL31" s="543"/>
      <c r="NRM31" s="543"/>
      <c r="NRN31" s="543"/>
      <c r="NRO31" s="543"/>
      <c r="NRP31" s="543"/>
      <c r="NRQ31" s="543"/>
      <c r="NRR31" s="543"/>
      <c r="NRS31" s="543"/>
      <c r="NRT31" s="543"/>
      <c r="NRU31" s="543"/>
      <c r="NRV31" s="543"/>
      <c r="NRW31" s="543"/>
      <c r="NRX31" s="543"/>
      <c r="NRY31" s="543"/>
      <c r="NRZ31" s="543"/>
      <c r="NSA31" s="543"/>
      <c r="NSB31" s="543"/>
      <c r="NSC31" s="543"/>
      <c r="NSD31" s="543"/>
      <c r="NSE31" s="543"/>
      <c r="NSF31" s="543"/>
      <c r="NSG31" s="543"/>
      <c r="NSH31" s="543"/>
      <c r="NSI31" s="543"/>
      <c r="NSJ31" s="543"/>
      <c r="NSK31" s="543"/>
      <c r="NSL31" s="543"/>
      <c r="NSM31" s="543"/>
      <c r="NSN31" s="543"/>
      <c r="NSO31" s="543"/>
      <c r="NSP31" s="543"/>
      <c r="NSQ31" s="543"/>
      <c r="NSR31" s="543"/>
      <c r="NSS31" s="543"/>
      <c r="NST31" s="543"/>
      <c r="NSU31" s="543"/>
      <c r="NSV31" s="543"/>
      <c r="NSW31" s="543"/>
      <c r="NSX31" s="543"/>
      <c r="NSY31" s="543"/>
      <c r="NSZ31" s="543"/>
      <c r="NTA31" s="543"/>
      <c r="NTB31" s="543"/>
      <c r="NTC31" s="543"/>
      <c r="NTD31" s="543"/>
      <c r="NTE31" s="543"/>
      <c r="NTF31" s="543"/>
      <c r="NTG31" s="543"/>
      <c r="NTH31" s="543"/>
      <c r="NTI31" s="543"/>
      <c r="NTJ31" s="543"/>
      <c r="NTK31" s="543"/>
      <c r="NTL31" s="543"/>
      <c r="NTM31" s="543"/>
      <c r="NTN31" s="543"/>
      <c r="NTO31" s="543"/>
      <c r="NTP31" s="543"/>
      <c r="NTQ31" s="543"/>
      <c r="NTR31" s="543"/>
      <c r="NTS31" s="543"/>
      <c r="NTT31" s="543"/>
      <c r="NTU31" s="543"/>
      <c r="NTV31" s="543"/>
      <c r="NTW31" s="543"/>
      <c r="NTX31" s="543"/>
      <c r="NTY31" s="543"/>
      <c r="NTZ31" s="543"/>
      <c r="NUA31" s="543"/>
      <c r="NUB31" s="543"/>
      <c r="NUC31" s="543"/>
      <c r="NUD31" s="543"/>
      <c r="NUE31" s="543"/>
      <c r="NUF31" s="543"/>
      <c r="NUG31" s="543"/>
      <c r="NUH31" s="543"/>
      <c r="NUI31" s="543"/>
      <c r="NUJ31" s="543"/>
      <c r="NUK31" s="543"/>
      <c r="NUL31" s="543"/>
      <c r="NUM31" s="543"/>
      <c r="NUN31" s="543"/>
      <c r="NUO31" s="543"/>
      <c r="NUP31" s="543"/>
      <c r="NUQ31" s="543"/>
      <c r="NUR31" s="543"/>
      <c r="NUS31" s="543"/>
      <c r="NUT31" s="543"/>
      <c r="NUU31" s="543"/>
      <c r="NUV31" s="543"/>
      <c r="NUW31" s="543"/>
      <c r="NUX31" s="543"/>
      <c r="NUY31" s="543"/>
      <c r="NUZ31" s="543"/>
      <c r="NVA31" s="543"/>
      <c r="NVB31" s="543"/>
      <c r="NVC31" s="543"/>
      <c r="NVD31" s="543"/>
      <c r="NVE31" s="543"/>
      <c r="NVF31" s="543"/>
      <c r="NVG31" s="543"/>
      <c r="NVH31" s="543"/>
      <c r="NVI31" s="543"/>
      <c r="NVJ31" s="543"/>
      <c r="NVK31" s="543"/>
      <c r="NVL31" s="543"/>
      <c r="NVM31" s="543"/>
      <c r="NVN31" s="543"/>
      <c r="NVO31" s="543"/>
      <c r="NVP31" s="543"/>
      <c r="NVQ31" s="543"/>
      <c r="NVR31" s="543"/>
      <c r="NVS31" s="543"/>
      <c r="NVT31" s="543"/>
      <c r="NVU31" s="543"/>
      <c r="NVV31" s="543"/>
      <c r="NVW31" s="543"/>
      <c r="NVX31" s="543"/>
      <c r="NVY31" s="543"/>
      <c r="NVZ31" s="543"/>
      <c r="NWA31" s="543"/>
      <c r="NWB31" s="543"/>
      <c r="NWC31" s="543"/>
      <c r="NWD31" s="543"/>
      <c r="NWE31" s="543"/>
      <c r="NWF31" s="543"/>
      <c r="NWG31" s="543"/>
      <c r="NWH31" s="543"/>
      <c r="NWI31" s="543"/>
      <c r="NWJ31" s="543"/>
      <c r="NWK31" s="543"/>
      <c r="NWL31" s="543"/>
      <c r="NWM31" s="543"/>
      <c r="NWN31" s="543"/>
      <c r="NWO31" s="543"/>
      <c r="NWP31" s="543"/>
      <c r="NWQ31" s="543"/>
      <c r="NWR31" s="543"/>
      <c r="NWS31" s="543"/>
      <c r="NWT31" s="543"/>
      <c r="NWU31" s="543"/>
      <c r="NWV31" s="543"/>
      <c r="NWW31" s="543"/>
      <c r="NWX31" s="543"/>
      <c r="NWY31" s="543"/>
      <c r="NWZ31" s="543"/>
      <c r="NXA31" s="543"/>
      <c r="NXB31" s="543"/>
      <c r="NXC31" s="543"/>
      <c r="NXD31" s="543"/>
      <c r="NXE31" s="543"/>
      <c r="NXF31" s="543"/>
      <c r="NXG31" s="543"/>
      <c r="NXH31" s="543"/>
      <c r="NXI31" s="543"/>
      <c r="NXJ31" s="543"/>
      <c r="NXK31" s="543"/>
      <c r="NXL31" s="543"/>
      <c r="NXM31" s="543"/>
      <c r="NXN31" s="543"/>
      <c r="NXO31" s="543"/>
      <c r="NXP31" s="543"/>
      <c r="NXQ31" s="543"/>
      <c r="NXR31" s="543"/>
      <c r="NXS31" s="543"/>
      <c r="NXT31" s="543"/>
      <c r="NXU31" s="543"/>
      <c r="NXV31" s="543"/>
      <c r="NXW31" s="543"/>
      <c r="NXX31" s="543"/>
      <c r="NXY31" s="543"/>
      <c r="NXZ31" s="543"/>
      <c r="NYA31" s="543"/>
      <c r="NYB31" s="543"/>
      <c r="NYC31" s="543"/>
      <c r="NYD31" s="543"/>
      <c r="NYE31" s="543"/>
      <c r="NYF31" s="543"/>
      <c r="NYG31" s="543"/>
      <c r="NYH31" s="543"/>
      <c r="NYI31" s="543"/>
      <c r="NYJ31" s="543"/>
      <c r="NYK31" s="543"/>
      <c r="NYL31" s="543"/>
      <c r="NYM31" s="543"/>
      <c r="NYN31" s="543"/>
      <c r="NYO31" s="543"/>
      <c r="NYP31" s="543"/>
      <c r="NYQ31" s="543"/>
      <c r="NYR31" s="543"/>
      <c r="NYS31" s="543"/>
      <c r="NYT31" s="543"/>
      <c r="NYU31" s="543"/>
      <c r="NYV31" s="543"/>
      <c r="NYW31" s="543"/>
      <c r="NYX31" s="543"/>
      <c r="NYY31" s="543"/>
      <c r="NYZ31" s="543"/>
      <c r="NZA31" s="543"/>
      <c r="NZB31" s="543"/>
      <c r="NZC31" s="543"/>
      <c r="NZD31" s="543"/>
      <c r="NZE31" s="543"/>
      <c r="NZF31" s="543"/>
      <c r="NZG31" s="543"/>
      <c r="NZH31" s="543"/>
      <c r="NZI31" s="543"/>
      <c r="NZJ31" s="543"/>
      <c r="NZK31" s="543"/>
      <c r="NZL31" s="543"/>
      <c r="NZM31" s="543"/>
      <c r="NZN31" s="543"/>
      <c r="NZO31" s="543"/>
      <c r="NZP31" s="543"/>
      <c r="NZQ31" s="543"/>
      <c r="NZR31" s="543"/>
      <c r="NZS31" s="543"/>
      <c r="NZT31" s="543"/>
      <c r="NZU31" s="543"/>
      <c r="NZV31" s="543"/>
      <c r="NZW31" s="543"/>
      <c r="NZX31" s="543"/>
      <c r="NZY31" s="543"/>
      <c r="NZZ31" s="543"/>
      <c r="OAA31" s="543"/>
      <c r="OAB31" s="543"/>
      <c r="OAC31" s="543"/>
      <c r="OAD31" s="543"/>
      <c r="OAE31" s="543"/>
      <c r="OAF31" s="543"/>
      <c r="OAG31" s="543"/>
      <c r="OAH31" s="543"/>
      <c r="OAI31" s="543"/>
      <c r="OAJ31" s="543"/>
      <c r="OAK31" s="543"/>
      <c r="OAL31" s="543"/>
      <c r="OAM31" s="543"/>
      <c r="OAN31" s="543"/>
      <c r="OAO31" s="543"/>
      <c r="OAP31" s="543"/>
      <c r="OAQ31" s="543"/>
      <c r="OAR31" s="543"/>
      <c r="OAS31" s="543"/>
      <c r="OAT31" s="543"/>
      <c r="OAU31" s="543"/>
      <c r="OAV31" s="543"/>
      <c r="OAW31" s="543"/>
      <c r="OAX31" s="543"/>
      <c r="OAY31" s="543"/>
      <c r="OAZ31" s="543"/>
      <c r="OBA31" s="543"/>
      <c r="OBB31" s="543"/>
      <c r="OBC31" s="543"/>
      <c r="OBD31" s="543"/>
      <c r="OBE31" s="543"/>
      <c r="OBF31" s="543"/>
      <c r="OBG31" s="543"/>
      <c r="OBH31" s="543"/>
      <c r="OBI31" s="543"/>
      <c r="OBJ31" s="543"/>
      <c r="OBK31" s="543"/>
      <c r="OBL31" s="543"/>
      <c r="OBM31" s="543"/>
      <c r="OBN31" s="543"/>
      <c r="OBO31" s="543"/>
      <c r="OBP31" s="543"/>
      <c r="OBQ31" s="543"/>
      <c r="OBR31" s="543"/>
      <c r="OBS31" s="543"/>
      <c r="OBT31" s="543"/>
      <c r="OBU31" s="543"/>
      <c r="OBV31" s="543"/>
      <c r="OBW31" s="543"/>
      <c r="OBX31" s="543"/>
      <c r="OBY31" s="543"/>
      <c r="OBZ31" s="543"/>
      <c r="OCA31" s="543"/>
      <c r="OCB31" s="543"/>
      <c r="OCC31" s="543"/>
      <c r="OCD31" s="543"/>
      <c r="OCE31" s="543"/>
      <c r="OCF31" s="543"/>
      <c r="OCG31" s="543"/>
      <c r="OCH31" s="543"/>
      <c r="OCI31" s="543"/>
      <c r="OCJ31" s="543"/>
      <c r="OCK31" s="543"/>
      <c r="OCL31" s="543"/>
      <c r="OCM31" s="543"/>
      <c r="OCN31" s="543"/>
      <c r="OCO31" s="543"/>
      <c r="OCP31" s="543"/>
      <c r="OCQ31" s="543"/>
      <c r="OCR31" s="543"/>
      <c r="OCS31" s="543"/>
      <c r="OCT31" s="543"/>
      <c r="OCU31" s="543"/>
      <c r="OCV31" s="543"/>
      <c r="OCW31" s="543"/>
      <c r="OCX31" s="543"/>
      <c r="OCY31" s="543"/>
      <c r="OCZ31" s="543"/>
      <c r="ODA31" s="543"/>
      <c r="ODB31" s="543"/>
      <c r="ODC31" s="543"/>
      <c r="ODD31" s="543"/>
      <c r="ODE31" s="543"/>
      <c r="ODF31" s="543"/>
      <c r="ODG31" s="543"/>
      <c r="ODH31" s="543"/>
      <c r="ODI31" s="543"/>
      <c r="ODJ31" s="543"/>
      <c r="ODK31" s="543"/>
      <c r="ODL31" s="543"/>
      <c r="ODM31" s="543"/>
      <c r="ODN31" s="543"/>
      <c r="ODO31" s="543"/>
      <c r="ODP31" s="543"/>
      <c r="ODQ31" s="543"/>
      <c r="ODR31" s="543"/>
      <c r="ODS31" s="543"/>
      <c r="ODT31" s="543"/>
      <c r="ODU31" s="543"/>
      <c r="ODV31" s="543"/>
      <c r="ODW31" s="543"/>
      <c r="ODX31" s="543"/>
      <c r="ODY31" s="543"/>
      <c r="ODZ31" s="543"/>
      <c r="OEA31" s="543"/>
      <c r="OEB31" s="543"/>
      <c r="OEC31" s="543"/>
      <c r="OED31" s="543"/>
      <c r="OEE31" s="543"/>
      <c r="OEF31" s="543"/>
      <c r="OEG31" s="543"/>
      <c r="OEH31" s="543"/>
      <c r="OEI31" s="543"/>
      <c r="OEJ31" s="543"/>
      <c r="OEK31" s="543"/>
      <c r="OEL31" s="543"/>
      <c r="OEM31" s="543"/>
      <c r="OEN31" s="543"/>
      <c r="OEO31" s="543"/>
      <c r="OEP31" s="543"/>
      <c r="OEQ31" s="543"/>
      <c r="OER31" s="543"/>
      <c r="OES31" s="543"/>
      <c r="OET31" s="543"/>
      <c r="OEU31" s="543"/>
      <c r="OEV31" s="543"/>
      <c r="OEW31" s="543"/>
      <c r="OEX31" s="543"/>
      <c r="OEY31" s="543"/>
      <c r="OEZ31" s="543"/>
      <c r="OFA31" s="543"/>
      <c r="OFB31" s="543"/>
      <c r="OFC31" s="543"/>
      <c r="OFD31" s="543"/>
      <c r="OFE31" s="543"/>
      <c r="OFF31" s="543"/>
      <c r="OFG31" s="543"/>
      <c r="OFH31" s="543"/>
      <c r="OFI31" s="543"/>
      <c r="OFJ31" s="543"/>
      <c r="OFK31" s="543"/>
      <c r="OFL31" s="543"/>
      <c r="OFM31" s="543"/>
      <c r="OFN31" s="543"/>
      <c r="OFO31" s="543"/>
      <c r="OFP31" s="543"/>
      <c r="OFQ31" s="543"/>
      <c r="OFR31" s="543"/>
      <c r="OFS31" s="543"/>
      <c r="OFT31" s="543"/>
      <c r="OFU31" s="543"/>
      <c r="OFV31" s="543"/>
      <c r="OFW31" s="543"/>
      <c r="OFX31" s="543"/>
      <c r="OFY31" s="543"/>
      <c r="OFZ31" s="543"/>
      <c r="OGA31" s="543"/>
      <c r="OGB31" s="543"/>
      <c r="OGC31" s="543"/>
      <c r="OGD31" s="543"/>
      <c r="OGE31" s="543"/>
      <c r="OGF31" s="543"/>
      <c r="OGG31" s="543"/>
      <c r="OGH31" s="543"/>
      <c r="OGI31" s="543"/>
      <c r="OGJ31" s="543"/>
      <c r="OGK31" s="543"/>
      <c r="OGL31" s="543"/>
      <c r="OGM31" s="543"/>
      <c r="OGN31" s="543"/>
      <c r="OGO31" s="543"/>
      <c r="OGP31" s="543"/>
      <c r="OGQ31" s="543"/>
      <c r="OGR31" s="543"/>
      <c r="OGS31" s="543"/>
      <c r="OGT31" s="543"/>
      <c r="OGU31" s="543"/>
      <c r="OGV31" s="543"/>
      <c r="OGW31" s="543"/>
      <c r="OGX31" s="543"/>
      <c r="OGY31" s="543"/>
      <c r="OGZ31" s="543"/>
      <c r="OHA31" s="543"/>
      <c r="OHB31" s="543"/>
      <c r="OHC31" s="543"/>
      <c r="OHD31" s="543"/>
      <c r="OHE31" s="543"/>
      <c r="OHF31" s="543"/>
      <c r="OHG31" s="543"/>
      <c r="OHH31" s="543"/>
      <c r="OHI31" s="543"/>
      <c r="OHJ31" s="543"/>
      <c r="OHK31" s="543"/>
      <c r="OHL31" s="543"/>
      <c r="OHM31" s="543"/>
      <c r="OHN31" s="543"/>
      <c r="OHO31" s="543"/>
      <c r="OHP31" s="543"/>
      <c r="OHQ31" s="543"/>
      <c r="OHR31" s="543"/>
      <c r="OHS31" s="543"/>
      <c r="OHT31" s="543"/>
      <c r="OHU31" s="543"/>
      <c r="OHV31" s="543"/>
      <c r="OHW31" s="543"/>
      <c r="OHX31" s="543"/>
      <c r="OHY31" s="543"/>
      <c r="OHZ31" s="543"/>
      <c r="OIA31" s="543"/>
      <c r="OIB31" s="543"/>
      <c r="OIC31" s="543"/>
      <c r="OID31" s="543"/>
      <c r="OIE31" s="543"/>
      <c r="OIF31" s="543"/>
      <c r="OIG31" s="543"/>
      <c r="OIH31" s="543"/>
      <c r="OII31" s="543"/>
      <c r="OIJ31" s="543"/>
      <c r="OIK31" s="543"/>
      <c r="OIL31" s="543"/>
      <c r="OIM31" s="543"/>
      <c r="OIN31" s="543"/>
      <c r="OIO31" s="543"/>
      <c r="OIP31" s="543"/>
      <c r="OIQ31" s="543"/>
      <c r="OIR31" s="543"/>
      <c r="OIS31" s="543"/>
      <c r="OIT31" s="543"/>
      <c r="OIU31" s="543"/>
      <c r="OIV31" s="543"/>
      <c r="OIW31" s="543"/>
      <c r="OIX31" s="543"/>
      <c r="OIY31" s="543"/>
      <c r="OIZ31" s="543"/>
      <c r="OJA31" s="543"/>
      <c r="OJB31" s="543"/>
      <c r="OJC31" s="543"/>
      <c r="OJD31" s="543"/>
      <c r="OJE31" s="543"/>
      <c r="OJF31" s="543"/>
      <c r="OJG31" s="543"/>
      <c r="OJH31" s="543"/>
      <c r="OJI31" s="543"/>
      <c r="OJJ31" s="543"/>
      <c r="OJK31" s="543"/>
      <c r="OJL31" s="543"/>
      <c r="OJM31" s="543"/>
      <c r="OJN31" s="543"/>
      <c r="OJO31" s="543"/>
      <c r="OJP31" s="543"/>
      <c r="OJQ31" s="543"/>
      <c r="OJR31" s="543"/>
      <c r="OJS31" s="543"/>
      <c r="OJT31" s="543"/>
      <c r="OJU31" s="543"/>
      <c r="OJV31" s="543"/>
      <c r="OJW31" s="543"/>
      <c r="OJX31" s="543"/>
      <c r="OJY31" s="543"/>
      <c r="OJZ31" s="543"/>
      <c r="OKA31" s="543"/>
      <c r="OKB31" s="543"/>
      <c r="OKC31" s="543"/>
      <c r="OKD31" s="543"/>
      <c r="OKE31" s="543"/>
      <c r="OKF31" s="543"/>
      <c r="OKG31" s="543"/>
      <c r="OKH31" s="543"/>
      <c r="OKI31" s="543"/>
      <c r="OKJ31" s="543"/>
      <c r="OKK31" s="543"/>
      <c r="OKL31" s="543"/>
      <c r="OKM31" s="543"/>
      <c r="OKN31" s="543"/>
      <c r="OKO31" s="543"/>
      <c r="OKP31" s="543"/>
      <c r="OKQ31" s="543"/>
      <c r="OKR31" s="543"/>
      <c r="OKS31" s="543"/>
      <c r="OKT31" s="543"/>
      <c r="OKU31" s="543"/>
      <c r="OKV31" s="543"/>
      <c r="OKW31" s="543"/>
      <c r="OKX31" s="543"/>
      <c r="OKY31" s="543"/>
      <c r="OKZ31" s="543"/>
      <c r="OLA31" s="543"/>
      <c r="OLB31" s="543"/>
      <c r="OLC31" s="543"/>
      <c r="OLD31" s="543"/>
      <c r="OLE31" s="543"/>
      <c r="OLF31" s="543"/>
      <c r="OLG31" s="543"/>
      <c r="OLH31" s="543"/>
      <c r="OLI31" s="543"/>
      <c r="OLJ31" s="543"/>
      <c r="OLK31" s="543"/>
      <c r="OLL31" s="543"/>
      <c r="OLM31" s="543"/>
      <c r="OLN31" s="543"/>
      <c r="OLO31" s="543"/>
      <c r="OLP31" s="543"/>
      <c r="OLQ31" s="543"/>
      <c r="OLR31" s="543"/>
      <c r="OLS31" s="543"/>
      <c r="OLT31" s="543"/>
      <c r="OLU31" s="543"/>
      <c r="OLV31" s="543"/>
      <c r="OLW31" s="543"/>
      <c r="OLX31" s="543"/>
      <c r="OLY31" s="543"/>
      <c r="OLZ31" s="543"/>
      <c r="OMA31" s="543"/>
      <c r="OMB31" s="543"/>
      <c r="OMC31" s="543"/>
      <c r="OMD31" s="543"/>
      <c r="OME31" s="543"/>
      <c r="OMF31" s="543"/>
      <c r="OMG31" s="543"/>
      <c r="OMH31" s="543"/>
      <c r="OMI31" s="543"/>
      <c r="OMJ31" s="543"/>
      <c r="OMK31" s="543"/>
      <c r="OML31" s="543"/>
      <c r="OMM31" s="543"/>
      <c r="OMN31" s="543"/>
      <c r="OMO31" s="543"/>
      <c r="OMP31" s="543"/>
      <c r="OMQ31" s="543"/>
      <c r="OMR31" s="543"/>
      <c r="OMS31" s="543"/>
      <c r="OMT31" s="543"/>
      <c r="OMU31" s="543"/>
      <c r="OMV31" s="543"/>
      <c r="OMW31" s="543"/>
      <c r="OMX31" s="543"/>
      <c r="OMY31" s="543"/>
      <c r="OMZ31" s="543"/>
      <c r="ONA31" s="543"/>
      <c r="ONB31" s="543"/>
      <c r="ONC31" s="543"/>
      <c r="OND31" s="543"/>
      <c r="ONE31" s="543"/>
      <c r="ONF31" s="543"/>
      <c r="ONG31" s="543"/>
      <c r="ONH31" s="543"/>
      <c r="ONI31" s="543"/>
      <c r="ONJ31" s="543"/>
      <c r="ONK31" s="543"/>
      <c r="ONL31" s="543"/>
      <c r="ONM31" s="543"/>
      <c r="ONN31" s="543"/>
      <c r="ONO31" s="543"/>
      <c r="ONP31" s="543"/>
      <c r="ONQ31" s="543"/>
      <c r="ONR31" s="543"/>
      <c r="ONS31" s="543"/>
      <c r="ONT31" s="543"/>
      <c r="ONU31" s="543"/>
      <c r="ONV31" s="543"/>
      <c r="ONW31" s="543"/>
      <c r="ONX31" s="543"/>
      <c r="ONY31" s="543"/>
      <c r="ONZ31" s="543"/>
      <c r="OOA31" s="543"/>
      <c r="OOB31" s="543"/>
      <c r="OOC31" s="543"/>
      <c r="OOD31" s="543"/>
      <c r="OOE31" s="543"/>
      <c r="OOF31" s="543"/>
      <c r="OOG31" s="543"/>
      <c r="OOH31" s="543"/>
      <c r="OOI31" s="543"/>
      <c r="OOJ31" s="543"/>
      <c r="OOK31" s="543"/>
      <c r="OOL31" s="543"/>
      <c r="OOM31" s="543"/>
      <c r="OON31" s="543"/>
      <c r="OOO31" s="543"/>
      <c r="OOP31" s="543"/>
      <c r="OOQ31" s="543"/>
      <c r="OOR31" s="543"/>
      <c r="OOS31" s="543"/>
      <c r="OOT31" s="543"/>
      <c r="OOU31" s="543"/>
      <c r="OOV31" s="543"/>
      <c r="OOW31" s="543"/>
      <c r="OOX31" s="543"/>
      <c r="OOY31" s="543"/>
      <c r="OOZ31" s="543"/>
      <c r="OPA31" s="543"/>
      <c r="OPB31" s="543"/>
      <c r="OPC31" s="543"/>
      <c r="OPD31" s="543"/>
      <c r="OPE31" s="543"/>
      <c r="OPF31" s="543"/>
      <c r="OPG31" s="543"/>
      <c r="OPH31" s="543"/>
      <c r="OPI31" s="543"/>
      <c r="OPJ31" s="543"/>
      <c r="OPK31" s="543"/>
      <c r="OPL31" s="543"/>
      <c r="OPM31" s="543"/>
      <c r="OPN31" s="543"/>
      <c r="OPO31" s="543"/>
      <c r="OPP31" s="543"/>
      <c r="OPQ31" s="543"/>
      <c r="OPR31" s="543"/>
      <c r="OPS31" s="543"/>
      <c r="OPT31" s="543"/>
      <c r="OPU31" s="543"/>
      <c r="OPV31" s="543"/>
      <c r="OPW31" s="543"/>
      <c r="OPX31" s="543"/>
      <c r="OPY31" s="543"/>
      <c r="OPZ31" s="543"/>
      <c r="OQA31" s="543"/>
      <c r="OQB31" s="543"/>
      <c r="OQC31" s="543"/>
      <c r="OQD31" s="543"/>
      <c r="OQE31" s="543"/>
      <c r="OQF31" s="543"/>
      <c r="OQG31" s="543"/>
      <c r="OQH31" s="543"/>
      <c r="OQI31" s="543"/>
      <c r="OQJ31" s="543"/>
      <c r="OQK31" s="543"/>
      <c r="OQL31" s="543"/>
      <c r="OQM31" s="543"/>
      <c r="OQN31" s="543"/>
      <c r="OQO31" s="543"/>
      <c r="OQP31" s="543"/>
      <c r="OQQ31" s="543"/>
      <c r="OQR31" s="543"/>
      <c r="OQS31" s="543"/>
      <c r="OQT31" s="543"/>
      <c r="OQU31" s="543"/>
      <c r="OQV31" s="543"/>
      <c r="OQW31" s="543"/>
      <c r="OQX31" s="543"/>
      <c r="OQY31" s="543"/>
      <c r="OQZ31" s="543"/>
      <c r="ORA31" s="543"/>
      <c r="ORB31" s="543"/>
      <c r="ORC31" s="543"/>
      <c r="ORD31" s="543"/>
      <c r="ORE31" s="543"/>
      <c r="ORF31" s="543"/>
      <c r="ORG31" s="543"/>
      <c r="ORH31" s="543"/>
      <c r="ORI31" s="543"/>
      <c r="ORJ31" s="543"/>
      <c r="ORK31" s="543"/>
      <c r="ORL31" s="543"/>
      <c r="ORM31" s="543"/>
      <c r="ORN31" s="543"/>
      <c r="ORO31" s="543"/>
      <c r="ORP31" s="543"/>
      <c r="ORQ31" s="543"/>
      <c r="ORR31" s="543"/>
      <c r="ORS31" s="543"/>
      <c r="ORT31" s="543"/>
      <c r="ORU31" s="543"/>
      <c r="ORV31" s="543"/>
      <c r="ORW31" s="543"/>
      <c r="ORX31" s="543"/>
      <c r="ORY31" s="543"/>
      <c r="ORZ31" s="543"/>
      <c r="OSA31" s="543"/>
      <c r="OSB31" s="543"/>
      <c r="OSC31" s="543"/>
      <c r="OSD31" s="543"/>
      <c r="OSE31" s="543"/>
      <c r="OSF31" s="543"/>
      <c r="OSG31" s="543"/>
      <c r="OSH31" s="543"/>
      <c r="OSI31" s="543"/>
      <c r="OSJ31" s="543"/>
      <c r="OSK31" s="543"/>
      <c r="OSL31" s="543"/>
      <c r="OSM31" s="543"/>
      <c r="OSN31" s="543"/>
      <c r="OSO31" s="543"/>
      <c r="OSP31" s="543"/>
      <c r="OSQ31" s="543"/>
      <c r="OSR31" s="543"/>
      <c r="OSS31" s="543"/>
      <c r="OST31" s="543"/>
      <c r="OSU31" s="543"/>
      <c r="OSV31" s="543"/>
      <c r="OSW31" s="543"/>
      <c r="OSX31" s="543"/>
      <c r="OSY31" s="543"/>
      <c r="OSZ31" s="543"/>
      <c r="OTA31" s="543"/>
      <c r="OTB31" s="543"/>
      <c r="OTC31" s="543"/>
      <c r="OTD31" s="543"/>
      <c r="OTE31" s="543"/>
      <c r="OTF31" s="543"/>
      <c r="OTG31" s="543"/>
      <c r="OTH31" s="543"/>
      <c r="OTI31" s="543"/>
      <c r="OTJ31" s="543"/>
      <c r="OTK31" s="543"/>
      <c r="OTL31" s="543"/>
      <c r="OTM31" s="543"/>
      <c r="OTN31" s="543"/>
      <c r="OTO31" s="543"/>
      <c r="OTP31" s="543"/>
      <c r="OTQ31" s="543"/>
      <c r="OTR31" s="543"/>
      <c r="OTS31" s="543"/>
      <c r="OTT31" s="543"/>
      <c r="OTU31" s="543"/>
      <c r="OTV31" s="543"/>
      <c r="OTW31" s="543"/>
      <c r="OTX31" s="543"/>
      <c r="OTY31" s="543"/>
      <c r="OTZ31" s="543"/>
      <c r="OUA31" s="543"/>
      <c r="OUB31" s="543"/>
      <c r="OUC31" s="543"/>
      <c r="OUD31" s="543"/>
      <c r="OUE31" s="543"/>
      <c r="OUF31" s="543"/>
      <c r="OUG31" s="543"/>
      <c r="OUH31" s="543"/>
      <c r="OUI31" s="543"/>
      <c r="OUJ31" s="543"/>
      <c r="OUK31" s="543"/>
      <c r="OUL31" s="543"/>
      <c r="OUM31" s="543"/>
      <c r="OUN31" s="543"/>
      <c r="OUO31" s="543"/>
      <c r="OUP31" s="543"/>
      <c r="OUQ31" s="543"/>
      <c r="OUR31" s="543"/>
      <c r="OUS31" s="543"/>
      <c r="OUT31" s="543"/>
      <c r="OUU31" s="543"/>
      <c r="OUV31" s="543"/>
      <c r="OUW31" s="543"/>
      <c r="OUX31" s="543"/>
      <c r="OUY31" s="543"/>
      <c r="OUZ31" s="543"/>
      <c r="OVA31" s="543"/>
      <c r="OVB31" s="543"/>
      <c r="OVC31" s="543"/>
      <c r="OVD31" s="543"/>
      <c r="OVE31" s="543"/>
      <c r="OVF31" s="543"/>
      <c r="OVG31" s="543"/>
      <c r="OVH31" s="543"/>
      <c r="OVI31" s="543"/>
      <c r="OVJ31" s="543"/>
      <c r="OVK31" s="543"/>
      <c r="OVL31" s="543"/>
      <c r="OVM31" s="543"/>
      <c r="OVN31" s="543"/>
      <c r="OVO31" s="543"/>
      <c r="OVP31" s="543"/>
      <c r="OVQ31" s="543"/>
      <c r="OVR31" s="543"/>
      <c r="OVS31" s="543"/>
      <c r="OVT31" s="543"/>
      <c r="OVU31" s="543"/>
      <c r="OVV31" s="543"/>
      <c r="OVW31" s="543"/>
      <c r="OVX31" s="543"/>
      <c r="OVY31" s="543"/>
      <c r="OVZ31" s="543"/>
      <c r="OWA31" s="543"/>
      <c r="OWB31" s="543"/>
      <c r="OWC31" s="543"/>
      <c r="OWD31" s="543"/>
      <c r="OWE31" s="543"/>
      <c r="OWF31" s="543"/>
      <c r="OWG31" s="543"/>
      <c r="OWH31" s="543"/>
      <c r="OWI31" s="543"/>
      <c r="OWJ31" s="543"/>
      <c r="OWK31" s="543"/>
      <c r="OWL31" s="543"/>
      <c r="OWM31" s="543"/>
      <c r="OWN31" s="543"/>
      <c r="OWO31" s="543"/>
      <c r="OWP31" s="543"/>
      <c r="OWQ31" s="543"/>
      <c r="OWR31" s="543"/>
      <c r="OWS31" s="543"/>
      <c r="OWT31" s="543"/>
      <c r="OWU31" s="543"/>
      <c r="OWV31" s="543"/>
      <c r="OWW31" s="543"/>
      <c r="OWX31" s="543"/>
      <c r="OWY31" s="543"/>
      <c r="OWZ31" s="543"/>
      <c r="OXA31" s="543"/>
      <c r="OXB31" s="543"/>
      <c r="OXC31" s="543"/>
      <c r="OXD31" s="543"/>
      <c r="OXE31" s="543"/>
      <c r="OXF31" s="543"/>
      <c r="OXG31" s="543"/>
      <c r="OXH31" s="543"/>
      <c r="OXI31" s="543"/>
      <c r="OXJ31" s="543"/>
      <c r="OXK31" s="543"/>
      <c r="OXL31" s="543"/>
      <c r="OXM31" s="543"/>
      <c r="OXN31" s="543"/>
      <c r="OXO31" s="543"/>
      <c r="OXP31" s="543"/>
      <c r="OXQ31" s="543"/>
      <c r="OXR31" s="543"/>
      <c r="OXS31" s="543"/>
      <c r="OXT31" s="543"/>
      <c r="OXU31" s="543"/>
      <c r="OXV31" s="543"/>
      <c r="OXW31" s="543"/>
      <c r="OXX31" s="543"/>
      <c r="OXY31" s="543"/>
      <c r="OXZ31" s="543"/>
      <c r="OYA31" s="543"/>
      <c r="OYB31" s="543"/>
      <c r="OYC31" s="543"/>
      <c r="OYD31" s="543"/>
      <c r="OYE31" s="543"/>
      <c r="OYF31" s="543"/>
      <c r="OYG31" s="543"/>
      <c r="OYH31" s="543"/>
      <c r="OYI31" s="543"/>
      <c r="OYJ31" s="543"/>
      <c r="OYK31" s="543"/>
      <c r="OYL31" s="543"/>
      <c r="OYM31" s="543"/>
      <c r="OYN31" s="543"/>
      <c r="OYO31" s="543"/>
      <c r="OYP31" s="543"/>
      <c r="OYQ31" s="543"/>
      <c r="OYR31" s="543"/>
      <c r="OYS31" s="543"/>
      <c r="OYT31" s="543"/>
      <c r="OYU31" s="543"/>
      <c r="OYV31" s="543"/>
      <c r="OYW31" s="543"/>
      <c r="OYX31" s="543"/>
      <c r="OYY31" s="543"/>
      <c r="OYZ31" s="543"/>
      <c r="OZA31" s="543"/>
      <c r="OZB31" s="543"/>
      <c r="OZC31" s="543"/>
      <c r="OZD31" s="543"/>
      <c r="OZE31" s="543"/>
      <c r="OZF31" s="543"/>
      <c r="OZG31" s="543"/>
      <c r="OZH31" s="543"/>
      <c r="OZI31" s="543"/>
      <c r="OZJ31" s="543"/>
      <c r="OZK31" s="543"/>
      <c r="OZL31" s="543"/>
      <c r="OZM31" s="543"/>
      <c r="OZN31" s="543"/>
      <c r="OZO31" s="543"/>
      <c r="OZP31" s="543"/>
      <c r="OZQ31" s="543"/>
      <c r="OZR31" s="543"/>
      <c r="OZS31" s="543"/>
      <c r="OZT31" s="543"/>
      <c r="OZU31" s="543"/>
      <c r="OZV31" s="543"/>
      <c r="OZW31" s="543"/>
      <c r="OZX31" s="543"/>
      <c r="OZY31" s="543"/>
      <c r="OZZ31" s="543"/>
      <c r="PAA31" s="543"/>
      <c r="PAB31" s="543"/>
      <c r="PAC31" s="543"/>
      <c r="PAD31" s="543"/>
      <c r="PAE31" s="543"/>
      <c r="PAF31" s="543"/>
      <c r="PAG31" s="543"/>
      <c r="PAH31" s="543"/>
      <c r="PAI31" s="543"/>
      <c r="PAJ31" s="543"/>
      <c r="PAK31" s="543"/>
      <c r="PAL31" s="543"/>
      <c r="PAM31" s="543"/>
      <c r="PAN31" s="543"/>
      <c r="PAO31" s="543"/>
      <c r="PAP31" s="543"/>
      <c r="PAQ31" s="543"/>
      <c r="PAR31" s="543"/>
      <c r="PAS31" s="543"/>
      <c r="PAT31" s="543"/>
      <c r="PAU31" s="543"/>
      <c r="PAV31" s="543"/>
      <c r="PAW31" s="543"/>
      <c r="PAX31" s="543"/>
      <c r="PAY31" s="543"/>
      <c r="PAZ31" s="543"/>
      <c r="PBA31" s="543"/>
      <c r="PBB31" s="543"/>
      <c r="PBC31" s="543"/>
      <c r="PBD31" s="543"/>
      <c r="PBE31" s="543"/>
      <c r="PBF31" s="543"/>
      <c r="PBG31" s="543"/>
      <c r="PBH31" s="543"/>
      <c r="PBI31" s="543"/>
      <c r="PBJ31" s="543"/>
      <c r="PBK31" s="543"/>
      <c r="PBL31" s="543"/>
      <c r="PBM31" s="543"/>
      <c r="PBN31" s="543"/>
      <c r="PBO31" s="543"/>
      <c r="PBP31" s="543"/>
      <c r="PBQ31" s="543"/>
      <c r="PBR31" s="543"/>
      <c r="PBS31" s="543"/>
      <c r="PBT31" s="543"/>
      <c r="PBU31" s="543"/>
      <c r="PBV31" s="543"/>
      <c r="PBW31" s="543"/>
      <c r="PBX31" s="543"/>
      <c r="PBY31" s="543"/>
      <c r="PBZ31" s="543"/>
      <c r="PCA31" s="543"/>
      <c r="PCB31" s="543"/>
      <c r="PCC31" s="543"/>
      <c r="PCD31" s="543"/>
      <c r="PCE31" s="543"/>
      <c r="PCF31" s="543"/>
      <c r="PCG31" s="543"/>
      <c r="PCH31" s="543"/>
      <c r="PCI31" s="543"/>
      <c r="PCJ31" s="543"/>
      <c r="PCK31" s="543"/>
      <c r="PCL31" s="543"/>
      <c r="PCM31" s="543"/>
      <c r="PCN31" s="543"/>
      <c r="PCO31" s="543"/>
      <c r="PCP31" s="543"/>
      <c r="PCQ31" s="543"/>
      <c r="PCR31" s="543"/>
      <c r="PCS31" s="543"/>
      <c r="PCT31" s="543"/>
      <c r="PCU31" s="543"/>
      <c r="PCV31" s="543"/>
      <c r="PCW31" s="543"/>
      <c r="PCX31" s="543"/>
      <c r="PCY31" s="543"/>
      <c r="PCZ31" s="543"/>
      <c r="PDA31" s="543"/>
      <c r="PDB31" s="543"/>
      <c r="PDC31" s="543"/>
      <c r="PDD31" s="543"/>
      <c r="PDE31" s="543"/>
      <c r="PDF31" s="543"/>
      <c r="PDG31" s="543"/>
      <c r="PDH31" s="543"/>
      <c r="PDI31" s="543"/>
      <c r="PDJ31" s="543"/>
      <c r="PDK31" s="543"/>
      <c r="PDL31" s="543"/>
      <c r="PDM31" s="543"/>
      <c r="PDN31" s="543"/>
      <c r="PDO31" s="543"/>
      <c r="PDP31" s="543"/>
      <c r="PDQ31" s="543"/>
      <c r="PDR31" s="543"/>
      <c r="PDS31" s="543"/>
      <c r="PDT31" s="543"/>
      <c r="PDU31" s="543"/>
      <c r="PDV31" s="543"/>
      <c r="PDW31" s="543"/>
      <c r="PDX31" s="543"/>
      <c r="PDY31" s="543"/>
      <c r="PDZ31" s="543"/>
      <c r="PEA31" s="543"/>
      <c r="PEB31" s="543"/>
      <c r="PEC31" s="543"/>
      <c r="PED31" s="543"/>
      <c r="PEE31" s="543"/>
      <c r="PEF31" s="543"/>
      <c r="PEG31" s="543"/>
      <c r="PEH31" s="543"/>
      <c r="PEI31" s="543"/>
      <c r="PEJ31" s="543"/>
      <c r="PEK31" s="543"/>
      <c r="PEL31" s="543"/>
      <c r="PEM31" s="543"/>
      <c r="PEN31" s="543"/>
      <c r="PEO31" s="543"/>
      <c r="PEP31" s="543"/>
      <c r="PEQ31" s="543"/>
      <c r="PER31" s="543"/>
      <c r="PES31" s="543"/>
      <c r="PET31" s="543"/>
      <c r="PEU31" s="543"/>
      <c r="PEV31" s="543"/>
      <c r="PEW31" s="543"/>
      <c r="PEX31" s="543"/>
      <c r="PEY31" s="543"/>
      <c r="PEZ31" s="543"/>
      <c r="PFA31" s="543"/>
      <c r="PFB31" s="543"/>
      <c r="PFC31" s="543"/>
      <c r="PFD31" s="543"/>
      <c r="PFE31" s="543"/>
      <c r="PFF31" s="543"/>
      <c r="PFG31" s="543"/>
      <c r="PFH31" s="543"/>
      <c r="PFI31" s="543"/>
      <c r="PFJ31" s="543"/>
      <c r="PFK31" s="543"/>
      <c r="PFL31" s="543"/>
      <c r="PFM31" s="543"/>
      <c r="PFN31" s="543"/>
      <c r="PFO31" s="543"/>
      <c r="PFP31" s="543"/>
      <c r="PFQ31" s="543"/>
      <c r="PFR31" s="543"/>
      <c r="PFS31" s="543"/>
      <c r="PFT31" s="543"/>
      <c r="PFU31" s="543"/>
      <c r="PFV31" s="543"/>
      <c r="PFW31" s="543"/>
      <c r="PFX31" s="543"/>
      <c r="PFY31" s="543"/>
      <c r="PFZ31" s="543"/>
      <c r="PGA31" s="543"/>
      <c r="PGB31" s="543"/>
      <c r="PGC31" s="543"/>
      <c r="PGD31" s="543"/>
      <c r="PGE31" s="543"/>
      <c r="PGF31" s="543"/>
      <c r="PGG31" s="543"/>
      <c r="PGH31" s="543"/>
      <c r="PGI31" s="543"/>
      <c r="PGJ31" s="543"/>
      <c r="PGK31" s="543"/>
      <c r="PGL31" s="543"/>
      <c r="PGM31" s="543"/>
      <c r="PGN31" s="543"/>
      <c r="PGO31" s="543"/>
      <c r="PGP31" s="543"/>
      <c r="PGQ31" s="543"/>
      <c r="PGR31" s="543"/>
      <c r="PGS31" s="543"/>
      <c r="PGT31" s="543"/>
      <c r="PGU31" s="543"/>
      <c r="PGV31" s="543"/>
      <c r="PGW31" s="543"/>
      <c r="PGX31" s="543"/>
      <c r="PGY31" s="543"/>
      <c r="PGZ31" s="543"/>
      <c r="PHA31" s="543"/>
      <c r="PHB31" s="543"/>
      <c r="PHC31" s="543"/>
      <c r="PHD31" s="543"/>
      <c r="PHE31" s="543"/>
      <c r="PHF31" s="543"/>
      <c r="PHG31" s="543"/>
      <c r="PHH31" s="543"/>
      <c r="PHI31" s="543"/>
      <c r="PHJ31" s="543"/>
      <c r="PHK31" s="543"/>
      <c r="PHL31" s="543"/>
      <c r="PHM31" s="543"/>
      <c r="PHN31" s="543"/>
      <c r="PHO31" s="543"/>
      <c r="PHP31" s="543"/>
      <c r="PHQ31" s="543"/>
      <c r="PHR31" s="543"/>
      <c r="PHS31" s="543"/>
      <c r="PHT31" s="543"/>
      <c r="PHU31" s="543"/>
      <c r="PHV31" s="543"/>
      <c r="PHW31" s="543"/>
      <c r="PHX31" s="543"/>
      <c r="PHY31" s="543"/>
      <c r="PHZ31" s="543"/>
      <c r="PIA31" s="543"/>
      <c r="PIB31" s="543"/>
      <c r="PIC31" s="543"/>
      <c r="PID31" s="543"/>
      <c r="PIE31" s="543"/>
      <c r="PIF31" s="543"/>
      <c r="PIG31" s="543"/>
      <c r="PIH31" s="543"/>
      <c r="PII31" s="543"/>
      <c r="PIJ31" s="543"/>
      <c r="PIK31" s="543"/>
      <c r="PIL31" s="543"/>
      <c r="PIM31" s="543"/>
      <c r="PIN31" s="543"/>
      <c r="PIO31" s="543"/>
      <c r="PIP31" s="543"/>
      <c r="PIQ31" s="543"/>
      <c r="PIR31" s="543"/>
      <c r="PIS31" s="543"/>
      <c r="PIT31" s="543"/>
      <c r="PIU31" s="543"/>
      <c r="PIV31" s="543"/>
      <c r="PIW31" s="543"/>
      <c r="PIX31" s="543"/>
      <c r="PIY31" s="543"/>
      <c r="PIZ31" s="543"/>
      <c r="PJA31" s="543"/>
      <c r="PJB31" s="543"/>
      <c r="PJC31" s="543"/>
      <c r="PJD31" s="543"/>
      <c r="PJE31" s="543"/>
      <c r="PJF31" s="543"/>
      <c r="PJG31" s="543"/>
      <c r="PJH31" s="543"/>
      <c r="PJI31" s="543"/>
      <c r="PJJ31" s="543"/>
      <c r="PJK31" s="543"/>
      <c r="PJL31" s="543"/>
      <c r="PJM31" s="543"/>
      <c r="PJN31" s="543"/>
      <c r="PJO31" s="543"/>
      <c r="PJP31" s="543"/>
      <c r="PJQ31" s="543"/>
      <c r="PJR31" s="543"/>
      <c r="PJS31" s="543"/>
      <c r="PJT31" s="543"/>
      <c r="PJU31" s="543"/>
      <c r="PJV31" s="543"/>
      <c r="PJW31" s="543"/>
      <c r="PJX31" s="543"/>
      <c r="PJY31" s="543"/>
      <c r="PJZ31" s="543"/>
      <c r="PKA31" s="543"/>
      <c r="PKB31" s="543"/>
      <c r="PKC31" s="543"/>
      <c r="PKD31" s="543"/>
      <c r="PKE31" s="543"/>
      <c r="PKF31" s="543"/>
      <c r="PKG31" s="543"/>
      <c r="PKH31" s="543"/>
      <c r="PKI31" s="543"/>
      <c r="PKJ31" s="543"/>
      <c r="PKK31" s="543"/>
      <c r="PKL31" s="543"/>
      <c r="PKM31" s="543"/>
      <c r="PKN31" s="543"/>
      <c r="PKO31" s="543"/>
      <c r="PKP31" s="543"/>
      <c r="PKQ31" s="543"/>
      <c r="PKR31" s="543"/>
      <c r="PKS31" s="543"/>
      <c r="PKT31" s="543"/>
      <c r="PKU31" s="543"/>
      <c r="PKV31" s="543"/>
      <c r="PKW31" s="543"/>
      <c r="PKX31" s="543"/>
      <c r="PKY31" s="543"/>
      <c r="PKZ31" s="543"/>
      <c r="PLA31" s="543"/>
      <c r="PLB31" s="543"/>
      <c r="PLC31" s="543"/>
      <c r="PLD31" s="543"/>
      <c r="PLE31" s="543"/>
      <c r="PLF31" s="543"/>
      <c r="PLG31" s="543"/>
      <c r="PLH31" s="543"/>
      <c r="PLI31" s="543"/>
      <c r="PLJ31" s="543"/>
      <c r="PLK31" s="543"/>
      <c r="PLL31" s="543"/>
      <c r="PLM31" s="543"/>
      <c r="PLN31" s="543"/>
      <c r="PLO31" s="543"/>
      <c r="PLP31" s="543"/>
      <c r="PLQ31" s="543"/>
      <c r="PLR31" s="543"/>
      <c r="PLS31" s="543"/>
      <c r="PLT31" s="543"/>
      <c r="PLU31" s="543"/>
      <c r="PLV31" s="543"/>
      <c r="PLW31" s="543"/>
      <c r="PLX31" s="543"/>
      <c r="PLY31" s="543"/>
      <c r="PLZ31" s="543"/>
      <c r="PMA31" s="543"/>
      <c r="PMB31" s="543"/>
      <c r="PMC31" s="543"/>
      <c r="PMD31" s="543"/>
      <c r="PME31" s="543"/>
      <c r="PMF31" s="543"/>
      <c r="PMG31" s="543"/>
      <c r="PMH31" s="543"/>
      <c r="PMI31" s="543"/>
      <c r="PMJ31" s="543"/>
      <c r="PMK31" s="543"/>
      <c r="PML31" s="543"/>
      <c r="PMM31" s="543"/>
      <c r="PMN31" s="543"/>
      <c r="PMO31" s="543"/>
      <c r="PMP31" s="543"/>
      <c r="PMQ31" s="543"/>
      <c r="PMR31" s="543"/>
      <c r="PMS31" s="543"/>
      <c r="PMT31" s="543"/>
      <c r="PMU31" s="543"/>
      <c r="PMV31" s="543"/>
      <c r="PMW31" s="543"/>
      <c r="PMX31" s="543"/>
      <c r="PMY31" s="543"/>
      <c r="PMZ31" s="543"/>
      <c r="PNA31" s="543"/>
      <c r="PNB31" s="543"/>
      <c r="PNC31" s="543"/>
      <c r="PND31" s="543"/>
      <c r="PNE31" s="543"/>
      <c r="PNF31" s="543"/>
      <c r="PNG31" s="543"/>
      <c r="PNH31" s="543"/>
      <c r="PNI31" s="543"/>
      <c r="PNJ31" s="543"/>
      <c r="PNK31" s="543"/>
      <c r="PNL31" s="543"/>
      <c r="PNM31" s="543"/>
      <c r="PNN31" s="543"/>
      <c r="PNO31" s="543"/>
      <c r="PNP31" s="543"/>
      <c r="PNQ31" s="543"/>
      <c r="PNR31" s="543"/>
      <c r="PNS31" s="543"/>
      <c r="PNT31" s="543"/>
      <c r="PNU31" s="543"/>
      <c r="PNV31" s="543"/>
      <c r="PNW31" s="543"/>
      <c r="PNX31" s="543"/>
      <c r="PNY31" s="543"/>
      <c r="PNZ31" s="543"/>
      <c r="POA31" s="543"/>
      <c r="POB31" s="543"/>
      <c r="POC31" s="543"/>
      <c r="POD31" s="543"/>
      <c r="POE31" s="543"/>
      <c r="POF31" s="543"/>
      <c r="POG31" s="543"/>
      <c r="POH31" s="543"/>
      <c r="POI31" s="543"/>
      <c r="POJ31" s="543"/>
      <c r="POK31" s="543"/>
      <c r="POL31" s="543"/>
      <c r="POM31" s="543"/>
      <c r="PON31" s="543"/>
      <c r="POO31" s="543"/>
      <c r="POP31" s="543"/>
      <c r="POQ31" s="543"/>
      <c r="POR31" s="543"/>
      <c r="POS31" s="543"/>
      <c r="POT31" s="543"/>
      <c r="POU31" s="543"/>
      <c r="POV31" s="543"/>
      <c r="POW31" s="543"/>
      <c r="POX31" s="543"/>
      <c r="POY31" s="543"/>
      <c r="POZ31" s="543"/>
      <c r="PPA31" s="543"/>
      <c r="PPB31" s="543"/>
      <c r="PPC31" s="543"/>
      <c r="PPD31" s="543"/>
      <c r="PPE31" s="543"/>
      <c r="PPF31" s="543"/>
      <c r="PPG31" s="543"/>
      <c r="PPH31" s="543"/>
      <c r="PPI31" s="543"/>
      <c r="PPJ31" s="543"/>
      <c r="PPK31" s="543"/>
      <c r="PPL31" s="543"/>
      <c r="PPM31" s="543"/>
      <c r="PPN31" s="543"/>
      <c r="PPO31" s="543"/>
      <c r="PPP31" s="543"/>
      <c r="PPQ31" s="543"/>
      <c r="PPR31" s="543"/>
      <c r="PPS31" s="543"/>
      <c r="PPT31" s="543"/>
      <c r="PPU31" s="543"/>
      <c r="PPV31" s="543"/>
      <c r="PPW31" s="543"/>
      <c r="PPX31" s="543"/>
      <c r="PPY31" s="543"/>
      <c r="PPZ31" s="543"/>
      <c r="PQA31" s="543"/>
      <c r="PQB31" s="543"/>
      <c r="PQC31" s="543"/>
      <c r="PQD31" s="543"/>
      <c r="PQE31" s="543"/>
      <c r="PQF31" s="543"/>
      <c r="PQG31" s="543"/>
      <c r="PQH31" s="543"/>
      <c r="PQI31" s="543"/>
      <c r="PQJ31" s="543"/>
      <c r="PQK31" s="543"/>
      <c r="PQL31" s="543"/>
      <c r="PQM31" s="543"/>
      <c r="PQN31" s="543"/>
      <c r="PQO31" s="543"/>
      <c r="PQP31" s="543"/>
      <c r="PQQ31" s="543"/>
      <c r="PQR31" s="543"/>
      <c r="PQS31" s="543"/>
      <c r="PQT31" s="543"/>
      <c r="PQU31" s="543"/>
      <c r="PQV31" s="543"/>
      <c r="PQW31" s="543"/>
      <c r="PQX31" s="543"/>
      <c r="PQY31" s="543"/>
      <c r="PQZ31" s="543"/>
      <c r="PRA31" s="543"/>
      <c r="PRB31" s="543"/>
      <c r="PRC31" s="543"/>
      <c r="PRD31" s="543"/>
      <c r="PRE31" s="543"/>
      <c r="PRF31" s="543"/>
      <c r="PRG31" s="543"/>
      <c r="PRH31" s="543"/>
      <c r="PRI31" s="543"/>
      <c r="PRJ31" s="543"/>
      <c r="PRK31" s="543"/>
      <c r="PRL31" s="543"/>
      <c r="PRM31" s="543"/>
      <c r="PRN31" s="543"/>
      <c r="PRO31" s="543"/>
      <c r="PRP31" s="543"/>
      <c r="PRQ31" s="543"/>
      <c r="PRR31" s="543"/>
      <c r="PRS31" s="543"/>
      <c r="PRT31" s="543"/>
      <c r="PRU31" s="543"/>
      <c r="PRV31" s="543"/>
      <c r="PRW31" s="543"/>
      <c r="PRX31" s="543"/>
      <c r="PRY31" s="543"/>
      <c r="PRZ31" s="543"/>
      <c r="PSA31" s="543"/>
      <c r="PSB31" s="543"/>
      <c r="PSC31" s="543"/>
      <c r="PSD31" s="543"/>
      <c r="PSE31" s="543"/>
      <c r="PSF31" s="543"/>
      <c r="PSG31" s="543"/>
      <c r="PSH31" s="543"/>
      <c r="PSI31" s="543"/>
      <c r="PSJ31" s="543"/>
      <c r="PSK31" s="543"/>
      <c r="PSL31" s="543"/>
      <c r="PSM31" s="543"/>
      <c r="PSN31" s="543"/>
      <c r="PSO31" s="543"/>
      <c r="PSP31" s="543"/>
      <c r="PSQ31" s="543"/>
      <c r="PSR31" s="543"/>
      <c r="PSS31" s="543"/>
      <c r="PST31" s="543"/>
      <c r="PSU31" s="543"/>
      <c r="PSV31" s="543"/>
      <c r="PSW31" s="543"/>
      <c r="PSX31" s="543"/>
      <c r="PSY31" s="543"/>
      <c r="PSZ31" s="543"/>
      <c r="PTA31" s="543"/>
      <c r="PTB31" s="543"/>
      <c r="PTC31" s="543"/>
      <c r="PTD31" s="543"/>
      <c r="PTE31" s="543"/>
      <c r="PTF31" s="543"/>
      <c r="PTG31" s="543"/>
      <c r="PTH31" s="543"/>
      <c r="PTI31" s="543"/>
      <c r="PTJ31" s="543"/>
      <c r="PTK31" s="543"/>
      <c r="PTL31" s="543"/>
      <c r="PTM31" s="543"/>
      <c r="PTN31" s="543"/>
      <c r="PTO31" s="543"/>
      <c r="PTP31" s="543"/>
      <c r="PTQ31" s="543"/>
      <c r="PTR31" s="543"/>
      <c r="PTS31" s="543"/>
      <c r="PTT31" s="543"/>
      <c r="PTU31" s="543"/>
      <c r="PTV31" s="543"/>
      <c r="PTW31" s="543"/>
      <c r="PTX31" s="543"/>
      <c r="PTY31" s="543"/>
      <c r="PTZ31" s="543"/>
      <c r="PUA31" s="543"/>
      <c r="PUB31" s="543"/>
      <c r="PUC31" s="543"/>
      <c r="PUD31" s="543"/>
      <c r="PUE31" s="543"/>
      <c r="PUF31" s="543"/>
      <c r="PUG31" s="543"/>
      <c r="PUH31" s="543"/>
      <c r="PUI31" s="543"/>
      <c r="PUJ31" s="543"/>
      <c r="PUK31" s="543"/>
      <c r="PUL31" s="543"/>
      <c r="PUM31" s="543"/>
      <c r="PUN31" s="543"/>
      <c r="PUO31" s="543"/>
      <c r="PUP31" s="543"/>
      <c r="PUQ31" s="543"/>
      <c r="PUR31" s="543"/>
      <c r="PUS31" s="543"/>
      <c r="PUT31" s="543"/>
      <c r="PUU31" s="543"/>
      <c r="PUV31" s="543"/>
      <c r="PUW31" s="543"/>
      <c r="PUX31" s="543"/>
      <c r="PUY31" s="543"/>
      <c r="PUZ31" s="543"/>
      <c r="PVA31" s="543"/>
      <c r="PVB31" s="543"/>
      <c r="PVC31" s="543"/>
      <c r="PVD31" s="543"/>
      <c r="PVE31" s="543"/>
      <c r="PVF31" s="543"/>
      <c r="PVG31" s="543"/>
      <c r="PVH31" s="543"/>
      <c r="PVI31" s="543"/>
      <c r="PVJ31" s="543"/>
      <c r="PVK31" s="543"/>
      <c r="PVL31" s="543"/>
      <c r="PVM31" s="543"/>
      <c r="PVN31" s="543"/>
      <c r="PVO31" s="543"/>
      <c r="PVP31" s="543"/>
      <c r="PVQ31" s="543"/>
      <c r="PVR31" s="543"/>
      <c r="PVS31" s="543"/>
      <c r="PVT31" s="543"/>
      <c r="PVU31" s="543"/>
      <c r="PVV31" s="543"/>
      <c r="PVW31" s="543"/>
      <c r="PVX31" s="543"/>
      <c r="PVY31" s="543"/>
      <c r="PVZ31" s="543"/>
      <c r="PWA31" s="543"/>
      <c r="PWB31" s="543"/>
      <c r="PWC31" s="543"/>
      <c r="PWD31" s="543"/>
      <c r="PWE31" s="543"/>
      <c r="PWF31" s="543"/>
      <c r="PWG31" s="543"/>
      <c r="PWH31" s="543"/>
      <c r="PWI31" s="543"/>
      <c r="PWJ31" s="543"/>
      <c r="PWK31" s="543"/>
      <c r="PWL31" s="543"/>
      <c r="PWM31" s="543"/>
      <c r="PWN31" s="543"/>
      <c r="PWO31" s="543"/>
      <c r="PWP31" s="543"/>
      <c r="PWQ31" s="543"/>
      <c r="PWR31" s="543"/>
      <c r="PWS31" s="543"/>
      <c r="PWT31" s="543"/>
      <c r="PWU31" s="543"/>
      <c r="PWV31" s="543"/>
      <c r="PWW31" s="543"/>
      <c r="PWX31" s="543"/>
      <c r="PWY31" s="543"/>
      <c r="PWZ31" s="543"/>
      <c r="PXA31" s="543"/>
      <c r="PXB31" s="543"/>
      <c r="PXC31" s="543"/>
      <c r="PXD31" s="543"/>
      <c r="PXE31" s="543"/>
      <c r="PXF31" s="543"/>
      <c r="PXG31" s="543"/>
      <c r="PXH31" s="543"/>
      <c r="PXI31" s="543"/>
      <c r="PXJ31" s="543"/>
      <c r="PXK31" s="543"/>
      <c r="PXL31" s="543"/>
      <c r="PXM31" s="543"/>
      <c r="PXN31" s="543"/>
      <c r="PXO31" s="543"/>
      <c r="PXP31" s="543"/>
      <c r="PXQ31" s="543"/>
      <c r="PXR31" s="543"/>
      <c r="PXS31" s="543"/>
      <c r="PXT31" s="543"/>
      <c r="PXU31" s="543"/>
      <c r="PXV31" s="543"/>
      <c r="PXW31" s="543"/>
      <c r="PXX31" s="543"/>
      <c r="PXY31" s="543"/>
      <c r="PXZ31" s="543"/>
      <c r="PYA31" s="543"/>
      <c r="PYB31" s="543"/>
      <c r="PYC31" s="543"/>
      <c r="PYD31" s="543"/>
      <c r="PYE31" s="543"/>
      <c r="PYF31" s="543"/>
      <c r="PYG31" s="543"/>
      <c r="PYH31" s="543"/>
      <c r="PYI31" s="543"/>
      <c r="PYJ31" s="543"/>
      <c r="PYK31" s="543"/>
      <c r="PYL31" s="543"/>
      <c r="PYM31" s="543"/>
      <c r="PYN31" s="543"/>
      <c r="PYO31" s="543"/>
      <c r="PYP31" s="543"/>
      <c r="PYQ31" s="543"/>
      <c r="PYR31" s="543"/>
      <c r="PYS31" s="543"/>
      <c r="PYT31" s="543"/>
      <c r="PYU31" s="543"/>
      <c r="PYV31" s="543"/>
      <c r="PYW31" s="543"/>
      <c r="PYX31" s="543"/>
      <c r="PYY31" s="543"/>
      <c r="PYZ31" s="543"/>
      <c r="PZA31" s="543"/>
      <c r="PZB31" s="543"/>
      <c r="PZC31" s="543"/>
      <c r="PZD31" s="543"/>
      <c r="PZE31" s="543"/>
      <c r="PZF31" s="543"/>
      <c r="PZG31" s="543"/>
      <c r="PZH31" s="543"/>
      <c r="PZI31" s="543"/>
      <c r="PZJ31" s="543"/>
      <c r="PZK31" s="543"/>
      <c r="PZL31" s="543"/>
      <c r="PZM31" s="543"/>
      <c r="PZN31" s="543"/>
      <c r="PZO31" s="543"/>
      <c r="PZP31" s="543"/>
      <c r="PZQ31" s="543"/>
      <c r="PZR31" s="543"/>
      <c r="PZS31" s="543"/>
      <c r="PZT31" s="543"/>
      <c r="PZU31" s="543"/>
      <c r="PZV31" s="543"/>
      <c r="PZW31" s="543"/>
      <c r="PZX31" s="543"/>
      <c r="PZY31" s="543"/>
      <c r="PZZ31" s="543"/>
      <c r="QAA31" s="543"/>
      <c r="QAB31" s="543"/>
      <c r="QAC31" s="543"/>
      <c r="QAD31" s="543"/>
      <c r="QAE31" s="543"/>
      <c r="QAF31" s="543"/>
      <c r="QAG31" s="543"/>
      <c r="QAH31" s="543"/>
      <c r="QAI31" s="543"/>
      <c r="QAJ31" s="543"/>
      <c r="QAK31" s="543"/>
      <c r="QAL31" s="543"/>
      <c r="QAM31" s="543"/>
      <c r="QAN31" s="543"/>
      <c r="QAO31" s="543"/>
      <c r="QAP31" s="543"/>
      <c r="QAQ31" s="543"/>
      <c r="QAR31" s="543"/>
      <c r="QAS31" s="543"/>
      <c r="QAT31" s="543"/>
      <c r="QAU31" s="543"/>
      <c r="QAV31" s="543"/>
      <c r="QAW31" s="543"/>
      <c r="QAX31" s="543"/>
      <c r="QAY31" s="543"/>
      <c r="QAZ31" s="543"/>
      <c r="QBA31" s="543"/>
      <c r="QBB31" s="543"/>
      <c r="QBC31" s="543"/>
      <c r="QBD31" s="543"/>
      <c r="QBE31" s="543"/>
      <c r="QBF31" s="543"/>
      <c r="QBG31" s="543"/>
      <c r="QBH31" s="543"/>
      <c r="QBI31" s="543"/>
      <c r="QBJ31" s="543"/>
      <c r="QBK31" s="543"/>
      <c r="QBL31" s="543"/>
      <c r="QBM31" s="543"/>
      <c r="QBN31" s="543"/>
      <c r="QBO31" s="543"/>
      <c r="QBP31" s="543"/>
      <c r="QBQ31" s="543"/>
      <c r="QBR31" s="543"/>
      <c r="QBS31" s="543"/>
      <c r="QBT31" s="543"/>
      <c r="QBU31" s="543"/>
      <c r="QBV31" s="543"/>
      <c r="QBW31" s="543"/>
      <c r="QBX31" s="543"/>
      <c r="QBY31" s="543"/>
      <c r="QBZ31" s="543"/>
      <c r="QCA31" s="543"/>
      <c r="QCB31" s="543"/>
      <c r="QCC31" s="543"/>
      <c r="QCD31" s="543"/>
      <c r="QCE31" s="543"/>
      <c r="QCF31" s="543"/>
      <c r="QCG31" s="543"/>
      <c r="QCH31" s="543"/>
      <c r="QCI31" s="543"/>
      <c r="QCJ31" s="543"/>
      <c r="QCK31" s="543"/>
      <c r="QCL31" s="543"/>
      <c r="QCM31" s="543"/>
      <c r="QCN31" s="543"/>
      <c r="QCO31" s="543"/>
      <c r="QCP31" s="543"/>
      <c r="QCQ31" s="543"/>
      <c r="QCR31" s="543"/>
      <c r="QCS31" s="543"/>
      <c r="QCT31" s="543"/>
      <c r="QCU31" s="543"/>
      <c r="QCV31" s="543"/>
      <c r="QCW31" s="543"/>
      <c r="QCX31" s="543"/>
      <c r="QCY31" s="543"/>
      <c r="QCZ31" s="543"/>
      <c r="QDA31" s="543"/>
      <c r="QDB31" s="543"/>
      <c r="QDC31" s="543"/>
      <c r="QDD31" s="543"/>
      <c r="QDE31" s="543"/>
      <c r="QDF31" s="543"/>
      <c r="QDG31" s="543"/>
      <c r="QDH31" s="543"/>
      <c r="QDI31" s="543"/>
      <c r="QDJ31" s="543"/>
      <c r="QDK31" s="543"/>
      <c r="QDL31" s="543"/>
      <c r="QDM31" s="543"/>
      <c r="QDN31" s="543"/>
      <c r="QDO31" s="543"/>
      <c r="QDP31" s="543"/>
      <c r="QDQ31" s="543"/>
      <c r="QDR31" s="543"/>
      <c r="QDS31" s="543"/>
      <c r="QDT31" s="543"/>
      <c r="QDU31" s="543"/>
      <c r="QDV31" s="543"/>
      <c r="QDW31" s="543"/>
      <c r="QDX31" s="543"/>
      <c r="QDY31" s="543"/>
      <c r="QDZ31" s="543"/>
      <c r="QEA31" s="543"/>
      <c r="QEB31" s="543"/>
      <c r="QEC31" s="543"/>
      <c r="QED31" s="543"/>
      <c r="QEE31" s="543"/>
      <c r="QEF31" s="543"/>
      <c r="QEG31" s="543"/>
      <c r="QEH31" s="543"/>
      <c r="QEI31" s="543"/>
      <c r="QEJ31" s="543"/>
      <c r="QEK31" s="543"/>
      <c r="QEL31" s="543"/>
      <c r="QEM31" s="543"/>
      <c r="QEN31" s="543"/>
      <c r="QEO31" s="543"/>
      <c r="QEP31" s="543"/>
      <c r="QEQ31" s="543"/>
      <c r="QER31" s="543"/>
      <c r="QES31" s="543"/>
      <c r="QET31" s="543"/>
      <c r="QEU31" s="543"/>
      <c r="QEV31" s="543"/>
      <c r="QEW31" s="543"/>
      <c r="QEX31" s="543"/>
      <c r="QEY31" s="543"/>
      <c r="QEZ31" s="543"/>
      <c r="QFA31" s="543"/>
      <c r="QFB31" s="543"/>
      <c r="QFC31" s="543"/>
      <c r="QFD31" s="543"/>
      <c r="QFE31" s="543"/>
      <c r="QFF31" s="543"/>
      <c r="QFG31" s="543"/>
      <c r="QFH31" s="543"/>
      <c r="QFI31" s="543"/>
      <c r="QFJ31" s="543"/>
      <c r="QFK31" s="543"/>
      <c r="QFL31" s="543"/>
      <c r="QFM31" s="543"/>
      <c r="QFN31" s="543"/>
      <c r="QFO31" s="543"/>
      <c r="QFP31" s="543"/>
      <c r="QFQ31" s="543"/>
      <c r="QFR31" s="543"/>
      <c r="QFS31" s="543"/>
      <c r="QFT31" s="543"/>
      <c r="QFU31" s="543"/>
      <c r="QFV31" s="543"/>
      <c r="QFW31" s="543"/>
      <c r="QFX31" s="543"/>
      <c r="QFY31" s="543"/>
      <c r="QFZ31" s="543"/>
      <c r="QGA31" s="543"/>
      <c r="QGB31" s="543"/>
      <c r="QGC31" s="543"/>
      <c r="QGD31" s="543"/>
      <c r="QGE31" s="543"/>
      <c r="QGF31" s="543"/>
      <c r="QGG31" s="543"/>
      <c r="QGH31" s="543"/>
      <c r="QGI31" s="543"/>
      <c r="QGJ31" s="543"/>
      <c r="QGK31" s="543"/>
      <c r="QGL31" s="543"/>
      <c r="QGM31" s="543"/>
      <c r="QGN31" s="543"/>
      <c r="QGO31" s="543"/>
      <c r="QGP31" s="543"/>
      <c r="QGQ31" s="543"/>
      <c r="QGR31" s="543"/>
      <c r="QGS31" s="543"/>
      <c r="QGT31" s="543"/>
      <c r="QGU31" s="543"/>
      <c r="QGV31" s="543"/>
      <c r="QGW31" s="543"/>
      <c r="QGX31" s="543"/>
      <c r="QGY31" s="543"/>
      <c r="QGZ31" s="543"/>
      <c r="QHA31" s="543"/>
      <c r="QHB31" s="543"/>
      <c r="QHC31" s="543"/>
      <c r="QHD31" s="543"/>
      <c r="QHE31" s="543"/>
      <c r="QHF31" s="543"/>
      <c r="QHG31" s="543"/>
      <c r="QHH31" s="543"/>
      <c r="QHI31" s="543"/>
      <c r="QHJ31" s="543"/>
      <c r="QHK31" s="543"/>
      <c r="QHL31" s="543"/>
      <c r="QHM31" s="543"/>
      <c r="QHN31" s="543"/>
      <c r="QHO31" s="543"/>
      <c r="QHP31" s="543"/>
      <c r="QHQ31" s="543"/>
      <c r="QHR31" s="543"/>
      <c r="QHS31" s="543"/>
      <c r="QHT31" s="543"/>
      <c r="QHU31" s="543"/>
      <c r="QHV31" s="543"/>
      <c r="QHW31" s="543"/>
      <c r="QHX31" s="543"/>
      <c r="QHY31" s="543"/>
      <c r="QHZ31" s="543"/>
      <c r="QIA31" s="543"/>
      <c r="QIB31" s="543"/>
      <c r="QIC31" s="543"/>
      <c r="QID31" s="543"/>
      <c r="QIE31" s="543"/>
      <c r="QIF31" s="543"/>
      <c r="QIG31" s="543"/>
      <c r="QIH31" s="543"/>
      <c r="QII31" s="543"/>
      <c r="QIJ31" s="543"/>
      <c r="QIK31" s="543"/>
      <c r="QIL31" s="543"/>
      <c r="QIM31" s="543"/>
      <c r="QIN31" s="543"/>
      <c r="QIO31" s="543"/>
      <c r="QIP31" s="543"/>
      <c r="QIQ31" s="543"/>
      <c r="QIR31" s="543"/>
      <c r="QIS31" s="543"/>
      <c r="QIT31" s="543"/>
      <c r="QIU31" s="543"/>
      <c r="QIV31" s="543"/>
      <c r="QIW31" s="543"/>
      <c r="QIX31" s="543"/>
      <c r="QIY31" s="543"/>
      <c r="QIZ31" s="543"/>
      <c r="QJA31" s="543"/>
      <c r="QJB31" s="543"/>
      <c r="QJC31" s="543"/>
      <c r="QJD31" s="543"/>
      <c r="QJE31" s="543"/>
      <c r="QJF31" s="543"/>
      <c r="QJG31" s="543"/>
      <c r="QJH31" s="543"/>
      <c r="QJI31" s="543"/>
      <c r="QJJ31" s="543"/>
      <c r="QJK31" s="543"/>
      <c r="QJL31" s="543"/>
      <c r="QJM31" s="543"/>
      <c r="QJN31" s="543"/>
      <c r="QJO31" s="543"/>
      <c r="QJP31" s="543"/>
      <c r="QJQ31" s="543"/>
      <c r="QJR31" s="543"/>
      <c r="QJS31" s="543"/>
      <c r="QJT31" s="543"/>
      <c r="QJU31" s="543"/>
      <c r="QJV31" s="543"/>
      <c r="QJW31" s="543"/>
      <c r="QJX31" s="543"/>
      <c r="QJY31" s="543"/>
      <c r="QJZ31" s="543"/>
      <c r="QKA31" s="543"/>
      <c r="QKB31" s="543"/>
      <c r="QKC31" s="543"/>
      <c r="QKD31" s="543"/>
      <c r="QKE31" s="543"/>
      <c r="QKF31" s="543"/>
      <c r="QKG31" s="543"/>
      <c r="QKH31" s="543"/>
      <c r="QKI31" s="543"/>
      <c r="QKJ31" s="543"/>
      <c r="QKK31" s="543"/>
      <c r="QKL31" s="543"/>
      <c r="QKM31" s="543"/>
      <c r="QKN31" s="543"/>
      <c r="QKO31" s="543"/>
      <c r="QKP31" s="543"/>
      <c r="QKQ31" s="543"/>
      <c r="QKR31" s="543"/>
      <c r="QKS31" s="543"/>
      <c r="QKT31" s="543"/>
      <c r="QKU31" s="543"/>
      <c r="QKV31" s="543"/>
      <c r="QKW31" s="543"/>
      <c r="QKX31" s="543"/>
      <c r="QKY31" s="543"/>
      <c r="QKZ31" s="543"/>
      <c r="QLA31" s="543"/>
      <c r="QLB31" s="543"/>
      <c r="QLC31" s="543"/>
      <c r="QLD31" s="543"/>
      <c r="QLE31" s="543"/>
      <c r="QLF31" s="543"/>
      <c r="QLG31" s="543"/>
      <c r="QLH31" s="543"/>
      <c r="QLI31" s="543"/>
      <c r="QLJ31" s="543"/>
      <c r="QLK31" s="543"/>
      <c r="QLL31" s="543"/>
      <c r="QLM31" s="543"/>
      <c r="QLN31" s="543"/>
      <c r="QLO31" s="543"/>
      <c r="QLP31" s="543"/>
      <c r="QLQ31" s="543"/>
      <c r="QLR31" s="543"/>
      <c r="QLS31" s="543"/>
      <c r="QLT31" s="543"/>
      <c r="QLU31" s="543"/>
      <c r="QLV31" s="543"/>
      <c r="QLW31" s="543"/>
      <c r="QLX31" s="543"/>
      <c r="QLY31" s="543"/>
      <c r="QLZ31" s="543"/>
      <c r="QMA31" s="543"/>
      <c r="QMB31" s="543"/>
      <c r="QMC31" s="543"/>
      <c r="QMD31" s="543"/>
      <c r="QME31" s="543"/>
      <c r="QMF31" s="543"/>
      <c r="QMG31" s="543"/>
      <c r="QMH31" s="543"/>
      <c r="QMI31" s="543"/>
      <c r="QMJ31" s="543"/>
      <c r="QMK31" s="543"/>
      <c r="QML31" s="543"/>
      <c r="QMM31" s="543"/>
      <c r="QMN31" s="543"/>
      <c r="QMO31" s="543"/>
      <c r="QMP31" s="543"/>
      <c r="QMQ31" s="543"/>
      <c r="QMR31" s="543"/>
      <c r="QMS31" s="543"/>
      <c r="QMT31" s="543"/>
      <c r="QMU31" s="543"/>
      <c r="QMV31" s="543"/>
      <c r="QMW31" s="543"/>
      <c r="QMX31" s="543"/>
      <c r="QMY31" s="543"/>
      <c r="QMZ31" s="543"/>
      <c r="QNA31" s="543"/>
      <c r="QNB31" s="543"/>
      <c r="QNC31" s="543"/>
      <c r="QND31" s="543"/>
      <c r="QNE31" s="543"/>
      <c r="QNF31" s="543"/>
      <c r="QNG31" s="543"/>
      <c r="QNH31" s="543"/>
      <c r="QNI31" s="543"/>
      <c r="QNJ31" s="543"/>
      <c r="QNK31" s="543"/>
      <c r="QNL31" s="543"/>
      <c r="QNM31" s="543"/>
      <c r="QNN31" s="543"/>
      <c r="QNO31" s="543"/>
      <c r="QNP31" s="543"/>
      <c r="QNQ31" s="543"/>
      <c r="QNR31" s="543"/>
      <c r="QNS31" s="543"/>
      <c r="QNT31" s="543"/>
      <c r="QNU31" s="543"/>
      <c r="QNV31" s="543"/>
      <c r="QNW31" s="543"/>
      <c r="QNX31" s="543"/>
      <c r="QNY31" s="543"/>
      <c r="QNZ31" s="543"/>
      <c r="QOA31" s="543"/>
      <c r="QOB31" s="543"/>
      <c r="QOC31" s="543"/>
      <c r="QOD31" s="543"/>
      <c r="QOE31" s="543"/>
      <c r="QOF31" s="543"/>
      <c r="QOG31" s="543"/>
      <c r="QOH31" s="543"/>
      <c r="QOI31" s="543"/>
      <c r="QOJ31" s="543"/>
      <c r="QOK31" s="543"/>
      <c r="QOL31" s="543"/>
      <c r="QOM31" s="543"/>
      <c r="QON31" s="543"/>
      <c r="QOO31" s="543"/>
      <c r="QOP31" s="543"/>
      <c r="QOQ31" s="543"/>
      <c r="QOR31" s="543"/>
      <c r="QOS31" s="543"/>
      <c r="QOT31" s="543"/>
      <c r="QOU31" s="543"/>
      <c r="QOV31" s="543"/>
      <c r="QOW31" s="543"/>
      <c r="QOX31" s="543"/>
      <c r="QOY31" s="543"/>
      <c r="QOZ31" s="543"/>
      <c r="QPA31" s="543"/>
      <c r="QPB31" s="543"/>
      <c r="QPC31" s="543"/>
      <c r="QPD31" s="543"/>
      <c r="QPE31" s="543"/>
      <c r="QPF31" s="543"/>
      <c r="QPG31" s="543"/>
      <c r="QPH31" s="543"/>
      <c r="QPI31" s="543"/>
      <c r="QPJ31" s="543"/>
      <c r="QPK31" s="543"/>
      <c r="QPL31" s="543"/>
      <c r="QPM31" s="543"/>
      <c r="QPN31" s="543"/>
      <c r="QPO31" s="543"/>
      <c r="QPP31" s="543"/>
      <c r="QPQ31" s="543"/>
      <c r="QPR31" s="543"/>
      <c r="QPS31" s="543"/>
      <c r="QPT31" s="543"/>
      <c r="QPU31" s="543"/>
      <c r="QPV31" s="543"/>
      <c r="QPW31" s="543"/>
      <c r="QPX31" s="543"/>
      <c r="QPY31" s="543"/>
      <c r="QPZ31" s="543"/>
      <c r="QQA31" s="543"/>
      <c r="QQB31" s="543"/>
      <c r="QQC31" s="543"/>
      <c r="QQD31" s="543"/>
      <c r="QQE31" s="543"/>
      <c r="QQF31" s="543"/>
      <c r="QQG31" s="543"/>
      <c r="QQH31" s="543"/>
      <c r="QQI31" s="543"/>
      <c r="QQJ31" s="543"/>
      <c r="QQK31" s="543"/>
      <c r="QQL31" s="543"/>
      <c r="QQM31" s="543"/>
      <c r="QQN31" s="543"/>
      <c r="QQO31" s="543"/>
      <c r="QQP31" s="543"/>
      <c r="QQQ31" s="543"/>
      <c r="QQR31" s="543"/>
      <c r="QQS31" s="543"/>
      <c r="QQT31" s="543"/>
      <c r="QQU31" s="543"/>
      <c r="QQV31" s="543"/>
      <c r="QQW31" s="543"/>
      <c r="QQX31" s="543"/>
      <c r="QQY31" s="543"/>
      <c r="QQZ31" s="543"/>
      <c r="QRA31" s="543"/>
      <c r="QRB31" s="543"/>
      <c r="QRC31" s="543"/>
      <c r="QRD31" s="543"/>
      <c r="QRE31" s="543"/>
      <c r="QRF31" s="543"/>
      <c r="QRG31" s="543"/>
      <c r="QRH31" s="543"/>
      <c r="QRI31" s="543"/>
      <c r="QRJ31" s="543"/>
      <c r="QRK31" s="543"/>
      <c r="QRL31" s="543"/>
      <c r="QRM31" s="543"/>
      <c r="QRN31" s="543"/>
      <c r="QRO31" s="543"/>
      <c r="QRP31" s="543"/>
      <c r="QRQ31" s="543"/>
      <c r="QRR31" s="543"/>
      <c r="QRS31" s="543"/>
      <c r="QRT31" s="543"/>
      <c r="QRU31" s="543"/>
      <c r="QRV31" s="543"/>
      <c r="QRW31" s="543"/>
      <c r="QRX31" s="543"/>
      <c r="QRY31" s="543"/>
      <c r="QRZ31" s="543"/>
      <c r="QSA31" s="543"/>
      <c r="QSB31" s="543"/>
      <c r="QSC31" s="543"/>
      <c r="QSD31" s="543"/>
      <c r="QSE31" s="543"/>
      <c r="QSF31" s="543"/>
      <c r="QSG31" s="543"/>
      <c r="QSH31" s="543"/>
      <c r="QSI31" s="543"/>
      <c r="QSJ31" s="543"/>
      <c r="QSK31" s="543"/>
      <c r="QSL31" s="543"/>
      <c r="QSM31" s="543"/>
      <c r="QSN31" s="543"/>
      <c r="QSO31" s="543"/>
      <c r="QSP31" s="543"/>
      <c r="QSQ31" s="543"/>
      <c r="QSR31" s="543"/>
      <c r="QSS31" s="543"/>
      <c r="QST31" s="543"/>
      <c r="QSU31" s="543"/>
      <c r="QSV31" s="543"/>
      <c r="QSW31" s="543"/>
      <c r="QSX31" s="543"/>
      <c r="QSY31" s="543"/>
      <c r="QSZ31" s="543"/>
      <c r="QTA31" s="543"/>
      <c r="QTB31" s="543"/>
      <c r="QTC31" s="543"/>
      <c r="QTD31" s="543"/>
      <c r="QTE31" s="543"/>
      <c r="QTF31" s="543"/>
      <c r="QTG31" s="543"/>
      <c r="QTH31" s="543"/>
      <c r="QTI31" s="543"/>
      <c r="QTJ31" s="543"/>
      <c r="QTK31" s="543"/>
      <c r="QTL31" s="543"/>
      <c r="QTM31" s="543"/>
      <c r="QTN31" s="543"/>
      <c r="QTO31" s="543"/>
      <c r="QTP31" s="543"/>
      <c r="QTQ31" s="543"/>
      <c r="QTR31" s="543"/>
      <c r="QTS31" s="543"/>
      <c r="QTT31" s="543"/>
      <c r="QTU31" s="543"/>
      <c r="QTV31" s="543"/>
      <c r="QTW31" s="543"/>
      <c r="QTX31" s="543"/>
      <c r="QTY31" s="543"/>
      <c r="QTZ31" s="543"/>
      <c r="QUA31" s="543"/>
      <c r="QUB31" s="543"/>
      <c r="QUC31" s="543"/>
      <c r="QUD31" s="543"/>
      <c r="QUE31" s="543"/>
      <c r="QUF31" s="543"/>
      <c r="QUG31" s="543"/>
      <c r="QUH31" s="543"/>
      <c r="QUI31" s="543"/>
      <c r="QUJ31" s="543"/>
      <c r="QUK31" s="543"/>
      <c r="QUL31" s="543"/>
      <c r="QUM31" s="543"/>
      <c r="QUN31" s="543"/>
      <c r="QUO31" s="543"/>
      <c r="QUP31" s="543"/>
      <c r="QUQ31" s="543"/>
      <c r="QUR31" s="543"/>
      <c r="QUS31" s="543"/>
      <c r="QUT31" s="543"/>
      <c r="QUU31" s="543"/>
      <c r="QUV31" s="543"/>
      <c r="QUW31" s="543"/>
      <c r="QUX31" s="543"/>
      <c r="QUY31" s="543"/>
      <c r="QUZ31" s="543"/>
      <c r="QVA31" s="543"/>
      <c r="QVB31" s="543"/>
      <c r="QVC31" s="543"/>
      <c r="QVD31" s="543"/>
      <c r="QVE31" s="543"/>
      <c r="QVF31" s="543"/>
      <c r="QVG31" s="543"/>
      <c r="QVH31" s="543"/>
      <c r="QVI31" s="543"/>
      <c r="QVJ31" s="543"/>
      <c r="QVK31" s="543"/>
      <c r="QVL31" s="543"/>
      <c r="QVM31" s="543"/>
      <c r="QVN31" s="543"/>
      <c r="QVO31" s="543"/>
      <c r="QVP31" s="543"/>
      <c r="QVQ31" s="543"/>
      <c r="QVR31" s="543"/>
      <c r="QVS31" s="543"/>
      <c r="QVT31" s="543"/>
      <c r="QVU31" s="543"/>
      <c r="QVV31" s="543"/>
      <c r="QVW31" s="543"/>
      <c r="QVX31" s="543"/>
      <c r="QVY31" s="543"/>
      <c r="QVZ31" s="543"/>
      <c r="QWA31" s="543"/>
      <c r="QWB31" s="543"/>
      <c r="QWC31" s="543"/>
      <c r="QWD31" s="543"/>
      <c r="QWE31" s="543"/>
      <c r="QWF31" s="543"/>
      <c r="QWG31" s="543"/>
      <c r="QWH31" s="543"/>
      <c r="QWI31" s="543"/>
      <c r="QWJ31" s="543"/>
      <c r="QWK31" s="543"/>
      <c r="QWL31" s="543"/>
      <c r="QWM31" s="543"/>
      <c r="QWN31" s="543"/>
      <c r="QWO31" s="543"/>
      <c r="QWP31" s="543"/>
      <c r="QWQ31" s="543"/>
      <c r="QWR31" s="543"/>
      <c r="QWS31" s="543"/>
      <c r="QWT31" s="543"/>
      <c r="QWU31" s="543"/>
      <c r="QWV31" s="543"/>
      <c r="QWW31" s="543"/>
      <c r="QWX31" s="543"/>
      <c r="QWY31" s="543"/>
      <c r="QWZ31" s="543"/>
      <c r="QXA31" s="543"/>
      <c r="QXB31" s="543"/>
      <c r="QXC31" s="543"/>
      <c r="QXD31" s="543"/>
      <c r="QXE31" s="543"/>
      <c r="QXF31" s="543"/>
      <c r="QXG31" s="543"/>
      <c r="QXH31" s="543"/>
      <c r="QXI31" s="543"/>
      <c r="QXJ31" s="543"/>
      <c r="QXK31" s="543"/>
      <c r="QXL31" s="543"/>
      <c r="QXM31" s="543"/>
      <c r="QXN31" s="543"/>
      <c r="QXO31" s="543"/>
      <c r="QXP31" s="543"/>
      <c r="QXQ31" s="543"/>
      <c r="QXR31" s="543"/>
      <c r="QXS31" s="543"/>
      <c r="QXT31" s="543"/>
      <c r="QXU31" s="543"/>
      <c r="QXV31" s="543"/>
      <c r="QXW31" s="543"/>
      <c r="QXX31" s="543"/>
      <c r="QXY31" s="543"/>
      <c r="QXZ31" s="543"/>
      <c r="QYA31" s="543"/>
      <c r="QYB31" s="543"/>
      <c r="QYC31" s="543"/>
      <c r="QYD31" s="543"/>
      <c r="QYE31" s="543"/>
      <c r="QYF31" s="543"/>
      <c r="QYG31" s="543"/>
      <c r="QYH31" s="543"/>
      <c r="QYI31" s="543"/>
      <c r="QYJ31" s="543"/>
      <c r="QYK31" s="543"/>
      <c r="QYL31" s="543"/>
      <c r="QYM31" s="543"/>
      <c r="QYN31" s="543"/>
      <c r="QYO31" s="543"/>
      <c r="QYP31" s="543"/>
      <c r="QYQ31" s="543"/>
      <c r="QYR31" s="543"/>
      <c r="QYS31" s="543"/>
      <c r="QYT31" s="543"/>
      <c r="QYU31" s="543"/>
      <c r="QYV31" s="543"/>
      <c r="QYW31" s="543"/>
      <c r="QYX31" s="543"/>
      <c r="QYY31" s="543"/>
      <c r="QYZ31" s="543"/>
      <c r="QZA31" s="543"/>
      <c r="QZB31" s="543"/>
      <c r="QZC31" s="543"/>
      <c r="QZD31" s="543"/>
      <c r="QZE31" s="543"/>
      <c r="QZF31" s="543"/>
      <c r="QZG31" s="543"/>
      <c r="QZH31" s="543"/>
      <c r="QZI31" s="543"/>
      <c r="QZJ31" s="543"/>
      <c r="QZK31" s="543"/>
      <c r="QZL31" s="543"/>
      <c r="QZM31" s="543"/>
      <c r="QZN31" s="543"/>
      <c r="QZO31" s="543"/>
      <c r="QZP31" s="543"/>
      <c r="QZQ31" s="543"/>
      <c r="QZR31" s="543"/>
      <c r="QZS31" s="543"/>
      <c r="QZT31" s="543"/>
      <c r="QZU31" s="543"/>
      <c r="QZV31" s="543"/>
      <c r="QZW31" s="543"/>
      <c r="QZX31" s="543"/>
      <c r="QZY31" s="543"/>
      <c r="QZZ31" s="543"/>
      <c r="RAA31" s="543"/>
      <c r="RAB31" s="543"/>
      <c r="RAC31" s="543"/>
      <c r="RAD31" s="543"/>
      <c r="RAE31" s="543"/>
      <c r="RAF31" s="543"/>
      <c r="RAG31" s="543"/>
      <c r="RAH31" s="543"/>
      <c r="RAI31" s="543"/>
      <c r="RAJ31" s="543"/>
      <c r="RAK31" s="543"/>
      <c r="RAL31" s="543"/>
      <c r="RAM31" s="543"/>
      <c r="RAN31" s="543"/>
      <c r="RAO31" s="543"/>
      <c r="RAP31" s="543"/>
      <c r="RAQ31" s="543"/>
      <c r="RAR31" s="543"/>
      <c r="RAS31" s="543"/>
      <c r="RAT31" s="543"/>
      <c r="RAU31" s="543"/>
      <c r="RAV31" s="543"/>
      <c r="RAW31" s="543"/>
      <c r="RAX31" s="543"/>
      <c r="RAY31" s="543"/>
      <c r="RAZ31" s="543"/>
      <c r="RBA31" s="543"/>
      <c r="RBB31" s="543"/>
      <c r="RBC31" s="543"/>
      <c r="RBD31" s="543"/>
      <c r="RBE31" s="543"/>
      <c r="RBF31" s="543"/>
      <c r="RBG31" s="543"/>
      <c r="RBH31" s="543"/>
      <c r="RBI31" s="543"/>
      <c r="RBJ31" s="543"/>
      <c r="RBK31" s="543"/>
      <c r="RBL31" s="543"/>
      <c r="RBM31" s="543"/>
      <c r="RBN31" s="543"/>
      <c r="RBO31" s="543"/>
      <c r="RBP31" s="543"/>
      <c r="RBQ31" s="543"/>
      <c r="RBR31" s="543"/>
      <c r="RBS31" s="543"/>
      <c r="RBT31" s="543"/>
      <c r="RBU31" s="543"/>
      <c r="RBV31" s="543"/>
      <c r="RBW31" s="543"/>
      <c r="RBX31" s="543"/>
      <c r="RBY31" s="543"/>
      <c r="RBZ31" s="543"/>
      <c r="RCA31" s="543"/>
      <c r="RCB31" s="543"/>
      <c r="RCC31" s="543"/>
      <c r="RCD31" s="543"/>
      <c r="RCE31" s="543"/>
      <c r="RCF31" s="543"/>
      <c r="RCG31" s="543"/>
      <c r="RCH31" s="543"/>
      <c r="RCI31" s="543"/>
      <c r="RCJ31" s="543"/>
      <c r="RCK31" s="543"/>
      <c r="RCL31" s="543"/>
      <c r="RCM31" s="543"/>
      <c r="RCN31" s="543"/>
      <c r="RCO31" s="543"/>
      <c r="RCP31" s="543"/>
      <c r="RCQ31" s="543"/>
      <c r="RCR31" s="543"/>
      <c r="RCS31" s="543"/>
      <c r="RCT31" s="543"/>
      <c r="RCU31" s="543"/>
      <c r="RCV31" s="543"/>
      <c r="RCW31" s="543"/>
      <c r="RCX31" s="543"/>
      <c r="RCY31" s="543"/>
      <c r="RCZ31" s="543"/>
      <c r="RDA31" s="543"/>
      <c r="RDB31" s="543"/>
      <c r="RDC31" s="543"/>
      <c r="RDD31" s="543"/>
      <c r="RDE31" s="543"/>
      <c r="RDF31" s="543"/>
      <c r="RDG31" s="543"/>
      <c r="RDH31" s="543"/>
      <c r="RDI31" s="543"/>
      <c r="RDJ31" s="543"/>
      <c r="RDK31" s="543"/>
      <c r="RDL31" s="543"/>
      <c r="RDM31" s="543"/>
      <c r="RDN31" s="543"/>
      <c r="RDO31" s="543"/>
      <c r="RDP31" s="543"/>
      <c r="RDQ31" s="543"/>
      <c r="RDR31" s="543"/>
      <c r="RDS31" s="543"/>
      <c r="RDT31" s="543"/>
      <c r="RDU31" s="543"/>
      <c r="RDV31" s="543"/>
      <c r="RDW31" s="543"/>
      <c r="RDX31" s="543"/>
      <c r="RDY31" s="543"/>
      <c r="RDZ31" s="543"/>
      <c r="REA31" s="543"/>
      <c r="REB31" s="543"/>
      <c r="REC31" s="543"/>
      <c r="RED31" s="543"/>
      <c r="REE31" s="543"/>
      <c r="REF31" s="543"/>
      <c r="REG31" s="543"/>
      <c r="REH31" s="543"/>
      <c r="REI31" s="543"/>
      <c r="REJ31" s="543"/>
      <c r="REK31" s="543"/>
      <c r="REL31" s="543"/>
      <c r="REM31" s="543"/>
      <c r="REN31" s="543"/>
      <c r="REO31" s="543"/>
      <c r="REP31" s="543"/>
      <c r="REQ31" s="543"/>
      <c r="RER31" s="543"/>
      <c r="RES31" s="543"/>
      <c r="RET31" s="543"/>
      <c r="REU31" s="543"/>
      <c r="REV31" s="543"/>
      <c r="REW31" s="543"/>
      <c r="REX31" s="543"/>
      <c r="REY31" s="543"/>
      <c r="REZ31" s="543"/>
      <c r="RFA31" s="543"/>
      <c r="RFB31" s="543"/>
      <c r="RFC31" s="543"/>
      <c r="RFD31" s="543"/>
      <c r="RFE31" s="543"/>
      <c r="RFF31" s="543"/>
      <c r="RFG31" s="543"/>
      <c r="RFH31" s="543"/>
      <c r="RFI31" s="543"/>
      <c r="RFJ31" s="543"/>
      <c r="RFK31" s="543"/>
      <c r="RFL31" s="543"/>
      <c r="RFM31" s="543"/>
      <c r="RFN31" s="543"/>
      <c r="RFO31" s="543"/>
      <c r="RFP31" s="543"/>
      <c r="RFQ31" s="543"/>
      <c r="RFR31" s="543"/>
      <c r="RFS31" s="543"/>
      <c r="RFT31" s="543"/>
      <c r="RFU31" s="543"/>
      <c r="RFV31" s="543"/>
      <c r="RFW31" s="543"/>
      <c r="RFX31" s="543"/>
      <c r="RFY31" s="543"/>
      <c r="RFZ31" s="543"/>
      <c r="RGA31" s="543"/>
      <c r="RGB31" s="543"/>
      <c r="RGC31" s="543"/>
      <c r="RGD31" s="543"/>
      <c r="RGE31" s="543"/>
      <c r="RGF31" s="543"/>
      <c r="RGG31" s="543"/>
      <c r="RGH31" s="543"/>
      <c r="RGI31" s="543"/>
      <c r="RGJ31" s="543"/>
      <c r="RGK31" s="543"/>
      <c r="RGL31" s="543"/>
      <c r="RGM31" s="543"/>
      <c r="RGN31" s="543"/>
      <c r="RGO31" s="543"/>
      <c r="RGP31" s="543"/>
      <c r="RGQ31" s="543"/>
      <c r="RGR31" s="543"/>
      <c r="RGS31" s="543"/>
      <c r="RGT31" s="543"/>
      <c r="RGU31" s="543"/>
      <c r="RGV31" s="543"/>
      <c r="RGW31" s="543"/>
      <c r="RGX31" s="543"/>
      <c r="RGY31" s="543"/>
      <c r="RGZ31" s="543"/>
      <c r="RHA31" s="543"/>
      <c r="RHB31" s="543"/>
      <c r="RHC31" s="543"/>
      <c r="RHD31" s="543"/>
      <c r="RHE31" s="543"/>
      <c r="RHF31" s="543"/>
      <c r="RHG31" s="543"/>
      <c r="RHH31" s="543"/>
      <c r="RHI31" s="543"/>
      <c r="RHJ31" s="543"/>
      <c r="RHK31" s="543"/>
      <c r="RHL31" s="543"/>
      <c r="RHM31" s="543"/>
      <c r="RHN31" s="543"/>
      <c r="RHO31" s="543"/>
      <c r="RHP31" s="543"/>
      <c r="RHQ31" s="543"/>
      <c r="RHR31" s="543"/>
      <c r="RHS31" s="543"/>
      <c r="RHT31" s="543"/>
      <c r="RHU31" s="543"/>
      <c r="RHV31" s="543"/>
      <c r="RHW31" s="543"/>
      <c r="RHX31" s="543"/>
      <c r="RHY31" s="543"/>
      <c r="RHZ31" s="543"/>
      <c r="RIA31" s="543"/>
      <c r="RIB31" s="543"/>
      <c r="RIC31" s="543"/>
      <c r="RID31" s="543"/>
      <c r="RIE31" s="543"/>
      <c r="RIF31" s="543"/>
      <c r="RIG31" s="543"/>
      <c r="RIH31" s="543"/>
      <c r="RII31" s="543"/>
      <c r="RIJ31" s="543"/>
      <c r="RIK31" s="543"/>
      <c r="RIL31" s="543"/>
      <c r="RIM31" s="543"/>
      <c r="RIN31" s="543"/>
      <c r="RIO31" s="543"/>
      <c r="RIP31" s="543"/>
      <c r="RIQ31" s="543"/>
      <c r="RIR31" s="543"/>
      <c r="RIS31" s="543"/>
      <c r="RIT31" s="543"/>
      <c r="RIU31" s="543"/>
      <c r="RIV31" s="543"/>
      <c r="RIW31" s="543"/>
      <c r="RIX31" s="543"/>
      <c r="RIY31" s="543"/>
      <c r="RIZ31" s="543"/>
      <c r="RJA31" s="543"/>
      <c r="RJB31" s="543"/>
      <c r="RJC31" s="543"/>
      <c r="RJD31" s="543"/>
      <c r="RJE31" s="543"/>
      <c r="RJF31" s="543"/>
      <c r="RJG31" s="543"/>
      <c r="RJH31" s="543"/>
      <c r="RJI31" s="543"/>
      <c r="RJJ31" s="543"/>
      <c r="RJK31" s="543"/>
      <c r="RJL31" s="543"/>
      <c r="RJM31" s="543"/>
      <c r="RJN31" s="543"/>
      <c r="RJO31" s="543"/>
      <c r="RJP31" s="543"/>
      <c r="RJQ31" s="543"/>
      <c r="RJR31" s="543"/>
      <c r="RJS31" s="543"/>
      <c r="RJT31" s="543"/>
      <c r="RJU31" s="543"/>
      <c r="RJV31" s="543"/>
      <c r="RJW31" s="543"/>
      <c r="RJX31" s="543"/>
      <c r="RJY31" s="543"/>
      <c r="RJZ31" s="543"/>
      <c r="RKA31" s="543"/>
      <c r="RKB31" s="543"/>
      <c r="RKC31" s="543"/>
      <c r="RKD31" s="543"/>
      <c r="RKE31" s="543"/>
      <c r="RKF31" s="543"/>
      <c r="RKG31" s="543"/>
      <c r="RKH31" s="543"/>
      <c r="RKI31" s="543"/>
      <c r="RKJ31" s="543"/>
      <c r="RKK31" s="543"/>
      <c r="RKL31" s="543"/>
      <c r="RKM31" s="543"/>
      <c r="RKN31" s="543"/>
      <c r="RKO31" s="543"/>
      <c r="RKP31" s="543"/>
      <c r="RKQ31" s="543"/>
      <c r="RKR31" s="543"/>
      <c r="RKS31" s="543"/>
      <c r="RKT31" s="543"/>
      <c r="RKU31" s="543"/>
      <c r="RKV31" s="543"/>
      <c r="RKW31" s="543"/>
      <c r="RKX31" s="543"/>
      <c r="RKY31" s="543"/>
      <c r="RKZ31" s="543"/>
      <c r="RLA31" s="543"/>
      <c r="RLB31" s="543"/>
      <c r="RLC31" s="543"/>
      <c r="RLD31" s="543"/>
      <c r="RLE31" s="543"/>
      <c r="RLF31" s="543"/>
      <c r="RLG31" s="543"/>
      <c r="RLH31" s="543"/>
      <c r="RLI31" s="543"/>
      <c r="RLJ31" s="543"/>
      <c r="RLK31" s="543"/>
      <c r="RLL31" s="543"/>
      <c r="RLM31" s="543"/>
      <c r="RLN31" s="543"/>
      <c r="RLO31" s="543"/>
      <c r="RLP31" s="543"/>
      <c r="RLQ31" s="543"/>
      <c r="RLR31" s="543"/>
      <c r="RLS31" s="543"/>
      <c r="RLT31" s="543"/>
      <c r="RLU31" s="543"/>
      <c r="RLV31" s="543"/>
      <c r="RLW31" s="543"/>
      <c r="RLX31" s="543"/>
      <c r="RLY31" s="543"/>
      <c r="RLZ31" s="543"/>
      <c r="RMA31" s="543"/>
      <c r="RMB31" s="543"/>
      <c r="RMC31" s="543"/>
      <c r="RMD31" s="543"/>
      <c r="RME31" s="543"/>
      <c r="RMF31" s="543"/>
      <c r="RMG31" s="543"/>
      <c r="RMH31" s="543"/>
      <c r="RMI31" s="543"/>
      <c r="RMJ31" s="543"/>
      <c r="RMK31" s="543"/>
      <c r="RML31" s="543"/>
      <c r="RMM31" s="543"/>
      <c r="RMN31" s="543"/>
      <c r="RMO31" s="543"/>
      <c r="RMP31" s="543"/>
      <c r="RMQ31" s="543"/>
      <c r="RMR31" s="543"/>
      <c r="RMS31" s="543"/>
      <c r="RMT31" s="543"/>
      <c r="RMU31" s="543"/>
      <c r="RMV31" s="543"/>
      <c r="RMW31" s="543"/>
      <c r="RMX31" s="543"/>
      <c r="RMY31" s="543"/>
      <c r="RMZ31" s="543"/>
      <c r="RNA31" s="543"/>
      <c r="RNB31" s="543"/>
      <c r="RNC31" s="543"/>
      <c r="RND31" s="543"/>
      <c r="RNE31" s="543"/>
      <c r="RNF31" s="543"/>
      <c r="RNG31" s="543"/>
      <c r="RNH31" s="543"/>
      <c r="RNI31" s="543"/>
      <c r="RNJ31" s="543"/>
      <c r="RNK31" s="543"/>
      <c r="RNL31" s="543"/>
      <c r="RNM31" s="543"/>
      <c r="RNN31" s="543"/>
      <c r="RNO31" s="543"/>
      <c r="RNP31" s="543"/>
      <c r="RNQ31" s="543"/>
      <c r="RNR31" s="543"/>
      <c r="RNS31" s="543"/>
      <c r="RNT31" s="543"/>
      <c r="RNU31" s="543"/>
      <c r="RNV31" s="543"/>
      <c r="RNW31" s="543"/>
      <c r="RNX31" s="543"/>
      <c r="RNY31" s="543"/>
      <c r="RNZ31" s="543"/>
      <c r="ROA31" s="543"/>
      <c r="ROB31" s="543"/>
      <c r="ROC31" s="543"/>
      <c r="ROD31" s="543"/>
      <c r="ROE31" s="543"/>
      <c r="ROF31" s="543"/>
      <c r="ROG31" s="543"/>
      <c r="ROH31" s="543"/>
      <c r="ROI31" s="543"/>
      <c r="ROJ31" s="543"/>
      <c r="ROK31" s="543"/>
      <c r="ROL31" s="543"/>
      <c r="ROM31" s="543"/>
      <c r="RON31" s="543"/>
      <c r="ROO31" s="543"/>
      <c r="ROP31" s="543"/>
      <c r="ROQ31" s="543"/>
      <c r="ROR31" s="543"/>
      <c r="ROS31" s="543"/>
      <c r="ROT31" s="543"/>
      <c r="ROU31" s="543"/>
      <c r="ROV31" s="543"/>
      <c r="ROW31" s="543"/>
      <c r="ROX31" s="543"/>
      <c r="ROY31" s="543"/>
      <c r="ROZ31" s="543"/>
      <c r="RPA31" s="543"/>
      <c r="RPB31" s="543"/>
      <c r="RPC31" s="543"/>
      <c r="RPD31" s="543"/>
      <c r="RPE31" s="543"/>
      <c r="RPF31" s="543"/>
      <c r="RPG31" s="543"/>
      <c r="RPH31" s="543"/>
      <c r="RPI31" s="543"/>
      <c r="RPJ31" s="543"/>
      <c r="RPK31" s="543"/>
      <c r="RPL31" s="543"/>
      <c r="RPM31" s="543"/>
      <c r="RPN31" s="543"/>
      <c r="RPO31" s="543"/>
      <c r="RPP31" s="543"/>
      <c r="RPQ31" s="543"/>
      <c r="RPR31" s="543"/>
      <c r="RPS31" s="543"/>
      <c r="RPT31" s="543"/>
      <c r="RPU31" s="543"/>
      <c r="RPV31" s="543"/>
      <c r="RPW31" s="543"/>
      <c r="RPX31" s="543"/>
      <c r="RPY31" s="543"/>
      <c r="RPZ31" s="543"/>
      <c r="RQA31" s="543"/>
      <c r="RQB31" s="543"/>
      <c r="RQC31" s="543"/>
      <c r="RQD31" s="543"/>
      <c r="RQE31" s="543"/>
      <c r="RQF31" s="543"/>
      <c r="RQG31" s="543"/>
      <c r="RQH31" s="543"/>
      <c r="RQI31" s="543"/>
      <c r="RQJ31" s="543"/>
      <c r="RQK31" s="543"/>
      <c r="RQL31" s="543"/>
      <c r="RQM31" s="543"/>
      <c r="RQN31" s="543"/>
      <c r="RQO31" s="543"/>
      <c r="RQP31" s="543"/>
      <c r="RQQ31" s="543"/>
      <c r="RQR31" s="543"/>
      <c r="RQS31" s="543"/>
      <c r="RQT31" s="543"/>
      <c r="RQU31" s="543"/>
      <c r="RQV31" s="543"/>
      <c r="RQW31" s="543"/>
      <c r="RQX31" s="543"/>
      <c r="RQY31" s="543"/>
      <c r="RQZ31" s="543"/>
      <c r="RRA31" s="543"/>
      <c r="RRB31" s="543"/>
      <c r="RRC31" s="543"/>
      <c r="RRD31" s="543"/>
      <c r="RRE31" s="543"/>
      <c r="RRF31" s="543"/>
      <c r="RRG31" s="543"/>
      <c r="RRH31" s="543"/>
      <c r="RRI31" s="543"/>
      <c r="RRJ31" s="543"/>
      <c r="RRK31" s="543"/>
      <c r="RRL31" s="543"/>
      <c r="RRM31" s="543"/>
      <c r="RRN31" s="543"/>
      <c r="RRO31" s="543"/>
      <c r="RRP31" s="543"/>
      <c r="RRQ31" s="543"/>
      <c r="RRR31" s="543"/>
      <c r="RRS31" s="543"/>
      <c r="RRT31" s="543"/>
      <c r="RRU31" s="543"/>
      <c r="RRV31" s="543"/>
      <c r="RRW31" s="543"/>
      <c r="RRX31" s="543"/>
      <c r="RRY31" s="543"/>
      <c r="RRZ31" s="543"/>
      <c r="RSA31" s="543"/>
      <c r="RSB31" s="543"/>
      <c r="RSC31" s="543"/>
      <c r="RSD31" s="543"/>
      <c r="RSE31" s="543"/>
      <c r="RSF31" s="543"/>
      <c r="RSG31" s="543"/>
      <c r="RSH31" s="543"/>
      <c r="RSI31" s="543"/>
      <c r="RSJ31" s="543"/>
      <c r="RSK31" s="543"/>
      <c r="RSL31" s="543"/>
      <c r="RSM31" s="543"/>
      <c r="RSN31" s="543"/>
      <c r="RSO31" s="543"/>
      <c r="RSP31" s="543"/>
      <c r="RSQ31" s="543"/>
      <c r="RSR31" s="543"/>
      <c r="RSS31" s="543"/>
      <c r="RST31" s="543"/>
      <c r="RSU31" s="543"/>
      <c r="RSV31" s="543"/>
      <c r="RSW31" s="543"/>
      <c r="RSX31" s="543"/>
      <c r="RSY31" s="543"/>
      <c r="RSZ31" s="543"/>
      <c r="RTA31" s="543"/>
      <c r="RTB31" s="543"/>
      <c r="RTC31" s="543"/>
      <c r="RTD31" s="543"/>
      <c r="RTE31" s="543"/>
      <c r="RTF31" s="543"/>
      <c r="RTG31" s="543"/>
      <c r="RTH31" s="543"/>
      <c r="RTI31" s="543"/>
      <c r="RTJ31" s="543"/>
      <c r="RTK31" s="543"/>
      <c r="RTL31" s="543"/>
      <c r="RTM31" s="543"/>
      <c r="RTN31" s="543"/>
      <c r="RTO31" s="543"/>
      <c r="RTP31" s="543"/>
      <c r="RTQ31" s="543"/>
      <c r="RTR31" s="543"/>
      <c r="RTS31" s="543"/>
      <c r="RTT31" s="543"/>
      <c r="RTU31" s="543"/>
      <c r="RTV31" s="543"/>
      <c r="RTW31" s="543"/>
      <c r="RTX31" s="543"/>
      <c r="RTY31" s="543"/>
      <c r="RTZ31" s="543"/>
      <c r="RUA31" s="543"/>
      <c r="RUB31" s="543"/>
      <c r="RUC31" s="543"/>
      <c r="RUD31" s="543"/>
      <c r="RUE31" s="543"/>
      <c r="RUF31" s="543"/>
      <c r="RUG31" s="543"/>
      <c r="RUH31" s="543"/>
      <c r="RUI31" s="543"/>
      <c r="RUJ31" s="543"/>
      <c r="RUK31" s="543"/>
      <c r="RUL31" s="543"/>
      <c r="RUM31" s="543"/>
      <c r="RUN31" s="543"/>
      <c r="RUO31" s="543"/>
      <c r="RUP31" s="543"/>
      <c r="RUQ31" s="543"/>
      <c r="RUR31" s="543"/>
      <c r="RUS31" s="543"/>
      <c r="RUT31" s="543"/>
      <c r="RUU31" s="543"/>
      <c r="RUV31" s="543"/>
      <c r="RUW31" s="543"/>
      <c r="RUX31" s="543"/>
      <c r="RUY31" s="543"/>
      <c r="RUZ31" s="543"/>
      <c r="RVA31" s="543"/>
      <c r="RVB31" s="543"/>
      <c r="RVC31" s="543"/>
      <c r="RVD31" s="543"/>
      <c r="RVE31" s="543"/>
      <c r="RVF31" s="543"/>
      <c r="RVG31" s="543"/>
      <c r="RVH31" s="543"/>
      <c r="RVI31" s="543"/>
      <c r="RVJ31" s="543"/>
      <c r="RVK31" s="543"/>
      <c r="RVL31" s="543"/>
      <c r="RVM31" s="543"/>
      <c r="RVN31" s="543"/>
      <c r="RVO31" s="543"/>
      <c r="RVP31" s="543"/>
      <c r="RVQ31" s="543"/>
      <c r="RVR31" s="543"/>
      <c r="RVS31" s="543"/>
      <c r="RVT31" s="543"/>
      <c r="RVU31" s="543"/>
      <c r="RVV31" s="543"/>
      <c r="RVW31" s="543"/>
      <c r="RVX31" s="543"/>
      <c r="RVY31" s="543"/>
      <c r="RVZ31" s="543"/>
      <c r="RWA31" s="543"/>
      <c r="RWB31" s="543"/>
      <c r="RWC31" s="543"/>
      <c r="RWD31" s="543"/>
      <c r="RWE31" s="543"/>
      <c r="RWF31" s="543"/>
      <c r="RWG31" s="543"/>
      <c r="RWH31" s="543"/>
      <c r="RWI31" s="543"/>
      <c r="RWJ31" s="543"/>
      <c r="RWK31" s="543"/>
      <c r="RWL31" s="543"/>
      <c r="RWM31" s="543"/>
      <c r="RWN31" s="543"/>
      <c r="RWO31" s="543"/>
      <c r="RWP31" s="543"/>
      <c r="RWQ31" s="543"/>
      <c r="RWR31" s="543"/>
      <c r="RWS31" s="543"/>
      <c r="RWT31" s="543"/>
      <c r="RWU31" s="543"/>
      <c r="RWV31" s="543"/>
      <c r="RWW31" s="543"/>
      <c r="RWX31" s="543"/>
      <c r="RWY31" s="543"/>
      <c r="RWZ31" s="543"/>
      <c r="RXA31" s="543"/>
      <c r="RXB31" s="543"/>
      <c r="RXC31" s="543"/>
      <c r="RXD31" s="543"/>
      <c r="RXE31" s="543"/>
      <c r="RXF31" s="543"/>
      <c r="RXG31" s="543"/>
      <c r="RXH31" s="543"/>
      <c r="RXI31" s="543"/>
      <c r="RXJ31" s="543"/>
      <c r="RXK31" s="543"/>
      <c r="RXL31" s="543"/>
      <c r="RXM31" s="543"/>
      <c r="RXN31" s="543"/>
      <c r="RXO31" s="543"/>
      <c r="RXP31" s="543"/>
      <c r="RXQ31" s="543"/>
      <c r="RXR31" s="543"/>
      <c r="RXS31" s="543"/>
      <c r="RXT31" s="543"/>
      <c r="RXU31" s="543"/>
      <c r="RXV31" s="543"/>
      <c r="RXW31" s="543"/>
      <c r="RXX31" s="543"/>
      <c r="RXY31" s="543"/>
      <c r="RXZ31" s="543"/>
      <c r="RYA31" s="543"/>
      <c r="RYB31" s="543"/>
      <c r="RYC31" s="543"/>
      <c r="RYD31" s="543"/>
      <c r="RYE31" s="543"/>
      <c r="RYF31" s="543"/>
      <c r="RYG31" s="543"/>
      <c r="RYH31" s="543"/>
      <c r="RYI31" s="543"/>
      <c r="RYJ31" s="543"/>
      <c r="RYK31" s="543"/>
      <c r="RYL31" s="543"/>
      <c r="RYM31" s="543"/>
      <c r="RYN31" s="543"/>
      <c r="RYO31" s="543"/>
      <c r="RYP31" s="543"/>
      <c r="RYQ31" s="543"/>
      <c r="RYR31" s="543"/>
      <c r="RYS31" s="543"/>
      <c r="RYT31" s="543"/>
      <c r="RYU31" s="543"/>
      <c r="RYV31" s="543"/>
      <c r="RYW31" s="543"/>
      <c r="RYX31" s="543"/>
      <c r="RYY31" s="543"/>
      <c r="RYZ31" s="543"/>
      <c r="RZA31" s="543"/>
      <c r="RZB31" s="543"/>
      <c r="RZC31" s="543"/>
      <c r="RZD31" s="543"/>
      <c r="RZE31" s="543"/>
      <c r="RZF31" s="543"/>
      <c r="RZG31" s="543"/>
      <c r="RZH31" s="543"/>
      <c r="RZI31" s="543"/>
      <c r="RZJ31" s="543"/>
      <c r="RZK31" s="543"/>
      <c r="RZL31" s="543"/>
      <c r="RZM31" s="543"/>
      <c r="RZN31" s="543"/>
      <c r="RZO31" s="543"/>
      <c r="RZP31" s="543"/>
      <c r="RZQ31" s="543"/>
      <c r="RZR31" s="543"/>
      <c r="RZS31" s="543"/>
      <c r="RZT31" s="543"/>
      <c r="RZU31" s="543"/>
      <c r="RZV31" s="543"/>
      <c r="RZW31" s="543"/>
      <c r="RZX31" s="543"/>
      <c r="RZY31" s="543"/>
      <c r="RZZ31" s="543"/>
      <c r="SAA31" s="543"/>
      <c r="SAB31" s="543"/>
      <c r="SAC31" s="543"/>
      <c r="SAD31" s="543"/>
      <c r="SAE31" s="543"/>
      <c r="SAF31" s="543"/>
      <c r="SAG31" s="543"/>
      <c r="SAH31" s="543"/>
      <c r="SAI31" s="543"/>
      <c r="SAJ31" s="543"/>
      <c r="SAK31" s="543"/>
      <c r="SAL31" s="543"/>
      <c r="SAM31" s="543"/>
      <c r="SAN31" s="543"/>
      <c r="SAO31" s="543"/>
      <c r="SAP31" s="543"/>
      <c r="SAQ31" s="543"/>
      <c r="SAR31" s="543"/>
      <c r="SAS31" s="543"/>
      <c r="SAT31" s="543"/>
      <c r="SAU31" s="543"/>
      <c r="SAV31" s="543"/>
      <c r="SAW31" s="543"/>
      <c r="SAX31" s="543"/>
      <c r="SAY31" s="543"/>
      <c r="SAZ31" s="543"/>
      <c r="SBA31" s="543"/>
      <c r="SBB31" s="543"/>
      <c r="SBC31" s="543"/>
      <c r="SBD31" s="543"/>
      <c r="SBE31" s="543"/>
      <c r="SBF31" s="543"/>
      <c r="SBG31" s="543"/>
      <c r="SBH31" s="543"/>
      <c r="SBI31" s="543"/>
      <c r="SBJ31" s="543"/>
      <c r="SBK31" s="543"/>
      <c r="SBL31" s="543"/>
      <c r="SBM31" s="543"/>
      <c r="SBN31" s="543"/>
      <c r="SBO31" s="543"/>
      <c r="SBP31" s="543"/>
      <c r="SBQ31" s="543"/>
      <c r="SBR31" s="543"/>
      <c r="SBS31" s="543"/>
      <c r="SBT31" s="543"/>
      <c r="SBU31" s="543"/>
      <c r="SBV31" s="543"/>
      <c r="SBW31" s="543"/>
      <c r="SBX31" s="543"/>
      <c r="SBY31" s="543"/>
      <c r="SBZ31" s="543"/>
      <c r="SCA31" s="543"/>
      <c r="SCB31" s="543"/>
      <c r="SCC31" s="543"/>
      <c r="SCD31" s="543"/>
      <c r="SCE31" s="543"/>
      <c r="SCF31" s="543"/>
      <c r="SCG31" s="543"/>
      <c r="SCH31" s="543"/>
      <c r="SCI31" s="543"/>
      <c r="SCJ31" s="543"/>
      <c r="SCK31" s="543"/>
      <c r="SCL31" s="543"/>
      <c r="SCM31" s="543"/>
      <c r="SCN31" s="543"/>
      <c r="SCO31" s="543"/>
      <c r="SCP31" s="543"/>
      <c r="SCQ31" s="543"/>
      <c r="SCR31" s="543"/>
      <c r="SCS31" s="543"/>
      <c r="SCT31" s="543"/>
      <c r="SCU31" s="543"/>
      <c r="SCV31" s="543"/>
      <c r="SCW31" s="543"/>
      <c r="SCX31" s="543"/>
      <c r="SCY31" s="543"/>
      <c r="SCZ31" s="543"/>
      <c r="SDA31" s="543"/>
      <c r="SDB31" s="543"/>
      <c r="SDC31" s="543"/>
      <c r="SDD31" s="543"/>
      <c r="SDE31" s="543"/>
      <c r="SDF31" s="543"/>
      <c r="SDG31" s="543"/>
      <c r="SDH31" s="543"/>
      <c r="SDI31" s="543"/>
      <c r="SDJ31" s="543"/>
      <c r="SDK31" s="543"/>
      <c r="SDL31" s="543"/>
      <c r="SDM31" s="543"/>
      <c r="SDN31" s="543"/>
      <c r="SDO31" s="543"/>
      <c r="SDP31" s="543"/>
      <c r="SDQ31" s="543"/>
      <c r="SDR31" s="543"/>
      <c r="SDS31" s="543"/>
      <c r="SDT31" s="543"/>
      <c r="SDU31" s="543"/>
      <c r="SDV31" s="543"/>
      <c r="SDW31" s="543"/>
      <c r="SDX31" s="543"/>
      <c r="SDY31" s="543"/>
      <c r="SDZ31" s="543"/>
      <c r="SEA31" s="543"/>
      <c r="SEB31" s="543"/>
      <c r="SEC31" s="543"/>
      <c r="SED31" s="543"/>
      <c r="SEE31" s="543"/>
      <c r="SEF31" s="543"/>
      <c r="SEG31" s="543"/>
      <c r="SEH31" s="543"/>
      <c r="SEI31" s="543"/>
      <c r="SEJ31" s="543"/>
      <c r="SEK31" s="543"/>
      <c r="SEL31" s="543"/>
      <c r="SEM31" s="543"/>
      <c r="SEN31" s="543"/>
      <c r="SEO31" s="543"/>
      <c r="SEP31" s="543"/>
      <c r="SEQ31" s="543"/>
      <c r="SER31" s="543"/>
      <c r="SES31" s="543"/>
      <c r="SET31" s="543"/>
      <c r="SEU31" s="543"/>
      <c r="SEV31" s="543"/>
      <c r="SEW31" s="543"/>
      <c r="SEX31" s="543"/>
      <c r="SEY31" s="543"/>
      <c r="SEZ31" s="543"/>
      <c r="SFA31" s="543"/>
      <c r="SFB31" s="543"/>
      <c r="SFC31" s="543"/>
      <c r="SFD31" s="543"/>
      <c r="SFE31" s="543"/>
      <c r="SFF31" s="543"/>
      <c r="SFG31" s="543"/>
      <c r="SFH31" s="543"/>
      <c r="SFI31" s="543"/>
      <c r="SFJ31" s="543"/>
      <c r="SFK31" s="543"/>
      <c r="SFL31" s="543"/>
      <c r="SFM31" s="543"/>
      <c r="SFN31" s="543"/>
      <c r="SFO31" s="543"/>
      <c r="SFP31" s="543"/>
      <c r="SFQ31" s="543"/>
      <c r="SFR31" s="543"/>
      <c r="SFS31" s="543"/>
      <c r="SFT31" s="543"/>
      <c r="SFU31" s="543"/>
      <c r="SFV31" s="543"/>
      <c r="SFW31" s="543"/>
      <c r="SFX31" s="543"/>
      <c r="SFY31" s="543"/>
      <c r="SFZ31" s="543"/>
      <c r="SGA31" s="543"/>
      <c r="SGB31" s="543"/>
      <c r="SGC31" s="543"/>
      <c r="SGD31" s="543"/>
      <c r="SGE31" s="543"/>
      <c r="SGF31" s="543"/>
      <c r="SGG31" s="543"/>
      <c r="SGH31" s="543"/>
      <c r="SGI31" s="543"/>
      <c r="SGJ31" s="543"/>
      <c r="SGK31" s="543"/>
      <c r="SGL31" s="543"/>
      <c r="SGM31" s="543"/>
      <c r="SGN31" s="543"/>
      <c r="SGO31" s="543"/>
      <c r="SGP31" s="543"/>
      <c r="SGQ31" s="543"/>
      <c r="SGR31" s="543"/>
      <c r="SGS31" s="543"/>
      <c r="SGT31" s="543"/>
      <c r="SGU31" s="543"/>
      <c r="SGV31" s="543"/>
      <c r="SGW31" s="543"/>
      <c r="SGX31" s="543"/>
      <c r="SGY31" s="543"/>
      <c r="SGZ31" s="543"/>
      <c r="SHA31" s="543"/>
      <c r="SHB31" s="543"/>
      <c r="SHC31" s="543"/>
      <c r="SHD31" s="543"/>
      <c r="SHE31" s="543"/>
      <c r="SHF31" s="543"/>
      <c r="SHG31" s="543"/>
      <c r="SHH31" s="543"/>
      <c r="SHI31" s="543"/>
      <c r="SHJ31" s="543"/>
      <c r="SHK31" s="543"/>
      <c r="SHL31" s="543"/>
      <c r="SHM31" s="543"/>
      <c r="SHN31" s="543"/>
      <c r="SHO31" s="543"/>
      <c r="SHP31" s="543"/>
      <c r="SHQ31" s="543"/>
      <c r="SHR31" s="543"/>
      <c r="SHS31" s="543"/>
      <c r="SHT31" s="543"/>
      <c r="SHU31" s="543"/>
      <c r="SHV31" s="543"/>
      <c r="SHW31" s="543"/>
      <c r="SHX31" s="543"/>
      <c r="SHY31" s="543"/>
      <c r="SHZ31" s="543"/>
      <c r="SIA31" s="543"/>
      <c r="SIB31" s="543"/>
      <c r="SIC31" s="543"/>
      <c r="SID31" s="543"/>
      <c r="SIE31" s="543"/>
      <c r="SIF31" s="543"/>
      <c r="SIG31" s="543"/>
      <c r="SIH31" s="543"/>
      <c r="SII31" s="543"/>
      <c r="SIJ31" s="543"/>
      <c r="SIK31" s="543"/>
      <c r="SIL31" s="543"/>
      <c r="SIM31" s="543"/>
      <c r="SIN31" s="543"/>
      <c r="SIO31" s="543"/>
      <c r="SIP31" s="543"/>
      <c r="SIQ31" s="543"/>
      <c r="SIR31" s="543"/>
      <c r="SIS31" s="543"/>
      <c r="SIT31" s="543"/>
      <c r="SIU31" s="543"/>
      <c r="SIV31" s="543"/>
      <c r="SIW31" s="543"/>
      <c r="SIX31" s="543"/>
      <c r="SIY31" s="543"/>
      <c r="SIZ31" s="543"/>
      <c r="SJA31" s="543"/>
      <c r="SJB31" s="543"/>
      <c r="SJC31" s="543"/>
      <c r="SJD31" s="543"/>
      <c r="SJE31" s="543"/>
      <c r="SJF31" s="543"/>
      <c r="SJG31" s="543"/>
      <c r="SJH31" s="543"/>
      <c r="SJI31" s="543"/>
      <c r="SJJ31" s="543"/>
      <c r="SJK31" s="543"/>
      <c r="SJL31" s="543"/>
      <c r="SJM31" s="543"/>
      <c r="SJN31" s="543"/>
      <c r="SJO31" s="543"/>
      <c r="SJP31" s="543"/>
      <c r="SJQ31" s="543"/>
      <c r="SJR31" s="543"/>
      <c r="SJS31" s="543"/>
      <c r="SJT31" s="543"/>
      <c r="SJU31" s="543"/>
      <c r="SJV31" s="543"/>
      <c r="SJW31" s="543"/>
      <c r="SJX31" s="543"/>
      <c r="SJY31" s="543"/>
      <c r="SJZ31" s="543"/>
      <c r="SKA31" s="543"/>
      <c r="SKB31" s="543"/>
      <c r="SKC31" s="543"/>
      <c r="SKD31" s="543"/>
      <c r="SKE31" s="543"/>
      <c r="SKF31" s="543"/>
      <c r="SKG31" s="543"/>
      <c r="SKH31" s="543"/>
      <c r="SKI31" s="543"/>
      <c r="SKJ31" s="543"/>
      <c r="SKK31" s="543"/>
      <c r="SKL31" s="543"/>
      <c r="SKM31" s="543"/>
      <c r="SKN31" s="543"/>
      <c r="SKO31" s="543"/>
      <c r="SKP31" s="543"/>
      <c r="SKQ31" s="543"/>
      <c r="SKR31" s="543"/>
      <c r="SKS31" s="543"/>
      <c r="SKT31" s="543"/>
      <c r="SKU31" s="543"/>
      <c r="SKV31" s="543"/>
      <c r="SKW31" s="543"/>
      <c r="SKX31" s="543"/>
      <c r="SKY31" s="543"/>
      <c r="SKZ31" s="543"/>
      <c r="SLA31" s="543"/>
      <c r="SLB31" s="543"/>
      <c r="SLC31" s="543"/>
      <c r="SLD31" s="543"/>
      <c r="SLE31" s="543"/>
      <c r="SLF31" s="543"/>
      <c r="SLG31" s="543"/>
      <c r="SLH31" s="543"/>
      <c r="SLI31" s="543"/>
      <c r="SLJ31" s="543"/>
      <c r="SLK31" s="543"/>
      <c r="SLL31" s="543"/>
      <c r="SLM31" s="543"/>
      <c r="SLN31" s="543"/>
      <c r="SLO31" s="543"/>
      <c r="SLP31" s="543"/>
      <c r="SLQ31" s="543"/>
      <c r="SLR31" s="543"/>
      <c r="SLS31" s="543"/>
      <c r="SLT31" s="543"/>
      <c r="SLU31" s="543"/>
      <c r="SLV31" s="543"/>
      <c r="SLW31" s="543"/>
      <c r="SLX31" s="543"/>
      <c r="SLY31" s="543"/>
      <c r="SLZ31" s="543"/>
      <c r="SMA31" s="543"/>
      <c r="SMB31" s="543"/>
      <c r="SMC31" s="543"/>
      <c r="SMD31" s="543"/>
      <c r="SME31" s="543"/>
      <c r="SMF31" s="543"/>
      <c r="SMG31" s="543"/>
      <c r="SMH31" s="543"/>
      <c r="SMI31" s="543"/>
      <c r="SMJ31" s="543"/>
      <c r="SMK31" s="543"/>
      <c r="SML31" s="543"/>
      <c r="SMM31" s="543"/>
      <c r="SMN31" s="543"/>
      <c r="SMO31" s="543"/>
      <c r="SMP31" s="543"/>
      <c r="SMQ31" s="543"/>
      <c r="SMR31" s="543"/>
      <c r="SMS31" s="543"/>
      <c r="SMT31" s="543"/>
      <c r="SMU31" s="543"/>
      <c r="SMV31" s="543"/>
      <c r="SMW31" s="543"/>
      <c r="SMX31" s="543"/>
      <c r="SMY31" s="543"/>
      <c r="SMZ31" s="543"/>
      <c r="SNA31" s="543"/>
      <c r="SNB31" s="543"/>
      <c r="SNC31" s="543"/>
      <c r="SND31" s="543"/>
      <c r="SNE31" s="543"/>
      <c r="SNF31" s="543"/>
      <c r="SNG31" s="543"/>
      <c r="SNH31" s="543"/>
      <c r="SNI31" s="543"/>
      <c r="SNJ31" s="543"/>
      <c r="SNK31" s="543"/>
      <c r="SNL31" s="543"/>
      <c r="SNM31" s="543"/>
      <c r="SNN31" s="543"/>
      <c r="SNO31" s="543"/>
      <c r="SNP31" s="543"/>
      <c r="SNQ31" s="543"/>
      <c r="SNR31" s="543"/>
      <c r="SNS31" s="543"/>
      <c r="SNT31" s="543"/>
      <c r="SNU31" s="543"/>
      <c r="SNV31" s="543"/>
      <c r="SNW31" s="543"/>
      <c r="SNX31" s="543"/>
      <c r="SNY31" s="543"/>
      <c r="SNZ31" s="543"/>
      <c r="SOA31" s="543"/>
      <c r="SOB31" s="543"/>
      <c r="SOC31" s="543"/>
      <c r="SOD31" s="543"/>
      <c r="SOE31" s="543"/>
      <c r="SOF31" s="543"/>
      <c r="SOG31" s="543"/>
      <c r="SOH31" s="543"/>
      <c r="SOI31" s="543"/>
      <c r="SOJ31" s="543"/>
      <c r="SOK31" s="543"/>
      <c r="SOL31" s="543"/>
      <c r="SOM31" s="543"/>
      <c r="SON31" s="543"/>
      <c r="SOO31" s="543"/>
      <c r="SOP31" s="543"/>
      <c r="SOQ31" s="543"/>
      <c r="SOR31" s="543"/>
      <c r="SOS31" s="543"/>
      <c r="SOT31" s="543"/>
      <c r="SOU31" s="543"/>
      <c r="SOV31" s="543"/>
      <c r="SOW31" s="543"/>
      <c r="SOX31" s="543"/>
      <c r="SOY31" s="543"/>
      <c r="SOZ31" s="543"/>
      <c r="SPA31" s="543"/>
      <c r="SPB31" s="543"/>
      <c r="SPC31" s="543"/>
      <c r="SPD31" s="543"/>
      <c r="SPE31" s="543"/>
      <c r="SPF31" s="543"/>
      <c r="SPG31" s="543"/>
      <c r="SPH31" s="543"/>
      <c r="SPI31" s="543"/>
      <c r="SPJ31" s="543"/>
      <c r="SPK31" s="543"/>
      <c r="SPL31" s="543"/>
      <c r="SPM31" s="543"/>
      <c r="SPN31" s="543"/>
      <c r="SPO31" s="543"/>
      <c r="SPP31" s="543"/>
      <c r="SPQ31" s="543"/>
      <c r="SPR31" s="543"/>
      <c r="SPS31" s="543"/>
      <c r="SPT31" s="543"/>
      <c r="SPU31" s="543"/>
      <c r="SPV31" s="543"/>
      <c r="SPW31" s="543"/>
      <c r="SPX31" s="543"/>
      <c r="SPY31" s="543"/>
      <c r="SPZ31" s="543"/>
      <c r="SQA31" s="543"/>
      <c r="SQB31" s="543"/>
      <c r="SQC31" s="543"/>
      <c r="SQD31" s="543"/>
      <c r="SQE31" s="543"/>
      <c r="SQF31" s="543"/>
      <c r="SQG31" s="543"/>
      <c r="SQH31" s="543"/>
      <c r="SQI31" s="543"/>
      <c r="SQJ31" s="543"/>
      <c r="SQK31" s="543"/>
      <c r="SQL31" s="543"/>
      <c r="SQM31" s="543"/>
      <c r="SQN31" s="543"/>
      <c r="SQO31" s="543"/>
      <c r="SQP31" s="543"/>
      <c r="SQQ31" s="543"/>
      <c r="SQR31" s="543"/>
      <c r="SQS31" s="543"/>
      <c r="SQT31" s="543"/>
      <c r="SQU31" s="543"/>
      <c r="SQV31" s="543"/>
      <c r="SQW31" s="543"/>
      <c r="SQX31" s="543"/>
      <c r="SQY31" s="543"/>
      <c r="SQZ31" s="543"/>
      <c r="SRA31" s="543"/>
      <c r="SRB31" s="543"/>
      <c r="SRC31" s="543"/>
      <c r="SRD31" s="543"/>
      <c r="SRE31" s="543"/>
      <c r="SRF31" s="543"/>
      <c r="SRG31" s="543"/>
      <c r="SRH31" s="543"/>
      <c r="SRI31" s="543"/>
      <c r="SRJ31" s="543"/>
      <c r="SRK31" s="543"/>
      <c r="SRL31" s="543"/>
      <c r="SRM31" s="543"/>
      <c r="SRN31" s="543"/>
      <c r="SRO31" s="543"/>
      <c r="SRP31" s="543"/>
      <c r="SRQ31" s="543"/>
      <c r="SRR31" s="543"/>
      <c r="SRS31" s="543"/>
      <c r="SRT31" s="543"/>
      <c r="SRU31" s="543"/>
      <c r="SRV31" s="543"/>
      <c r="SRW31" s="543"/>
      <c r="SRX31" s="543"/>
      <c r="SRY31" s="543"/>
      <c r="SRZ31" s="543"/>
      <c r="SSA31" s="543"/>
      <c r="SSB31" s="543"/>
      <c r="SSC31" s="543"/>
      <c r="SSD31" s="543"/>
      <c r="SSE31" s="543"/>
      <c r="SSF31" s="543"/>
      <c r="SSG31" s="543"/>
      <c r="SSH31" s="543"/>
      <c r="SSI31" s="543"/>
      <c r="SSJ31" s="543"/>
      <c r="SSK31" s="543"/>
      <c r="SSL31" s="543"/>
      <c r="SSM31" s="543"/>
      <c r="SSN31" s="543"/>
      <c r="SSO31" s="543"/>
      <c r="SSP31" s="543"/>
      <c r="SSQ31" s="543"/>
      <c r="SSR31" s="543"/>
      <c r="SSS31" s="543"/>
      <c r="SST31" s="543"/>
      <c r="SSU31" s="543"/>
      <c r="SSV31" s="543"/>
      <c r="SSW31" s="543"/>
      <c r="SSX31" s="543"/>
      <c r="SSY31" s="543"/>
      <c r="SSZ31" s="543"/>
      <c r="STA31" s="543"/>
      <c r="STB31" s="543"/>
      <c r="STC31" s="543"/>
      <c r="STD31" s="543"/>
      <c r="STE31" s="543"/>
      <c r="STF31" s="543"/>
      <c r="STG31" s="543"/>
      <c r="STH31" s="543"/>
      <c r="STI31" s="543"/>
      <c r="STJ31" s="543"/>
      <c r="STK31" s="543"/>
      <c r="STL31" s="543"/>
      <c r="STM31" s="543"/>
      <c r="STN31" s="543"/>
      <c r="STO31" s="543"/>
      <c r="STP31" s="543"/>
      <c r="STQ31" s="543"/>
      <c r="STR31" s="543"/>
      <c r="STS31" s="543"/>
      <c r="STT31" s="543"/>
      <c r="STU31" s="543"/>
      <c r="STV31" s="543"/>
      <c r="STW31" s="543"/>
      <c r="STX31" s="543"/>
      <c r="STY31" s="543"/>
      <c r="STZ31" s="543"/>
      <c r="SUA31" s="543"/>
      <c r="SUB31" s="543"/>
      <c r="SUC31" s="543"/>
      <c r="SUD31" s="543"/>
      <c r="SUE31" s="543"/>
      <c r="SUF31" s="543"/>
      <c r="SUG31" s="543"/>
      <c r="SUH31" s="543"/>
      <c r="SUI31" s="543"/>
      <c r="SUJ31" s="543"/>
      <c r="SUK31" s="543"/>
      <c r="SUL31" s="543"/>
      <c r="SUM31" s="543"/>
      <c r="SUN31" s="543"/>
      <c r="SUO31" s="543"/>
      <c r="SUP31" s="543"/>
      <c r="SUQ31" s="543"/>
      <c r="SUR31" s="543"/>
      <c r="SUS31" s="543"/>
      <c r="SUT31" s="543"/>
      <c r="SUU31" s="543"/>
      <c r="SUV31" s="543"/>
      <c r="SUW31" s="543"/>
      <c r="SUX31" s="543"/>
      <c r="SUY31" s="543"/>
      <c r="SUZ31" s="543"/>
      <c r="SVA31" s="543"/>
      <c r="SVB31" s="543"/>
      <c r="SVC31" s="543"/>
      <c r="SVD31" s="543"/>
      <c r="SVE31" s="543"/>
      <c r="SVF31" s="543"/>
      <c r="SVG31" s="543"/>
      <c r="SVH31" s="543"/>
      <c r="SVI31" s="543"/>
      <c r="SVJ31" s="543"/>
      <c r="SVK31" s="543"/>
      <c r="SVL31" s="543"/>
      <c r="SVM31" s="543"/>
      <c r="SVN31" s="543"/>
      <c r="SVO31" s="543"/>
      <c r="SVP31" s="543"/>
      <c r="SVQ31" s="543"/>
      <c r="SVR31" s="543"/>
      <c r="SVS31" s="543"/>
      <c r="SVT31" s="543"/>
      <c r="SVU31" s="543"/>
      <c r="SVV31" s="543"/>
      <c r="SVW31" s="543"/>
      <c r="SVX31" s="543"/>
      <c r="SVY31" s="543"/>
      <c r="SVZ31" s="543"/>
      <c r="SWA31" s="543"/>
      <c r="SWB31" s="543"/>
      <c r="SWC31" s="543"/>
      <c r="SWD31" s="543"/>
      <c r="SWE31" s="543"/>
      <c r="SWF31" s="543"/>
      <c r="SWG31" s="543"/>
      <c r="SWH31" s="543"/>
      <c r="SWI31" s="543"/>
      <c r="SWJ31" s="543"/>
      <c r="SWK31" s="543"/>
      <c r="SWL31" s="543"/>
      <c r="SWM31" s="543"/>
      <c r="SWN31" s="543"/>
      <c r="SWO31" s="543"/>
      <c r="SWP31" s="543"/>
      <c r="SWQ31" s="543"/>
      <c r="SWR31" s="543"/>
      <c r="SWS31" s="543"/>
      <c r="SWT31" s="543"/>
      <c r="SWU31" s="543"/>
      <c r="SWV31" s="543"/>
      <c r="SWW31" s="543"/>
      <c r="SWX31" s="543"/>
      <c r="SWY31" s="543"/>
      <c r="SWZ31" s="543"/>
      <c r="SXA31" s="543"/>
      <c r="SXB31" s="543"/>
      <c r="SXC31" s="543"/>
      <c r="SXD31" s="543"/>
      <c r="SXE31" s="543"/>
      <c r="SXF31" s="543"/>
      <c r="SXG31" s="543"/>
      <c r="SXH31" s="543"/>
      <c r="SXI31" s="543"/>
      <c r="SXJ31" s="543"/>
      <c r="SXK31" s="543"/>
      <c r="SXL31" s="543"/>
      <c r="SXM31" s="543"/>
      <c r="SXN31" s="543"/>
      <c r="SXO31" s="543"/>
      <c r="SXP31" s="543"/>
      <c r="SXQ31" s="543"/>
      <c r="SXR31" s="543"/>
      <c r="SXS31" s="543"/>
      <c r="SXT31" s="543"/>
      <c r="SXU31" s="543"/>
      <c r="SXV31" s="543"/>
      <c r="SXW31" s="543"/>
      <c r="SXX31" s="543"/>
      <c r="SXY31" s="543"/>
      <c r="SXZ31" s="543"/>
      <c r="SYA31" s="543"/>
      <c r="SYB31" s="543"/>
      <c r="SYC31" s="543"/>
      <c r="SYD31" s="543"/>
      <c r="SYE31" s="543"/>
      <c r="SYF31" s="543"/>
      <c r="SYG31" s="543"/>
      <c r="SYH31" s="543"/>
      <c r="SYI31" s="543"/>
      <c r="SYJ31" s="543"/>
      <c r="SYK31" s="543"/>
      <c r="SYL31" s="543"/>
      <c r="SYM31" s="543"/>
      <c r="SYN31" s="543"/>
      <c r="SYO31" s="543"/>
      <c r="SYP31" s="543"/>
      <c r="SYQ31" s="543"/>
      <c r="SYR31" s="543"/>
      <c r="SYS31" s="543"/>
      <c r="SYT31" s="543"/>
      <c r="SYU31" s="543"/>
      <c r="SYV31" s="543"/>
      <c r="SYW31" s="543"/>
      <c r="SYX31" s="543"/>
      <c r="SYY31" s="543"/>
      <c r="SYZ31" s="543"/>
      <c r="SZA31" s="543"/>
      <c r="SZB31" s="543"/>
      <c r="SZC31" s="543"/>
      <c r="SZD31" s="543"/>
      <c r="SZE31" s="543"/>
      <c r="SZF31" s="543"/>
      <c r="SZG31" s="543"/>
      <c r="SZH31" s="543"/>
      <c r="SZI31" s="543"/>
      <c r="SZJ31" s="543"/>
      <c r="SZK31" s="543"/>
      <c r="SZL31" s="543"/>
      <c r="SZM31" s="543"/>
      <c r="SZN31" s="543"/>
      <c r="SZO31" s="543"/>
      <c r="SZP31" s="543"/>
      <c r="SZQ31" s="543"/>
      <c r="SZR31" s="543"/>
      <c r="SZS31" s="543"/>
      <c r="SZT31" s="543"/>
      <c r="SZU31" s="543"/>
      <c r="SZV31" s="543"/>
      <c r="SZW31" s="543"/>
      <c r="SZX31" s="543"/>
      <c r="SZY31" s="543"/>
      <c r="SZZ31" s="543"/>
      <c r="TAA31" s="543"/>
      <c r="TAB31" s="543"/>
      <c r="TAC31" s="543"/>
      <c r="TAD31" s="543"/>
      <c r="TAE31" s="543"/>
      <c r="TAF31" s="543"/>
      <c r="TAG31" s="543"/>
      <c r="TAH31" s="543"/>
      <c r="TAI31" s="543"/>
      <c r="TAJ31" s="543"/>
      <c r="TAK31" s="543"/>
      <c r="TAL31" s="543"/>
      <c r="TAM31" s="543"/>
      <c r="TAN31" s="543"/>
      <c r="TAO31" s="543"/>
      <c r="TAP31" s="543"/>
      <c r="TAQ31" s="543"/>
      <c r="TAR31" s="543"/>
      <c r="TAS31" s="543"/>
      <c r="TAT31" s="543"/>
      <c r="TAU31" s="543"/>
      <c r="TAV31" s="543"/>
      <c r="TAW31" s="543"/>
      <c r="TAX31" s="543"/>
      <c r="TAY31" s="543"/>
      <c r="TAZ31" s="543"/>
      <c r="TBA31" s="543"/>
      <c r="TBB31" s="543"/>
      <c r="TBC31" s="543"/>
      <c r="TBD31" s="543"/>
      <c r="TBE31" s="543"/>
      <c r="TBF31" s="543"/>
      <c r="TBG31" s="543"/>
      <c r="TBH31" s="543"/>
      <c r="TBI31" s="543"/>
      <c r="TBJ31" s="543"/>
      <c r="TBK31" s="543"/>
      <c r="TBL31" s="543"/>
      <c r="TBM31" s="543"/>
      <c r="TBN31" s="543"/>
      <c r="TBO31" s="543"/>
      <c r="TBP31" s="543"/>
      <c r="TBQ31" s="543"/>
      <c r="TBR31" s="543"/>
      <c r="TBS31" s="543"/>
      <c r="TBT31" s="543"/>
      <c r="TBU31" s="543"/>
      <c r="TBV31" s="543"/>
      <c r="TBW31" s="543"/>
      <c r="TBX31" s="543"/>
      <c r="TBY31" s="543"/>
      <c r="TBZ31" s="543"/>
      <c r="TCA31" s="543"/>
      <c r="TCB31" s="543"/>
      <c r="TCC31" s="543"/>
      <c r="TCD31" s="543"/>
      <c r="TCE31" s="543"/>
      <c r="TCF31" s="543"/>
      <c r="TCG31" s="543"/>
      <c r="TCH31" s="543"/>
      <c r="TCI31" s="543"/>
      <c r="TCJ31" s="543"/>
      <c r="TCK31" s="543"/>
      <c r="TCL31" s="543"/>
      <c r="TCM31" s="543"/>
      <c r="TCN31" s="543"/>
      <c r="TCO31" s="543"/>
      <c r="TCP31" s="543"/>
      <c r="TCQ31" s="543"/>
      <c r="TCR31" s="543"/>
      <c r="TCS31" s="543"/>
      <c r="TCT31" s="543"/>
      <c r="TCU31" s="543"/>
      <c r="TCV31" s="543"/>
      <c r="TCW31" s="543"/>
      <c r="TCX31" s="543"/>
      <c r="TCY31" s="543"/>
      <c r="TCZ31" s="543"/>
      <c r="TDA31" s="543"/>
      <c r="TDB31" s="543"/>
      <c r="TDC31" s="543"/>
      <c r="TDD31" s="543"/>
      <c r="TDE31" s="543"/>
      <c r="TDF31" s="543"/>
      <c r="TDG31" s="543"/>
      <c r="TDH31" s="543"/>
      <c r="TDI31" s="543"/>
      <c r="TDJ31" s="543"/>
      <c r="TDK31" s="543"/>
      <c r="TDL31" s="543"/>
      <c r="TDM31" s="543"/>
      <c r="TDN31" s="543"/>
      <c r="TDO31" s="543"/>
      <c r="TDP31" s="543"/>
      <c r="TDQ31" s="543"/>
      <c r="TDR31" s="543"/>
      <c r="TDS31" s="543"/>
      <c r="TDT31" s="543"/>
      <c r="TDU31" s="543"/>
      <c r="TDV31" s="543"/>
      <c r="TDW31" s="543"/>
      <c r="TDX31" s="543"/>
      <c r="TDY31" s="543"/>
      <c r="TDZ31" s="543"/>
      <c r="TEA31" s="543"/>
      <c r="TEB31" s="543"/>
      <c r="TEC31" s="543"/>
      <c r="TED31" s="543"/>
      <c r="TEE31" s="543"/>
      <c r="TEF31" s="543"/>
      <c r="TEG31" s="543"/>
      <c r="TEH31" s="543"/>
      <c r="TEI31" s="543"/>
      <c r="TEJ31" s="543"/>
      <c r="TEK31" s="543"/>
      <c r="TEL31" s="543"/>
      <c r="TEM31" s="543"/>
      <c r="TEN31" s="543"/>
      <c r="TEO31" s="543"/>
      <c r="TEP31" s="543"/>
      <c r="TEQ31" s="543"/>
      <c r="TER31" s="543"/>
      <c r="TES31" s="543"/>
      <c r="TET31" s="543"/>
      <c r="TEU31" s="543"/>
      <c r="TEV31" s="543"/>
      <c r="TEW31" s="543"/>
      <c r="TEX31" s="543"/>
      <c r="TEY31" s="543"/>
      <c r="TEZ31" s="543"/>
      <c r="TFA31" s="543"/>
      <c r="TFB31" s="543"/>
      <c r="TFC31" s="543"/>
      <c r="TFD31" s="543"/>
      <c r="TFE31" s="543"/>
      <c r="TFF31" s="543"/>
      <c r="TFG31" s="543"/>
      <c r="TFH31" s="543"/>
      <c r="TFI31" s="543"/>
      <c r="TFJ31" s="543"/>
      <c r="TFK31" s="543"/>
      <c r="TFL31" s="543"/>
      <c r="TFM31" s="543"/>
      <c r="TFN31" s="543"/>
      <c r="TFO31" s="543"/>
      <c r="TFP31" s="543"/>
      <c r="TFQ31" s="543"/>
      <c r="TFR31" s="543"/>
      <c r="TFS31" s="543"/>
      <c r="TFT31" s="543"/>
      <c r="TFU31" s="543"/>
      <c r="TFV31" s="543"/>
      <c r="TFW31" s="543"/>
      <c r="TFX31" s="543"/>
      <c r="TFY31" s="543"/>
      <c r="TFZ31" s="543"/>
      <c r="TGA31" s="543"/>
      <c r="TGB31" s="543"/>
      <c r="TGC31" s="543"/>
      <c r="TGD31" s="543"/>
      <c r="TGE31" s="543"/>
      <c r="TGF31" s="543"/>
      <c r="TGG31" s="543"/>
      <c r="TGH31" s="543"/>
      <c r="TGI31" s="543"/>
      <c r="TGJ31" s="543"/>
      <c r="TGK31" s="543"/>
      <c r="TGL31" s="543"/>
      <c r="TGM31" s="543"/>
      <c r="TGN31" s="543"/>
      <c r="TGO31" s="543"/>
      <c r="TGP31" s="543"/>
      <c r="TGQ31" s="543"/>
      <c r="TGR31" s="543"/>
      <c r="TGS31" s="543"/>
      <c r="TGT31" s="543"/>
      <c r="TGU31" s="543"/>
      <c r="TGV31" s="543"/>
      <c r="TGW31" s="543"/>
      <c r="TGX31" s="543"/>
      <c r="TGY31" s="543"/>
      <c r="TGZ31" s="543"/>
      <c r="THA31" s="543"/>
      <c r="THB31" s="543"/>
      <c r="THC31" s="543"/>
      <c r="THD31" s="543"/>
      <c r="THE31" s="543"/>
      <c r="THF31" s="543"/>
      <c r="THG31" s="543"/>
      <c r="THH31" s="543"/>
      <c r="THI31" s="543"/>
      <c r="THJ31" s="543"/>
      <c r="THK31" s="543"/>
      <c r="THL31" s="543"/>
      <c r="THM31" s="543"/>
      <c r="THN31" s="543"/>
      <c r="THO31" s="543"/>
      <c r="THP31" s="543"/>
      <c r="THQ31" s="543"/>
      <c r="THR31" s="543"/>
      <c r="THS31" s="543"/>
      <c r="THT31" s="543"/>
      <c r="THU31" s="543"/>
      <c r="THV31" s="543"/>
      <c r="THW31" s="543"/>
      <c r="THX31" s="543"/>
      <c r="THY31" s="543"/>
      <c r="THZ31" s="543"/>
      <c r="TIA31" s="543"/>
      <c r="TIB31" s="543"/>
      <c r="TIC31" s="543"/>
      <c r="TID31" s="543"/>
      <c r="TIE31" s="543"/>
      <c r="TIF31" s="543"/>
      <c r="TIG31" s="543"/>
      <c r="TIH31" s="543"/>
      <c r="TII31" s="543"/>
      <c r="TIJ31" s="543"/>
      <c r="TIK31" s="543"/>
      <c r="TIL31" s="543"/>
      <c r="TIM31" s="543"/>
      <c r="TIN31" s="543"/>
      <c r="TIO31" s="543"/>
      <c r="TIP31" s="543"/>
      <c r="TIQ31" s="543"/>
      <c r="TIR31" s="543"/>
      <c r="TIS31" s="543"/>
      <c r="TIT31" s="543"/>
      <c r="TIU31" s="543"/>
      <c r="TIV31" s="543"/>
      <c r="TIW31" s="543"/>
      <c r="TIX31" s="543"/>
      <c r="TIY31" s="543"/>
      <c r="TIZ31" s="543"/>
      <c r="TJA31" s="543"/>
      <c r="TJB31" s="543"/>
      <c r="TJC31" s="543"/>
      <c r="TJD31" s="543"/>
      <c r="TJE31" s="543"/>
      <c r="TJF31" s="543"/>
      <c r="TJG31" s="543"/>
      <c r="TJH31" s="543"/>
      <c r="TJI31" s="543"/>
      <c r="TJJ31" s="543"/>
      <c r="TJK31" s="543"/>
      <c r="TJL31" s="543"/>
      <c r="TJM31" s="543"/>
      <c r="TJN31" s="543"/>
      <c r="TJO31" s="543"/>
      <c r="TJP31" s="543"/>
      <c r="TJQ31" s="543"/>
      <c r="TJR31" s="543"/>
      <c r="TJS31" s="543"/>
      <c r="TJT31" s="543"/>
      <c r="TJU31" s="543"/>
      <c r="TJV31" s="543"/>
      <c r="TJW31" s="543"/>
      <c r="TJX31" s="543"/>
      <c r="TJY31" s="543"/>
      <c r="TJZ31" s="543"/>
      <c r="TKA31" s="543"/>
      <c r="TKB31" s="543"/>
      <c r="TKC31" s="543"/>
      <c r="TKD31" s="543"/>
      <c r="TKE31" s="543"/>
      <c r="TKF31" s="543"/>
      <c r="TKG31" s="543"/>
      <c r="TKH31" s="543"/>
      <c r="TKI31" s="543"/>
      <c r="TKJ31" s="543"/>
      <c r="TKK31" s="543"/>
      <c r="TKL31" s="543"/>
      <c r="TKM31" s="543"/>
      <c r="TKN31" s="543"/>
      <c r="TKO31" s="543"/>
      <c r="TKP31" s="543"/>
      <c r="TKQ31" s="543"/>
      <c r="TKR31" s="543"/>
      <c r="TKS31" s="543"/>
      <c r="TKT31" s="543"/>
      <c r="TKU31" s="543"/>
      <c r="TKV31" s="543"/>
      <c r="TKW31" s="543"/>
      <c r="TKX31" s="543"/>
      <c r="TKY31" s="543"/>
      <c r="TKZ31" s="543"/>
      <c r="TLA31" s="543"/>
      <c r="TLB31" s="543"/>
      <c r="TLC31" s="543"/>
      <c r="TLD31" s="543"/>
      <c r="TLE31" s="543"/>
      <c r="TLF31" s="543"/>
      <c r="TLG31" s="543"/>
      <c r="TLH31" s="543"/>
      <c r="TLI31" s="543"/>
      <c r="TLJ31" s="543"/>
      <c r="TLK31" s="543"/>
      <c r="TLL31" s="543"/>
      <c r="TLM31" s="543"/>
      <c r="TLN31" s="543"/>
      <c r="TLO31" s="543"/>
      <c r="TLP31" s="543"/>
      <c r="TLQ31" s="543"/>
      <c r="TLR31" s="543"/>
      <c r="TLS31" s="543"/>
      <c r="TLT31" s="543"/>
      <c r="TLU31" s="543"/>
      <c r="TLV31" s="543"/>
      <c r="TLW31" s="543"/>
      <c r="TLX31" s="543"/>
      <c r="TLY31" s="543"/>
      <c r="TLZ31" s="543"/>
      <c r="TMA31" s="543"/>
      <c r="TMB31" s="543"/>
      <c r="TMC31" s="543"/>
      <c r="TMD31" s="543"/>
      <c r="TME31" s="543"/>
      <c r="TMF31" s="543"/>
      <c r="TMG31" s="543"/>
      <c r="TMH31" s="543"/>
      <c r="TMI31" s="543"/>
      <c r="TMJ31" s="543"/>
      <c r="TMK31" s="543"/>
      <c r="TML31" s="543"/>
      <c r="TMM31" s="543"/>
      <c r="TMN31" s="543"/>
      <c r="TMO31" s="543"/>
      <c r="TMP31" s="543"/>
      <c r="TMQ31" s="543"/>
      <c r="TMR31" s="543"/>
      <c r="TMS31" s="543"/>
      <c r="TMT31" s="543"/>
      <c r="TMU31" s="543"/>
      <c r="TMV31" s="543"/>
      <c r="TMW31" s="543"/>
      <c r="TMX31" s="543"/>
      <c r="TMY31" s="543"/>
      <c r="TMZ31" s="543"/>
      <c r="TNA31" s="543"/>
      <c r="TNB31" s="543"/>
      <c r="TNC31" s="543"/>
      <c r="TND31" s="543"/>
      <c r="TNE31" s="543"/>
      <c r="TNF31" s="543"/>
      <c r="TNG31" s="543"/>
      <c r="TNH31" s="543"/>
      <c r="TNI31" s="543"/>
      <c r="TNJ31" s="543"/>
      <c r="TNK31" s="543"/>
      <c r="TNL31" s="543"/>
      <c r="TNM31" s="543"/>
      <c r="TNN31" s="543"/>
      <c r="TNO31" s="543"/>
      <c r="TNP31" s="543"/>
      <c r="TNQ31" s="543"/>
      <c r="TNR31" s="543"/>
      <c r="TNS31" s="543"/>
      <c r="TNT31" s="543"/>
      <c r="TNU31" s="543"/>
      <c r="TNV31" s="543"/>
      <c r="TNW31" s="543"/>
      <c r="TNX31" s="543"/>
      <c r="TNY31" s="543"/>
      <c r="TNZ31" s="543"/>
      <c r="TOA31" s="543"/>
      <c r="TOB31" s="543"/>
      <c r="TOC31" s="543"/>
      <c r="TOD31" s="543"/>
      <c r="TOE31" s="543"/>
      <c r="TOF31" s="543"/>
      <c r="TOG31" s="543"/>
      <c r="TOH31" s="543"/>
      <c r="TOI31" s="543"/>
      <c r="TOJ31" s="543"/>
      <c r="TOK31" s="543"/>
      <c r="TOL31" s="543"/>
      <c r="TOM31" s="543"/>
      <c r="TON31" s="543"/>
      <c r="TOO31" s="543"/>
      <c r="TOP31" s="543"/>
      <c r="TOQ31" s="543"/>
      <c r="TOR31" s="543"/>
      <c r="TOS31" s="543"/>
      <c r="TOT31" s="543"/>
      <c r="TOU31" s="543"/>
      <c r="TOV31" s="543"/>
      <c r="TOW31" s="543"/>
      <c r="TOX31" s="543"/>
      <c r="TOY31" s="543"/>
      <c r="TOZ31" s="543"/>
      <c r="TPA31" s="543"/>
      <c r="TPB31" s="543"/>
      <c r="TPC31" s="543"/>
      <c r="TPD31" s="543"/>
      <c r="TPE31" s="543"/>
      <c r="TPF31" s="543"/>
      <c r="TPG31" s="543"/>
      <c r="TPH31" s="543"/>
      <c r="TPI31" s="543"/>
      <c r="TPJ31" s="543"/>
      <c r="TPK31" s="543"/>
      <c r="TPL31" s="543"/>
      <c r="TPM31" s="543"/>
      <c r="TPN31" s="543"/>
      <c r="TPO31" s="543"/>
      <c r="TPP31" s="543"/>
      <c r="TPQ31" s="543"/>
      <c r="TPR31" s="543"/>
      <c r="TPS31" s="543"/>
      <c r="TPT31" s="543"/>
      <c r="TPU31" s="543"/>
      <c r="TPV31" s="543"/>
      <c r="TPW31" s="543"/>
      <c r="TPX31" s="543"/>
      <c r="TPY31" s="543"/>
      <c r="TPZ31" s="543"/>
      <c r="TQA31" s="543"/>
      <c r="TQB31" s="543"/>
      <c r="TQC31" s="543"/>
      <c r="TQD31" s="543"/>
      <c r="TQE31" s="543"/>
      <c r="TQF31" s="543"/>
      <c r="TQG31" s="543"/>
      <c r="TQH31" s="543"/>
      <c r="TQI31" s="543"/>
      <c r="TQJ31" s="543"/>
      <c r="TQK31" s="543"/>
      <c r="TQL31" s="543"/>
      <c r="TQM31" s="543"/>
      <c r="TQN31" s="543"/>
      <c r="TQO31" s="543"/>
      <c r="TQP31" s="543"/>
      <c r="TQQ31" s="543"/>
      <c r="TQR31" s="543"/>
      <c r="TQS31" s="543"/>
      <c r="TQT31" s="543"/>
      <c r="TQU31" s="543"/>
      <c r="TQV31" s="543"/>
      <c r="TQW31" s="543"/>
      <c r="TQX31" s="543"/>
      <c r="TQY31" s="543"/>
      <c r="TQZ31" s="543"/>
      <c r="TRA31" s="543"/>
      <c r="TRB31" s="543"/>
      <c r="TRC31" s="543"/>
      <c r="TRD31" s="543"/>
      <c r="TRE31" s="543"/>
      <c r="TRF31" s="543"/>
      <c r="TRG31" s="543"/>
      <c r="TRH31" s="543"/>
      <c r="TRI31" s="543"/>
      <c r="TRJ31" s="543"/>
      <c r="TRK31" s="543"/>
      <c r="TRL31" s="543"/>
      <c r="TRM31" s="543"/>
      <c r="TRN31" s="543"/>
      <c r="TRO31" s="543"/>
      <c r="TRP31" s="543"/>
      <c r="TRQ31" s="543"/>
      <c r="TRR31" s="543"/>
      <c r="TRS31" s="543"/>
      <c r="TRT31" s="543"/>
      <c r="TRU31" s="543"/>
      <c r="TRV31" s="543"/>
      <c r="TRW31" s="543"/>
      <c r="TRX31" s="543"/>
      <c r="TRY31" s="543"/>
      <c r="TRZ31" s="543"/>
      <c r="TSA31" s="543"/>
      <c r="TSB31" s="543"/>
      <c r="TSC31" s="543"/>
      <c r="TSD31" s="543"/>
      <c r="TSE31" s="543"/>
      <c r="TSF31" s="543"/>
      <c r="TSG31" s="543"/>
      <c r="TSH31" s="543"/>
      <c r="TSI31" s="543"/>
      <c r="TSJ31" s="543"/>
      <c r="TSK31" s="543"/>
      <c r="TSL31" s="543"/>
      <c r="TSM31" s="543"/>
      <c r="TSN31" s="543"/>
      <c r="TSO31" s="543"/>
      <c r="TSP31" s="543"/>
      <c r="TSQ31" s="543"/>
      <c r="TSR31" s="543"/>
      <c r="TSS31" s="543"/>
      <c r="TST31" s="543"/>
      <c r="TSU31" s="543"/>
      <c r="TSV31" s="543"/>
      <c r="TSW31" s="543"/>
      <c r="TSX31" s="543"/>
      <c r="TSY31" s="543"/>
      <c r="TSZ31" s="543"/>
      <c r="TTA31" s="543"/>
      <c r="TTB31" s="543"/>
      <c r="TTC31" s="543"/>
      <c r="TTD31" s="543"/>
      <c r="TTE31" s="543"/>
      <c r="TTF31" s="543"/>
      <c r="TTG31" s="543"/>
      <c r="TTH31" s="543"/>
      <c r="TTI31" s="543"/>
      <c r="TTJ31" s="543"/>
      <c r="TTK31" s="543"/>
      <c r="TTL31" s="543"/>
      <c r="TTM31" s="543"/>
      <c r="TTN31" s="543"/>
      <c r="TTO31" s="543"/>
      <c r="TTP31" s="543"/>
      <c r="TTQ31" s="543"/>
      <c r="TTR31" s="543"/>
      <c r="TTS31" s="543"/>
      <c r="TTT31" s="543"/>
      <c r="TTU31" s="543"/>
      <c r="TTV31" s="543"/>
      <c r="TTW31" s="543"/>
      <c r="TTX31" s="543"/>
      <c r="TTY31" s="543"/>
      <c r="TTZ31" s="543"/>
      <c r="TUA31" s="543"/>
      <c r="TUB31" s="543"/>
      <c r="TUC31" s="543"/>
      <c r="TUD31" s="543"/>
      <c r="TUE31" s="543"/>
      <c r="TUF31" s="543"/>
      <c r="TUG31" s="543"/>
      <c r="TUH31" s="543"/>
      <c r="TUI31" s="543"/>
      <c r="TUJ31" s="543"/>
      <c r="TUK31" s="543"/>
      <c r="TUL31" s="543"/>
      <c r="TUM31" s="543"/>
      <c r="TUN31" s="543"/>
      <c r="TUO31" s="543"/>
      <c r="TUP31" s="543"/>
      <c r="TUQ31" s="543"/>
      <c r="TUR31" s="543"/>
      <c r="TUS31" s="543"/>
      <c r="TUT31" s="543"/>
      <c r="TUU31" s="543"/>
      <c r="TUV31" s="543"/>
      <c r="TUW31" s="543"/>
      <c r="TUX31" s="543"/>
      <c r="TUY31" s="543"/>
      <c r="TUZ31" s="543"/>
      <c r="TVA31" s="543"/>
      <c r="TVB31" s="543"/>
      <c r="TVC31" s="543"/>
      <c r="TVD31" s="543"/>
      <c r="TVE31" s="543"/>
      <c r="TVF31" s="543"/>
      <c r="TVG31" s="543"/>
      <c r="TVH31" s="543"/>
      <c r="TVI31" s="543"/>
      <c r="TVJ31" s="543"/>
      <c r="TVK31" s="543"/>
      <c r="TVL31" s="543"/>
      <c r="TVM31" s="543"/>
      <c r="TVN31" s="543"/>
      <c r="TVO31" s="543"/>
      <c r="TVP31" s="543"/>
      <c r="TVQ31" s="543"/>
      <c r="TVR31" s="543"/>
      <c r="TVS31" s="543"/>
      <c r="TVT31" s="543"/>
      <c r="TVU31" s="543"/>
      <c r="TVV31" s="543"/>
      <c r="TVW31" s="543"/>
      <c r="TVX31" s="543"/>
      <c r="TVY31" s="543"/>
      <c r="TVZ31" s="543"/>
      <c r="TWA31" s="543"/>
      <c r="TWB31" s="543"/>
      <c r="TWC31" s="543"/>
      <c r="TWD31" s="543"/>
      <c r="TWE31" s="543"/>
      <c r="TWF31" s="543"/>
      <c r="TWG31" s="543"/>
      <c r="TWH31" s="543"/>
      <c r="TWI31" s="543"/>
      <c r="TWJ31" s="543"/>
      <c r="TWK31" s="543"/>
      <c r="TWL31" s="543"/>
      <c r="TWM31" s="543"/>
      <c r="TWN31" s="543"/>
      <c r="TWO31" s="543"/>
      <c r="TWP31" s="543"/>
      <c r="TWQ31" s="543"/>
      <c r="TWR31" s="543"/>
      <c r="TWS31" s="543"/>
      <c r="TWT31" s="543"/>
      <c r="TWU31" s="543"/>
      <c r="TWV31" s="543"/>
      <c r="TWW31" s="543"/>
      <c r="TWX31" s="543"/>
      <c r="TWY31" s="543"/>
      <c r="TWZ31" s="543"/>
      <c r="TXA31" s="543"/>
      <c r="TXB31" s="543"/>
      <c r="TXC31" s="543"/>
      <c r="TXD31" s="543"/>
      <c r="TXE31" s="543"/>
      <c r="TXF31" s="543"/>
      <c r="TXG31" s="543"/>
      <c r="TXH31" s="543"/>
      <c r="TXI31" s="543"/>
      <c r="TXJ31" s="543"/>
      <c r="TXK31" s="543"/>
      <c r="TXL31" s="543"/>
      <c r="TXM31" s="543"/>
      <c r="TXN31" s="543"/>
      <c r="TXO31" s="543"/>
      <c r="TXP31" s="543"/>
      <c r="TXQ31" s="543"/>
      <c r="TXR31" s="543"/>
      <c r="TXS31" s="543"/>
      <c r="TXT31" s="543"/>
      <c r="TXU31" s="543"/>
      <c r="TXV31" s="543"/>
      <c r="TXW31" s="543"/>
      <c r="TXX31" s="543"/>
      <c r="TXY31" s="543"/>
      <c r="TXZ31" s="543"/>
      <c r="TYA31" s="543"/>
      <c r="TYB31" s="543"/>
      <c r="TYC31" s="543"/>
      <c r="TYD31" s="543"/>
      <c r="TYE31" s="543"/>
      <c r="TYF31" s="543"/>
      <c r="TYG31" s="543"/>
      <c r="TYH31" s="543"/>
      <c r="TYI31" s="543"/>
      <c r="TYJ31" s="543"/>
      <c r="TYK31" s="543"/>
      <c r="TYL31" s="543"/>
      <c r="TYM31" s="543"/>
      <c r="TYN31" s="543"/>
      <c r="TYO31" s="543"/>
      <c r="TYP31" s="543"/>
      <c r="TYQ31" s="543"/>
      <c r="TYR31" s="543"/>
      <c r="TYS31" s="543"/>
      <c r="TYT31" s="543"/>
      <c r="TYU31" s="543"/>
      <c r="TYV31" s="543"/>
      <c r="TYW31" s="543"/>
      <c r="TYX31" s="543"/>
      <c r="TYY31" s="543"/>
      <c r="TYZ31" s="543"/>
      <c r="TZA31" s="543"/>
      <c r="TZB31" s="543"/>
      <c r="TZC31" s="543"/>
      <c r="TZD31" s="543"/>
      <c r="TZE31" s="543"/>
      <c r="TZF31" s="543"/>
      <c r="TZG31" s="543"/>
      <c r="TZH31" s="543"/>
      <c r="TZI31" s="543"/>
      <c r="TZJ31" s="543"/>
      <c r="TZK31" s="543"/>
      <c r="TZL31" s="543"/>
      <c r="TZM31" s="543"/>
      <c r="TZN31" s="543"/>
      <c r="TZO31" s="543"/>
      <c r="TZP31" s="543"/>
      <c r="TZQ31" s="543"/>
      <c r="TZR31" s="543"/>
      <c r="TZS31" s="543"/>
      <c r="TZT31" s="543"/>
      <c r="TZU31" s="543"/>
      <c r="TZV31" s="543"/>
      <c r="TZW31" s="543"/>
      <c r="TZX31" s="543"/>
      <c r="TZY31" s="543"/>
      <c r="TZZ31" s="543"/>
      <c r="UAA31" s="543"/>
      <c r="UAB31" s="543"/>
      <c r="UAC31" s="543"/>
      <c r="UAD31" s="543"/>
      <c r="UAE31" s="543"/>
      <c r="UAF31" s="543"/>
      <c r="UAG31" s="543"/>
      <c r="UAH31" s="543"/>
      <c r="UAI31" s="543"/>
      <c r="UAJ31" s="543"/>
      <c r="UAK31" s="543"/>
      <c r="UAL31" s="543"/>
      <c r="UAM31" s="543"/>
      <c r="UAN31" s="543"/>
      <c r="UAO31" s="543"/>
      <c r="UAP31" s="543"/>
      <c r="UAQ31" s="543"/>
      <c r="UAR31" s="543"/>
      <c r="UAS31" s="543"/>
      <c r="UAT31" s="543"/>
      <c r="UAU31" s="543"/>
      <c r="UAV31" s="543"/>
      <c r="UAW31" s="543"/>
      <c r="UAX31" s="543"/>
      <c r="UAY31" s="543"/>
      <c r="UAZ31" s="543"/>
      <c r="UBA31" s="543"/>
      <c r="UBB31" s="543"/>
      <c r="UBC31" s="543"/>
      <c r="UBD31" s="543"/>
      <c r="UBE31" s="543"/>
      <c r="UBF31" s="543"/>
      <c r="UBG31" s="543"/>
      <c r="UBH31" s="543"/>
      <c r="UBI31" s="543"/>
      <c r="UBJ31" s="543"/>
      <c r="UBK31" s="543"/>
      <c r="UBL31" s="543"/>
      <c r="UBM31" s="543"/>
      <c r="UBN31" s="543"/>
      <c r="UBO31" s="543"/>
      <c r="UBP31" s="543"/>
      <c r="UBQ31" s="543"/>
      <c r="UBR31" s="543"/>
      <c r="UBS31" s="543"/>
      <c r="UBT31" s="543"/>
      <c r="UBU31" s="543"/>
      <c r="UBV31" s="543"/>
      <c r="UBW31" s="543"/>
      <c r="UBX31" s="543"/>
      <c r="UBY31" s="543"/>
      <c r="UBZ31" s="543"/>
      <c r="UCA31" s="543"/>
      <c r="UCB31" s="543"/>
      <c r="UCC31" s="543"/>
      <c r="UCD31" s="543"/>
      <c r="UCE31" s="543"/>
      <c r="UCF31" s="543"/>
      <c r="UCG31" s="543"/>
      <c r="UCH31" s="543"/>
      <c r="UCI31" s="543"/>
      <c r="UCJ31" s="543"/>
      <c r="UCK31" s="543"/>
      <c r="UCL31" s="543"/>
      <c r="UCM31" s="543"/>
      <c r="UCN31" s="543"/>
      <c r="UCO31" s="543"/>
      <c r="UCP31" s="543"/>
      <c r="UCQ31" s="543"/>
      <c r="UCR31" s="543"/>
      <c r="UCS31" s="543"/>
      <c r="UCT31" s="543"/>
      <c r="UCU31" s="543"/>
      <c r="UCV31" s="543"/>
      <c r="UCW31" s="543"/>
      <c r="UCX31" s="543"/>
      <c r="UCY31" s="543"/>
      <c r="UCZ31" s="543"/>
      <c r="UDA31" s="543"/>
      <c r="UDB31" s="543"/>
      <c r="UDC31" s="543"/>
      <c r="UDD31" s="543"/>
      <c r="UDE31" s="543"/>
      <c r="UDF31" s="543"/>
      <c r="UDG31" s="543"/>
      <c r="UDH31" s="543"/>
      <c r="UDI31" s="543"/>
      <c r="UDJ31" s="543"/>
      <c r="UDK31" s="543"/>
      <c r="UDL31" s="543"/>
      <c r="UDM31" s="543"/>
      <c r="UDN31" s="543"/>
      <c r="UDO31" s="543"/>
      <c r="UDP31" s="543"/>
      <c r="UDQ31" s="543"/>
      <c r="UDR31" s="543"/>
      <c r="UDS31" s="543"/>
      <c r="UDT31" s="543"/>
      <c r="UDU31" s="543"/>
      <c r="UDV31" s="543"/>
      <c r="UDW31" s="543"/>
      <c r="UDX31" s="543"/>
      <c r="UDY31" s="543"/>
      <c r="UDZ31" s="543"/>
      <c r="UEA31" s="543"/>
      <c r="UEB31" s="543"/>
      <c r="UEC31" s="543"/>
      <c r="UED31" s="543"/>
      <c r="UEE31" s="543"/>
      <c r="UEF31" s="543"/>
      <c r="UEG31" s="543"/>
      <c r="UEH31" s="543"/>
      <c r="UEI31" s="543"/>
      <c r="UEJ31" s="543"/>
      <c r="UEK31" s="543"/>
      <c r="UEL31" s="543"/>
      <c r="UEM31" s="543"/>
      <c r="UEN31" s="543"/>
      <c r="UEO31" s="543"/>
      <c r="UEP31" s="543"/>
      <c r="UEQ31" s="543"/>
      <c r="UER31" s="543"/>
      <c r="UES31" s="543"/>
      <c r="UET31" s="543"/>
      <c r="UEU31" s="543"/>
      <c r="UEV31" s="543"/>
      <c r="UEW31" s="543"/>
      <c r="UEX31" s="543"/>
      <c r="UEY31" s="543"/>
      <c r="UEZ31" s="543"/>
      <c r="UFA31" s="543"/>
      <c r="UFB31" s="543"/>
      <c r="UFC31" s="543"/>
      <c r="UFD31" s="543"/>
      <c r="UFE31" s="543"/>
      <c r="UFF31" s="543"/>
      <c r="UFG31" s="543"/>
      <c r="UFH31" s="543"/>
      <c r="UFI31" s="543"/>
      <c r="UFJ31" s="543"/>
      <c r="UFK31" s="543"/>
      <c r="UFL31" s="543"/>
      <c r="UFM31" s="543"/>
      <c r="UFN31" s="543"/>
      <c r="UFO31" s="543"/>
      <c r="UFP31" s="543"/>
      <c r="UFQ31" s="543"/>
      <c r="UFR31" s="543"/>
      <c r="UFS31" s="543"/>
      <c r="UFT31" s="543"/>
      <c r="UFU31" s="543"/>
      <c r="UFV31" s="543"/>
      <c r="UFW31" s="543"/>
      <c r="UFX31" s="543"/>
      <c r="UFY31" s="543"/>
      <c r="UFZ31" s="543"/>
      <c r="UGA31" s="543"/>
      <c r="UGB31" s="543"/>
      <c r="UGC31" s="543"/>
      <c r="UGD31" s="543"/>
      <c r="UGE31" s="543"/>
      <c r="UGF31" s="543"/>
      <c r="UGG31" s="543"/>
      <c r="UGH31" s="543"/>
      <c r="UGI31" s="543"/>
      <c r="UGJ31" s="543"/>
      <c r="UGK31" s="543"/>
      <c r="UGL31" s="543"/>
      <c r="UGM31" s="543"/>
      <c r="UGN31" s="543"/>
      <c r="UGO31" s="543"/>
      <c r="UGP31" s="543"/>
      <c r="UGQ31" s="543"/>
      <c r="UGR31" s="543"/>
      <c r="UGS31" s="543"/>
      <c r="UGT31" s="543"/>
      <c r="UGU31" s="543"/>
      <c r="UGV31" s="543"/>
      <c r="UGW31" s="543"/>
      <c r="UGX31" s="543"/>
      <c r="UGY31" s="543"/>
      <c r="UGZ31" s="543"/>
      <c r="UHA31" s="543"/>
      <c r="UHB31" s="543"/>
      <c r="UHC31" s="543"/>
      <c r="UHD31" s="543"/>
      <c r="UHE31" s="543"/>
      <c r="UHF31" s="543"/>
      <c r="UHG31" s="543"/>
      <c r="UHH31" s="543"/>
      <c r="UHI31" s="543"/>
      <c r="UHJ31" s="543"/>
      <c r="UHK31" s="543"/>
      <c r="UHL31" s="543"/>
      <c r="UHM31" s="543"/>
      <c r="UHN31" s="543"/>
      <c r="UHO31" s="543"/>
      <c r="UHP31" s="543"/>
      <c r="UHQ31" s="543"/>
      <c r="UHR31" s="543"/>
      <c r="UHS31" s="543"/>
      <c r="UHT31" s="543"/>
      <c r="UHU31" s="543"/>
      <c r="UHV31" s="543"/>
      <c r="UHW31" s="543"/>
      <c r="UHX31" s="543"/>
      <c r="UHY31" s="543"/>
      <c r="UHZ31" s="543"/>
      <c r="UIA31" s="543"/>
      <c r="UIB31" s="543"/>
      <c r="UIC31" s="543"/>
      <c r="UID31" s="543"/>
      <c r="UIE31" s="543"/>
      <c r="UIF31" s="543"/>
      <c r="UIG31" s="543"/>
      <c r="UIH31" s="543"/>
      <c r="UII31" s="543"/>
      <c r="UIJ31" s="543"/>
      <c r="UIK31" s="543"/>
      <c r="UIL31" s="543"/>
      <c r="UIM31" s="543"/>
      <c r="UIN31" s="543"/>
      <c r="UIO31" s="543"/>
      <c r="UIP31" s="543"/>
      <c r="UIQ31" s="543"/>
      <c r="UIR31" s="543"/>
      <c r="UIS31" s="543"/>
      <c r="UIT31" s="543"/>
      <c r="UIU31" s="543"/>
      <c r="UIV31" s="543"/>
      <c r="UIW31" s="543"/>
      <c r="UIX31" s="543"/>
      <c r="UIY31" s="543"/>
      <c r="UIZ31" s="543"/>
      <c r="UJA31" s="543"/>
      <c r="UJB31" s="543"/>
      <c r="UJC31" s="543"/>
      <c r="UJD31" s="543"/>
      <c r="UJE31" s="543"/>
      <c r="UJF31" s="543"/>
      <c r="UJG31" s="543"/>
      <c r="UJH31" s="543"/>
      <c r="UJI31" s="543"/>
      <c r="UJJ31" s="543"/>
      <c r="UJK31" s="543"/>
      <c r="UJL31" s="543"/>
      <c r="UJM31" s="543"/>
      <c r="UJN31" s="543"/>
      <c r="UJO31" s="543"/>
      <c r="UJP31" s="543"/>
      <c r="UJQ31" s="543"/>
      <c r="UJR31" s="543"/>
      <c r="UJS31" s="543"/>
      <c r="UJT31" s="543"/>
      <c r="UJU31" s="543"/>
      <c r="UJV31" s="543"/>
      <c r="UJW31" s="543"/>
      <c r="UJX31" s="543"/>
      <c r="UJY31" s="543"/>
      <c r="UJZ31" s="543"/>
      <c r="UKA31" s="543"/>
      <c r="UKB31" s="543"/>
      <c r="UKC31" s="543"/>
      <c r="UKD31" s="543"/>
      <c r="UKE31" s="543"/>
      <c r="UKF31" s="543"/>
      <c r="UKG31" s="543"/>
      <c r="UKH31" s="543"/>
      <c r="UKI31" s="543"/>
      <c r="UKJ31" s="543"/>
      <c r="UKK31" s="543"/>
      <c r="UKL31" s="543"/>
      <c r="UKM31" s="543"/>
      <c r="UKN31" s="543"/>
      <c r="UKO31" s="543"/>
      <c r="UKP31" s="543"/>
      <c r="UKQ31" s="543"/>
      <c r="UKR31" s="543"/>
      <c r="UKS31" s="543"/>
      <c r="UKT31" s="543"/>
      <c r="UKU31" s="543"/>
      <c r="UKV31" s="543"/>
      <c r="UKW31" s="543"/>
      <c r="UKX31" s="543"/>
      <c r="UKY31" s="543"/>
      <c r="UKZ31" s="543"/>
      <c r="ULA31" s="543"/>
      <c r="ULB31" s="543"/>
      <c r="ULC31" s="543"/>
      <c r="ULD31" s="543"/>
      <c r="ULE31" s="543"/>
      <c r="ULF31" s="543"/>
      <c r="ULG31" s="543"/>
      <c r="ULH31" s="543"/>
      <c r="ULI31" s="543"/>
      <c r="ULJ31" s="543"/>
      <c r="ULK31" s="543"/>
      <c r="ULL31" s="543"/>
      <c r="ULM31" s="543"/>
      <c r="ULN31" s="543"/>
      <c r="ULO31" s="543"/>
      <c r="ULP31" s="543"/>
      <c r="ULQ31" s="543"/>
      <c r="ULR31" s="543"/>
      <c r="ULS31" s="543"/>
      <c r="ULT31" s="543"/>
      <c r="ULU31" s="543"/>
      <c r="ULV31" s="543"/>
      <c r="ULW31" s="543"/>
      <c r="ULX31" s="543"/>
      <c r="ULY31" s="543"/>
      <c r="ULZ31" s="543"/>
      <c r="UMA31" s="543"/>
      <c r="UMB31" s="543"/>
      <c r="UMC31" s="543"/>
      <c r="UMD31" s="543"/>
      <c r="UME31" s="543"/>
      <c r="UMF31" s="543"/>
      <c r="UMG31" s="543"/>
      <c r="UMH31" s="543"/>
      <c r="UMI31" s="543"/>
      <c r="UMJ31" s="543"/>
      <c r="UMK31" s="543"/>
      <c r="UML31" s="543"/>
      <c r="UMM31" s="543"/>
      <c r="UMN31" s="543"/>
      <c r="UMO31" s="543"/>
      <c r="UMP31" s="543"/>
      <c r="UMQ31" s="543"/>
      <c r="UMR31" s="543"/>
      <c r="UMS31" s="543"/>
      <c r="UMT31" s="543"/>
      <c r="UMU31" s="543"/>
      <c r="UMV31" s="543"/>
      <c r="UMW31" s="543"/>
      <c r="UMX31" s="543"/>
      <c r="UMY31" s="543"/>
      <c r="UMZ31" s="543"/>
      <c r="UNA31" s="543"/>
      <c r="UNB31" s="543"/>
      <c r="UNC31" s="543"/>
      <c r="UND31" s="543"/>
      <c r="UNE31" s="543"/>
      <c r="UNF31" s="543"/>
      <c r="UNG31" s="543"/>
      <c r="UNH31" s="543"/>
      <c r="UNI31" s="543"/>
      <c r="UNJ31" s="543"/>
      <c r="UNK31" s="543"/>
      <c r="UNL31" s="543"/>
      <c r="UNM31" s="543"/>
      <c r="UNN31" s="543"/>
      <c r="UNO31" s="543"/>
      <c r="UNP31" s="543"/>
      <c r="UNQ31" s="543"/>
      <c r="UNR31" s="543"/>
      <c r="UNS31" s="543"/>
      <c r="UNT31" s="543"/>
      <c r="UNU31" s="543"/>
      <c r="UNV31" s="543"/>
      <c r="UNW31" s="543"/>
      <c r="UNX31" s="543"/>
      <c r="UNY31" s="543"/>
      <c r="UNZ31" s="543"/>
      <c r="UOA31" s="543"/>
      <c r="UOB31" s="543"/>
      <c r="UOC31" s="543"/>
      <c r="UOD31" s="543"/>
      <c r="UOE31" s="543"/>
      <c r="UOF31" s="543"/>
      <c r="UOG31" s="543"/>
      <c r="UOH31" s="543"/>
      <c r="UOI31" s="543"/>
      <c r="UOJ31" s="543"/>
      <c r="UOK31" s="543"/>
      <c r="UOL31" s="543"/>
      <c r="UOM31" s="543"/>
      <c r="UON31" s="543"/>
      <c r="UOO31" s="543"/>
      <c r="UOP31" s="543"/>
      <c r="UOQ31" s="543"/>
      <c r="UOR31" s="543"/>
      <c r="UOS31" s="543"/>
      <c r="UOT31" s="543"/>
      <c r="UOU31" s="543"/>
      <c r="UOV31" s="543"/>
      <c r="UOW31" s="543"/>
      <c r="UOX31" s="543"/>
      <c r="UOY31" s="543"/>
      <c r="UOZ31" s="543"/>
      <c r="UPA31" s="543"/>
      <c r="UPB31" s="543"/>
      <c r="UPC31" s="543"/>
      <c r="UPD31" s="543"/>
      <c r="UPE31" s="543"/>
      <c r="UPF31" s="543"/>
      <c r="UPG31" s="543"/>
      <c r="UPH31" s="543"/>
      <c r="UPI31" s="543"/>
      <c r="UPJ31" s="543"/>
      <c r="UPK31" s="543"/>
      <c r="UPL31" s="543"/>
      <c r="UPM31" s="543"/>
      <c r="UPN31" s="543"/>
      <c r="UPO31" s="543"/>
      <c r="UPP31" s="543"/>
      <c r="UPQ31" s="543"/>
      <c r="UPR31" s="543"/>
      <c r="UPS31" s="543"/>
      <c r="UPT31" s="543"/>
      <c r="UPU31" s="543"/>
      <c r="UPV31" s="543"/>
      <c r="UPW31" s="543"/>
      <c r="UPX31" s="543"/>
      <c r="UPY31" s="543"/>
      <c r="UPZ31" s="543"/>
      <c r="UQA31" s="543"/>
      <c r="UQB31" s="543"/>
      <c r="UQC31" s="543"/>
      <c r="UQD31" s="543"/>
      <c r="UQE31" s="543"/>
      <c r="UQF31" s="543"/>
      <c r="UQG31" s="543"/>
      <c r="UQH31" s="543"/>
      <c r="UQI31" s="543"/>
      <c r="UQJ31" s="543"/>
      <c r="UQK31" s="543"/>
      <c r="UQL31" s="543"/>
      <c r="UQM31" s="543"/>
      <c r="UQN31" s="543"/>
      <c r="UQO31" s="543"/>
      <c r="UQP31" s="543"/>
      <c r="UQQ31" s="543"/>
      <c r="UQR31" s="543"/>
      <c r="UQS31" s="543"/>
      <c r="UQT31" s="543"/>
      <c r="UQU31" s="543"/>
      <c r="UQV31" s="543"/>
      <c r="UQW31" s="543"/>
      <c r="UQX31" s="543"/>
      <c r="UQY31" s="543"/>
      <c r="UQZ31" s="543"/>
      <c r="URA31" s="543"/>
      <c r="URB31" s="543"/>
      <c r="URC31" s="543"/>
      <c r="URD31" s="543"/>
      <c r="URE31" s="543"/>
      <c r="URF31" s="543"/>
      <c r="URG31" s="543"/>
      <c r="URH31" s="543"/>
      <c r="URI31" s="543"/>
      <c r="URJ31" s="543"/>
      <c r="URK31" s="543"/>
      <c r="URL31" s="543"/>
      <c r="URM31" s="543"/>
      <c r="URN31" s="543"/>
      <c r="URO31" s="543"/>
      <c r="URP31" s="543"/>
      <c r="URQ31" s="543"/>
      <c r="URR31" s="543"/>
      <c r="URS31" s="543"/>
      <c r="URT31" s="543"/>
      <c r="URU31" s="543"/>
      <c r="URV31" s="543"/>
      <c r="URW31" s="543"/>
      <c r="URX31" s="543"/>
      <c r="URY31" s="543"/>
      <c r="URZ31" s="543"/>
      <c r="USA31" s="543"/>
      <c r="USB31" s="543"/>
      <c r="USC31" s="543"/>
      <c r="USD31" s="543"/>
      <c r="USE31" s="543"/>
      <c r="USF31" s="543"/>
      <c r="USG31" s="543"/>
      <c r="USH31" s="543"/>
      <c r="USI31" s="543"/>
      <c r="USJ31" s="543"/>
      <c r="USK31" s="543"/>
      <c r="USL31" s="543"/>
      <c r="USM31" s="543"/>
      <c r="USN31" s="543"/>
      <c r="USO31" s="543"/>
      <c r="USP31" s="543"/>
      <c r="USQ31" s="543"/>
      <c r="USR31" s="543"/>
      <c r="USS31" s="543"/>
      <c r="UST31" s="543"/>
      <c r="USU31" s="543"/>
      <c r="USV31" s="543"/>
      <c r="USW31" s="543"/>
      <c r="USX31" s="543"/>
      <c r="USY31" s="543"/>
      <c r="USZ31" s="543"/>
      <c r="UTA31" s="543"/>
      <c r="UTB31" s="543"/>
      <c r="UTC31" s="543"/>
      <c r="UTD31" s="543"/>
      <c r="UTE31" s="543"/>
      <c r="UTF31" s="543"/>
      <c r="UTG31" s="543"/>
      <c r="UTH31" s="543"/>
      <c r="UTI31" s="543"/>
      <c r="UTJ31" s="543"/>
      <c r="UTK31" s="543"/>
      <c r="UTL31" s="543"/>
      <c r="UTM31" s="543"/>
      <c r="UTN31" s="543"/>
      <c r="UTO31" s="543"/>
      <c r="UTP31" s="543"/>
      <c r="UTQ31" s="543"/>
      <c r="UTR31" s="543"/>
      <c r="UTS31" s="543"/>
      <c r="UTT31" s="543"/>
      <c r="UTU31" s="543"/>
      <c r="UTV31" s="543"/>
      <c r="UTW31" s="543"/>
      <c r="UTX31" s="543"/>
      <c r="UTY31" s="543"/>
      <c r="UTZ31" s="543"/>
      <c r="UUA31" s="543"/>
      <c r="UUB31" s="543"/>
      <c r="UUC31" s="543"/>
      <c r="UUD31" s="543"/>
      <c r="UUE31" s="543"/>
      <c r="UUF31" s="543"/>
      <c r="UUG31" s="543"/>
      <c r="UUH31" s="543"/>
      <c r="UUI31" s="543"/>
      <c r="UUJ31" s="543"/>
      <c r="UUK31" s="543"/>
      <c r="UUL31" s="543"/>
      <c r="UUM31" s="543"/>
      <c r="UUN31" s="543"/>
      <c r="UUO31" s="543"/>
      <c r="UUP31" s="543"/>
      <c r="UUQ31" s="543"/>
      <c r="UUR31" s="543"/>
      <c r="UUS31" s="543"/>
      <c r="UUT31" s="543"/>
      <c r="UUU31" s="543"/>
      <c r="UUV31" s="543"/>
      <c r="UUW31" s="543"/>
      <c r="UUX31" s="543"/>
      <c r="UUY31" s="543"/>
      <c r="UUZ31" s="543"/>
      <c r="UVA31" s="543"/>
      <c r="UVB31" s="543"/>
      <c r="UVC31" s="543"/>
      <c r="UVD31" s="543"/>
      <c r="UVE31" s="543"/>
      <c r="UVF31" s="543"/>
      <c r="UVG31" s="543"/>
      <c r="UVH31" s="543"/>
      <c r="UVI31" s="543"/>
      <c r="UVJ31" s="543"/>
      <c r="UVK31" s="543"/>
      <c r="UVL31" s="543"/>
      <c r="UVM31" s="543"/>
      <c r="UVN31" s="543"/>
      <c r="UVO31" s="543"/>
      <c r="UVP31" s="543"/>
      <c r="UVQ31" s="543"/>
      <c r="UVR31" s="543"/>
      <c r="UVS31" s="543"/>
      <c r="UVT31" s="543"/>
      <c r="UVU31" s="543"/>
      <c r="UVV31" s="543"/>
      <c r="UVW31" s="543"/>
      <c r="UVX31" s="543"/>
      <c r="UVY31" s="543"/>
      <c r="UVZ31" s="543"/>
      <c r="UWA31" s="543"/>
      <c r="UWB31" s="543"/>
      <c r="UWC31" s="543"/>
      <c r="UWD31" s="543"/>
      <c r="UWE31" s="543"/>
      <c r="UWF31" s="543"/>
      <c r="UWG31" s="543"/>
      <c r="UWH31" s="543"/>
      <c r="UWI31" s="543"/>
      <c r="UWJ31" s="543"/>
      <c r="UWK31" s="543"/>
      <c r="UWL31" s="543"/>
      <c r="UWM31" s="543"/>
      <c r="UWN31" s="543"/>
      <c r="UWO31" s="543"/>
      <c r="UWP31" s="543"/>
      <c r="UWQ31" s="543"/>
      <c r="UWR31" s="543"/>
      <c r="UWS31" s="543"/>
      <c r="UWT31" s="543"/>
      <c r="UWU31" s="543"/>
      <c r="UWV31" s="543"/>
      <c r="UWW31" s="543"/>
      <c r="UWX31" s="543"/>
      <c r="UWY31" s="543"/>
      <c r="UWZ31" s="543"/>
      <c r="UXA31" s="543"/>
      <c r="UXB31" s="543"/>
      <c r="UXC31" s="543"/>
      <c r="UXD31" s="543"/>
      <c r="UXE31" s="543"/>
      <c r="UXF31" s="543"/>
      <c r="UXG31" s="543"/>
      <c r="UXH31" s="543"/>
      <c r="UXI31" s="543"/>
      <c r="UXJ31" s="543"/>
      <c r="UXK31" s="543"/>
      <c r="UXL31" s="543"/>
      <c r="UXM31" s="543"/>
      <c r="UXN31" s="543"/>
      <c r="UXO31" s="543"/>
      <c r="UXP31" s="543"/>
      <c r="UXQ31" s="543"/>
      <c r="UXR31" s="543"/>
      <c r="UXS31" s="543"/>
      <c r="UXT31" s="543"/>
      <c r="UXU31" s="543"/>
      <c r="UXV31" s="543"/>
      <c r="UXW31" s="543"/>
      <c r="UXX31" s="543"/>
      <c r="UXY31" s="543"/>
      <c r="UXZ31" s="543"/>
      <c r="UYA31" s="543"/>
      <c r="UYB31" s="543"/>
      <c r="UYC31" s="543"/>
      <c r="UYD31" s="543"/>
      <c r="UYE31" s="543"/>
      <c r="UYF31" s="543"/>
      <c r="UYG31" s="543"/>
      <c r="UYH31" s="543"/>
      <c r="UYI31" s="543"/>
      <c r="UYJ31" s="543"/>
      <c r="UYK31" s="543"/>
      <c r="UYL31" s="543"/>
      <c r="UYM31" s="543"/>
      <c r="UYN31" s="543"/>
      <c r="UYO31" s="543"/>
      <c r="UYP31" s="543"/>
      <c r="UYQ31" s="543"/>
      <c r="UYR31" s="543"/>
      <c r="UYS31" s="543"/>
      <c r="UYT31" s="543"/>
      <c r="UYU31" s="543"/>
      <c r="UYV31" s="543"/>
      <c r="UYW31" s="543"/>
      <c r="UYX31" s="543"/>
      <c r="UYY31" s="543"/>
      <c r="UYZ31" s="543"/>
      <c r="UZA31" s="543"/>
      <c r="UZB31" s="543"/>
      <c r="UZC31" s="543"/>
      <c r="UZD31" s="543"/>
      <c r="UZE31" s="543"/>
      <c r="UZF31" s="543"/>
      <c r="UZG31" s="543"/>
      <c r="UZH31" s="543"/>
      <c r="UZI31" s="543"/>
      <c r="UZJ31" s="543"/>
      <c r="UZK31" s="543"/>
      <c r="UZL31" s="543"/>
      <c r="UZM31" s="543"/>
      <c r="UZN31" s="543"/>
      <c r="UZO31" s="543"/>
      <c r="UZP31" s="543"/>
      <c r="UZQ31" s="543"/>
      <c r="UZR31" s="543"/>
      <c r="UZS31" s="543"/>
      <c r="UZT31" s="543"/>
      <c r="UZU31" s="543"/>
      <c r="UZV31" s="543"/>
      <c r="UZW31" s="543"/>
      <c r="UZX31" s="543"/>
      <c r="UZY31" s="543"/>
      <c r="UZZ31" s="543"/>
      <c r="VAA31" s="543"/>
      <c r="VAB31" s="543"/>
      <c r="VAC31" s="543"/>
      <c r="VAD31" s="543"/>
      <c r="VAE31" s="543"/>
      <c r="VAF31" s="543"/>
      <c r="VAG31" s="543"/>
      <c r="VAH31" s="543"/>
      <c r="VAI31" s="543"/>
      <c r="VAJ31" s="543"/>
      <c r="VAK31" s="543"/>
      <c r="VAL31" s="543"/>
      <c r="VAM31" s="543"/>
      <c r="VAN31" s="543"/>
      <c r="VAO31" s="543"/>
      <c r="VAP31" s="543"/>
      <c r="VAQ31" s="543"/>
      <c r="VAR31" s="543"/>
      <c r="VAS31" s="543"/>
      <c r="VAT31" s="543"/>
      <c r="VAU31" s="543"/>
      <c r="VAV31" s="543"/>
      <c r="VAW31" s="543"/>
      <c r="VAX31" s="543"/>
      <c r="VAY31" s="543"/>
      <c r="VAZ31" s="543"/>
      <c r="VBA31" s="543"/>
      <c r="VBB31" s="543"/>
      <c r="VBC31" s="543"/>
      <c r="VBD31" s="543"/>
      <c r="VBE31" s="543"/>
      <c r="VBF31" s="543"/>
      <c r="VBG31" s="543"/>
      <c r="VBH31" s="543"/>
      <c r="VBI31" s="543"/>
      <c r="VBJ31" s="543"/>
      <c r="VBK31" s="543"/>
      <c r="VBL31" s="543"/>
      <c r="VBM31" s="543"/>
      <c r="VBN31" s="543"/>
      <c r="VBO31" s="543"/>
      <c r="VBP31" s="543"/>
      <c r="VBQ31" s="543"/>
      <c r="VBR31" s="543"/>
      <c r="VBS31" s="543"/>
      <c r="VBT31" s="543"/>
      <c r="VBU31" s="543"/>
      <c r="VBV31" s="543"/>
      <c r="VBW31" s="543"/>
      <c r="VBX31" s="543"/>
      <c r="VBY31" s="543"/>
      <c r="VBZ31" s="543"/>
      <c r="VCA31" s="543"/>
      <c r="VCB31" s="543"/>
      <c r="VCC31" s="543"/>
      <c r="VCD31" s="543"/>
      <c r="VCE31" s="543"/>
      <c r="VCF31" s="543"/>
      <c r="VCG31" s="543"/>
      <c r="VCH31" s="543"/>
      <c r="VCI31" s="543"/>
      <c r="VCJ31" s="543"/>
      <c r="VCK31" s="543"/>
      <c r="VCL31" s="543"/>
      <c r="VCM31" s="543"/>
      <c r="VCN31" s="543"/>
      <c r="VCO31" s="543"/>
      <c r="VCP31" s="543"/>
      <c r="VCQ31" s="543"/>
      <c r="VCR31" s="543"/>
      <c r="VCS31" s="543"/>
      <c r="VCT31" s="543"/>
      <c r="VCU31" s="543"/>
      <c r="VCV31" s="543"/>
      <c r="VCW31" s="543"/>
      <c r="VCX31" s="543"/>
      <c r="VCY31" s="543"/>
      <c r="VCZ31" s="543"/>
      <c r="VDA31" s="543"/>
      <c r="VDB31" s="543"/>
      <c r="VDC31" s="543"/>
      <c r="VDD31" s="543"/>
      <c r="VDE31" s="543"/>
      <c r="VDF31" s="543"/>
      <c r="VDG31" s="543"/>
      <c r="VDH31" s="543"/>
      <c r="VDI31" s="543"/>
      <c r="VDJ31" s="543"/>
      <c r="VDK31" s="543"/>
      <c r="VDL31" s="543"/>
      <c r="VDM31" s="543"/>
      <c r="VDN31" s="543"/>
      <c r="VDO31" s="543"/>
      <c r="VDP31" s="543"/>
      <c r="VDQ31" s="543"/>
      <c r="VDR31" s="543"/>
      <c r="VDS31" s="543"/>
      <c r="VDT31" s="543"/>
      <c r="VDU31" s="543"/>
      <c r="VDV31" s="543"/>
      <c r="VDW31" s="543"/>
      <c r="VDX31" s="543"/>
      <c r="VDY31" s="543"/>
      <c r="VDZ31" s="543"/>
      <c r="VEA31" s="543"/>
      <c r="VEB31" s="543"/>
      <c r="VEC31" s="543"/>
      <c r="VED31" s="543"/>
      <c r="VEE31" s="543"/>
      <c r="VEF31" s="543"/>
      <c r="VEG31" s="543"/>
      <c r="VEH31" s="543"/>
      <c r="VEI31" s="543"/>
      <c r="VEJ31" s="543"/>
      <c r="VEK31" s="543"/>
      <c r="VEL31" s="543"/>
      <c r="VEM31" s="543"/>
      <c r="VEN31" s="543"/>
      <c r="VEO31" s="543"/>
      <c r="VEP31" s="543"/>
      <c r="VEQ31" s="543"/>
      <c r="VER31" s="543"/>
      <c r="VES31" s="543"/>
      <c r="VET31" s="543"/>
      <c r="VEU31" s="543"/>
      <c r="VEV31" s="543"/>
      <c r="VEW31" s="543"/>
      <c r="VEX31" s="543"/>
      <c r="VEY31" s="543"/>
      <c r="VEZ31" s="543"/>
      <c r="VFA31" s="543"/>
      <c r="VFB31" s="543"/>
      <c r="VFC31" s="543"/>
      <c r="VFD31" s="543"/>
      <c r="VFE31" s="543"/>
      <c r="VFF31" s="543"/>
      <c r="VFG31" s="543"/>
      <c r="VFH31" s="543"/>
      <c r="VFI31" s="543"/>
      <c r="VFJ31" s="543"/>
      <c r="VFK31" s="543"/>
      <c r="VFL31" s="543"/>
      <c r="VFM31" s="543"/>
      <c r="VFN31" s="543"/>
      <c r="VFO31" s="543"/>
      <c r="VFP31" s="543"/>
      <c r="VFQ31" s="543"/>
      <c r="VFR31" s="543"/>
      <c r="VFS31" s="543"/>
      <c r="VFT31" s="543"/>
      <c r="VFU31" s="543"/>
      <c r="VFV31" s="543"/>
      <c r="VFW31" s="543"/>
      <c r="VFX31" s="543"/>
      <c r="VFY31" s="543"/>
      <c r="VFZ31" s="543"/>
      <c r="VGA31" s="543"/>
      <c r="VGB31" s="543"/>
      <c r="VGC31" s="543"/>
      <c r="VGD31" s="543"/>
      <c r="VGE31" s="543"/>
      <c r="VGF31" s="543"/>
      <c r="VGG31" s="543"/>
      <c r="VGH31" s="543"/>
      <c r="VGI31" s="543"/>
      <c r="VGJ31" s="543"/>
      <c r="VGK31" s="543"/>
      <c r="VGL31" s="543"/>
      <c r="VGM31" s="543"/>
      <c r="VGN31" s="543"/>
      <c r="VGO31" s="543"/>
      <c r="VGP31" s="543"/>
      <c r="VGQ31" s="543"/>
      <c r="VGR31" s="543"/>
      <c r="VGS31" s="543"/>
      <c r="VGT31" s="543"/>
      <c r="VGU31" s="543"/>
      <c r="VGV31" s="543"/>
      <c r="VGW31" s="543"/>
      <c r="VGX31" s="543"/>
      <c r="VGY31" s="543"/>
      <c r="VGZ31" s="543"/>
      <c r="VHA31" s="543"/>
      <c r="VHB31" s="543"/>
      <c r="VHC31" s="543"/>
      <c r="VHD31" s="543"/>
      <c r="VHE31" s="543"/>
      <c r="VHF31" s="543"/>
      <c r="VHG31" s="543"/>
      <c r="VHH31" s="543"/>
      <c r="VHI31" s="543"/>
      <c r="VHJ31" s="543"/>
      <c r="VHK31" s="543"/>
      <c r="VHL31" s="543"/>
      <c r="VHM31" s="543"/>
      <c r="VHN31" s="543"/>
      <c r="VHO31" s="543"/>
      <c r="VHP31" s="543"/>
      <c r="VHQ31" s="543"/>
      <c r="VHR31" s="543"/>
      <c r="VHS31" s="543"/>
      <c r="VHT31" s="543"/>
      <c r="VHU31" s="543"/>
      <c r="VHV31" s="543"/>
      <c r="VHW31" s="543"/>
      <c r="VHX31" s="543"/>
      <c r="VHY31" s="543"/>
      <c r="VHZ31" s="543"/>
      <c r="VIA31" s="543"/>
      <c r="VIB31" s="543"/>
      <c r="VIC31" s="543"/>
      <c r="VID31" s="543"/>
      <c r="VIE31" s="543"/>
      <c r="VIF31" s="543"/>
      <c r="VIG31" s="543"/>
      <c r="VIH31" s="543"/>
      <c r="VII31" s="543"/>
      <c r="VIJ31" s="543"/>
      <c r="VIK31" s="543"/>
      <c r="VIL31" s="543"/>
      <c r="VIM31" s="543"/>
      <c r="VIN31" s="543"/>
      <c r="VIO31" s="543"/>
      <c r="VIP31" s="543"/>
      <c r="VIQ31" s="543"/>
      <c r="VIR31" s="543"/>
      <c r="VIS31" s="543"/>
      <c r="VIT31" s="543"/>
      <c r="VIU31" s="543"/>
      <c r="VIV31" s="543"/>
      <c r="VIW31" s="543"/>
      <c r="VIX31" s="543"/>
      <c r="VIY31" s="543"/>
      <c r="VIZ31" s="543"/>
      <c r="VJA31" s="543"/>
      <c r="VJB31" s="543"/>
      <c r="VJC31" s="543"/>
      <c r="VJD31" s="543"/>
      <c r="VJE31" s="543"/>
      <c r="VJF31" s="543"/>
      <c r="VJG31" s="543"/>
      <c r="VJH31" s="543"/>
      <c r="VJI31" s="543"/>
      <c r="VJJ31" s="543"/>
      <c r="VJK31" s="543"/>
      <c r="VJL31" s="543"/>
      <c r="VJM31" s="543"/>
      <c r="VJN31" s="543"/>
      <c r="VJO31" s="543"/>
      <c r="VJP31" s="543"/>
      <c r="VJQ31" s="543"/>
      <c r="VJR31" s="543"/>
      <c r="VJS31" s="543"/>
      <c r="VJT31" s="543"/>
      <c r="VJU31" s="543"/>
      <c r="VJV31" s="543"/>
      <c r="VJW31" s="543"/>
      <c r="VJX31" s="543"/>
      <c r="VJY31" s="543"/>
      <c r="VJZ31" s="543"/>
      <c r="VKA31" s="543"/>
      <c r="VKB31" s="543"/>
      <c r="VKC31" s="543"/>
      <c r="VKD31" s="543"/>
      <c r="VKE31" s="543"/>
      <c r="VKF31" s="543"/>
      <c r="VKG31" s="543"/>
      <c r="VKH31" s="543"/>
      <c r="VKI31" s="543"/>
      <c r="VKJ31" s="543"/>
      <c r="VKK31" s="543"/>
      <c r="VKL31" s="543"/>
      <c r="VKM31" s="543"/>
      <c r="VKN31" s="543"/>
      <c r="VKO31" s="543"/>
      <c r="VKP31" s="543"/>
      <c r="VKQ31" s="543"/>
      <c r="VKR31" s="543"/>
      <c r="VKS31" s="543"/>
      <c r="VKT31" s="543"/>
      <c r="VKU31" s="543"/>
      <c r="VKV31" s="543"/>
      <c r="VKW31" s="543"/>
      <c r="VKX31" s="543"/>
      <c r="VKY31" s="543"/>
      <c r="VKZ31" s="543"/>
      <c r="VLA31" s="543"/>
      <c r="VLB31" s="543"/>
      <c r="VLC31" s="543"/>
      <c r="VLD31" s="543"/>
      <c r="VLE31" s="543"/>
      <c r="VLF31" s="543"/>
      <c r="VLG31" s="543"/>
      <c r="VLH31" s="543"/>
      <c r="VLI31" s="543"/>
      <c r="VLJ31" s="543"/>
      <c r="VLK31" s="543"/>
      <c r="VLL31" s="543"/>
      <c r="VLM31" s="543"/>
      <c r="VLN31" s="543"/>
      <c r="VLO31" s="543"/>
      <c r="VLP31" s="543"/>
      <c r="VLQ31" s="543"/>
      <c r="VLR31" s="543"/>
      <c r="VLS31" s="543"/>
      <c r="VLT31" s="543"/>
      <c r="VLU31" s="543"/>
      <c r="VLV31" s="543"/>
      <c r="VLW31" s="543"/>
      <c r="VLX31" s="543"/>
      <c r="VLY31" s="543"/>
      <c r="VLZ31" s="543"/>
      <c r="VMA31" s="543"/>
      <c r="VMB31" s="543"/>
      <c r="VMC31" s="543"/>
      <c r="VMD31" s="543"/>
      <c r="VME31" s="543"/>
      <c r="VMF31" s="543"/>
      <c r="VMG31" s="543"/>
      <c r="VMH31" s="543"/>
      <c r="VMI31" s="543"/>
      <c r="VMJ31" s="543"/>
      <c r="VMK31" s="543"/>
      <c r="VML31" s="543"/>
      <c r="VMM31" s="543"/>
      <c r="VMN31" s="543"/>
      <c r="VMO31" s="543"/>
      <c r="VMP31" s="543"/>
      <c r="VMQ31" s="543"/>
      <c r="VMR31" s="543"/>
      <c r="VMS31" s="543"/>
      <c r="VMT31" s="543"/>
      <c r="VMU31" s="543"/>
      <c r="VMV31" s="543"/>
      <c r="VMW31" s="543"/>
      <c r="VMX31" s="543"/>
      <c r="VMY31" s="543"/>
      <c r="VMZ31" s="543"/>
      <c r="VNA31" s="543"/>
      <c r="VNB31" s="543"/>
      <c r="VNC31" s="543"/>
      <c r="VND31" s="543"/>
      <c r="VNE31" s="543"/>
      <c r="VNF31" s="543"/>
      <c r="VNG31" s="543"/>
      <c r="VNH31" s="543"/>
      <c r="VNI31" s="543"/>
      <c r="VNJ31" s="543"/>
      <c r="VNK31" s="543"/>
      <c r="VNL31" s="543"/>
      <c r="VNM31" s="543"/>
      <c r="VNN31" s="543"/>
      <c r="VNO31" s="543"/>
      <c r="VNP31" s="543"/>
      <c r="VNQ31" s="543"/>
      <c r="VNR31" s="543"/>
      <c r="VNS31" s="543"/>
      <c r="VNT31" s="543"/>
      <c r="VNU31" s="543"/>
      <c r="VNV31" s="543"/>
      <c r="VNW31" s="543"/>
      <c r="VNX31" s="543"/>
      <c r="VNY31" s="543"/>
      <c r="VNZ31" s="543"/>
      <c r="VOA31" s="543"/>
      <c r="VOB31" s="543"/>
      <c r="VOC31" s="543"/>
      <c r="VOD31" s="543"/>
      <c r="VOE31" s="543"/>
      <c r="VOF31" s="543"/>
      <c r="VOG31" s="543"/>
      <c r="VOH31" s="543"/>
      <c r="VOI31" s="543"/>
      <c r="VOJ31" s="543"/>
      <c r="VOK31" s="543"/>
      <c r="VOL31" s="543"/>
      <c r="VOM31" s="543"/>
      <c r="VON31" s="543"/>
      <c r="VOO31" s="543"/>
      <c r="VOP31" s="543"/>
      <c r="VOQ31" s="543"/>
      <c r="VOR31" s="543"/>
      <c r="VOS31" s="543"/>
      <c r="VOT31" s="543"/>
      <c r="VOU31" s="543"/>
      <c r="VOV31" s="543"/>
      <c r="VOW31" s="543"/>
      <c r="VOX31" s="543"/>
      <c r="VOY31" s="543"/>
      <c r="VOZ31" s="543"/>
      <c r="VPA31" s="543"/>
      <c r="VPB31" s="543"/>
      <c r="VPC31" s="543"/>
      <c r="VPD31" s="543"/>
      <c r="VPE31" s="543"/>
      <c r="VPF31" s="543"/>
      <c r="VPG31" s="543"/>
      <c r="VPH31" s="543"/>
      <c r="VPI31" s="543"/>
      <c r="VPJ31" s="543"/>
      <c r="VPK31" s="543"/>
      <c r="VPL31" s="543"/>
      <c r="VPM31" s="543"/>
      <c r="VPN31" s="543"/>
      <c r="VPO31" s="543"/>
      <c r="VPP31" s="543"/>
      <c r="VPQ31" s="543"/>
      <c r="VPR31" s="543"/>
      <c r="VPS31" s="543"/>
      <c r="VPT31" s="543"/>
      <c r="VPU31" s="543"/>
      <c r="VPV31" s="543"/>
      <c r="VPW31" s="543"/>
      <c r="VPX31" s="543"/>
      <c r="VPY31" s="543"/>
      <c r="VPZ31" s="543"/>
      <c r="VQA31" s="543"/>
      <c r="VQB31" s="543"/>
      <c r="VQC31" s="543"/>
      <c r="VQD31" s="543"/>
      <c r="VQE31" s="543"/>
      <c r="VQF31" s="543"/>
      <c r="VQG31" s="543"/>
      <c r="VQH31" s="543"/>
      <c r="VQI31" s="543"/>
      <c r="VQJ31" s="543"/>
      <c r="VQK31" s="543"/>
      <c r="VQL31" s="543"/>
      <c r="VQM31" s="543"/>
      <c r="VQN31" s="543"/>
      <c r="VQO31" s="543"/>
      <c r="VQP31" s="543"/>
      <c r="VQQ31" s="543"/>
      <c r="VQR31" s="543"/>
      <c r="VQS31" s="543"/>
      <c r="VQT31" s="543"/>
      <c r="VQU31" s="543"/>
      <c r="VQV31" s="543"/>
      <c r="VQW31" s="543"/>
      <c r="VQX31" s="543"/>
      <c r="VQY31" s="543"/>
      <c r="VQZ31" s="543"/>
      <c r="VRA31" s="543"/>
      <c r="VRB31" s="543"/>
      <c r="VRC31" s="543"/>
      <c r="VRD31" s="543"/>
      <c r="VRE31" s="543"/>
      <c r="VRF31" s="543"/>
      <c r="VRG31" s="543"/>
      <c r="VRH31" s="543"/>
      <c r="VRI31" s="543"/>
      <c r="VRJ31" s="543"/>
      <c r="VRK31" s="543"/>
      <c r="VRL31" s="543"/>
      <c r="VRM31" s="543"/>
      <c r="VRN31" s="543"/>
      <c r="VRO31" s="543"/>
      <c r="VRP31" s="543"/>
      <c r="VRQ31" s="543"/>
      <c r="VRR31" s="543"/>
      <c r="VRS31" s="543"/>
      <c r="VRT31" s="543"/>
      <c r="VRU31" s="543"/>
      <c r="VRV31" s="543"/>
      <c r="VRW31" s="543"/>
      <c r="VRX31" s="543"/>
      <c r="VRY31" s="543"/>
      <c r="VRZ31" s="543"/>
      <c r="VSA31" s="543"/>
      <c r="VSB31" s="543"/>
      <c r="VSC31" s="543"/>
      <c r="VSD31" s="543"/>
      <c r="VSE31" s="543"/>
      <c r="VSF31" s="543"/>
      <c r="VSG31" s="543"/>
      <c r="VSH31" s="543"/>
      <c r="VSI31" s="543"/>
      <c r="VSJ31" s="543"/>
      <c r="VSK31" s="543"/>
      <c r="VSL31" s="543"/>
      <c r="VSM31" s="543"/>
      <c r="VSN31" s="543"/>
      <c r="VSO31" s="543"/>
      <c r="VSP31" s="543"/>
      <c r="VSQ31" s="543"/>
      <c r="VSR31" s="543"/>
      <c r="VSS31" s="543"/>
      <c r="VST31" s="543"/>
      <c r="VSU31" s="543"/>
      <c r="VSV31" s="543"/>
      <c r="VSW31" s="543"/>
      <c r="VSX31" s="543"/>
      <c r="VSY31" s="543"/>
      <c r="VSZ31" s="543"/>
      <c r="VTA31" s="543"/>
      <c r="VTB31" s="543"/>
      <c r="VTC31" s="543"/>
      <c r="VTD31" s="543"/>
      <c r="VTE31" s="543"/>
      <c r="VTF31" s="543"/>
      <c r="VTG31" s="543"/>
      <c r="VTH31" s="543"/>
      <c r="VTI31" s="543"/>
      <c r="VTJ31" s="543"/>
      <c r="VTK31" s="543"/>
      <c r="VTL31" s="543"/>
      <c r="VTM31" s="543"/>
      <c r="VTN31" s="543"/>
      <c r="VTO31" s="543"/>
      <c r="VTP31" s="543"/>
      <c r="VTQ31" s="543"/>
      <c r="VTR31" s="543"/>
      <c r="VTS31" s="543"/>
      <c r="VTT31" s="543"/>
      <c r="VTU31" s="543"/>
      <c r="VTV31" s="543"/>
      <c r="VTW31" s="543"/>
      <c r="VTX31" s="543"/>
      <c r="VTY31" s="543"/>
      <c r="VTZ31" s="543"/>
      <c r="VUA31" s="543"/>
      <c r="VUB31" s="543"/>
      <c r="VUC31" s="543"/>
      <c r="VUD31" s="543"/>
      <c r="VUE31" s="543"/>
      <c r="VUF31" s="543"/>
      <c r="VUG31" s="543"/>
      <c r="VUH31" s="543"/>
      <c r="VUI31" s="543"/>
      <c r="VUJ31" s="543"/>
      <c r="VUK31" s="543"/>
      <c r="VUL31" s="543"/>
      <c r="VUM31" s="543"/>
      <c r="VUN31" s="543"/>
      <c r="VUO31" s="543"/>
      <c r="VUP31" s="543"/>
      <c r="VUQ31" s="543"/>
      <c r="VUR31" s="543"/>
      <c r="VUS31" s="543"/>
      <c r="VUT31" s="543"/>
      <c r="VUU31" s="543"/>
      <c r="VUV31" s="543"/>
      <c r="VUW31" s="543"/>
      <c r="VUX31" s="543"/>
      <c r="VUY31" s="543"/>
      <c r="VUZ31" s="543"/>
      <c r="VVA31" s="543"/>
      <c r="VVB31" s="543"/>
      <c r="VVC31" s="543"/>
      <c r="VVD31" s="543"/>
      <c r="VVE31" s="543"/>
      <c r="VVF31" s="543"/>
      <c r="VVG31" s="543"/>
      <c r="VVH31" s="543"/>
      <c r="VVI31" s="543"/>
      <c r="VVJ31" s="543"/>
      <c r="VVK31" s="543"/>
      <c r="VVL31" s="543"/>
      <c r="VVM31" s="543"/>
      <c r="VVN31" s="543"/>
      <c r="VVO31" s="543"/>
      <c r="VVP31" s="543"/>
      <c r="VVQ31" s="543"/>
      <c r="VVR31" s="543"/>
      <c r="VVS31" s="543"/>
      <c r="VVT31" s="543"/>
      <c r="VVU31" s="543"/>
      <c r="VVV31" s="543"/>
      <c r="VVW31" s="543"/>
      <c r="VVX31" s="543"/>
      <c r="VVY31" s="543"/>
      <c r="VVZ31" s="543"/>
      <c r="VWA31" s="543"/>
      <c r="VWB31" s="543"/>
      <c r="VWC31" s="543"/>
      <c r="VWD31" s="543"/>
      <c r="VWE31" s="543"/>
      <c r="VWF31" s="543"/>
      <c r="VWG31" s="543"/>
      <c r="VWH31" s="543"/>
      <c r="VWI31" s="543"/>
      <c r="VWJ31" s="543"/>
      <c r="VWK31" s="543"/>
      <c r="VWL31" s="543"/>
      <c r="VWM31" s="543"/>
      <c r="VWN31" s="543"/>
      <c r="VWO31" s="543"/>
      <c r="VWP31" s="543"/>
      <c r="VWQ31" s="543"/>
      <c r="VWR31" s="543"/>
      <c r="VWS31" s="543"/>
      <c r="VWT31" s="543"/>
      <c r="VWU31" s="543"/>
      <c r="VWV31" s="543"/>
      <c r="VWW31" s="543"/>
      <c r="VWX31" s="543"/>
      <c r="VWY31" s="543"/>
      <c r="VWZ31" s="543"/>
      <c r="VXA31" s="543"/>
      <c r="VXB31" s="543"/>
      <c r="VXC31" s="543"/>
      <c r="VXD31" s="543"/>
      <c r="VXE31" s="543"/>
      <c r="VXF31" s="543"/>
      <c r="VXG31" s="543"/>
      <c r="VXH31" s="543"/>
      <c r="VXI31" s="543"/>
      <c r="VXJ31" s="543"/>
      <c r="VXK31" s="543"/>
      <c r="VXL31" s="543"/>
      <c r="VXM31" s="543"/>
      <c r="VXN31" s="543"/>
      <c r="VXO31" s="543"/>
      <c r="VXP31" s="543"/>
      <c r="VXQ31" s="543"/>
      <c r="VXR31" s="543"/>
      <c r="VXS31" s="543"/>
      <c r="VXT31" s="543"/>
      <c r="VXU31" s="543"/>
      <c r="VXV31" s="543"/>
      <c r="VXW31" s="543"/>
      <c r="VXX31" s="543"/>
      <c r="VXY31" s="543"/>
      <c r="VXZ31" s="543"/>
      <c r="VYA31" s="543"/>
      <c r="VYB31" s="543"/>
      <c r="VYC31" s="543"/>
      <c r="VYD31" s="543"/>
      <c r="VYE31" s="543"/>
      <c r="VYF31" s="543"/>
      <c r="VYG31" s="543"/>
      <c r="VYH31" s="543"/>
      <c r="VYI31" s="543"/>
      <c r="VYJ31" s="543"/>
      <c r="VYK31" s="543"/>
      <c r="VYL31" s="543"/>
      <c r="VYM31" s="543"/>
      <c r="VYN31" s="543"/>
      <c r="VYO31" s="543"/>
      <c r="VYP31" s="543"/>
      <c r="VYQ31" s="543"/>
      <c r="VYR31" s="543"/>
      <c r="VYS31" s="543"/>
      <c r="VYT31" s="543"/>
      <c r="VYU31" s="543"/>
      <c r="VYV31" s="543"/>
      <c r="VYW31" s="543"/>
      <c r="VYX31" s="543"/>
      <c r="VYY31" s="543"/>
      <c r="VYZ31" s="543"/>
      <c r="VZA31" s="543"/>
      <c r="VZB31" s="543"/>
      <c r="VZC31" s="543"/>
      <c r="VZD31" s="543"/>
      <c r="VZE31" s="543"/>
      <c r="VZF31" s="543"/>
      <c r="VZG31" s="543"/>
      <c r="VZH31" s="543"/>
      <c r="VZI31" s="543"/>
      <c r="VZJ31" s="543"/>
      <c r="VZK31" s="543"/>
      <c r="VZL31" s="543"/>
      <c r="VZM31" s="543"/>
      <c r="VZN31" s="543"/>
      <c r="VZO31" s="543"/>
      <c r="VZP31" s="543"/>
      <c r="VZQ31" s="543"/>
      <c r="VZR31" s="543"/>
      <c r="VZS31" s="543"/>
      <c r="VZT31" s="543"/>
      <c r="VZU31" s="543"/>
      <c r="VZV31" s="543"/>
      <c r="VZW31" s="543"/>
      <c r="VZX31" s="543"/>
      <c r="VZY31" s="543"/>
      <c r="VZZ31" s="543"/>
      <c r="WAA31" s="543"/>
      <c r="WAB31" s="543"/>
      <c r="WAC31" s="543"/>
      <c r="WAD31" s="543"/>
      <c r="WAE31" s="543"/>
      <c r="WAF31" s="543"/>
      <c r="WAG31" s="543"/>
      <c r="WAH31" s="543"/>
      <c r="WAI31" s="543"/>
      <c r="WAJ31" s="543"/>
      <c r="WAK31" s="543"/>
      <c r="WAL31" s="543"/>
      <c r="WAM31" s="543"/>
      <c r="WAN31" s="543"/>
      <c r="WAO31" s="543"/>
      <c r="WAP31" s="543"/>
      <c r="WAQ31" s="543"/>
      <c r="WAR31" s="543"/>
      <c r="WAS31" s="543"/>
      <c r="WAT31" s="543"/>
      <c r="WAU31" s="543"/>
      <c r="WAV31" s="543"/>
      <c r="WAW31" s="543"/>
      <c r="WAX31" s="543"/>
      <c r="WAY31" s="543"/>
      <c r="WAZ31" s="543"/>
      <c r="WBA31" s="543"/>
      <c r="WBB31" s="543"/>
      <c r="WBC31" s="543"/>
      <c r="WBD31" s="543"/>
      <c r="WBE31" s="543"/>
      <c r="WBF31" s="543"/>
      <c r="WBG31" s="543"/>
      <c r="WBH31" s="543"/>
      <c r="WBI31" s="543"/>
      <c r="WBJ31" s="543"/>
      <c r="WBK31" s="543"/>
      <c r="WBL31" s="543"/>
      <c r="WBM31" s="543"/>
      <c r="WBN31" s="543"/>
      <c r="WBO31" s="543"/>
      <c r="WBP31" s="543"/>
      <c r="WBQ31" s="543"/>
      <c r="WBR31" s="543"/>
      <c r="WBS31" s="543"/>
      <c r="WBT31" s="543"/>
      <c r="WBU31" s="543"/>
      <c r="WBV31" s="543"/>
      <c r="WBW31" s="543"/>
      <c r="WBX31" s="543"/>
      <c r="WBY31" s="543"/>
      <c r="WBZ31" s="543"/>
      <c r="WCA31" s="543"/>
      <c r="WCB31" s="543"/>
      <c r="WCC31" s="543"/>
      <c r="WCD31" s="543"/>
      <c r="WCE31" s="543"/>
      <c r="WCF31" s="543"/>
      <c r="WCG31" s="543"/>
      <c r="WCH31" s="543"/>
      <c r="WCI31" s="543"/>
      <c r="WCJ31" s="543"/>
      <c r="WCK31" s="543"/>
      <c r="WCL31" s="543"/>
      <c r="WCM31" s="543"/>
      <c r="WCN31" s="543"/>
      <c r="WCO31" s="543"/>
      <c r="WCP31" s="543"/>
      <c r="WCQ31" s="543"/>
      <c r="WCR31" s="543"/>
      <c r="WCS31" s="543"/>
      <c r="WCT31" s="543"/>
      <c r="WCU31" s="543"/>
      <c r="WCV31" s="543"/>
      <c r="WCW31" s="543"/>
      <c r="WCX31" s="543"/>
      <c r="WCY31" s="543"/>
      <c r="WCZ31" s="543"/>
      <c r="WDA31" s="543"/>
      <c r="WDB31" s="543"/>
      <c r="WDC31" s="543"/>
      <c r="WDD31" s="543"/>
      <c r="WDE31" s="543"/>
      <c r="WDF31" s="543"/>
      <c r="WDG31" s="543"/>
      <c r="WDH31" s="543"/>
      <c r="WDI31" s="543"/>
      <c r="WDJ31" s="543"/>
      <c r="WDK31" s="543"/>
      <c r="WDL31" s="543"/>
      <c r="WDM31" s="543"/>
      <c r="WDN31" s="543"/>
      <c r="WDO31" s="543"/>
      <c r="WDP31" s="543"/>
      <c r="WDQ31" s="543"/>
      <c r="WDR31" s="543"/>
      <c r="WDS31" s="543"/>
      <c r="WDT31" s="543"/>
      <c r="WDU31" s="543"/>
      <c r="WDV31" s="543"/>
      <c r="WDW31" s="543"/>
      <c r="WDX31" s="543"/>
      <c r="WDY31" s="543"/>
      <c r="WDZ31" s="543"/>
      <c r="WEA31" s="543"/>
      <c r="WEB31" s="543"/>
      <c r="WEC31" s="543"/>
      <c r="WED31" s="543"/>
      <c r="WEE31" s="543"/>
      <c r="WEF31" s="543"/>
      <c r="WEG31" s="543"/>
      <c r="WEH31" s="543"/>
      <c r="WEI31" s="543"/>
      <c r="WEJ31" s="543"/>
      <c r="WEK31" s="543"/>
      <c r="WEL31" s="543"/>
      <c r="WEM31" s="543"/>
      <c r="WEN31" s="543"/>
      <c r="WEO31" s="543"/>
      <c r="WEP31" s="543"/>
      <c r="WEQ31" s="543"/>
      <c r="WER31" s="543"/>
      <c r="WES31" s="543"/>
      <c r="WET31" s="543"/>
      <c r="WEU31" s="543"/>
      <c r="WEV31" s="543"/>
      <c r="WEW31" s="543"/>
      <c r="WEX31" s="543"/>
      <c r="WEY31" s="543"/>
      <c r="WEZ31" s="543"/>
      <c r="WFA31" s="543"/>
      <c r="WFB31" s="543"/>
      <c r="WFC31" s="543"/>
      <c r="WFD31" s="543"/>
      <c r="WFE31" s="543"/>
      <c r="WFF31" s="543"/>
      <c r="WFG31" s="543"/>
      <c r="WFH31" s="543"/>
      <c r="WFI31" s="543"/>
      <c r="WFJ31" s="543"/>
      <c r="WFK31" s="543"/>
      <c r="WFL31" s="543"/>
      <c r="WFM31" s="543"/>
      <c r="WFN31" s="543"/>
      <c r="WFO31" s="543"/>
      <c r="WFP31" s="543"/>
      <c r="WFQ31" s="543"/>
      <c r="WFR31" s="543"/>
      <c r="WFS31" s="543"/>
      <c r="WFT31" s="543"/>
      <c r="WFU31" s="543"/>
      <c r="WFV31" s="543"/>
      <c r="WFW31" s="543"/>
      <c r="WFX31" s="543"/>
      <c r="WFY31" s="543"/>
      <c r="WFZ31" s="543"/>
      <c r="WGA31" s="543"/>
      <c r="WGB31" s="543"/>
      <c r="WGC31" s="543"/>
      <c r="WGD31" s="543"/>
      <c r="WGE31" s="543"/>
      <c r="WGF31" s="543"/>
      <c r="WGG31" s="543"/>
      <c r="WGH31" s="543"/>
      <c r="WGI31" s="543"/>
      <c r="WGJ31" s="543"/>
      <c r="WGK31" s="543"/>
      <c r="WGL31" s="543"/>
      <c r="WGM31" s="543"/>
      <c r="WGN31" s="543"/>
      <c r="WGO31" s="543"/>
      <c r="WGP31" s="543"/>
      <c r="WGQ31" s="543"/>
      <c r="WGR31" s="543"/>
      <c r="WGS31" s="543"/>
      <c r="WGT31" s="543"/>
      <c r="WGU31" s="543"/>
      <c r="WGV31" s="543"/>
      <c r="WGW31" s="543"/>
      <c r="WGX31" s="543"/>
      <c r="WGY31" s="543"/>
      <c r="WGZ31" s="543"/>
      <c r="WHA31" s="543"/>
      <c r="WHB31" s="543"/>
      <c r="WHC31" s="543"/>
      <c r="WHD31" s="543"/>
      <c r="WHE31" s="543"/>
      <c r="WHF31" s="543"/>
      <c r="WHG31" s="543"/>
      <c r="WHH31" s="543"/>
      <c r="WHI31" s="543"/>
      <c r="WHJ31" s="543"/>
      <c r="WHK31" s="543"/>
      <c r="WHL31" s="543"/>
      <c r="WHM31" s="543"/>
      <c r="WHN31" s="543"/>
      <c r="WHO31" s="543"/>
      <c r="WHP31" s="543"/>
      <c r="WHQ31" s="543"/>
      <c r="WHR31" s="543"/>
      <c r="WHS31" s="543"/>
      <c r="WHT31" s="543"/>
      <c r="WHU31" s="543"/>
      <c r="WHV31" s="543"/>
      <c r="WHW31" s="543"/>
      <c r="WHX31" s="543"/>
      <c r="WHY31" s="543"/>
      <c r="WHZ31" s="543"/>
      <c r="WIA31" s="543"/>
      <c r="WIB31" s="543"/>
      <c r="WIC31" s="543"/>
      <c r="WID31" s="543"/>
      <c r="WIE31" s="543"/>
      <c r="WIF31" s="543"/>
      <c r="WIG31" s="543"/>
      <c r="WIH31" s="543"/>
      <c r="WII31" s="543"/>
      <c r="WIJ31" s="543"/>
      <c r="WIK31" s="543"/>
      <c r="WIL31" s="543"/>
      <c r="WIM31" s="543"/>
      <c r="WIN31" s="543"/>
      <c r="WIO31" s="543"/>
      <c r="WIP31" s="543"/>
      <c r="WIQ31" s="543"/>
      <c r="WIR31" s="543"/>
      <c r="WIS31" s="543"/>
      <c r="WIT31" s="543"/>
      <c r="WIU31" s="543"/>
      <c r="WIV31" s="543"/>
      <c r="WIW31" s="543"/>
      <c r="WIX31" s="543"/>
      <c r="WIY31" s="543"/>
      <c r="WIZ31" s="543"/>
      <c r="WJA31" s="543"/>
      <c r="WJB31" s="543"/>
      <c r="WJC31" s="543"/>
      <c r="WJD31" s="543"/>
      <c r="WJE31" s="543"/>
      <c r="WJF31" s="543"/>
      <c r="WJG31" s="543"/>
      <c r="WJH31" s="543"/>
      <c r="WJI31" s="543"/>
      <c r="WJJ31" s="543"/>
      <c r="WJK31" s="543"/>
      <c r="WJL31" s="543"/>
      <c r="WJM31" s="543"/>
      <c r="WJN31" s="543"/>
      <c r="WJO31" s="543"/>
      <c r="WJP31" s="543"/>
      <c r="WJQ31" s="543"/>
      <c r="WJR31" s="543"/>
      <c r="WJS31" s="543"/>
      <c r="WJT31" s="543"/>
      <c r="WJU31" s="543"/>
      <c r="WJV31" s="543"/>
      <c r="WJW31" s="543"/>
      <c r="WJX31" s="543"/>
      <c r="WJY31" s="543"/>
      <c r="WJZ31" s="543"/>
      <c r="WKA31" s="543"/>
      <c r="WKB31" s="543"/>
      <c r="WKC31" s="543"/>
      <c r="WKD31" s="543"/>
      <c r="WKE31" s="543"/>
      <c r="WKF31" s="543"/>
      <c r="WKG31" s="543"/>
      <c r="WKH31" s="543"/>
      <c r="WKI31" s="543"/>
      <c r="WKJ31" s="543"/>
      <c r="WKK31" s="543"/>
      <c r="WKL31" s="543"/>
      <c r="WKM31" s="543"/>
      <c r="WKN31" s="543"/>
      <c r="WKO31" s="543"/>
      <c r="WKP31" s="543"/>
      <c r="WKQ31" s="543"/>
      <c r="WKR31" s="543"/>
      <c r="WKS31" s="543"/>
      <c r="WKT31" s="543"/>
      <c r="WKU31" s="543"/>
      <c r="WKV31" s="543"/>
      <c r="WKW31" s="543"/>
      <c r="WKX31" s="543"/>
      <c r="WKY31" s="543"/>
      <c r="WKZ31" s="543"/>
      <c r="WLA31" s="543"/>
      <c r="WLB31" s="543"/>
      <c r="WLC31" s="543"/>
      <c r="WLD31" s="543"/>
      <c r="WLE31" s="543"/>
      <c r="WLF31" s="543"/>
      <c r="WLG31" s="543"/>
      <c r="WLH31" s="543"/>
      <c r="WLI31" s="543"/>
      <c r="WLJ31" s="543"/>
      <c r="WLK31" s="543"/>
      <c r="WLL31" s="543"/>
      <c r="WLM31" s="543"/>
      <c r="WLN31" s="543"/>
      <c r="WLO31" s="543"/>
      <c r="WLP31" s="543"/>
      <c r="WLQ31" s="543"/>
      <c r="WLR31" s="543"/>
      <c r="WLS31" s="543"/>
      <c r="WLT31" s="543"/>
      <c r="WLU31" s="543"/>
      <c r="WLV31" s="543"/>
      <c r="WLW31" s="543"/>
      <c r="WLX31" s="543"/>
      <c r="WLY31" s="543"/>
      <c r="WLZ31" s="543"/>
      <c r="WMA31" s="543"/>
      <c r="WMB31" s="543"/>
      <c r="WMC31" s="543"/>
      <c r="WMD31" s="543"/>
      <c r="WME31" s="543"/>
      <c r="WMF31" s="543"/>
      <c r="WMG31" s="543"/>
      <c r="WMH31" s="543"/>
      <c r="WMI31" s="543"/>
      <c r="WMJ31" s="543"/>
      <c r="WMK31" s="543"/>
      <c r="WML31" s="543"/>
      <c r="WMM31" s="543"/>
      <c r="WMN31" s="543"/>
      <c r="WMO31" s="543"/>
      <c r="WMP31" s="543"/>
      <c r="WMQ31" s="543"/>
      <c r="WMR31" s="543"/>
      <c r="WMS31" s="543"/>
      <c r="WMT31" s="543"/>
      <c r="WMU31" s="543"/>
      <c r="WMV31" s="543"/>
      <c r="WMW31" s="543"/>
      <c r="WMX31" s="543"/>
      <c r="WMY31" s="543"/>
      <c r="WMZ31" s="543"/>
      <c r="WNA31" s="543"/>
      <c r="WNB31" s="543"/>
      <c r="WNC31" s="543"/>
      <c r="WND31" s="543"/>
      <c r="WNE31" s="543"/>
      <c r="WNF31" s="543"/>
      <c r="WNG31" s="543"/>
      <c r="WNH31" s="543"/>
      <c r="WNI31" s="543"/>
      <c r="WNJ31" s="543"/>
      <c r="WNK31" s="543"/>
      <c r="WNL31" s="543"/>
      <c r="WNM31" s="543"/>
      <c r="WNN31" s="543"/>
      <c r="WNO31" s="543"/>
      <c r="WNP31" s="543"/>
      <c r="WNQ31" s="543"/>
      <c r="WNR31" s="543"/>
      <c r="WNS31" s="543"/>
      <c r="WNT31" s="543"/>
      <c r="WNU31" s="543"/>
      <c r="WNV31" s="543"/>
      <c r="WNW31" s="543"/>
      <c r="WNX31" s="543"/>
      <c r="WNY31" s="543"/>
      <c r="WNZ31" s="543"/>
      <c r="WOA31" s="543"/>
      <c r="WOB31" s="543"/>
      <c r="WOC31" s="543"/>
      <c r="WOD31" s="543"/>
      <c r="WOE31" s="543"/>
      <c r="WOF31" s="543"/>
      <c r="WOG31" s="543"/>
      <c r="WOH31" s="543"/>
      <c r="WOI31" s="543"/>
      <c r="WOJ31" s="543"/>
      <c r="WOK31" s="543"/>
      <c r="WOL31" s="543"/>
      <c r="WOM31" s="543"/>
      <c r="WON31" s="543"/>
      <c r="WOO31" s="543"/>
      <c r="WOP31" s="543"/>
      <c r="WOQ31" s="543"/>
      <c r="WOR31" s="543"/>
      <c r="WOS31" s="543"/>
      <c r="WOT31" s="543"/>
      <c r="WOU31" s="543"/>
      <c r="WOV31" s="543"/>
      <c r="WOW31" s="543"/>
      <c r="WOX31" s="543"/>
      <c r="WOY31" s="543"/>
      <c r="WOZ31" s="543"/>
      <c r="WPA31" s="543"/>
      <c r="WPB31" s="543"/>
      <c r="WPC31" s="543"/>
      <c r="WPD31" s="543"/>
      <c r="WPE31" s="543"/>
      <c r="WPF31" s="543"/>
      <c r="WPG31" s="543"/>
      <c r="WPH31" s="543"/>
      <c r="WPI31" s="543"/>
      <c r="WPJ31" s="543"/>
      <c r="WPK31" s="543"/>
      <c r="WPL31" s="543"/>
      <c r="WPM31" s="543"/>
      <c r="WPN31" s="543"/>
      <c r="WPO31" s="543"/>
      <c r="WPP31" s="543"/>
      <c r="WPQ31" s="543"/>
      <c r="WPR31" s="543"/>
      <c r="WPS31" s="543"/>
      <c r="WPT31" s="543"/>
      <c r="WPU31" s="543"/>
      <c r="WPV31" s="543"/>
      <c r="WPW31" s="543"/>
      <c r="WPX31" s="543"/>
      <c r="WPY31" s="543"/>
      <c r="WPZ31" s="543"/>
      <c r="WQA31" s="543"/>
      <c r="WQB31" s="543"/>
      <c r="WQC31" s="543"/>
      <c r="WQD31" s="543"/>
      <c r="WQE31" s="543"/>
      <c r="WQF31" s="543"/>
      <c r="WQG31" s="543"/>
      <c r="WQH31" s="543"/>
      <c r="WQI31" s="543"/>
      <c r="WQJ31" s="543"/>
      <c r="WQK31" s="543"/>
      <c r="WQL31" s="543"/>
      <c r="WQM31" s="543"/>
      <c r="WQN31" s="543"/>
      <c r="WQO31" s="543"/>
      <c r="WQP31" s="543"/>
      <c r="WQQ31" s="543"/>
      <c r="WQR31" s="543"/>
      <c r="WQS31" s="543"/>
      <c r="WQT31" s="543"/>
      <c r="WQU31" s="543"/>
      <c r="WQV31" s="543"/>
      <c r="WQW31" s="543"/>
      <c r="WQX31" s="543"/>
      <c r="WQY31" s="543"/>
      <c r="WQZ31" s="543"/>
      <c r="WRA31" s="543"/>
      <c r="WRB31" s="543"/>
      <c r="WRC31" s="543"/>
      <c r="WRD31" s="543"/>
      <c r="WRE31" s="543"/>
      <c r="WRF31" s="543"/>
      <c r="WRG31" s="543"/>
      <c r="WRH31" s="543"/>
      <c r="WRI31" s="543"/>
      <c r="WRJ31" s="543"/>
      <c r="WRK31" s="543"/>
      <c r="WRL31" s="543"/>
      <c r="WRM31" s="543"/>
      <c r="WRN31" s="543"/>
      <c r="WRO31" s="543"/>
      <c r="WRP31" s="543"/>
      <c r="WRQ31" s="543"/>
      <c r="WRR31" s="543"/>
      <c r="WRS31" s="543"/>
      <c r="WRT31" s="543"/>
      <c r="WRU31" s="543"/>
      <c r="WRV31" s="543"/>
      <c r="WRW31" s="543"/>
      <c r="WRX31" s="543"/>
      <c r="WRY31" s="543"/>
      <c r="WRZ31" s="543"/>
      <c r="WSA31" s="543"/>
      <c r="WSB31" s="543"/>
      <c r="WSC31" s="543"/>
      <c r="WSD31" s="543"/>
      <c r="WSE31" s="543"/>
      <c r="WSF31" s="543"/>
      <c r="WSG31" s="543"/>
      <c r="WSH31" s="543"/>
      <c r="WSI31" s="543"/>
      <c r="WSJ31" s="543"/>
      <c r="WSK31" s="543"/>
      <c r="WSL31" s="543"/>
      <c r="WSM31" s="543"/>
      <c r="WSN31" s="543"/>
      <c r="WSO31" s="543"/>
      <c r="WSP31" s="543"/>
      <c r="WSQ31" s="543"/>
      <c r="WSR31" s="543"/>
      <c r="WSS31" s="543"/>
      <c r="WST31" s="543"/>
      <c r="WSU31" s="543"/>
      <c r="WSV31" s="543"/>
      <c r="WSW31" s="543"/>
      <c r="WSX31" s="543"/>
      <c r="WSY31" s="543"/>
      <c r="WSZ31" s="543"/>
      <c r="WTA31" s="543"/>
      <c r="WTB31" s="543"/>
      <c r="WTC31" s="543"/>
      <c r="WTD31" s="543"/>
      <c r="WTE31" s="543"/>
      <c r="WTF31" s="543"/>
      <c r="WTG31" s="543"/>
      <c r="WTH31" s="543"/>
      <c r="WTI31" s="543"/>
      <c r="WTJ31" s="543"/>
      <c r="WTK31" s="543"/>
      <c r="WTL31" s="543"/>
      <c r="WTM31" s="543"/>
      <c r="WTN31" s="543"/>
      <c r="WTO31" s="543"/>
      <c r="WTP31" s="543"/>
      <c r="WTQ31" s="543"/>
      <c r="WTR31" s="543"/>
      <c r="WTS31" s="543"/>
      <c r="WTT31" s="543"/>
      <c r="WTU31" s="543"/>
      <c r="WTV31" s="543"/>
      <c r="WTW31" s="543"/>
      <c r="WTX31" s="543"/>
      <c r="WTY31" s="543"/>
      <c r="WTZ31" s="543"/>
      <c r="WUA31" s="543"/>
      <c r="WUB31" s="543"/>
      <c r="WUC31" s="543"/>
      <c r="WUD31" s="543"/>
      <c r="WUE31" s="543"/>
      <c r="WUF31" s="543"/>
      <c r="WUG31" s="543"/>
      <c r="WUH31" s="543"/>
      <c r="WUI31" s="543"/>
      <c r="WUJ31" s="543"/>
      <c r="WUK31" s="543"/>
      <c r="WUL31" s="543"/>
      <c r="WUM31" s="543"/>
      <c r="WUN31" s="543"/>
      <c r="WUO31" s="543"/>
      <c r="WUP31" s="543"/>
      <c r="WUQ31" s="543"/>
      <c r="WUR31" s="543"/>
      <c r="WUS31" s="543"/>
      <c r="WUT31" s="543"/>
      <c r="WUU31" s="543"/>
      <c r="WUV31" s="543"/>
      <c r="WUW31" s="543"/>
      <c r="WUX31" s="543"/>
      <c r="WUY31" s="543"/>
      <c r="WUZ31" s="543"/>
      <c r="WVA31" s="543"/>
      <c r="WVB31" s="543"/>
      <c r="WVC31" s="543"/>
      <c r="WVD31" s="543"/>
      <c r="WVE31" s="543"/>
      <c r="WVF31" s="543"/>
      <c r="WVG31" s="543"/>
      <c r="WVH31" s="543"/>
      <c r="WVI31" s="543"/>
      <c r="WVJ31" s="543"/>
      <c r="WVK31" s="543"/>
      <c r="WVL31" s="543"/>
      <c r="WVM31" s="543"/>
      <c r="WVN31" s="543"/>
      <c r="WVO31" s="543"/>
      <c r="WVP31" s="543"/>
      <c r="WVQ31" s="543"/>
      <c r="WVR31" s="543"/>
      <c r="WVS31" s="543"/>
      <c r="WVT31" s="543"/>
      <c r="WVU31" s="543"/>
      <c r="WVV31" s="543"/>
      <c r="WVW31" s="543"/>
      <c r="WVX31" s="543"/>
      <c r="WVY31" s="543"/>
      <c r="WVZ31" s="543"/>
      <c r="WWA31" s="543"/>
      <c r="WWB31" s="543"/>
      <c r="WWC31" s="543"/>
      <c r="WWD31" s="543"/>
      <c r="WWE31" s="543"/>
      <c r="WWF31" s="543"/>
      <c r="WWG31" s="543"/>
      <c r="WWH31" s="543"/>
      <c r="WWI31" s="543"/>
      <c r="WWJ31" s="543"/>
      <c r="WWK31" s="543"/>
      <c r="WWL31" s="543"/>
      <c r="WWM31" s="543"/>
      <c r="WWN31" s="543"/>
      <c r="WWO31" s="543"/>
      <c r="WWP31" s="543"/>
      <c r="WWQ31" s="543"/>
      <c r="WWR31" s="543"/>
      <c r="WWS31" s="543"/>
      <c r="WWT31" s="543"/>
      <c r="WWU31" s="543"/>
      <c r="WWV31" s="543"/>
      <c r="WWW31" s="543"/>
      <c r="WWX31" s="543"/>
      <c r="WWY31" s="543"/>
      <c r="WWZ31" s="543"/>
      <c r="WXA31" s="543"/>
      <c r="WXB31" s="543"/>
      <c r="WXC31" s="543"/>
      <c r="WXD31" s="543"/>
      <c r="WXE31" s="543"/>
      <c r="WXF31" s="543"/>
      <c r="WXG31" s="543"/>
      <c r="WXH31" s="543"/>
      <c r="WXI31" s="543"/>
      <c r="WXJ31" s="543"/>
      <c r="WXK31" s="543"/>
      <c r="WXL31" s="543"/>
      <c r="WXM31" s="543"/>
      <c r="WXN31" s="543"/>
      <c r="WXO31" s="543"/>
      <c r="WXP31" s="543"/>
      <c r="WXQ31" s="543"/>
      <c r="WXR31" s="543"/>
      <c r="WXS31" s="543"/>
      <c r="WXT31" s="543"/>
      <c r="WXU31" s="543"/>
      <c r="WXV31" s="543"/>
      <c r="WXW31" s="543"/>
      <c r="WXX31" s="543"/>
      <c r="WXY31" s="543"/>
      <c r="WXZ31" s="543"/>
      <c r="WYA31" s="543"/>
      <c r="WYB31" s="543"/>
      <c r="WYC31" s="543"/>
      <c r="WYD31" s="543"/>
      <c r="WYE31" s="543"/>
      <c r="WYF31" s="543"/>
      <c r="WYG31" s="543"/>
      <c r="WYH31" s="543"/>
      <c r="WYI31" s="543"/>
      <c r="WYJ31" s="543"/>
      <c r="WYK31" s="543"/>
      <c r="WYL31" s="543"/>
      <c r="WYM31" s="543"/>
      <c r="WYN31" s="543"/>
      <c r="WYO31" s="543"/>
      <c r="WYP31" s="543"/>
      <c r="WYQ31" s="543"/>
      <c r="WYR31" s="543"/>
      <c r="WYS31" s="543"/>
      <c r="WYT31" s="543"/>
      <c r="WYU31" s="543"/>
      <c r="WYV31" s="543"/>
      <c r="WYW31" s="543"/>
      <c r="WYX31" s="543"/>
      <c r="WYY31" s="543"/>
      <c r="WYZ31" s="543"/>
      <c r="WZA31" s="543"/>
      <c r="WZB31" s="543"/>
      <c r="WZC31" s="543"/>
      <c r="WZD31" s="543"/>
      <c r="WZE31" s="543"/>
      <c r="WZF31" s="543"/>
      <c r="WZG31" s="543"/>
      <c r="WZH31" s="543"/>
      <c r="WZI31" s="543"/>
      <c r="WZJ31" s="543"/>
      <c r="WZK31" s="543"/>
      <c r="WZL31" s="543"/>
      <c r="WZM31" s="543"/>
      <c r="WZN31" s="543"/>
      <c r="WZO31" s="543"/>
      <c r="WZP31" s="543"/>
      <c r="WZQ31" s="543"/>
      <c r="WZR31" s="543"/>
      <c r="WZS31" s="543"/>
      <c r="WZT31" s="543"/>
      <c r="WZU31" s="543"/>
      <c r="WZV31" s="543"/>
      <c r="WZW31" s="543"/>
      <c r="WZX31" s="543"/>
      <c r="WZY31" s="543"/>
      <c r="WZZ31" s="543"/>
      <c r="XAA31" s="543"/>
      <c r="XAB31" s="543"/>
      <c r="XAC31" s="543"/>
      <c r="XAD31" s="543"/>
      <c r="XAE31" s="543"/>
      <c r="XAF31" s="543"/>
      <c r="XAG31" s="543"/>
      <c r="XAH31" s="543"/>
      <c r="XAI31" s="543"/>
      <c r="XAJ31" s="543"/>
      <c r="XAK31" s="543"/>
      <c r="XAL31" s="543"/>
      <c r="XAM31" s="543"/>
      <c r="XAN31" s="543"/>
      <c r="XAO31" s="543"/>
      <c r="XAP31" s="543"/>
      <c r="XAQ31" s="543"/>
      <c r="XAR31" s="543"/>
      <c r="XAS31" s="543"/>
      <c r="XAT31" s="543"/>
      <c r="XAU31" s="543"/>
      <c r="XAV31" s="543"/>
      <c r="XAW31" s="543"/>
      <c r="XAX31" s="543"/>
      <c r="XAY31" s="543"/>
      <c r="XAZ31" s="543"/>
      <c r="XBA31" s="543"/>
      <c r="XBB31" s="543"/>
      <c r="XBC31" s="543"/>
      <c r="XBD31" s="543"/>
      <c r="XBE31" s="543"/>
      <c r="XBF31" s="543"/>
      <c r="XBG31" s="543"/>
      <c r="XBH31" s="543"/>
      <c r="XBI31" s="543"/>
      <c r="XBJ31" s="543"/>
      <c r="XBK31" s="543"/>
      <c r="XBL31" s="543"/>
      <c r="XBM31" s="543"/>
      <c r="XBN31" s="543"/>
      <c r="XBO31" s="543"/>
      <c r="XBP31" s="543"/>
      <c r="XBQ31" s="543"/>
      <c r="XBR31" s="543"/>
      <c r="XBS31" s="543"/>
      <c r="XBT31" s="543"/>
      <c r="XBU31" s="543"/>
      <c r="XBV31" s="543"/>
      <c r="XBW31" s="543"/>
      <c r="XBX31" s="543"/>
      <c r="XBY31" s="543"/>
      <c r="XBZ31" s="543"/>
      <c r="XCA31" s="543"/>
      <c r="XCB31" s="543"/>
      <c r="XCC31" s="543"/>
      <c r="XCD31" s="543"/>
      <c r="XCE31" s="543"/>
      <c r="XCF31" s="543"/>
      <c r="XCG31" s="543"/>
      <c r="XCH31" s="543"/>
      <c r="XCI31" s="543"/>
      <c r="XCJ31" s="543"/>
      <c r="XCK31" s="543"/>
      <c r="XCL31" s="543"/>
      <c r="XCM31" s="543"/>
      <c r="XCN31" s="543"/>
      <c r="XCO31" s="543"/>
      <c r="XCP31" s="543"/>
      <c r="XCQ31" s="543"/>
      <c r="XCR31" s="543"/>
      <c r="XCS31" s="543"/>
      <c r="XCT31" s="543"/>
      <c r="XCU31" s="543"/>
      <c r="XCV31" s="543"/>
      <c r="XCW31" s="543"/>
      <c r="XCX31" s="543"/>
      <c r="XCY31" s="543"/>
      <c r="XCZ31" s="543"/>
      <c r="XDA31" s="543"/>
      <c r="XDB31" s="543"/>
      <c r="XDC31" s="543"/>
      <c r="XDD31" s="543"/>
      <c r="XDE31" s="543"/>
      <c r="XDF31" s="543"/>
      <c r="XDG31" s="543"/>
      <c r="XDH31" s="543"/>
      <c r="XDI31" s="543"/>
      <c r="XDJ31" s="543"/>
      <c r="XDK31" s="543"/>
      <c r="XDL31" s="543"/>
      <c r="XDM31" s="543"/>
      <c r="XDN31" s="543"/>
      <c r="XDO31" s="543"/>
      <c r="XDP31" s="543"/>
      <c r="XDQ31" s="543"/>
      <c r="XDR31" s="543"/>
      <c r="XDS31" s="543"/>
      <c r="XDT31" s="543"/>
      <c r="XDU31" s="543"/>
      <c r="XDV31" s="543"/>
      <c r="XDW31" s="543"/>
      <c r="XDX31" s="543"/>
      <c r="XDY31" s="543"/>
      <c r="XDZ31" s="543"/>
      <c r="XEA31" s="543"/>
      <c r="XEB31" s="543"/>
      <c r="XEC31" s="543"/>
      <c r="XED31" s="543"/>
      <c r="XEE31" s="543"/>
      <c r="XEF31" s="543"/>
      <c r="XEG31" s="543"/>
      <c r="XEH31" s="543"/>
      <c r="XEI31" s="543"/>
      <c r="XEJ31" s="543"/>
      <c r="XEK31" s="543"/>
      <c r="XEL31" s="543"/>
      <c r="XEM31" s="543"/>
      <c r="XEN31" s="543"/>
    </row>
    <row r="32" spans="1:16368" ht="25.5" hidden="1" customHeight="1" x14ac:dyDescent="0.2">
      <c r="A32" s="327">
        <v>25</v>
      </c>
      <c r="B32" s="328" t="s">
        <v>146</v>
      </c>
      <c r="C32" s="11">
        <v>0</v>
      </c>
      <c r="D32" s="11">
        <v>0</v>
      </c>
      <c r="E32" s="11"/>
      <c r="F32" s="11">
        <f>SUM(C32:D32)</f>
        <v>0</v>
      </c>
      <c r="G32" s="13"/>
      <c r="H32" s="13"/>
      <c r="I32" s="13"/>
      <c r="J32" s="13">
        <f>SUM(G32:H32)</f>
        <v>0</v>
      </c>
      <c r="K32" s="11"/>
      <c r="L32" s="11"/>
      <c r="M32" s="11"/>
      <c r="N32" s="11">
        <f>SUM(K32:L32)</f>
        <v>0</v>
      </c>
      <c r="O32" s="13"/>
      <c r="P32" s="13"/>
      <c r="Q32" s="13"/>
      <c r="R32" s="13">
        <f>SUM(O32:P32)</f>
        <v>0</v>
      </c>
      <c r="S32" s="11"/>
      <c r="T32" s="11"/>
      <c r="U32" s="11"/>
      <c r="V32" s="11">
        <f>SUM(S32:T32)</f>
        <v>0</v>
      </c>
      <c r="W32" s="13"/>
      <c r="X32" s="13"/>
      <c r="Y32" s="13"/>
      <c r="Z32" s="13">
        <f>SUM(W32:X32)</f>
        <v>0</v>
      </c>
    </row>
    <row r="33" spans="1:16368" ht="25.5" hidden="1" customHeight="1" x14ac:dyDescent="0.2">
      <c r="A33" s="329">
        <v>26</v>
      </c>
      <c r="B33" s="330" t="s">
        <v>145</v>
      </c>
      <c r="C33" s="11">
        <v>0</v>
      </c>
      <c r="D33" s="11">
        <v>0</v>
      </c>
      <c r="E33" s="11"/>
      <c r="F33" s="11">
        <f t="shared" ref="F33:F36" si="5">SUM(C33:D33)</f>
        <v>0</v>
      </c>
      <c r="G33" s="13"/>
      <c r="H33" s="13"/>
      <c r="I33" s="13"/>
      <c r="J33" s="13">
        <f>SUM(G33:I33)</f>
        <v>0</v>
      </c>
      <c r="K33" s="11"/>
      <c r="L33" s="11"/>
      <c r="M33" s="11"/>
      <c r="N33" s="11">
        <f>SUM(K33:M33)</f>
        <v>0</v>
      </c>
      <c r="O33" s="13"/>
      <c r="P33" s="13"/>
      <c r="Q33" s="13"/>
      <c r="R33" s="13">
        <f>SUM(O33:Q33)</f>
        <v>0</v>
      </c>
      <c r="S33" s="11"/>
      <c r="T33" s="11"/>
      <c r="U33" s="11"/>
      <c r="V33" s="11">
        <f>SUM(S33:U33)</f>
        <v>0</v>
      </c>
      <c r="W33" s="13"/>
      <c r="X33" s="13"/>
      <c r="Y33" s="13"/>
      <c r="Z33" s="13">
        <f>SUM(W33:Y33)</f>
        <v>0</v>
      </c>
    </row>
    <row r="34" spans="1:16368" ht="25.5" hidden="1" customHeight="1" x14ac:dyDescent="0.2">
      <c r="A34" s="329">
        <v>27</v>
      </c>
      <c r="B34" s="330" t="s">
        <v>144</v>
      </c>
      <c r="C34" s="11">
        <v>0</v>
      </c>
      <c r="D34" s="11">
        <v>0</v>
      </c>
      <c r="E34" s="11"/>
      <c r="F34" s="11">
        <f t="shared" si="5"/>
        <v>0</v>
      </c>
      <c r="G34" s="13"/>
      <c r="H34" s="13"/>
      <c r="I34" s="13"/>
      <c r="J34" s="13">
        <f>SUM(G34:I34)</f>
        <v>0</v>
      </c>
      <c r="K34" s="11"/>
      <c r="L34" s="11"/>
      <c r="M34" s="11"/>
      <c r="N34" s="11">
        <f>SUM(K34:M34)</f>
        <v>0</v>
      </c>
      <c r="O34" s="13"/>
      <c r="P34" s="13"/>
      <c r="Q34" s="13"/>
      <c r="R34" s="13">
        <f>SUM(O34:Q34)</f>
        <v>0</v>
      </c>
      <c r="S34" s="11"/>
      <c r="T34" s="11"/>
      <c r="U34" s="11"/>
      <c r="V34" s="11">
        <f>SUM(S34:U34)</f>
        <v>0</v>
      </c>
      <c r="W34" s="13"/>
      <c r="X34" s="13"/>
      <c r="Y34" s="13"/>
      <c r="Z34" s="13">
        <f>SUM(W34:Y34)</f>
        <v>0</v>
      </c>
    </row>
    <row r="35" spans="1:16368" ht="25.5" hidden="1" customHeight="1" x14ac:dyDescent="0.2">
      <c r="A35" s="329">
        <v>28</v>
      </c>
      <c r="B35" s="330" t="s">
        <v>13</v>
      </c>
      <c r="C35" s="11"/>
      <c r="D35" s="11">
        <v>0</v>
      </c>
      <c r="E35" s="11"/>
      <c r="F35" s="11">
        <f t="shared" si="5"/>
        <v>0</v>
      </c>
      <c r="G35" s="13"/>
      <c r="H35" s="13"/>
      <c r="I35" s="13"/>
      <c r="J35" s="13">
        <v>0</v>
      </c>
      <c r="K35" s="11"/>
      <c r="L35" s="11"/>
      <c r="M35" s="11"/>
      <c r="N35" s="11">
        <v>0</v>
      </c>
      <c r="O35" s="13"/>
      <c r="P35" s="13"/>
      <c r="Q35" s="13"/>
      <c r="R35" s="13">
        <v>0</v>
      </c>
      <c r="S35" s="11"/>
      <c r="T35" s="11"/>
      <c r="U35" s="11"/>
      <c r="V35" s="11">
        <v>0</v>
      </c>
      <c r="W35" s="13"/>
      <c r="X35" s="13"/>
      <c r="Y35" s="13"/>
      <c r="Z35" s="13">
        <v>0</v>
      </c>
    </row>
    <row r="36" spans="1:16368" hidden="1" x14ac:dyDescent="0.2">
      <c r="A36" s="329">
        <v>29</v>
      </c>
      <c r="B36" s="330" t="s">
        <v>148</v>
      </c>
      <c r="C36" s="11">
        <v>0</v>
      </c>
      <c r="D36" s="11">
        <v>0</v>
      </c>
      <c r="E36" s="11"/>
      <c r="F36" s="11">
        <f t="shared" si="5"/>
        <v>0</v>
      </c>
      <c r="G36" s="13"/>
      <c r="H36" s="13"/>
      <c r="I36" s="13"/>
      <c r="J36" s="13">
        <v>0</v>
      </c>
      <c r="K36" s="11"/>
      <c r="L36" s="11"/>
      <c r="M36" s="11"/>
      <c r="N36" s="11">
        <v>0</v>
      </c>
      <c r="O36" s="13"/>
      <c r="P36" s="13"/>
      <c r="Q36" s="13"/>
      <c r="R36" s="13">
        <v>0</v>
      </c>
      <c r="S36" s="11"/>
      <c r="T36" s="11"/>
      <c r="U36" s="11"/>
      <c r="V36" s="11">
        <v>0</v>
      </c>
      <c r="W36" s="13"/>
      <c r="X36" s="13"/>
      <c r="Y36" s="13"/>
      <c r="Z36" s="13">
        <v>0</v>
      </c>
    </row>
    <row r="37" spans="1:16368" x14ac:dyDescent="0.2">
      <c r="A37" s="355">
        <v>30</v>
      </c>
      <c r="B37" s="334" t="s">
        <v>273</v>
      </c>
      <c r="C37" s="18"/>
      <c r="D37" s="18"/>
      <c r="E37" s="18"/>
      <c r="F37" s="11"/>
      <c r="G37" s="19"/>
      <c r="H37" s="19"/>
      <c r="I37" s="19"/>
      <c r="J37" s="19">
        <v>0</v>
      </c>
      <c r="K37" s="18"/>
      <c r="L37" s="18"/>
      <c r="M37" s="18"/>
      <c r="N37" s="11">
        <f>J37</f>
        <v>0</v>
      </c>
      <c r="O37" s="19"/>
      <c r="P37" s="19"/>
      <c r="Q37" s="19"/>
      <c r="R37" s="19">
        <f>N37</f>
        <v>0</v>
      </c>
      <c r="S37" s="18"/>
      <c r="T37" s="18"/>
      <c r="U37" s="18"/>
      <c r="V37" s="11">
        <f>R37</f>
        <v>0</v>
      </c>
      <c r="W37" s="19"/>
      <c r="X37" s="19"/>
      <c r="Y37" s="19"/>
      <c r="Z37" s="19">
        <f>V37</f>
        <v>0</v>
      </c>
    </row>
    <row r="38" spans="1:16368" x14ac:dyDescent="0.2">
      <c r="A38" s="352">
        <v>31</v>
      </c>
      <c r="B38" s="353" t="s">
        <v>2387</v>
      </c>
      <c r="C38" s="354">
        <f t="shared" ref="C38:J38" si="6">SUM(C32:C37)+C30</f>
        <v>0</v>
      </c>
      <c r="D38" s="354">
        <f t="shared" si="6"/>
        <v>0</v>
      </c>
      <c r="E38" s="354">
        <f t="shared" si="6"/>
        <v>0</v>
      </c>
      <c r="F38" s="354">
        <f t="shared" si="6"/>
        <v>97711529.526200011</v>
      </c>
      <c r="G38" s="354"/>
      <c r="H38" s="354"/>
      <c r="I38" s="354"/>
      <c r="J38" s="354">
        <f t="shared" si="6"/>
        <v>101964803.60281444</v>
      </c>
      <c r="K38" s="354"/>
      <c r="L38" s="354"/>
      <c r="M38" s="354"/>
      <c r="N38" s="354">
        <f t="shared" ref="N38" si="7">SUM(N32:N37)+N30</f>
        <v>105411625.30252691</v>
      </c>
      <c r="O38" s="354"/>
      <c r="P38" s="354"/>
      <c r="Q38" s="354"/>
      <c r="R38" s="354">
        <f t="shared" ref="R38" si="8">SUM(R32:R37)+R30</f>
        <v>108768301.46064346</v>
      </c>
      <c r="S38" s="354"/>
      <c r="T38" s="354"/>
      <c r="U38" s="354"/>
      <c r="V38" s="354">
        <f t="shared" ref="V38" si="9">SUM(V32:V37)+V30</f>
        <v>112618515.78915375</v>
      </c>
      <c r="W38" s="354"/>
      <c r="X38" s="354"/>
      <c r="Y38" s="354"/>
      <c r="Z38" s="354">
        <f t="shared" ref="Z38" si="10">SUM(Z32:Z37)+Z30</f>
        <v>116606078.56478103</v>
      </c>
    </row>
    <row r="39" spans="1:16368" x14ac:dyDescent="0.2">
      <c r="A39" s="356">
        <v>32</v>
      </c>
      <c r="B39" s="357" t="s">
        <v>30</v>
      </c>
      <c r="C39" s="18"/>
      <c r="D39" s="18"/>
      <c r="E39" s="18"/>
      <c r="F39" s="18"/>
      <c r="G39" s="19"/>
      <c r="H39" s="19"/>
      <c r="I39" s="19"/>
      <c r="J39" s="19">
        <f>J30-F30</f>
        <v>4253274.0766144246</v>
      </c>
      <c r="K39" s="18"/>
      <c r="L39" s="18"/>
      <c r="M39" s="18"/>
      <c r="N39" s="18">
        <f>N30-J30</f>
        <v>3446821.6997124702</v>
      </c>
      <c r="O39" s="19"/>
      <c r="P39" s="19"/>
      <c r="Q39" s="19"/>
      <c r="R39" s="19">
        <f>R30-N30</f>
        <v>3356676.1581165493</v>
      </c>
      <c r="S39" s="18"/>
      <c r="T39" s="18"/>
      <c r="U39" s="18"/>
      <c r="V39" s="18">
        <f>V30-R30</f>
        <v>3850214.3285102993</v>
      </c>
      <c r="W39" s="19"/>
      <c r="X39" s="19"/>
      <c r="Y39" s="19"/>
      <c r="Z39" s="19">
        <f>Z30-V30</f>
        <v>3987562.7756272703</v>
      </c>
    </row>
    <row r="40" spans="1:16368" s="6" customFormat="1" x14ac:dyDescent="0.2">
      <c r="A40" s="544" t="s">
        <v>141</v>
      </c>
      <c r="B40" s="544"/>
      <c r="C40" s="540"/>
      <c r="D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c r="IT40" s="543"/>
      <c r="IU40" s="543"/>
      <c r="IV40" s="543"/>
      <c r="IW40" s="543"/>
      <c r="IX40" s="543"/>
      <c r="IY40" s="543"/>
      <c r="IZ40" s="543"/>
      <c r="JA40" s="543"/>
      <c r="JB40" s="543"/>
      <c r="JC40" s="543"/>
      <c r="JD40" s="543"/>
      <c r="JE40" s="543"/>
      <c r="JF40" s="543"/>
      <c r="JG40" s="543"/>
      <c r="JH40" s="543"/>
      <c r="JI40" s="543"/>
      <c r="JJ40" s="543"/>
      <c r="JK40" s="543"/>
      <c r="JL40" s="543"/>
      <c r="JM40" s="543"/>
      <c r="JN40" s="543"/>
      <c r="JO40" s="543"/>
      <c r="JP40" s="543"/>
      <c r="JQ40" s="543"/>
      <c r="JR40" s="543"/>
      <c r="JS40" s="543"/>
      <c r="JT40" s="543"/>
      <c r="JU40" s="543"/>
      <c r="JV40" s="543"/>
      <c r="JW40" s="543"/>
      <c r="JX40" s="543"/>
      <c r="JY40" s="543"/>
      <c r="JZ40" s="543"/>
      <c r="KA40" s="543"/>
      <c r="KB40" s="543"/>
      <c r="KC40" s="543"/>
      <c r="KD40" s="543"/>
      <c r="KE40" s="543"/>
      <c r="KF40" s="543"/>
      <c r="KG40" s="543"/>
      <c r="KH40" s="543"/>
      <c r="KI40" s="543"/>
      <c r="KJ40" s="543"/>
      <c r="KK40" s="543"/>
      <c r="KL40" s="543"/>
      <c r="KM40" s="543"/>
      <c r="KN40" s="543"/>
      <c r="KO40" s="543"/>
      <c r="KP40" s="543"/>
      <c r="KQ40" s="543"/>
      <c r="KR40" s="543"/>
      <c r="KS40" s="543"/>
      <c r="KT40" s="543"/>
      <c r="KU40" s="543"/>
      <c r="KV40" s="543"/>
      <c r="KW40" s="543"/>
      <c r="KX40" s="543"/>
      <c r="KY40" s="543"/>
      <c r="KZ40" s="543"/>
      <c r="LA40" s="543"/>
      <c r="LB40" s="543"/>
      <c r="LC40" s="543"/>
      <c r="LD40" s="543"/>
      <c r="LE40" s="543"/>
      <c r="LF40" s="543"/>
      <c r="LG40" s="543"/>
      <c r="LH40" s="543"/>
      <c r="LI40" s="543"/>
      <c r="LJ40" s="543"/>
      <c r="LK40" s="543"/>
      <c r="LL40" s="543"/>
      <c r="LM40" s="543"/>
      <c r="LN40" s="543"/>
      <c r="LO40" s="543"/>
      <c r="LP40" s="543"/>
      <c r="LQ40" s="543"/>
      <c r="LR40" s="543"/>
      <c r="LS40" s="543"/>
      <c r="LT40" s="543"/>
      <c r="LU40" s="543"/>
      <c r="LV40" s="543"/>
      <c r="LW40" s="543"/>
      <c r="LX40" s="543"/>
      <c r="LY40" s="543"/>
      <c r="LZ40" s="543"/>
      <c r="MA40" s="543"/>
      <c r="MB40" s="543"/>
      <c r="MC40" s="543"/>
      <c r="MD40" s="543"/>
      <c r="ME40" s="543"/>
      <c r="MF40" s="543"/>
      <c r="MG40" s="543"/>
      <c r="MH40" s="543"/>
      <c r="MI40" s="543"/>
      <c r="MJ40" s="543"/>
      <c r="MK40" s="543"/>
      <c r="ML40" s="543"/>
      <c r="MM40" s="543"/>
      <c r="MN40" s="543"/>
      <c r="MO40" s="543"/>
      <c r="MP40" s="543"/>
      <c r="MQ40" s="543"/>
      <c r="MR40" s="543"/>
      <c r="MS40" s="543"/>
      <c r="MT40" s="543"/>
      <c r="MU40" s="543"/>
      <c r="MV40" s="543"/>
      <c r="MW40" s="543"/>
      <c r="MX40" s="543"/>
      <c r="MY40" s="543"/>
      <c r="MZ40" s="543"/>
      <c r="NA40" s="543"/>
      <c r="NB40" s="543"/>
      <c r="NC40" s="543"/>
      <c r="ND40" s="543"/>
      <c r="NE40" s="543"/>
      <c r="NF40" s="543"/>
      <c r="NG40" s="543"/>
      <c r="NH40" s="543"/>
      <c r="NI40" s="543"/>
      <c r="NJ40" s="543"/>
      <c r="NK40" s="543"/>
      <c r="NL40" s="543"/>
      <c r="NM40" s="543"/>
      <c r="NN40" s="543"/>
      <c r="NO40" s="543"/>
      <c r="NP40" s="543"/>
      <c r="NQ40" s="543"/>
      <c r="NR40" s="543"/>
      <c r="NS40" s="543"/>
      <c r="NT40" s="543"/>
      <c r="NU40" s="543"/>
      <c r="NV40" s="543"/>
      <c r="NW40" s="543"/>
      <c r="NX40" s="543"/>
      <c r="NY40" s="543"/>
      <c r="NZ40" s="543"/>
      <c r="OA40" s="543"/>
      <c r="OB40" s="543"/>
      <c r="OC40" s="543"/>
      <c r="OD40" s="543"/>
      <c r="OE40" s="543"/>
      <c r="OF40" s="543"/>
      <c r="OG40" s="543"/>
      <c r="OH40" s="543"/>
      <c r="OI40" s="543"/>
      <c r="OJ40" s="543"/>
      <c r="OK40" s="543"/>
      <c r="OL40" s="543"/>
      <c r="OM40" s="543"/>
      <c r="ON40" s="543"/>
      <c r="OO40" s="543"/>
      <c r="OP40" s="543"/>
      <c r="OQ40" s="543"/>
      <c r="OR40" s="543"/>
      <c r="OS40" s="543"/>
      <c r="OT40" s="543"/>
      <c r="OU40" s="543"/>
      <c r="OV40" s="543"/>
      <c r="OW40" s="543"/>
      <c r="OX40" s="543"/>
      <c r="OY40" s="543"/>
      <c r="OZ40" s="543"/>
      <c r="PA40" s="543"/>
      <c r="PB40" s="543"/>
      <c r="PC40" s="543"/>
      <c r="PD40" s="543"/>
      <c r="PE40" s="543"/>
      <c r="PF40" s="543"/>
      <c r="PG40" s="543"/>
      <c r="PH40" s="543"/>
      <c r="PI40" s="543"/>
      <c r="PJ40" s="543"/>
      <c r="PK40" s="543"/>
      <c r="PL40" s="543"/>
      <c r="PM40" s="543"/>
      <c r="PN40" s="543"/>
      <c r="PO40" s="543"/>
      <c r="PP40" s="543"/>
      <c r="PQ40" s="543"/>
      <c r="PR40" s="543"/>
      <c r="PS40" s="543"/>
      <c r="PT40" s="543"/>
      <c r="PU40" s="543"/>
      <c r="PV40" s="543"/>
      <c r="PW40" s="543"/>
      <c r="PX40" s="543"/>
      <c r="PY40" s="543"/>
      <c r="PZ40" s="543"/>
      <c r="QA40" s="543"/>
      <c r="QB40" s="543"/>
      <c r="QC40" s="543"/>
      <c r="QD40" s="543"/>
      <c r="QE40" s="543"/>
      <c r="QF40" s="543"/>
      <c r="QG40" s="543"/>
      <c r="QH40" s="543"/>
      <c r="QI40" s="543"/>
      <c r="QJ40" s="543"/>
      <c r="QK40" s="543"/>
      <c r="QL40" s="543"/>
      <c r="QM40" s="543"/>
      <c r="QN40" s="543"/>
      <c r="QO40" s="543"/>
      <c r="QP40" s="543"/>
      <c r="QQ40" s="543"/>
      <c r="QR40" s="543"/>
      <c r="QS40" s="543"/>
      <c r="QT40" s="543"/>
      <c r="QU40" s="543"/>
      <c r="QV40" s="543"/>
      <c r="QW40" s="543"/>
      <c r="QX40" s="543"/>
      <c r="QY40" s="543"/>
      <c r="QZ40" s="543"/>
      <c r="RA40" s="543"/>
      <c r="RB40" s="543"/>
      <c r="RC40" s="543"/>
      <c r="RD40" s="543"/>
      <c r="RE40" s="543"/>
      <c r="RF40" s="543"/>
      <c r="RG40" s="543"/>
      <c r="RH40" s="543"/>
      <c r="RI40" s="543"/>
      <c r="RJ40" s="543"/>
      <c r="RK40" s="543"/>
      <c r="RL40" s="543"/>
      <c r="RM40" s="543"/>
      <c r="RN40" s="543"/>
      <c r="RO40" s="543"/>
      <c r="RP40" s="543"/>
      <c r="RQ40" s="543"/>
      <c r="RR40" s="543"/>
      <c r="RS40" s="543"/>
      <c r="RT40" s="543"/>
      <c r="RU40" s="543"/>
      <c r="RV40" s="543"/>
      <c r="RW40" s="543"/>
      <c r="RX40" s="543"/>
      <c r="RY40" s="543"/>
      <c r="RZ40" s="543"/>
      <c r="SA40" s="543"/>
      <c r="SB40" s="543"/>
      <c r="SC40" s="543"/>
      <c r="SD40" s="543"/>
      <c r="SE40" s="543"/>
      <c r="SF40" s="543"/>
      <c r="SG40" s="543"/>
      <c r="SH40" s="543"/>
      <c r="SI40" s="543"/>
      <c r="SJ40" s="543"/>
      <c r="SK40" s="543"/>
      <c r="SL40" s="543"/>
      <c r="SM40" s="543"/>
      <c r="SN40" s="543"/>
      <c r="SO40" s="543"/>
      <c r="SP40" s="543"/>
      <c r="SQ40" s="543"/>
      <c r="SR40" s="543"/>
      <c r="SS40" s="543"/>
      <c r="ST40" s="543"/>
      <c r="SU40" s="543"/>
      <c r="SV40" s="543"/>
      <c r="SW40" s="543"/>
      <c r="SX40" s="543"/>
      <c r="SY40" s="543"/>
      <c r="SZ40" s="543"/>
      <c r="TA40" s="543"/>
      <c r="TB40" s="543"/>
      <c r="TC40" s="543"/>
      <c r="TD40" s="543"/>
      <c r="TE40" s="543"/>
      <c r="TF40" s="543"/>
      <c r="TG40" s="543"/>
      <c r="TH40" s="543"/>
      <c r="TI40" s="543"/>
      <c r="TJ40" s="543"/>
      <c r="TK40" s="543"/>
      <c r="TL40" s="543"/>
      <c r="TM40" s="543"/>
      <c r="TN40" s="543"/>
      <c r="TO40" s="543"/>
      <c r="TP40" s="543"/>
      <c r="TQ40" s="543"/>
      <c r="TR40" s="543"/>
      <c r="TS40" s="543"/>
      <c r="TT40" s="543"/>
      <c r="TU40" s="543"/>
      <c r="TV40" s="543"/>
      <c r="TW40" s="543"/>
      <c r="TX40" s="543"/>
      <c r="TY40" s="543"/>
      <c r="TZ40" s="543"/>
      <c r="UA40" s="543"/>
      <c r="UB40" s="543"/>
      <c r="UC40" s="543"/>
      <c r="UD40" s="543"/>
      <c r="UE40" s="543"/>
      <c r="UF40" s="543"/>
      <c r="UG40" s="543"/>
      <c r="UH40" s="543"/>
      <c r="UI40" s="543"/>
      <c r="UJ40" s="543"/>
      <c r="UK40" s="543"/>
      <c r="UL40" s="543"/>
      <c r="UM40" s="543"/>
      <c r="UN40" s="543"/>
      <c r="UO40" s="543"/>
      <c r="UP40" s="543"/>
      <c r="UQ40" s="543"/>
      <c r="UR40" s="543"/>
      <c r="US40" s="543"/>
      <c r="UT40" s="543"/>
      <c r="UU40" s="543"/>
      <c r="UV40" s="543"/>
      <c r="UW40" s="543"/>
      <c r="UX40" s="543"/>
      <c r="UY40" s="543"/>
      <c r="UZ40" s="543"/>
      <c r="VA40" s="543"/>
      <c r="VB40" s="543"/>
      <c r="VC40" s="543"/>
      <c r="VD40" s="543"/>
      <c r="VE40" s="543"/>
      <c r="VF40" s="543"/>
      <c r="VG40" s="543"/>
      <c r="VH40" s="543"/>
      <c r="VI40" s="543"/>
      <c r="VJ40" s="543"/>
      <c r="VK40" s="543"/>
      <c r="VL40" s="543"/>
      <c r="VM40" s="543"/>
      <c r="VN40" s="543"/>
      <c r="VO40" s="543"/>
      <c r="VP40" s="543"/>
      <c r="VQ40" s="543"/>
      <c r="VR40" s="543"/>
      <c r="VS40" s="543"/>
      <c r="VT40" s="543"/>
      <c r="VU40" s="543"/>
      <c r="VV40" s="543"/>
      <c r="VW40" s="543"/>
      <c r="VX40" s="543"/>
      <c r="VY40" s="543"/>
      <c r="VZ40" s="543"/>
      <c r="WA40" s="543"/>
      <c r="WB40" s="543"/>
      <c r="WC40" s="543"/>
      <c r="WD40" s="543"/>
      <c r="WE40" s="543"/>
      <c r="WF40" s="543"/>
      <c r="WG40" s="543"/>
      <c r="WH40" s="543"/>
      <c r="WI40" s="543"/>
      <c r="WJ40" s="543"/>
      <c r="WK40" s="543"/>
      <c r="WL40" s="543"/>
      <c r="WM40" s="543"/>
      <c r="WN40" s="543"/>
      <c r="WO40" s="543"/>
      <c r="WP40" s="543"/>
      <c r="WQ40" s="543"/>
      <c r="WR40" s="543"/>
      <c r="WS40" s="543"/>
      <c r="WT40" s="543"/>
      <c r="WU40" s="543"/>
      <c r="WV40" s="543"/>
      <c r="WW40" s="543"/>
      <c r="WX40" s="543"/>
      <c r="WY40" s="543"/>
      <c r="WZ40" s="543"/>
      <c r="XA40" s="543"/>
      <c r="XB40" s="543"/>
      <c r="XC40" s="543"/>
      <c r="XD40" s="543"/>
      <c r="XE40" s="543"/>
      <c r="XF40" s="543"/>
      <c r="XG40" s="543"/>
      <c r="XH40" s="543"/>
      <c r="XI40" s="543"/>
      <c r="XJ40" s="543"/>
      <c r="XK40" s="543"/>
      <c r="XL40" s="543"/>
      <c r="XM40" s="543"/>
      <c r="XN40" s="543"/>
      <c r="XO40" s="543"/>
      <c r="XP40" s="543"/>
      <c r="XQ40" s="543"/>
      <c r="XR40" s="543"/>
      <c r="XS40" s="543"/>
      <c r="XT40" s="543"/>
      <c r="XU40" s="543"/>
      <c r="XV40" s="543"/>
      <c r="XW40" s="543"/>
      <c r="XX40" s="543"/>
      <c r="XY40" s="543"/>
      <c r="XZ40" s="543"/>
      <c r="YA40" s="543"/>
      <c r="YB40" s="543"/>
      <c r="YC40" s="543"/>
      <c r="YD40" s="543"/>
      <c r="YE40" s="543"/>
      <c r="YF40" s="543"/>
      <c r="YG40" s="543"/>
      <c r="YH40" s="543"/>
      <c r="YI40" s="543"/>
      <c r="YJ40" s="543"/>
      <c r="YK40" s="543"/>
      <c r="YL40" s="543"/>
      <c r="YM40" s="543"/>
      <c r="YN40" s="543"/>
      <c r="YO40" s="543"/>
      <c r="YP40" s="543"/>
      <c r="YQ40" s="543"/>
      <c r="YR40" s="543"/>
      <c r="YS40" s="543"/>
      <c r="YT40" s="543"/>
      <c r="YU40" s="543"/>
      <c r="YV40" s="543"/>
      <c r="YW40" s="543"/>
      <c r="YX40" s="543"/>
      <c r="YY40" s="543"/>
      <c r="YZ40" s="543"/>
      <c r="ZA40" s="543"/>
      <c r="ZB40" s="543"/>
      <c r="ZC40" s="543"/>
      <c r="ZD40" s="543"/>
      <c r="ZE40" s="543"/>
      <c r="ZF40" s="543"/>
      <c r="ZG40" s="543"/>
      <c r="ZH40" s="543"/>
      <c r="ZI40" s="543"/>
      <c r="ZJ40" s="543"/>
      <c r="ZK40" s="543"/>
      <c r="ZL40" s="543"/>
      <c r="ZM40" s="543"/>
      <c r="ZN40" s="543"/>
      <c r="ZO40" s="543"/>
      <c r="ZP40" s="543"/>
      <c r="ZQ40" s="543"/>
      <c r="ZR40" s="543"/>
      <c r="ZS40" s="543"/>
      <c r="ZT40" s="543"/>
      <c r="ZU40" s="543"/>
      <c r="ZV40" s="543"/>
      <c r="ZW40" s="543"/>
      <c r="ZX40" s="543"/>
      <c r="ZY40" s="543"/>
      <c r="ZZ40" s="543"/>
      <c r="AAA40" s="543"/>
      <c r="AAB40" s="543"/>
      <c r="AAC40" s="543"/>
      <c r="AAD40" s="543"/>
      <c r="AAE40" s="543"/>
      <c r="AAF40" s="543"/>
      <c r="AAG40" s="543"/>
      <c r="AAH40" s="543"/>
      <c r="AAI40" s="543"/>
      <c r="AAJ40" s="543"/>
      <c r="AAK40" s="543"/>
      <c r="AAL40" s="543"/>
      <c r="AAM40" s="543"/>
      <c r="AAN40" s="543"/>
      <c r="AAO40" s="543"/>
      <c r="AAP40" s="543"/>
      <c r="AAQ40" s="543"/>
      <c r="AAR40" s="543"/>
      <c r="AAS40" s="543"/>
      <c r="AAT40" s="543"/>
      <c r="AAU40" s="543"/>
      <c r="AAV40" s="543"/>
      <c r="AAW40" s="543"/>
      <c r="AAX40" s="543"/>
      <c r="AAY40" s="543"/>
      <c r="AAZ40" s="543"/>
      <c r="ABA40" s="543"/>
      <c r="ABB40" s="543"/>
      <c r="ABC40" s="543"/>
      <c r="ABD40" s="543"/>
      <c r="ABE40" s="543"/>
      <c r="ABF40" s="543"/>
      <c r="ABG40" s="543"/>
      <c r="ABH40" s="543"/>
      <c r="ABI40" s="543"/>
      <c r="ABJ40" s="543"/>
      <c r="ABK40" s="543"/>
      <c r="ABL40" s="543"/>
      <c r="ABM40" s="543"/>
      <c r="ABN40" s="543"/>
      <c r="ABO40" s="543"/>
      <c r="ABP40" s="543"/>
      <c r="ABQ40" s="543"/>
      <c r="ABR40" s="543"/>
      <c r="ABS40" s="543"/>
      <c r="ABT40" s="543"/>
      <c r="ABU40" s="543"/>
      <c r="ABV40" s="543"/>
      <c r="ABW40" s="543"/>
      <c r="ABX40" s="543"/>
      <c r="ABY40" s="543"/>
      <c r="ABZ40" s="543"/>
      <c r="ACA40" s="543"/>
      <c r="ACB40" s="543"/>
      <c r="ACC40" s="543"/>
      <c r="ACD40" s="543"/>
      <c r="ACE40" s="543"/>
      <c r="ACF40" s="543"/>
      <c r="ACG40" s="543"/>
      <c r="ACH40" s="543"/>
      <c r="ACI40" s="543"/>
      <c r="ACJ40" s="543"/>
      <c r="ACK40" s="543"/>
      <c r="ACL40" s="543"/>
      <c r="ACM40" s="543"/>
      <c r="ACN40" s="543"/>
      <c r="ACO40" s="543"/>
      <c r="ACP40" s="543"/>
      <c r="ACQ40" s="543"/>
      <c r="ACR40" s="543"/>
      <c r="ACS40" s="543"/>
      <c r="ACT40" s="543"/>
      <c r="ACU40" s="543"/>
      <c r="ACV40" s="543"/>
      <c r="ACW40" s="543"/>
      <c r="ACX40" s="543"/>
      <c r="ACY40" s="543"/>
      <c r="ACZ40" s="543"/>
      <c r="ADA40" s="543"/>
      <c r="ADB40" s="543"/>
      <c r="ADC40" s="543"/>
      <c r="ADD40" s="543"/>
      <c r="ADE40" s="543"/>
      <c r="ADF40" s="543"/>
      <c r="ADG40" s="543"/>
      <c r="ADH40" s="543"/>
      <c r="ADI40" s="543"/>
      <c r="ADJ40" s="543"/>
      <c r="ADK40" s="543"/>
      <c r="ADL40" s="543"/>
      <c r="ADM40" s="543"/>
      <c r="ADN40" s="543"/>
      <c r="ADO40" s="543"/>
      <c r="ADP40" s="543"/>
      <c r="ADQ40" s="543"/>
      <c r="ADR40" s="543"/>
      <c r="ADS40" s="543"/>
      <c r="ADT40" s="543"/>
      <c r="ADU40" s="543"/>
      <c r="ADV40" s="543"/>
      <c r="ADW40" s="543"/>
      <c r="ADX40" s="543"/>
      <c r="ADY40" s="543"/>
      <c r="ADZ40" s="543"/>
      <c r="AEA40" s="543"/>
      <c r="AEB40" s="543"/>
      <c r="AEC40" s="543"/>
      <c r="AED40" s="543"/>
      <c r="AEE40" s="543"/>
      <c r="AEF40" s="543"/>
      <c r="AEG40" s="543"/>
      <c r="AEH40" s="543"/>
      <c r="AEI40" s="543"/>
      <c r="AEJ40" s="543"/>
      <c r="AEK40" s="543"/>
      <c r="AEL40" s="543"/>
      <c r="AEM40" s="543"/>
      <c r="AEN40" s="543"/>
      <c r="AEO40" s="543"/>
      <c r="AEP40" s="543"/>
      <c r="AEQ40" s="543"/>
      <c r="AER40" s="543"/>
      <c r="AES40" s="543"/>
      <c r="AET40" s="543"/>
      <c r="AEU40" s="543"/>
      <c r="AEV40" s="543"/>
      <c r="AEW40" s="543"/>
      <c r="AEX40" s="543"/>
      <c r="AEY40" s="543"/>
      <c r="AEZ40" s="543"/>
      <c r="AFA40" s="543"/>
      <c r="AFB40" s="543"/>
      <c r="AFC40" s="543"/>
      <c r="AFD40" s="543"/>
      <c r="AFE40" s="543"/>
      <c r="AFF40" s="543"/>
      <c r="AFG40" s="543"/>
      <c r="AFH40" s="543"/>
      <c r="AFI40" s="543"/>
      <c r="AFJ40" s="543"/>
      <c r="AFK40" s="543"/>
      <c r="AFL40" s="543"/>
      <c r="AFM40" s="543"/>
      <c r="AFN40" s="543"/>
      <c r="AFO40" s="543"/>
      <c r="AFP40" s="543"/>
      <c r="AFQ40" s="543"/>
      <c r="AFR40" s="543"/>
      <c r="AFS40" s="543"/>
      <c r="AFT40" s="543"/>
      <c r="AFU40" s="543"/>
      <c r="AFV40" s="543"/>
      <c r="AFW40" s="543"/>
      <c r="AFX40" s="543"/>
      <c r="AFY40" s="543"/>
      <c r="AFZ40" s="543"/>
      <c r="AGA40" s="543"/>
      <c r="AGB40" s="543"/>
      <c r="AGC40" s="543"/>
      <c r="AGD40" s="543"/>
      <c r="AGE40" s="543"/>
      <c r="AGF40" s="543"/>
      <c r="AGG40" s="543"/>
      <c r="AGH40" s="543"/>
      <c r="AGI40" s="543"/>
      <c r="AGJ40" s="543"/>
      <c r="AGK40" s="543"/>
      <c r="AGL40" s="543"/>
      <c r="AGM40" s="543"/>
      <c r="AGN40" s="543"/>
      <c r="AGO40" s="543"/>
      <c r="AGP40" s="543"/>
      <c r="AGQ40" s="543"/>
      <c r="AGR40" s="543"/>
      <c r="AGS40" s="543"/>
      <c r="AGT40" s="543"/>
      <c r="AGU40" s="543"/>
      <c r="AGV40" s="543"/>
      <c r="AGW40" s="543"/>
      <c r="AGX40" s="543"/>
      <c r="AGY40" s="543"/>
      <c r="AGZ40" s="543"/>
      <c r="AHA40" s="543"/>
      <c r="AHB40" s="543"/>
      <c r="AHC40" s="543"/>
      <c r="AHD40" s="543"/>
      <c r="AHE40" s="543"/>
      <c r="AHF40" s="543"/>
      <c r="AHG40" s="543"/>
      <c r="AHH40" s="543"/>
      <c r="AHI40" s="543"/>
      <c r="AHJ40" s="543"/>
      <c r="AHK40" s="543"/>
      <c r="AHL40" s="543"/>
      <c r="AHM40" s="543"/>
      <c r="AHN40" s="543"/>
      <c r="AHO40" s="543"/>
      <c r="AHP40" s="543"/>
      <c r="AHQ40" s="543"/>
      <c r="AHR40" s="543"/>
      <c r="AHS40" s="543"/>
      <c r="AHT40" s="543"/>
      <c r="AHU40" s="543"/>
      <c r="AHV40" s="543"/>
      <c r="AHW40" s="543"/>
      <c r="AHX40" s="543"/>
      <c r="AHY40" s="543"/>
      <c r="AHZ40" s="543"/>
      <c r="AIA40" s="543"/>
      <c r="AIB40" s="543"/>
      <c r="AIC40" s="543"/>
      <c r="AID40" s="543"/>
      <c r="AIE40" s="543"/>
      <c r="AIF40" s="543"/>
      <c r="AIG40" s="543"/>
      <c r="AIH40" s="543"/>
      <c r="AII40" s="543"/>
      <c r="AIJ40" s="543"/>
      <c r="AIK40" s="543"/>
      <c r="AIL40" s="543"/>
      <c r="AIM40" s="543"/>
      <c r="AIN40" s="543"/>
      <c r="AIO40" s="543"/>
      <c r="AIP40" s="543"/>
      <c r="AIQ40" s="543"/>
      <c r="AIR40" s="543"/>
      <c r="AIS40" s="543"/>
      <c r="AIT40" s="543"/>
      <c r="AIU40" s="543"/>
      <c r="AIV40" s="543"/>
      <c r="AIW40" s="543"/>
      <c r="AIX40" s="543"/>
      <c r="AIY40" s="543"/>
      <c r="AIZ40" s="543"/>
      <c r="AJA40" s="543"/>
      <c r="AJB40" s="543"/>
      <c r="AJC40" s="543"/>
      <c r="AJD40" s="543"/>
      <c r="AJE40" s="543"/>
      <c r="AJF40" s="543"/>
      <c r="AJG40" s="543"/>
      <c r="AJH40" s="543"/>
      <c r="AJI40" s="543"/>
      <c r="AJJ40" s="543"/>
      <c r="AJK40" s="543"/>
      <c r="AJL40" s="543"/>
      <c r="AJM40" s="543"/>
      <c r="AJN40" s="543"/>
      <c r="AJO40" s="543"/>
      <c r="AJP40" s="543"/>
      <c r="AJQ40" s="543"/>
      <c r="AJR40" s="543"/>
      <c r="AJS40" s="543"/>
      <c r="AJT40" s="543"/>
      <c r="AJU40" s="543"/>
      <c r="AJV40" s="543"/>
      <c r="AJW40" s="543"/>
      <c r="AJX40" s="543"/>
      <c r="AJY40" s="543"/>
      <c r="AJZ40" s="543"/>
      <c r="AKA40" s="543"/>
      <c r="AKB40" s="543"/>
      <c r="AKC40" s="543"/>
      <c r="AKD40" s="543"/>
      <c r="AKE40" s="543"/>
      <c r="AKF40" s="543"/>
      <c r="AKG40" s="543"/>
      <c r="AKH40" s="543"/>
      <c r="AKI40" s="543"/>
      <c r="AKJ40" s="543"/>
      <c r="AKK40" s="543"/>
      <c r="AKL40" s="543"/>
      <c r="AKM40" s="543"/>
      <c r="AKN40" s="543"/>
      <c r="AKO40" s="543"/>
      <c r="AKP40" s="543"/>
      <c r="AKQ40" s="543"/>
      <c r="AKR40" s="543"/>
      <c r="AKS40" s="543"/>
      <c r="AKT40" s="543"/>
      <c r="AKU40" s="543"/>
      <c r="AKV40" s="543"/>
      <c r="AKW40" s="543"/>
      <c r="AKX40" s="543"/>
      <c r="AKY40" s="543"/>
      <c r="AKZ40" s="543"/>
      <c r="ALA40" s="543"/>
      <c r="ALB40" s="543"/>
      <c r="ALC40" s="543"/>
      <c r="ALD40" s="543"/>
      <c r="ALE40" s="543"/>
      <c r="ALF40" s="543"/>
      <c r="ALG40" s="543"/>
      <c r="ALH40" s="543"/>
      <c r="ALI40" s="543"/>
      <c r="ALJ40" s="543"/>
      <c r="ALK40" s="543"/>
      <c r="ALL40" s="543"/>
      <c r="ALM40" s="543"/>
      <c r="ALN40" s="543"/>
      <c r="ALO40" s="543"/>
      <c r="ALP40" s="543"/>
      <c r="ALQ40" s="543"/>
      <c r="ALR40" s="543"/>
      <c r="ALS40" s="543"/>
      <c r="ALT40" s="543"/>
      <c r="ALU40" s="543"/>
      <c r="ALV40" s="543"/>
      <c r="ALW40" s="543"/>
      <c r="ALX40" s="543"/>
      <c r="ALY40" s="543"/>
      <c r="ALZ40" s="543"/>
      <c r="AMA40" s="543"/>
      <c r="AMB40" s="543"/>
      <c r="AMC40" s="543"/>
      <c r="AMD40" s="543"/>
      <c r="AME40" s="543"/>
      <c r="AMF40" s="543"/>
      <c r="AMG40" s="543"/>
      <c r="AMH40" s="543"/>
      <c r="AMI40" s="543"/>
      <c r="AMJ40" s="543"/>
      <c r="AMK40" s="543"/>
      <c r="AML40" s="543"/>
      <c r="AMM40" s="543"/>
      <c r="AMN40" s="543"/>
      <c r="AMO40" s="543"/>
      <c r="AMP40" s="543"/>
      <c r="AMQ40" s="543"/>
      <c r="AMR40" s="543"/>
      <c r="AMS40" s="543"/>
      <c r="AMT40" s="543"/>
      <c r="AMU40" s="543"/>
      <c r="AMV40" s="543"/>
      <c r="AMW40" s="543"/>
      <c r="AMX40" s="543"/>
      <c r="AMY40" s="543"/>
      <c r="AMZ40" s="543"/>
      <c r="ANA40" s="543"/>
      <c r="ANB40" s="543"/>
      <c r="ANC40" s="543"/>
      <c r="AND40" s="543"/>
      <c r="ANE40" s="543"/>
      <c r="ANF40" s="543"/>
      <c r="ANG40" s="543"/>
      <c r="ANH40" s="543"/>
      <c r="ANI40" s="543"/>
      <c r="ANJ40" s="543"/>
      <c r="ANK40" s="543"/>
      <c r="ANL40" s="543"/>
      <c r="ANM40" s="543"/>
      <c r="ANN40" s="543"/>
      <c r="ANO40" s="543"/>
      <c r="ANP40" s="543"/>
      <c r="ANQ40" s="543"/>
      <c r="ANR40" s="543"/>
      <c r="ANS40" s="543"/>
      <c r="ANT40" s="543"/>
      <c r="ANU40" s="543"/>
      <c r="ANV40" s="543"/>
      <c r="ANW40" s="543"/>
      <c r="ANX40" s="543"/>
      <c r="ANY40" s="543"/>
      <c r="ANZ40" s="543"/>
      <c r="AOA40" s="543"/>
      <c r="AOB40" s="543"/>
      <c r="AOC40" s="543"/>
      <c r="AOD40" s="543"/>
      <c r="AOE40" s="543"/>
      <c r="AOF40" s="543"/>
      <c r="AOG40" s="543"/>
      <c r="AOH40" s="543"/>
      <c r="AOI40" s="543"/>
      <c r="AOJ40" s="543"/>
      <c r="AOK40" s="543"/>
      <c r="AOL40" s="543"/>
      <c r="AOM40" s="543"/>
      <c r="AON40" s="543"/>
      <c r="AOO40" s="543"/>
      <c r="AOP40" s="543"/>
      <c r="AOQ40" s="543"/>
      <c r="AOR40" s="543"/>
      <c r="AOS40" s="543"/>
      <c r="AOT40" s="543"/>
      <c r="AOU40" s="543"/>
      <c r="AOV40" s="543"/>
      <c r="AOW40" s="543"/>
      <c r="AOX40" s="543"/>
      <c r="AOY40" s="543"/>
      <c r="AOZ40" s="543"/>
      <c r="APA40" s="543"/>
      <c r="APB40" s="543"/>
      <c r="APC40" s="543"/>
      <c r="APD40" s="543"/>
      <c r="APE40" s="543"/>
      <c r="APF40" s="543"/>
      <c r="APG40" s="543"/>
      <c r="APH40" s="543"/>
      <c r="API40" s="543"/>
      <c r="APJ40" s="543"/>
      <c r="APK40" s="543"/>
      <c r="APL40" s="543"/>
      <c r="APM40" s="543"/>
      <c r="APN40" s="543"/>
      <c r="APO40" s="543"/>
      <c r="APP40" s="543"/>
      <c r="APQ40" s="543"/>
      <c r="APR40" s="543"/>
      <c r="APS40" s="543"/>
      <c r="APT40" s="543"/>
      <c r="APU40" s="543"/>
      <c r="APV40" s="543"/>
      <c r="APW40" s="543"/>
      <c r="APX40" s="543"/>
      <c r="APY40" s="543"/>
      <c r="APZ40" s="543"/>
      <c r="AQA40" s="543"/>
      <c r="AQB40" s="543"/>
      <c r="AQC40" s="543"/>
      <c r="AQD40" s="543"/>
      <c r="AQE40" s="543"/>
      <c r="AQF40" s="543"/>
      <c r="AQG40" s="543"/>
      <c r="AQH40" s="543"/>
      <c r="AQI40" s="543"/>
      <c r="AQJ40" s="543"/>
      <c r="AQK40" s="543"/>
      <c r="AQL40" s="543"/>
      <c r="AQM40" s="543"/>
      <c r="AQN40" s="543"/>
      <c r="AQO40" s="543"/>
      <c r="AQP40" s="543"/>
      <c r="AQQ40" s="543"/>
      <c r="AQR40" s="543"/>
      <c r="AQS40" s="543"/>
      <c r="AQT40" s="543"/>
      <c r="AQU40" s="543"/>
      <c r="AQV40" s="543"/>
      <c r="AQW40" s="543"/>
      <c r="AQX40" s="543"/>
      <c r="AQY40" s="543"/>
      <c r="AQZ40" s="543"/>
      <c r="ARA40" s="543"/>
      <c r="ARB40" s="543"/>
      <c r="ARC40" s="543"/>
      <c r="ARD40" s="543"/>
      <c r="ARE40" s="543"/>
      <c r="ARF40" s="543"/>
      <c r="ARG40" s="543"/>
      <c r="ARH40" s="543"/>
      <c r="ARI40" s="543"/>
      <c r="ARJ40" s="543"/>
      <c r="ARK40" s="543"/>
      <c r="ARL40" s="543"/>
      <c r="ARM40" s="543"/>
      <c r="ARN40" s="543"/>
      <c r="ARO40" s="543"/>
      <c r="ARP40" s="543"/>
      <c r="ARQ40" s="543"/>
      <c r="ARR40" s="543"/>
      <c r="ARS40" s="543"/>
      <c r="ART40" s="543"/>
      <c r="ARU40" s="543"/>
      <c r="ARV40" s="543"/>
      <c r="ARW40" s="543"/>
      <c r="ARX40" s="543"/>
      <c r="ARY40" s="543"/>
      <c r="ARZ40" s="543"/>
      <c r="ASA40" s="543"/>
      <c r="ASB40" s="543"/>
      <c r="ASC40" s="543"/>
      <c r="ASD40" s="543"/>
      <c r="ASE40" s="543"/>
      <c r="ASF40" s="543"/>
      <c r="ASG40" s="543"/>
      <c r="ASH40" s="543"/>
      <c r="ASI40" s="543"/>
      <c r="ASJ40" s="543"/>
      <c r="ASK40" s="543"/>
      <c r="ASL40" s="543"/>
      <c r="ASM40" s="543"/>
      <c r="ASN40" s="543"/>
      <c r="ASO40" s="543"/>
      <c r="ASP40" s="543"/>
      <c r="ASQ40" s="543"/>
      <c r="ASR40" s="543"/>
      <c r="ASS40" s="543"/>
      <c r="AST40" s="543"/>
      <c r="ASU40" s="543"/>
      <c r="ASV40" s="543"/>
      <c r="ASW40" s="543"/>
      <c r="ASX40" s="543"/>
      <c r="ASY40" s="543"/>
      <c r="ASZ40" s="543"/>
      <c r="ATA40" s="543"/>
      <c r="ATB40" s="543"/>
      <c r="ATC40" s="543"/>
      <c r="ATD40" s="543"/>
      <c r="ATE40" s="543"/>
      <c r="ATF40" s="543"/>
      <c r="ATG40" s="543"/>
      <c r="ATH40" s="543"/>
      <c r="ATI40" s="543"/>
      <c r="ATJ40" s="543"/>
      <c r="ATK40" s="543"/>
      <c r="ATL40" s="543"/>
      <c r="ATM40" s="543"/>
      <c r="ATN40" s="543"/>
      <c r="ATO40" s="543"/>
      <c r="ATP40" s="543"/>
      <c r="ATQ40" s="543"/>
      <c r="ATR40" s="543"/>
      <c r="ATS40" s="543"/>
      <c r="ATT40" s="543"/>
      <c r="ATU40" s="543"/>
      <c r="ATV40" s="543"/>
      <c r="ATW40" s="543"/>
      <c r="ATX40" s="543"/>
      <c r="ATY40" s="543"/>
      <c r="ATZ40" s="543"/>
      <c r="AUA40" s="543"/>
      <c r="AUB40" s="543"/>
      <c r="AUC40" s="543"/>
      <c r="AUD40" s="543"/>
      <c r="AUE40" s="543"/>
      <c r="AUF40" s="543"/>
      <c r="AUG40" s="543"/>
      <c r="AUH40" s="543"/>
      <c r="AUI40" s="543"/>
      <c r="AUJ40" s="543"/>
      <c r="AUK40" s="543"/>
      <c r="AUL40" s="543"/>
      <c r="AUM40" s="543"/>
      <c r="AUN40" s="543"/>
      <c r="AUO40" s="543"/>
      <c r="AUP40" s="543"/>
      <c r="AUQ40" s="543"/>
      <c r="AUR40" s="543"/>
      <c r="AUS40" s="543"/>
      <c r="AUT40" s="543"/>
      <c r="AUU40" s="543"/>
      <c r="AUV40" s="543"/>
      <c r="AUW40" s="543"/>
      <c r="AUX40" s="543"/>
      <c r="AUY40" s="543"/>
      <c r="AUZ40" s="543"/>
      <c r="AVA40" s="543"/>
      <c r="AVB40" s="543"/>
      <c r="AVC40" s="543"/>
      <c r="AVD40" s="543"/>
      <c r="AVE40" s="543"/>
      <c r="AVF40" s="543"/>
      <c r="AVG40" s="543"/>
      <c r="AVH40" s="543"/>
      <c r="AVI40" s="543"/>
      <c r="AVJ40" s="543"/>
      <c r="AVK40" s="543"/>
      <c r="AVL40" s="543"/>
      <c r="AVM40" s="543"/>
      <c r="AVN40" s="543"/>
      <c r="AVO40" s="543"/>
      <c r="AVP40" s="543"/>
      <c r="AVQ40" s="543"/>
      <c r="AVR40" s="543"/>
      <c r="AVS40" s="543"/>
      <c r="AVT40" s="543"/>
      <c r="AVU40" s="543"/>
      <c r="AVV40" s="543"/>
      <c r="AVW40" s="543"/>
      <c r="AVX40" s="543"/>
      <c r="AVY40" s="543"/>
      <c r="AVZ40" s="543"/>
      <c r="AWA40" s="543"/>
      <c r="AWB40" s="543"/>
      <c r="AWC40" s="543"/>
      <c r="AWD40" s="543"/>
      <c r="AWE40" s="543"/>
      <c r="AWF40" s="543"/>
      <c r="AWG40" s="543"/>
      <c r="AWH40" s="543"/>
      <c r="AWI40" s="543"/>
      <c r="AWJ40" s="543"/>
      <c r="AWK40" s="543"/>
      <c r="AWL40" s="543"/>
      <c r="AWM40" s="543"/>
      <c r="AWN40" s="543"/>
      <c r="AWO40" s="543"/>
      <c r="AWP40" s="543"/>
      <c r="AWQ40" s="543"/>
      <c r="AWR40" s="543"/>
      <c r="AWS40" s="543"/>
      <c r="AWT40" s="543"/>
      <c r="AWU40" s="543"/>
      <c r="AWV40" s="543"/>
      <c r="AWW40" s="543"/>
      <c r="AWX40" s="543"/>
      <c r="AWY40" s="543"/>
      <c r="AWZ40" s="543"/>
      <c r="AXA40" s="543"/>
      <c r="AXB40" s="543"/>
      <c r="AXC40" s="543"/>
      <c r="AXD40" s="543"/>
      <c r="AXE40" s="543"/>
      <c r="AXF40" s="543"/>
      <c r="AXG40" s="543"/>
      <c r="AXH40" s="543"/>
      <c r="AXI40" s="543"/>
      <c r="AXJ40" s="543"/>
      <c r="AXK40" s="543"/>
      <c r="AXL40" s="543"/>
      <c r="AXM40" s="543"/>
      <c r="AXN40" s="543"/>
      <c r="AXO40" s="543"/>
      <c r="AXP40" s="543"/>
      <c r="AXQ40" s="543"/>
      <c r="AXR40" s="543"/>
      <c r="AXS40" s="543"/>
      <c r="AXT40" s="543"/>
      <c r="AXU40" s="543"/>
      <c r="AXV40" s="543"/>
      <c r="AXW40" s="543"/>
      <c r="AXX40" s="543"/>
      <c r="AXY40" s="543"/>
      <c r="AXZ40" s="543"/>
      <c r="AYA40" s="543"/>
      <c r="AYB40" s="543"/>
      <c r="AYC40" s="543"/>
      <c r="AYD40" s="543"/>
      <c r="AYE40" s="543"/>
      <c r="AYF40" s="543"/>
      <c r="AYG40" s="543"/>
      <c r="AYH40" s="543"/>
      <c r="AYI40" s="543"/>
      <c r="AYJ40" s="543"/>
      <c r="AYK40" s="543"/>
      <c r="AYL40" s="543"/>
      <c r="AYM40" s="543"/>
      <c r="AYN40" s="543"/>
      <c r="AYO40" s="543"/>
      <c r="AYP40" s="543"/>
      <c r="AYQ40" s="543"/>
      <c r="AYR40" s="543"/>
      <c r="AYS40" s="543"/>
      <c r="AYT40" s="543"/>
      <c r="AYU40" s="543"/>
      <c r="AYV40" s="543"/>
      <c r="AYW40" s="543"/>
      <c r="AYX40" s="543"/>
      <c r="AYY40" s="543"/>
      <c r="AYZ40" s="543"/>
      <c r="AZA40" s="543"/>
      <c r="AZB40" s="543"/>
      <c r="AZC40" s="543"/>
      <c r="AZD40" s="543"/>
      <c r="AZE40" s="543"/>
      <c r="AZF40" s="543"/>
      <c r="AZG40" s="543"/>
      <c r="AZH40" s="543"/>
      <c r="AZI40" s="543"/>
      <c r="AZJ40" s="543"/>
      <c r="AZK40" s="543"/>
      <c r="AZL40" s="543"/>
      <c r="AZM40" s="543"/>
      <c r="AZN40" s="543"/>
      <c r="AZO40" s="543"/>
      <c r="AZP40" s="543"/>
      <c r="AZQ40" s="543"/>
      <c r="AZR40" s="543"/>
      <c r="AZS40" s="543"/>
      <c r="AZT40" s="543"/>
      <c r="AZU40" s="543"/>
      <c r="AZV40" s="543"/>
      <c r="AZW40" s="543"/>
      <c r="AZX40" s="543"/>
      <c r="AZY40" s="543"/>
      <c r="AZZ40" s="543"/>
      <c r="BAA40" s="543"/>
      <c r="BAB40" s="543"/>
      <c r="BAC40" s="543"/>
      <c r="BAD40" s="543"/>
      <c r="BAE40" s="543"/>
      <c r="BAF40" s="543"/>
      <c r="BAG40" s="543"/>
      <c r="BAH40" s="543"/>
      <c r="BAI40" s="543"/>
      <c r="BAJ40" s="543"/>
      <c r="BAK40" s="543"/>
      <c r="BAL40" s="543"/>
      <c r="BAM40" s="543"/>
      <c r="BAN40" s="543"/>
      <c r="BAO40" s="543"/>
      <c r="BAP40" s="543"/>
      <c r="BAQ40" s="543"/>
      <c r="BAR40" s="543"/>
      <c r="BAS40" s="543"/>
      <c r="BAT40" s="543"/>
      <c r="BAU40" s="543"/>
      <c r="BAV40" s="543"/>
      <c r="BAW40" s="543"/>
      <c r="BAX40" s="543"/>
      <c r="BAY40" s="543"/>
      <c r="BAZ40" s="543"/>
      <c r="BBA40" s="543"/>
      <c r="BBB40" s="543"/>
      <c r="BBC40" s="543"/>
      <c r="BBD40" s="543"/>
      <c r="BBE40" s="543"/>
      <c r="BBF40" s="543"/>
      <c r="BBG40" s="543"/>
      <c r="BBH40" s="543"/>
      <c r="BBI40" s="543"/>
      <c r="BBJ40" s="543"/>
      <c r="BBK40" s="543"/>
      <c r="BBL40" s="543"/>
      <c r="BBM40" s="543"/>
      <c r="BBN40" s="543"/>
      <c r="BBO40" s="543"/>
      <c r="BBP40" s="543"/>
      <c r="BBQ40" s="543"/>
      <c r="BBR40" s="543"/>
      <c r="BBS40" s="543"/>
      <c r="BBT40" s="543"/>
      <c r="BBU40" s="543"/>
      <c r="BBV40" s="543"/>
      <c r="BBW40" s="543"/>
      <c r="BBX40" s="543"/>
      <c r="BBY40" s="543"/>
      <c r="BBZ40" s="543"/>
      <c r="BCA40" s="543"/>
      <c r="BCB40" s="543"/>
      <c r="BCC40" s="543"/>
      <c r="BCD40" s="543"/>
      <c r="BCE40" s="543"/>
      <c r="BCF40" s="543"/>
      <c r="BCG40" s="543"/>
      <c r="BCH40" s="543"/>
      <c r="BCI40" s="543"/>
      <c r="BCJ40" s="543"/>
      <c r="BCK40" s="543"/>
      <c r="BCL40" s="543"/>
      <c r="BCM40" s="543"/>
      <c r="BCN40" s="543"/>
      <c r="BCO40" s="543"/>
      <c r="BCP40" s="543"/>
      <c r="BCQ40" s="543"/>
      <c r="BCR40" s="543"/>
      <c r="BCS40" s="543"/>
      <c r="BCT40" s="543"/>
      <c r="BCU40" s="543"/>
      <c r="BCV40" s="543"/>
      <c r="BCW40" s="543"/>
      <c r="BCX40" s="543"/>
      <c r="BCY40" s="543"/>
      <c r="BCZ40" s="543"/>
      <c r="BDA40" s="543"/>
      <c r="BDB40" s="543"/>
      <c r="BDC40" s="543"/>
      <c r="BDD40" s="543"/>
      <c r="BDE40" s="543"/>
      <c r="BDF40" s="543"/>
      <c r="BDG40" s="543"/>
      <c r="BDH40" s="543"/>
      <c r="BDI40" s="543"/>
      <c r="BDJ40" s="543"/>
      <c r="BDK40" s="543"/>
      <c r="BDL40" s="543"/>
      <c r="BDM40" s="543"/>
      <c r="BDN40" s="543"/>
      <c r="BDO40" s="543"/>
      <c r="BDP40" s="543"/>
      <c r="BDQ40" s="543"/>
      <c r="BDR40" s="543"/>
      <c r="BDS40" s="543"/>
      <c r="BDT40" s="543"/>
      <c r="BDU40" s="543"/>
      <c r="BDV40" s="543"/>
      <c r="BDW40" s="543"/>
      <c r="BDX40" s="543"/>
      <c r="BDY40" s="543"/>
      <c r="BDZ40" s="543"/>
      <c r="BEA40" s="543"/>
      <c r="BEB40" s="543"/>
      <c r="BEC40" s="543"/>
      <c r="BED40" s="543"/>
      <c r="BEE40" s="543"/>
      <c r="BEF40" s="543"/>
      <c r="BEG40" s="543"/>
      <c r="BEH40" s="543"/>
      <c r="BEI40" s="543"/>
      <c r="BEJ40" s="543"/>
      <c r="BEK40" s="543"/>
      <c r="BEL40" s="543"/>
      <c r="BEM40" s="543"/>
      <c r="BEN40" s="543"/>
      <c r="BEO40" s="543"/>
      <c r="BEP40" s="543"/>
      <c r="BEQ40" s="543"/>
      <c r="BER40" s="543"/>
      <c r="BES40" s="543"/>
      <c r="BET40" s="543"/>
      <c r="BEU40" s="543"/>
      <c r="BEV40" s="543"/>
      <c r="BEW40" s="543"/>
      <c r="BEX40" s="543"/>
      <c r="BEY40" s="543"/>
      <c r="BEZ40" s="543"/>
      <c r="BFA40" s="543"/>
      <c r="BFB40" s="543"/>
      <c r="BFC40" s="543"/>
      <c r="BFD40" s="543"/>
      <c r="BFE40" s="543"/>
      <c r="BFF40" s="543"/>
      <c r="BFG40" s="543"/>
      <c r="BFH40" s="543"/>
      <c r="BFI40" s="543"/>
      <c r="BFJ40" s="543"/>
      <c r="BFK40" s="543"/>
      <c r="BFL40" s="543"/>
      <c r="BFM40" s="543"/>
      <c r="BFN40" s="543"/>
      <c r="BFO40" s="543"/>
      <c r="BFP40" s="543"/>
      <c r="BFQ40" s="543"/>
      <c r="BFR40" s="543"/>
      <c r="BFS40" s="543"/>
      <c r="BFT40" s="543"/>
      <c r="BFU40" s="543"/>
      <c r="BFV40" s="543"/>
      <c r="BFW40" s="543"/>
      <c r="BFX40" s="543"/>
      <c r="BFY40" s="543"/>
      <c r="BFZ40" s="543"/>
      <c r="BGA40" s="543"/>
      <c r="BGB40" s="543"/>
      <c r="BGC40" s="543"/>
      <c r="BGD40" s="543"/>
      <c r="BGE40" s="543"/>
      <c r="BGF40" s="543"/>
      <c r="BGG40" s="543"/>
      <c r="BGH40" s="543"/>
      <c r="BGI40" s="543"/>
      <c r="BGJ40" s="543"/>
      <c r="BGK40" s="543"/>
      <c r="BGL40" s="543"/>
      <c r="BGM40" s="543"/>
      <c r="BGN40" s="543"/>
      <c r="BGO40" s="543"/>
      <c r="BGP40" s="543"/>
      <c r="BGQ40" s="543"/>
      <c r="BGR40" s="543"/>
      <c r="BGS40" s="543"/>
      <c r="BGT40" s="543"/>
      <c r="BGU40" s="543"/>
      <c r="BGV40" s="543"/>
      <c r="BGW40" s="543"/>
      <c r="BGX40" s="543"/>
      <c r="BGY40" s="543"/>
      <c r="BGZ40" s="543"/>
      <c r="BHA40" s="543"/>
      <c r="BHB40" s="543"/>
      <c r="BHC40" s="543"/>
      <c r="BHD40" s="543"/>
      <c r="BHE40" s="543"/>
      <c r="BHF40" s="543"/>
      <c r="BHG40" s="543"/>
      <c r="BHH40" s="543"/>
      <c r="BHI40" s="543"/>
      <c r="BHJ40" s="543"/>
      <c r="BHK40" s="543"/>
      <c r="BHL40" s="543"/>
      <c r="BHM40" s="543"/>
      <c r="BHN40" s="543"/>
      <c r="BHO40" s="543"/>
      <c r="BHP40" s="543"/>
      <c r="BHQ40" s="543"/>
      <c r="BHR40" s="543"/>
      <c r="BHS40" s="543"/>
      <c r="BHT40" s="543"/>
      <c r="BHU40" s="543"/>
      <c r="BHV40" s="543"/>
      <c r="BHW40" s="543"/>
      <c r="BHX40" s="543"/>
      <c r="BHY40" s="543"/>
      <c r="BHZ40" s="543"/>
      <c r="BIA40" s="543"/>
      <c r="BIB40" s="543"/>
      <c r="BIC40" s="543"/>
      <c r="BID40" s="543"/>
      <c r="BIE40" s="543"/>
      <c r="BIF40" s="543"/>
      <c r="BIG40" s="543"/>
      <c r="BIH40" s="543"/>
      <c r="BII40" s="543"/>
      <c r="BIJ40" s="543"/>
      <c r="BIK40" s="543"/>
      <c r="BIL40" s="543"/>
      <c r="BIM40" s="543"/>
      <c r="BIN40" s="543"/>
      <c r="BIO40" s="543"/>
      <c r="BIP40" s="543"/>
      <c r="BIQ40" s="543"/>
      <c r="BIR40" s="543"/>
      <c r="BIS40" s="543"/>
      <c r="BIT40" s="543"/>
      <c r="BIU40" s="543"/>
      <c r="BIV40" s="543"/>
      <c r="BIW40" s="543"/>
      <c r="BIX40" s="543"/>
      <c r="BIY40" s="543"/>
      <c r="BIZ40" s="543"/>
      <c r="BJA40" s="543"/>
      <c r="BJB40" s="543"/>
      <c r="BJC40" s="543"/>
      <c r="BJD40" s="543"/>
      <c r="BJE40" s="543"/>
      <c r="BJF40" s="543"/>
      <c r="BJG40" s="543"/>
      <c r="BJH40" s="543"/>
      <c r="BJI40" s="543"/>
      <c r="BJJ40" s="543"/>
      <c r="BJK40" s="543"/>
      <c r="BJL40" s="543"/>
      <c r="BJM40" s="543"/>
      <c r="BJN40" s="543"/>
      <c r="BJO40" s="543"/>
      <c r="BJP40" s="543"/>
      <c r="BJQ40" s="543"/>
      <c r="BJR40" s="543"/>
      <c r="BJS40" s="543"/>
      <c r="BJT40" s="543"/>
      <c r="BJU40" s="543"/>
      <c r="BJV40" s="543"/>
      <c r="BJW40" s="543"/>
      <c r="BJX40" s="543"/>
      <c r="BJY40" s="543"/>
      <c r="BJZ40" s="543"/>
      <c r="BKA40" s="543"/>
      <c r="BKB40" s="543"/>
      <c r="BKC40" s="543"/>
      <c r="BKD40" s="543"/>
      <c r="BKE40" s="543"/>
      <c r="BKF40" s="543"/>
      <c r="BKG40" s="543"/>
      <c r="BKH40" s="543"/>
      <c r="BKI40" s="543"/>
      <c r="BKJ40" s="543"/>
      <c r="BKK40" s="543"/>
      <c r="BKL40" s="543"/>
      <c r="BKM40" s="543"/>
      <c r="BKN40" s="543"/>
      <c r="BKO40" s="543"/>
      <c r="BKP40" s="543"/>
      <c r="BKQ40" s="543"/>
      <c r="BKR40" s="543"/>
      <c r="BKS40" s="543"/>
      <c r="BKT40" s="543"/>
      <c r="BKU40" s="543"/>
      <c r="BKV40" s="543"/>
      <c r="BKW40" s="543"/>
      <c r="BKX40" s="543"/>
      <c r="BKY40" s="543"/>
      <c r="BKZ40" s="543"/>
      <c r="BLA40" s="543"/>
      <c r="BLB40" s="543"/>
      <c r="BLC40" s="543"/>
      <c r="BLD40" s="543"/>
      <c r="BLE40" s="543"/>
      <c r="BLF40" s="543"/>
      <c r="BLG40" s="543"/>
      <c r="BLH40" s="543"/>
      <c r="BLI40" s="543"/>
      <c r="BLJ40" s="543"/>
      <c r="BLK40" s="543"/>
      <c r="BLL40" s="543"/>
      <c r="BLM40" s="543"/>
      <c r="BLN40" s="543"/>
      <c r="BLO40" s="543"/>
      <c r="BLP40" s="543"/>
      <c r="BLQ40" s="543"/>
      <c r="BLR40" s="543"/>
      <c r="BLS40" s="543"/>
      <c r="BLT40" s="543"/>
      <c r="BLU40" s="543"/>
      <c r="BLV40" s="543"/>
      <c r="BLW40" s="543"/>
      <c r="BLX40" s="543"/>
      <c r="BLY40" s="543"/>
      <c r="BLZ40" s="543"/>
      <c r="BMA40" s="543"/>
      <c r="BMB40" s="543"/>
      <c r="BMC40" s="543"/>
      <c r="BMD40" s="543"/>
      <c r="BME40" s="543"/>
      <c r="BMF40" s="543"/>
      <c r="BMG40" s="543"/>
      <c r="BMH40" s="543"/>
      <c r="BMI40" s="543"/>
      <c r="BMJ40" s="543"/>
      <c r="BMK40" s="543"/>
      <c r="BML40" s="543"/>
      <c r="BMM40" s="543"/>
      <c r="BMN40" s="543"/>
      <c r="BMO40" s="543"/>
      <c r="BMP40" s="543"/>
      <c r="BMQ40" s="543"/>
      <c r="BMR40" s="543"/>
      <c r="BMS40" s="543"/>
      <c r="BMT40" s="543"/>
      <c r="BMU40" s="543"/>
      <c r="BMV40" s="543"/>
      <c r="BMW40" s="543"/>
      <c r="BMX40" s="543"/>
      <c r="BMY40" s="543"/>
      <c r="BMZ40" s="543"/>
      <c r="BNA40" s="543"/>
      <c r="BNB40" s="543"/>
      <c r="BNC40" s="543"/>
      <c r="BND40" s="543"/>
      <c r="BNE40" s="543"/>
      <c r="BNF40" s="543"/>
      <c r="BNG40" s="543"/>
      <c r="BNH40" s="543"/>
      <c r="BNI40" s="543"/>
      <c r="BNJ40" s="543"/>
      <c r="BNK40" s="543"/>
      <c r="BNL40" s="543"/>
      <c r="BNM40" s="543"/>
      <c r="BNN40" s="543"/>
      <c r="BNO40" s="543"/>
      <c r="BNP40" s="543"/>
      <c r="BNQ40" s="543"/>
      <c r="BNR40" s="543"/>
      <c r="BNS40" s="543"/>
      <c r="BNT40" s="543"/>
      <c r="BNU40" s="543"/>
      <c r="BNV40" s="543"/>
      <c r="BNW40" s="543"/>
      <c r="BNX40" s="543"/>
      <c r="BNY40" s="543"/>
      <c r="BNZ40" s="543"/>
      <c r="BOA40" s="543"/>
      <c r="BOB40" s="543"/>
      <c r="BOC40" s="543"/>
      <c r="BOD40" s="543"/>
      <c r="BOE40" s="543"/>
      <c r="BOF40" s="543"/>
      <c r="BOG40" s="543"/>
      <c r="BOH40" s="543"/>
      <c r="BOI40" s="543"/>
      <c r="BOJ40" s="543"/>
      <c r="BOK40" s="543"/>
      <c r="BOL40" s="543"/>
      <c r="BOM40" s="543"/>
      <c r="BON40" s="543"/>
      <c r="BOO40" s="543"/>
      <c r="BOP40" s="543"/>
      <c r="BOQ40" s="543"/>
      <c r="BOR40" s="543"/>
      <c r="BOS40" s="543"/>
      <c r="BOT40" s="543"/>
      <c r="BOU40" s="543"/>
      <c r="BOV40" s="543"/>
      <c r="BOW40" s="543"/>
      <c r="BOX40" s="543"/>
      <c r="BOY40" s="543"/>
      <c r="BOZ40" s="543"/>
      <c r="BPA40" s="543"/>
      <c r="BPB40" s="543"/>
      <c r="BPC40" s="543"/>
      <c r="BPD40" s="543"/>
      <c r="BPE40" s="543"/>
      <c r="BPF40" s="543"/>
      <c r="BPG40" s="543"/>
      <c r="BPH40" s="543"/>
      <c r="BPI40" s="543"/>
      <c r="BPJ40" s="543"/>
      <c r="BPK40" s="543"/>
      <c r="BPL40" s="543"/>
      <c r="BPM40" s="543"/>
      <c r="BPN40" s="543"/>
      <c r="BPO40" s="543"/>
      <c r="BPP40" s="543"/>
      <c r="BPQ40" s="543"/>
      <c r="BPR40" s="543"/>
      <c r="BPS40" s="543"/>
      <c r="BPT40" s="543"/>
      <c r="BPU40" s="543"/>
      <c r="BPV40" s="543"/>
      <c r="BPW40" s="543"/>
      <c r="BPX40" s="543"/>
      <c r="BPY40" s="543"/>
      <c r="BPZ40" s="543"/>
      <c r="BQA40" s="543"/>
      <c r="BQB40" s="543"/>
      <c r="BQC40" s="543"/>
      <c r="BQD40" s="543"/>
      <c r="BQE40" s="543"/>
      <c r="BQF40" s="543"/>
      <c r="BQG40" s="543"/>
      <c r="BQH40" s="543"/>
      <c r="BQI40" s="543"/>
      <c r="BQJ40" s="543"/>
      <c r="BQK40" s="543"/>
      <c r="BQL40" s="543"/>
      <c r="BQM40" s="543"/>
      <c r="BQN40" s="543"/>
      <c r="BQO40" s="543"/>
      <c r="BQP40" s="543"/>
      <c r="BQQ40" s="543"/>
      <c r="BQR40" s="543"/>
      <c r="BQS40" s="543"/>
      <c r="BQT40" s="543"/>
      <c r="BQU40" s="543"/>
      <c r="BQV40" s="543"/>
      <c r="BQW40" s="543"/>
      <c r="BQX40" s="543"/>
      <c r="BQY40" s="543"/>
      <c r="BQZ40" s="543"/>
      <c r="BRA40" s="543"/>
      <c r="BRB40" s="543"/>
      <c r="BRC40" s="543"/>
      <c r="BRD40" s="543"/>
      <c r="BRE40" s="543"/>
      <c r="BRF40" s="543"/>
      <c r="BRG40" s="543"/>
      <c r="BRH40" s="543"/>
      <c r="BRI40" s="543"/>
      <c r="BRJ40" s="543"/>
      <c r="BRK40" s="543"/>
      <c r="BRL40" s="543"/>
      <c r="BRM40" s="543"/>
      <c r="BRN40" s="543"/>
      <c r="BRO40" s="543"/>
      <c r="BRP40" s="543"/>
      <c r="BRQ40" s="543"/>
      <c r="BRR40" s="543"/>
      <c r="BRS40" s="543"/>
      <c r="BRT40" s="543"/>
      <c r="BRU40" s="543"/>
      <c r="BRV40" s="543"/>
      <c r="BRW40" s="543"/>
      <c r="BRX40" s="543"/>
      <c r="BRY40" s="543"/>
      <c r="BRZ40" s="543"/>
      <c r="BSA40" s="543"/>
      <c r="BSB40" s="543"/>
      <c r="BSC40" s="543"/>
      <c r="BSD40" s="543"/>
      <c r="BSE40" s="543"/>
      <c r="BSF40" s="543"/>
      <c r="BSG40" s="543"/>
      <c r="BSH40" s="543"/>
      <c r="BSI40" s="543"/>
      <c r="BSJ40" s="543"/>
      <c r="BSK40" s="543"/>
      <c r="BSL40" s="543"/>
      <c r="BSM40" s="543"/>
      <c r="BSN40" s="543"/>
      <c r="BSO40" s="543"/>
      <c r="BSP40" s="543"/>
      <c r="BSQ40" s="543"/>
      <c r="BSR40" s="543"/>
      <c r="BSS40" s="543"/>
      <c r="BST40" s="543"/>
      <c r="BSU40" s="543"/>
      <c r="BSV40" s="543"/>
      <c r="BSW40" s="543"/>
      <c r="BSX40" s="543"/>
      <c r="BSY40" s="543"/>
      <c r="BSZ40" s="543"/>
      <c r="BTA40" s="543"/>
      <c r="BTB40" s="543"/>
      <c r="BTC40" s="543"/>
      <c r="BTD40" s="543"/>
      <c r="BTE40" s="543"/>
      <c r="BTF40" s="543"/>
      <c r="BTG40" s="543"/>
      <c r="BTH40" s="543"/>
      <c r="BTI40" s="543"/>
      <c r="BTJ40" s="543"/>
      <c r="BTK40" s="543"/>
      <c r="BTL40" s="543"/>
      <c r="BTM40" s="543"/>
      <c r="BTN40" s="543"/>
      <c r="BTO40" s="543"/>
      <c r="BTP40" s="543"/>
      <c r="BTQ40" s="543"/>
      <c r="BTR40" s="543"/>
      <c r="BTS40" s="543"/>
      <c r="BTT40" s="543"/>
      <c r="BTU40" s="543"/>
      <c r="BTV40" s="543"/>
      <c r="BTW40" s="543"/>
      <c r="BTX40" s="543"/>
      <c r="BTY40" s="543"/>
      <c r="BTZ40" s="543"/>
      <c r="BUA40" s="543"/>
      <c r="BUB40" s="543"/>
      <c r="BUC40" s="543"/>
      <c r="BUD40" s="543"/>
      <c r="BUE40" s="543"/>
      <c r="BUF40" s="543"/>
      <c r="BUG40" s="543"/>
      <c r="BUH40" s="543"/>
      <c r="BUI40" s="543"/>
      <c r="BUJ40" s="543"/>
      <c r="BUK40" s="543"/>
      <c r="BUL40" s="543"/>
      <c r="BUM40" s="543"/>
      <c r="BUN40" s="543"/>
      <c r="BUO40" s="543"/>
      <c r="BUP40" s="543"/>
      <c r="BUQ40" s="543"/>
      <c r="BUR40" s="543"/>
      <c r="BUS40" s="543"/>
      <c r="BUT40" s="543"/>
      <c r="BUU40" s="543"/>
      <c r="BUV40" s="543"/>
      <c r="BUW40" s="543"/>
      <c r="BUX40" s="543"/>
      <c r="BUY40" s="543"/>
      <c r="BUZ40" s="543"/>
      <c r="BVA40" s="543"/>
      <c r="BVB40" s="543"/>
      <c r="BVC40" s="543"/>
      <c r="BVD40" s="543"/>
      <c r="BVE40" s="543"/>
      <c r="BVF40" s="543"/>
      <c r="BVG40" s="543"/>
      <c r="BVH40" s="543"/>
      <c r="BVI40" s="543"/>
      <c r="BVJ40" s="543"/>
      <c r="BVK40" s="543"/>
      <c r="BVL40" s="543"/>
      <c r="BVM40" s="543"/>
      <c r="BVN40" s="543"/>
      <c r="BVO40" s="543"/>
      <c r="BVP40" s="543"/>
      <c r="BVQ40" s="543"/>
      <c r="BVR40" s="543"/>
      <c r="BVS40" s="543"/>
      <c r="BVT40" s="543"/>
      <c r="BVU40" s="543"/>
      <c r="BVV40" s="543"/>
      <c r="BVW40" s="543"/>
      <c r="BVX40" s="543"/>
      <c r="BVY40" s="543"/>
      <c r="BVZ40" s="543"/>
      <c r="BWA40" s="543"/>
      <c r="BWB40" s="543"/>
      <c r="BWC40" s="543"/>
      <c r="BWD40" s="543"/>
      <c r="BWE40" s="543"/>
      <c r="BWF40" s="543"/>
      <c r="BWG40" s="543"/>
      <c r="BWH40" s="543"/>
      <c r="BWI40" s="543"/>
      <c r="BWJ40" s="543"/>
      <c r="BWK40" s="543"/>
      <c r="BWL40" s="543"/>
      <c r="BWM40" s="543"/>
      <c r="BWN40" s="543"/>
      <c r="BWO40" s="543"/>
      <c r="BWP40" s="543"/>
      <c r="BWQ40" s="543"/>
      <c r="BWR40" s="543"/>
      <c r="BWS40" s="543"/>
      <c r="BWT40" s="543"/>
      <c r="BWU40" s="543"/>
      <c r="BWV40" s="543"/>
      <c r="BWW40" s="543"/>
      <c r="BWX40" s="543"/>
      <c r="BWY40" s="543"/>
      <c r="BWZ40" s="543"/>
      <c r="BXA40" s="543"/>
      <c r="BXB40" s="543"/>
      <c r="BXC40" s="543"/>
      <c r="BXD40" s="543"/>
      <c r="BXE40" s="543"/>
      <c r="BXF40" s="543"/>
      <c r="BXG40" s="543"/>
      <c r="BXH40" s="543"/>
      <c r="BXI40" s="543"/>
      <c r="BXJ40" s="543"/>
      <c r="BXK40" s="543"/>
      <c r="BXL40" s="543"/>
      <c r="BXM40" s="543"/>
      <c r="BXN40" s="543"/>
      <c r="BXO40" s="543"/>
      <c r="BXP40" s="543"/>
      <c r="BXQ40" s="543"/>
      <c r="BXR40" s="543"/>
      <c r="BXS40" s="543"/>
      <c r="BXT40" s="543"/>
      <c r="BXU40" s="543"/>
      <c r="BXV40" s="543"/>
      <c r="BXW40" s="543"/>
      <c r="BXX40" s="543"/>
      <c r="BXY40" s="543"/>
      <c r="BXZ40" s="543"/>
      <c r="BYA40" s="543"/>
      <c r="BYB40" s="543"/>
      <c r="BYC40" s="543"/>
      <c r="BYD40" s="543"/>
      <c r="BYE40" s="543"/>
      <c r="BYF40" s="543"/>
      <c r="BYG40" s="543"/>
      <c r="BYH40" s="543"/>
      <c r="BYI40" s="543"/>
      <c r="BYJ40" s="543"/>
      <c r="BYK40" s="543"/>
      <c r="BYL40" s="543"/>
      <c r="BYM40" s="543"/>
      <c r="BYN40" s="543"/>
      <c r="BYO40" s="543"/>
      <c r="BYP40" s="543"/>
      <c r="BYQ40" s="543"/>
      <c r="BYR40" s="543"/>
      <c r="BYS40" s="543"/>
      <c r="BYT40" s="543"/>
      <c r="BYU40" s="543"/>
      <c r="BYV40" s="543"/>
      <c r="BYW40" s="543"/>
      <c r="BYX40" s="543"/>
      <c r="BYY40" s="543"/>
      <c r="BYZ40" s="543"/>
      <c r="BZA40" s="543"/>
      <c r="BZB40" s="543"/>
      <c r="BZC40" s="543"/>
      <c r="BZD40" s="543"/>
      <c r="BZE40" s="543"/>
      <c r="BZF40" s="543"/>
      <c r="BZG40" s="543"/>
      <c r="BZH40" s="543"/>
      <c r="BZI40" s="543"/>
      <c r="BZJ40" s="543"/>
      <c r="BZK40" s="543"/>
      <c r="BZL40" s="543"/>
      <c r="BZM40" s="543"/>
      <c r="BZN40" s="543"/>
      <c r="BZO40" s="543"/>
      <c r="BZP40" s="543"/>
      <c r="BZQ40" s="543"/>
      <c r="BZR40" s="543"/>
      <c r="BZS40" s="543"/>
      <c r="BZT40" s="543"/>
      <c r="BZU40" s="543"/>
      <c r="BZV40" s="543"/>
      <c r="BZW40" s="543"/>
      <c r="BZX40" s="543"/>
      <c r="BZY40" s="543"/>
      <c r="BZZ40" s="543"/>
      <c r="CAA40" s="543"/>
      <c r="CAB40" s="543"/>
      <c r="CAC40" s="543"/>
      <c r="CAD40" s="543"/>
      <c r="CAE40" s="543"/>
      <c r="CAF40" s="543"/>
      <c r="CAG40" s="543"/>
      <c r="CAH40" s="543"/>
      <c r="CAI40" s="543"/>
      <c r="CAJ40" s="543"/>
      <c r="CAK40" s="543"/>
      <c r="CAL40" s="543"/>
      <c r="CAM40" s="543"/>
      <c r="CAN40" s="543"/>
      <c r="CAO40" s="543"/>
      <c r="CAP40" s="543"/>
      <c r="CAQ40" s="543"/>
      <c r="CAR40" s="543"/>
      <c r="CAS40" s="543"/>
      <c r="CAT40" s="543"/>
      <c r="CAU40" s="543"/>
      <c r="CAV40" s="543"/>
      <c r="CAW40" s="543"/>
      <c r="CAX40" s="543"/>
      <c r="CAY40" s="543"/>
      <c r="CAZ40" s="543"/>
      <c r="CBA40" s="543"/>
      <c r="CBB40" s="543"/>
      <c r="CBC40" s="543"/>
      <c r="CBD40" s="543"/>
      <c r="CBE40" s="543"/>
      <c r="CBF40" s="543"/>
      <c r="CBG40" s="543"/>
      <c r="CBH40" s="543"/>
      <c r="CBI40" s="543"/>
      <c r="CBJ40" s="543"/>
      <c r="CBK40" s="543"/>
      <c r="CBL40" s="543"/>
      <c r="CBM40" s="543"/>
      <c r="CBN40" s="543"/>
      <c r="CBO40" s="543"/>
      <c r="CBP40" s="543"/>
      <c r="CBQ40" s="543"/>
      <c r="CBR40" s="543"/>
      <c r="CBS40" s="543"/>
      <c r="CBT40" s="543"/>
      <c r="CBU40" s="543"/>
      <c r="CBV40" s="543"/>
      <c r="CBW40" s="543"/>
      <c r="CBX40" s="543"/>
      <c r="CBY40" s="543"/>
      <c r="CBZ40" s="543"/>
      <c r="CCA40" s="543"/>
      <c r="CCB40" s="543"/>
      <c r="CCC40" s="543"/>
      <c r="CCD40" s="543"/>
      <c r="CCE40" s="543"/>
      <c r="CCF40" s="543"/>
      <c r="CCG40" s="543"/>
      <c r="CCH40" s="543"/>
      <c r="CCI40" s="543"/>
      <c r="CCJ40" s="543"/>
      <c r="CCK40" s="543"/>
      <c r="CCL40" s="543"/>
      <c r="CCM40" s="543"/>
      <c r="CCN40" s="543"/>
      <c r="CCO40" s="543"/>
      <c r="CCP40" s="543"/>
      <c r="CCQ40" s="543"/>
      <c r="CCR40" s="543"/>
      <c r="CCS40" s="543"/>
      <c r="CCT40" s="543"/>
      <c r="CCU40" s="543"/>
      <c r="CCV40" s="543"/>
      <c r="CCW40" s="543"/>
      <c r="CCX40" s="543"/>
      <c r="CCY40" s="543"/>
      <c r="CCZ40" s="543"/>
      <c r="CDA40" s="543"/>
      <c r="CDB40" s="543"/>
      <c r="CDC40" s="543"/>
      <c r="CDD40" s="543"/>
      <c r="CDE40" s="543"/>
      <c r="CDF40" s="543"/>
      <c r="CDG40" s="543"/>
      <c r="CDH40" s="543"/>
      <c r="CDI40" s="543"/>
      <c r="CDJ40" s="543"/>
      <c r="CDK40" s="543"/>
      <c r="CDL40" s="543"/>
      <c r="CDM40" s="543"/>
      <c r="CDN40" s="543"/>
      <c r="CDO40" s="543"/>
      <c r="CDP40" s="543"/>
      <c r="CDQ40" s="543"/>
      <c r="CDR40" s="543"/>
      <c r="CDS40" s="543"/>
      <c r="CDT40" s="543"/>
      <c r="CDU40" s="543"/>
      <c r="CDV40" s="543"/>
      <c r="CDW40" s="543"/>
      <c r="CDX40" s="543"/>
      <c r="CDY40" s="543"/>
      <c r="CDZ40" s="543"/>
      <c r="CEA40" s="543"/>
      <c r="CEB40" s="543"/>
      <c r="CEC40" s="543"/>
      <c r="CED40" s="543"/>
      <c r="CEE40" s="543"/>
      <c r="CEF40" s="543"/>
      <c r="CEG40" s="543"/>
      <c r="CEH40" s="543"/>
      <c r="CEI40" s="543"/>
      <c r="CEJ40" s="543"/>
      <c r="CEK40" s="543"/>
      <c r="CEL40" s="543"/>
      <c r="CEM40" s="543"/>
      <c r="CEN40" s="543"/>
      <c r="CEO40" s="543"/>
      <c r="CEP40" s="543"/>
      <c r="CEQ40" s="543"/>
      <c r="CER40" s="543"/>
      <c r="CES40" s="543"/>
      <c r="CET40" s="543"/>
      <c r="CEU40" s="543"/>
      <c r="CEV40" s="543"/>
      <c r="CEW40" s="543"/>
      <c r="CEX40" s="543"/>
      <c r="CEY40" s="543"/>
      <c r="CEZ40" s="543"/>
      <c r="CFA40" s="543"/>
      <c r="CFB40" s="543"/>
      <c r="CFC40" s="543"/>
      <c r="CFD40" s="543"/>
      <c r="CFE40" s="543"/>
      <c r="CFF40" s="543"/>
      <c r="CFG40" s="543"/>
      <c r="CFH40" s="543"/>
      <c r="CFI40" s="543"/>
      <c r="CFJ40" s="543"/>
      <c r="CFK40" s="543"/>
      <c r="CFL40" s="543"/>
      <c r="CFM40" s="543"/>
      <c r="CFN40" s="543"/>
      <c r="CFO40" s="543"/>
      <c r="CFP40" s="543"/>
      <c r="CFQ40" s="543"/>
      <c r="CFR40" s="543"/>
      <c r="CFS40" s="543"/>
      <c r="CFT40" s="543"/>
      <c r="CFU40" s="543"/>
      <c r="CFV40" s="543"/>
      <c r="CFW40" s="543"/>
      <c r="CFX40" s="543"/>
      <c r="CFY40" s="543"/>
      <c r="CFZ40" s="543"/>
      <c r="CGA40" s="543"/>
      <c r="CGB40" s="543"/>
      <c r="CGC40" s="543"/>
      <c r="CGD40" s="543"/>
      <c r="CGE40" s="543"/>
      <c r="CGF40" s="543"/>
      <c r="CGG40" s="543"/>
      <c r="CGH40" s="543"/>
      <c r="CGI40" s="543"/>
      <c r="CGJ40" s="543"/>
      <c r="CGK40" s="543"/>
      <c r="CGL40" s="543"/>
      <c r="CGM40" s="543"/>
      <c r="CGN40" s="543"/>
      <c r="CGO40" s="543"/>
      <c r="CGP40" s="543"/>
      <c r="CGQ40" s="543"/>
      <c r="CGR40" s="543"/>
      <c r="CGS40" s="543"/>
      <c r="CGT40" s="543"/>
      <c r="CGU40" s="543"/>
      <c r="CGV40" s="543"/>
      <c r="CGW40" s="543"/>
      <c r="CGX40" s="543"/>
      <c r="CGY40" s="543"/>
      <c r="CGZ40" s="543"/>
      <c r="CHA40" s="543"/>
      <c r="CHB40" s="543"/>
      <c r="CHC40" s="543"/>
      <c r="CHD40" s="543"/>
      <c r="CHE40" s="543"/>
      <c r="CHF40" s="543"/>
      <c r="CHG40" s="543"/>
      <c r="CHH40" s="543"/>
      <c r="CHI40" s="543"/>
      <c r="CHJ40" s="543"/>
      <c r="CHK40" s="543"/>
      <c r="CHL40" s="543"/>
      <c r="CHM40" s="543"/>
      <c r="CHN40" s="543"/>
      <c r="CHO40" s="543"/>
      <c r="CHP40" s="543"/>
      <c r="CHQ40" s="543"/>
      <c r="CHR40" s="543"/>
      <c r="CHS40" s="543"/>
      <c r="CHT40" s="543"/>
      <c r="CHU40" s="543"/>
      <c r="CHV40" s="543"/>
      <c r="CHW40" s="543"/>
      <c r="CHX40" s="543"/>
      <c r="CHY40" s="543"/>
      <c r="CHZ40" s="543"/>
      <c r="CIA40" s="543"/>
      <c r="CIB40" s="543"/>
      <c r="CIC40" s="543"/>
      <c r="CID40" s="543"/>
      <c r="CIE40" s="543"/>
      <c r="CIF40" s="543"/>
      <c r="CIG40" s="543"/>
      <c r="CIH40" s="543"/>
      <c r="CII40" s="543"/>
      <c r="CIJ40" s="543"/>
      <c r="CIK40" s="543"/>
      <c r="CIL40" s="543"/>
      <c r="CIM40" s="543"/>
      <c r="CIN40" s="543"/>
      <c r="CIO40" s="543"/>
      <c r="CIP40" s="543"/>
      <c r="CIQ40" s="543"/>
      <c r="CIR40" s="543"/>
      <c r="CIS40" s="543"/>
      <c r="CIT40" s="543"/>
      <c r="CIU40" s="543"/>
      <c r="CIV40" s="543"/>
      <c r="CIW40" s="543"/>
      <c r="CIX40" s="543"/>
      <c r="CIY40" s="543"/>
      <c r="CIZ40" s="543"/>
      <c r="CJA40" s="543"/>
      <c r="CJB40" s="543"/>
      <c r="CJC40" s="543"/>
      <c r="CJD40" s="543"/>
      <c r="CJE40" s="543"/>
      <c r="CJF40" s="543"/>
      <c r="CJG40" s="543"/>
      <c r="CJH40" s="543"/>
      <c r="CJI40" s="543"/>
      <c r="CJJ40" s="543"/>
      <c r="CJK40" s="543"/>
      <c r="CJL40" s="543"/>
      <c r="CJM40" s="543"/>
      <c r="CJN40" s="543"/>
      <c r="CJO40" s="543"/>
      <c r="CJP40" s="543"/>
      <c r="CJQ40" s="543"/>
      <c r="CJR40" s="543"/>
      <c r="CJS40" s="543"/>
      <c r="CJT40" s="543"/>
      <c r="CJU40" s="543"/>
      <c r="CJV40" s="543"/>
      <c r="CJW40" s="543"/>
      <c r="CJX40" s="543"/>
      <c r="CJY40" s="543"/>
      <c r="CJZ40" s="543"/>
      <c r="CKA40" s="543"/>
      <c r="CKB40" s="543"/>
      <c r="CKC40" s="543"/>
      <c r="CKD40" s="543"/>
      <c r="CKE40" s="543"/>
      <c r="CKF40" s="543"/>
      <c r="CKG40" s="543"/>
      <c r="CKH40" s="543"/>
      <c r="CKI40" s="543"/>
      <c r="CKJ40" s="543"/>
      <c r="CKK40" s="543"/>
      <c r="CKL40" s="543"/>
      <c r="CKM40" s="543"/>
      <c r="CKN40" s="543"/>
      <c r="CKO40" s="543"/>
      <c r="CKP40" s="543"/>
      <c r="CKQ40" s="543"/>
      <c r="CKR40" s="543"/>
      <c r="CKS40" s="543"/>
      <c r="CKT40" s="543"/>
      <c r="CKU40" s="543"/>
      <c r="CKV40" s="543"/>
      <c r="CKW40" s="543"/>
      <c r="CKX40" s="543"/>
      <c r="CKY40" s="543"/>
      <c r="CKZ40" s="543"/>
      <c r="CLA40" s="543"/>
      <c r="CLB40" s="543"/>
      <c r="CLC40" s="543"/>
      <c r="CLD40" s="543"/>
      <c r="CLE40" s="543"/>
      <c r="CLF40" s="543"/>
      <c r="CLG40" s="543"/>
      <c r="CLH40" s="543"/>
      <c r="CLI40" s="543"/>
      <c r="CLJ40" s="543"/>
      <c r="CLK40" s="543"/>
      <c r="CLL40" s="543"/>
      <c r="CLM40" s="543"/>
      <c r="CLN40" s="543"/>
      <c r="CLO40" s="543"/>
      <c r="CLP40" s="543"/>
      <c r="CLQ40" s="543"/>
      <c r="CLR40" s="543"/>
      <c r="CLS40" s="543"/>
      <c r="CLT40" s="543"/>
      <c r="CLU40" s="543"/>
      <c r="CLV40" s="543"/>
      <c r="CLW40" s="543"/>
      <c r="CLX40" s="543"/>
      <c r="CLY40" s="543"/>
      <c r="CLZ40" s="543"/>
      <c r="CMA40" s="543"/>
      <c r="CMB40" s="543"/>
      <c r="CMC40" s="543"/>
      <c r="CMD40" s="543"/>
      <c r="CME40" s="543"/>
      <c r="CMF40" s="543"/>
      <c r="CMG40" s="543"/>
      <c r="CMH40" s="543"/>
      <c r="CMI40" s="543"/>
      <c r="CMJ40" s="543"/>
      <c r="CMK40" s="543"/>
      <c r="CML40" s="543"/>
      <c r="CMM40" s="543"/>
      <c r="CMN40" s="543"/>
      <c r="CMO40" s="543"/>
      <c r="CMP40" s="543"/>
      <c r="CMQ40" s="543"/>
      <c r="CMR40" s="543"/>
      <c r="CMS40" s="543"/>
      <c r="CMT40" s="543"/>
      <c r="CMU40" s="543"/>
      <c r="CMV40" s="543"/>
      <c r="CMW40" s="543"/>
      <c r="CMX40" s="543"/>
      <c r="CMY40" s="543"/>
      <c r="CMZ40" s="543"/>
      <c r="CNA40" s="543"/>
      <c r="CNB40" s="543"/>
      <c r="CNC40" s="543"/>
      <c r="CND40" s="543"/>
      <c r="CNE40" s="543"/>
      <c r="CNF40" s="543"/>
      <c r="CNG40" s="543"/>
      <c r="CNH40" s="543"/>
      <c r="CNI40" s="543"/>
      <c r="CNJ40" s="543"/>
      <c r="CNK40" s="543"/>
      <c r="CNL40" s="543"/>
      <c r="CNM40" s="543"/>
      <c r="CNN40" s="543"/>
      <c r="CNO40" s="543"/>
      <c r="CNP40" s="543"/>
      <c r="CNQ40" s="543"/>
      <c r="CNR40" s="543"/>
      <c r="CNS40" s="543"/>
      <c r="CNT40" s="543"/>
      <c r="CNU40" s="543"/>
      <c r="CNV40" s="543"/>
      <c r="CNW40" s="543"/>
      <c r="CNX40" s="543"/>
      <c r="CNY40" s="543"/>
      <c r="CNZ40" s="543"/>
      <c r="COA40" s="543"/>
      <c r="COB40" s="543"/>
      <c r="COC40" s="543"/>
      <c r="COD40" s="543"/>
      <c r="COE40" s="543"/>
      <c r="COF40" s="543"/>
      <c r="COG40" s="543"/>
      <c r="COH40" s="543"/>
      <c r="COI40" s="543"/>
      <c r="COJ40" s="543"/>
      <c r="COK40" s="543"/>
      <c r="COL40" s="543"/>
      <c r="COM40" s="543"/>
      <c r="CON40" s="543"/>
      <c r="COO40" s="543"/>
      <c r="COP40" s="543"/>
      <c r="COQ40" s="543"/>
      <c r="COR40" s="543"/>
      <c r="COS40" s="543"/>
      <c r="COT40" s="543"/>
      <c r="COU40" s="543"/>
      <c r="COV40" s="543"/>
      <c r="COW40" s="543"/>
      <c r="COX40" s="543"/>
      <c r="COY40" s="543"/>
      <c r="COZ40" s="543"/>
      <c r="CPA40" s="543"/>
      <c r="CPB40" s="543"/>
      <c r="CPC40" s="543"/>
      <c r="CPD40" s="543"/>
      <c r="CPE40" s="543"/>
      <c r="CPF40" s="543"/>
      <c r="CPG40" s="543"/>
      <c r="CPH40" s="543"/>
      <c r="CPI40" s="543"/>
      <c r="CPJ40" s="543"/>
      <c r="CPK40" s="543"/>
      <c r="CPL40" s="543"/>
      <c r="CPM40" s="543"/>
      <c r="CPN40" s="543"/>
      <c r="CPO40" s="543"/>
      <c r="CPP40" s="543"/>
      <c r="CPQ40" s="543"/>
      <c r="CPR40" s="543"/>
      <c r="CPS40" s="543"/>
      <c r="CPT40" s="543"/>
      <c r="CPU40" s="543"/>
      <c r="CPV40" s="543"/>
      <c r="CPW40" s="543"/>
      <c r="CPX40" s="543"/>
      <c r="CPY40" s="543"/>
      <c r="CPZ40" s="543"/>
      <c r="CQA40" s="543"/>
      <c r="CQB40" s="543"/>
      <c r="CQC40" s="543"/>
      <c r="CQD40" s="543"/>
      <c r="CQE40" s="543"/>
      <c r="CQF40" s="543"/>
      <c r="CQG40" s="543"/>
      <c r="CQH40" s="543"/>
      <c r="CQI40" s="543"/>
      <c r="CQJ40" s="543"/>
      <c r="CQK40" s="543"/>
      <c r="CQL40" s="543"/>
      <c r="CQM40" s="543"/>
      <c r="CQN40" s="543"/>
      <c r="CQO40" s="543"/>
      <c r="CQP40" s="543"/>
      <c r="CQQ40" s="543"/>
      <c r="CQR40" s="543"/>
      <c r="CQS40" s="543"/>
      <c r="CQT40" s="543"/>
      <c r="CQU40" s="543"/>
      <c r="CQV40" s="543"/>
      <c r="CQW40" s="543"/>
      <c r="CQX40" s="543"/>
      <c r="CQY40" s="543"/>
      <c r="CQZ40" s="543"/>
      <c r="CRA40" s="543"/>
      <c r="CRB40" s="543"/>
      <c r="CRC40" s="543"/>
      <c r="CRD40" s="543"/>
      <c r="CRE40" s="543"/>
      <c r="CRF40" s="543"/>
      <c r="CRG40" s="543"/>
      <c r="CRH40" s="543"/>
      <c r="CRI40" s="543"/>
      <c r="CRJ40" s="543"/>
      <c r="CRK40" s="543"/>
      <c r="CRL40" s="543"/>
      <c r="CRM40" s="543"/>
      <c r="CRN40" s="543"/>
      <c r="CRO40" s="543"/>
      <c r="CRP40" s="543"/>
      <c r="CRQ40" s="543"/>
      <c r="CRR40" s="543"/>
      <c r="CRS40" s="543"/>
      <c r="CRT40" s="543"/>
      <c r="CRU40" s="543"/>
      <c r="CRV40" s="543"/>
      <c r="CRW40" s="543"/>
      <c r="CRX40" s="543"/>
      <c r="CRY40" s="543"/>
      <c r="CRZ40" s="543"/>
      <c r="CSA40" s="543"/>
      <c r="CSB40" s="543"/>
      <c r="CSC40" s="543"/>
      <c r="CSD40" s="543"/>
      <c r="CSE40" s="543"/>
      <c r="CSF40" s="543"/>
      <c r="CSG40" s="543"/>
      <c r="CSH40" s="543"/>
      <c r="CSI40" s="543"/>
      <c r="CSJ40" s="543"/>
      <c r="CSK40" s="543"/>
      <c r="CSL40" s="543"/>
      <c r="CSM40" s="543"/>
      <c r="CSN40" s="543"/>
      <c r="CSO40" s="543"/>
      <c r="CSP40" s="543"/>
      <c r="CSQ40" s="543"/>
      <c r="CSR40" s="543"/>
      <c r="CSS40" s="543"/>
      <c r="CST40" s="543"/>
      <c r="CSU40" s="543"/>
      <c r="CSV40" s="543"/>
      <c r="CSW40" s="543"/>
      <c r="CSX40" s="543"/>
      <c r="CSY40" s="543"/>
      <c r="CSZ40" s="543"/>
      <c r="CTA40" s="543"/>
      <c r="CTB40" s="543"/>
      <c r="CTC40" s="543"/>
      <c r="CTD40" s="543"/>
      <c r="CTE40" s="543"/>
      <c r="CTF40" s="543"/>
      <c r="CTG40" s="543"/>
      <c r="CTH40" s="543"/>
      <c r="CTI40" s="543"/>
      <c r="CTJ40" s="543"/>
      <c r="CTK40" s="543"/>
      <c r="CTL40" s="543"/>
      <c r="CTM40" s="543"/>
      <c r="CTN40" s="543"/>
      <c r="CTO40" s="543"/>
      <c r="CTP40" s="543"/>
      <c r="CTQ40" s="543"/>
      <c r="CTR40" s="543"/>
      <c r="CTS40" s="543"/>
      <c r="CTT40" s="543"/>
      <c r="CTU40" s="543"/>
      <c r="CTV40" s="543"/>
      <c r="CTW40" s="543"/>
      <c r="CTX40" s="543"/>
      <c r="CTY40" s="543"/>
      <c r="CTZ40" s="543"/>
      <c r="CUA40" s="543"/>
      <c r="CUB40" s="543"/>
      <c r="CUC40" s="543"/>
      <c r="CUD40" s="543"/>
      <c r="CUE40" s="543"/>
      <c r="CUF40" s="543"/>
      <c r="CUG40" s="543"/>
      <c r="CUH40" s="543"/>
      <c r="CUI40" s="543"/>
      <c r="CUJ40" s="543"/>
      <c r="CUK40" s="543"/>
      <c r="CUL40" s="543"/>
      <c r="CUM40" s="543"/>
      <c r="CUN40" s="543"/>
      <c r="CUO40" s="543"/>
      <c r="CUP40" s="543"/>
      <c r="CUQ40" s="543"/>
      <c r="CUR40" s="543"/>
      <c r="CUS40" s="543"/>
      <c r="CUT40" s="543"/>
      <c r="CUU40" s="543"/>
      <c r="CUV40" s="543"/>
      <c r="CUW40" s="543"/>
      <c r="CUX40" s="543"/>
      <c r="CUY40" s="543"/>
      <c r="CUZ40" s="543"/>
      <c r="CVA40" s="543"/>
      <c r="CVB40" s="543"/>
      <c r="CVC40" s="543"/>
      <c r="CVD40" s="543"/>
      <c r="CVE40" s="543"/>
      <c r="CVF40" s="543"/>
      <c r="CVG40" s="543"/>
      <c r="CVH40" s="543"/>
      <c r="CVI40" s="543"/>
      <c r="CVJ40" s="543"/>
      <c r="CVK40" s="543"/>
      <c r="CVL40" s="543"/>
      <c r="CVM40" s="543"/>
      <c r="CVN40" s="543"/>
      <c r="CVO40" s="543"/>
      <c r="CVP40" s="543"/>
      <c r="CVQ40" s="543"/>
      <c r="CVR40" s="543"/>
      <c r="CVS40" s="543"/>
      <c r="CVT40" s="543"/>
      <c r="CVU40" s="543"/>
      <c r="CVV40" s="543"/>
      <c r="CVW40" s="543"/>
      <c r="CVX40" s="543"/>
      <c r="CVY40" s="543"/>
      <c r="CVZ40" s="543"/>
      <c r="CWA40" s="543"/>
      <c r="CWB40" s="543"/>
      <c r="CWC40" s="543"/>
      <c r="CWD40" s="543"/>
      <c r="CWE40" s="543"/>
      <c r="CWF40" s="543"/>
      <c r="CWG40" s="543"/>
      <c r="CWH40" s="543"/>
      <c r="CWI40" s="543"/>
      <c r="CWJ40" s="543"/>
      <c r="CWK40" s="543"/>
      <c r="CWL40" s="543"/>
      <c r="CWM40" s="543"/>
      <c r="CWN40" s="543"/>
      <c r="CWO40" s="543"/>
      <c r="CWP40" s="543"/>
      <c r="CWQ40" s="543"/>
      <c r="CWR40" s="543"/>
      <c r="CWS40" s="543"/>
      <c r="CWT40" s="543"/>
      <c r="CWU40" s="543"/>
      <c r="CWV40" s="543"/>
      <c r="CWW40" s="543"/>
      <c r="CWX40" s="543"/>
      <c r="CWY40" s="543"/>
      <c r="CWZ40" s="543"/>
      <c r="CXA40" s="543"/>
      <c r="CXB40" s="543"/>
      <c r="CXC40" s="543"/>
      <c r="CXD40" s="543"/>
      <c r="CXE40" s="543"/>
      <c r="CXF40" s="543"/>
      <c r="CXG40" s="543"/>
      <c r="CXH40" s="543"/>
      <c r="CXI40" s="543"/>
      <c r="CXJ40" s="543"/>
      <c r="CXK40" s="543"/>
      <c r="CXL40" s="543"/>
      <c r="CXM40" s="543"/>
      <c r="CXN40" s="543"/>
      <c r="CXO40" s="543"/>
      <c r="CXP40" s="543"/>
      <c r="CXQ40" s="543"/>
      <c r="CXR40" s="543"/>
      <c r="CXS40" s="543"/>
      <c r="CXT40" s="543"/>
      <c r="CXU40" s="543"/>
      <c r="CXV40" s="543"/>
      <c r="CXW40" s="543"/>
      <c r="CXX40" s="543"/>
      <c r="CXY40" s="543"/>
      <c r="CXZ40" s="543"/>
      <c r="CYA40" s="543"/>
      <c r="CYB40" s="543"/>
      <c r="CYC40" s="543"/>
      <c r="CYD40" s="543"/>
      <c r="CYE40" s="543"/>
      <c r="CYF40" s="543"/>
      <c r="CYG40" s="543"/>
      <c r="CYH40" s="543"/>
      <c r="CYI40" s="543"/>
      <c r="CYJ40" s="543"/>
      <c r="CYK40" s="543"/>
      <c r="CYL40" s="543"/>
      <c r="CYM40" s="543"/>
      <c r="CYN40" s="543"/>
      <c r="CYO40" s="543"/>
      <c r="CYP40" s="543"/>
      <c r="CYQ40" s="543"/>
      <c r="CYR40" s="543"/>
      <c r="CYS40" s="543"/>
      <c r="CYT40" s="543"/>
      <c r="CYU40" s="543"/>
      <c r="CYV40" s="543"/>
      <c r="CYW40" s="543"/>
      <c r="CYX40" s="543"/>
      <c r="CYY40" s="543"/>
      <c r="CYZ40" s="543"/>
      <c r="CZA40" s="543"/>
      <c r="CZB40" s="543"/>
      <c r="CZC40" s="543"/>
      <c r="CZD40" s="543"/>
      <c r="CZE40" s="543"/>
      <c r="CZF40" s="543"/>
      <c r="CZG40" s="543"/>
      <c r="CZH40" s="543"/>
      <c r="CZI40" s="543"/>
      <c r="CZJ40" s="543"/>
      <c r="CZK40" s="543"/>
      <c r="CZL40" s="543"/>
      <c r="CZM40" s="543"/>
      <c r="CZN40" s="543"/>
      <c r="CZO40" s="543"/>
      <c r="CZP40" s="543"/>
      <c r="CZQ40" s="543"/>
      <c r="CZR40" s="543"/>
      <c r="CZS40" s="543"/>
      <c r="CZT40" s="543"/>
      <c r="CZU40" s="543"/>
      <c r="CZV40" s="543"/>
      <c r="CZW40" s="543"/>
      <c r="CZX40" s="543"/>
      <c r="CZY40" s="543"/>
      <c r="CZZ40" s="543"/>
      <c r="DAA40" s="543"/>
      <c r="DAB40" s="543"/>
      <c r="DAC40" s="543"/>
      <c r="DAD40" s="543"/>
      <c r="DAE40" s="543"/>
      <c r="DAF40" s="543"/>
      <c r="DAG40" s="543"/>
      <c r="DAH40" s="543"/>
      <c r="DAI40" s="543"/>
      <c r="DAJ40" s="543"/>
      <c r="DAK40" s="543"/>
      <c r="DAL40" s="543"/>
      <c r="DAM40" s="543"/>
      <c r="DAN40" s="543"/>
      <c r="DAO40" s="543"/>
      <c r="DAP40" s="543"/>
      <c r="DAQ40" s="543"/>
      <c r="DAR40" s="543"/>
      <c r="DAS40" s="543"/>
      <c r="DAT40" s="543"/>
      <c r="DAU40" s="543"/>
      <c r="DAV40" s="543"/>
      <c r="DAW40" s="543"/>
      <c r="DAX40" s="543"/>
      <c r="DAY40" s="543"/>
      <c r="DAZ40" s="543"/>
      <c r="DBA40" s="543"/>
      <c r="DBB40" s="543"/>
      <c r="DBC40" s="543"/>
      <c r="DBD40" s="543"/>
      <c r="DBE40" s="543"/>
      <c r="DBF40" s="543"/>
      <c r="DBG40" s="543"/>
      <c r="DBH40" s="543"/>
      <c r="DBI40" s="543"/>
      <c r="DBJ40" s="543"/>
      <c r="DBK40" s="543"/>
      <c r="DBL40" s="543"/>
      <c r="DBM40" s="543"/>
      <c r="DBN40" s="543"/>
      <c r="DBO40" s="543"/>
      <c r="DBP40" s="543"/>
      <c r="DBQ40" s="543"/>
      <c r="DBR40" s="543"/>
      <c r="DBS40" s="543"/>
      <c r="DBT40" s="543"/>
      <c r="DBU40" s="543"/>
      <c r="DBV40" s="543"/>
      <c r="DBW40" s="543"/>
      <c r="DBX40" s="543"/>
      <c r="DBY40" s="543"/>
      <c r="DBZ40" s="543"/>
      <c r="DCA40" s="543"/>
      <c r="DCB40" s="543"/>
      <c r="DCC40" s="543"/>
      <c r="DCD40" s="543"/>
      <c r="DCE40" s="543"/>
      <c r="DCF40" s="543"/>
      <c r="DCG40" s="543"/>
      <c r="DCH40" s="543"/>
      <c r="DCI40" s="543"/>
      <c r="DCJ40" s="543"/>
      <c r="DCK40" s="543"/>
      <c r="DCL40" s="543"/>
      <c r="DCM40" s="543"/>
      <c r="DCN40" s="543"/>
      <c r="DCO40" s="543"/>
      <c r="DCP40" s="543"/>
      <c r="DCQ40" s="543"/>
      <c r="DCR40" s="543"/>
      <c r="DCS40" s="543"/>
      <c r="DCT40" s="543"/>
      <c r="DCU40" s="543"/>
      <c r="DCV40" s="543"/>
      <c r="DCW40" s="543"/>
      <c r="DCX40" s="543"/>
      <c r="DCY40" s="543"/>
      <c r="DCZ40" s="543"/>
      <c r="DDA40" s="543"/>
      <c r="DDB40" s="543"/>
      <c r="DDC40" s="543"/>
      <c r="DDD40" s="543"/>
      <c r="DDE40" s="543"/>
      <c r="DDF40" s="543"/>
      <c r="DDG40" s="543"/>
      <c r="DDH40" s="543"/>
      <c r="DDI40" s="543"/>
      <c r="DDJ40" s="543"/>
      <c r="DDK40" s="543"/>
      <c r="DDL40" s="543"/>
      <c r="DDM40" s="543"/>
      <c r="DDN40" s="543"/>
      <c r="DDO40" s="543"/>
      <c r="DDP40" s="543"/>
      <c r="DDQ40" s="543"/>
      <c r="DDR40" s="543"/>
      <c r="DDS40" s="543"/>
      <c r="DDT40" s="543"/>
      <c r="DDU40" s="543"/>
      <c r="DDV40" s="543"/>
      <c r="DDW40" s="543"/>
      <c r="DDX40" s="543"/>
      <c r="DDY40" s="543"/>
      <c r="DDZ40" s="543"/>
      <c r="DEA40" s="543"/>
      <c r="DEB40" s="543"/>
      <c r="DEC40" s="543"/>
      <c r="DED40" s="543"/>
      <c r="DEE40" s="543"/>
      <c r="DEF40" s="543"/>
      <c r="DEG40" s="543"/>
      <c r="DEH40" s="543"/>
      <c r="DEI40" s="543"/>
      <c r="DEJ40" s="543"/>
      <c r="DEK40" s="543"/>
      <c r="DEL40" s="543"/>
      <c r="DEM40" s="543"/>
      <c r="DEN40" s="543"/>
      <c r="DEO40" s="543"/>
      <c r="DEP40" s="543"/>
      <c r="DEQ40" s="543"/>
      <c r="DER40" s="543"/>
      <c r="DES40" s="543"/>
      <c r="DET40" s="543"/>
      <c r="DEU40" s="543"/>
      <c r="DEV40" s="543"/>
      <c r="DEW40" s="543"/>
      <c r="DEX40" s="543"/>
      <c r="DEY40" s="543"/>
      <c r="DEZ40" s="543"/>
      <c r="DFA40" s="543"/>
      <c r="DFB40" s="543"/>
      <c r="DFC40" s="543"/>
      <c r="DFD40" s="543"/>
      <c r="DFE40" s="543"/>
      <c r="DFF40" s="543"/>
      <c r="DFG40" s="543"/>
      <c r="DFH40" s="543"/>
      <c r="DFI40" s="543"/>
      <c r="DFJ40" s="543"/>
      <c r="DFK40" s="543"/>
      <c r="DFL40" s="543"/>
      <c r="DFM40" s="543"/>
      <c r="DFN40" s="543"/>
      <c r="DFO40" s="543"/>
      <c r="DFP40" s="543"/>
      <c r="DFQ40" s="543"/>
      <c r="DFR40" s="543"/>
      <c r="DFS40" s="543"/>
      <c r="DFT40" s="543"/>
      <c r="DFU40" s="543"/>
      <c r="DFV40" s="543"/>
      <c r="DFW40" s="543"/>
      <c r="DFX40" s="543"/>
      <c r="DFY40" s="543"/>
      <c r="DFZ40" s="543"/>
      <c r="DGA40" s="543"/>
      <c r="DGB40" s="543"/>
      <c r="DGC40" s="543"/>
      <c r="DGD40" s="543"/>
      <c r="DGE40" s="543"/>
      <c r="DGF40" s="543"/>
      <c r="DGG40" s="543"/>
      <c r="DGH40" s="543"/>
      <c r="DGI40" s="543"/>
      <c r="DGJ40" s="543"/>
      <c r="DGK40" s="543"/>
      <c r="DGL40" s="543"/>
      <c r="DGM40" s="543"/>
      <c r="DGN40" s="543"/>
      <c r="DGO40" s="543"/>
      <c r="DGP40" s="543"/>
      <c r="DGQ40" s="543"/>
      <c r="DGR40" s="543"/>
      <c r="DGS40" s="543"/>
      <c r="DGT40" s="543"/>
      <c r="DGU40" s="543"/>
      <c r="DGV40" s="543"/>
      <c r="DGW40" s="543"/>
      <c r="DGX40" s="543"/>
      <c r="DGY40" s="543"/>
      <c r="DGZ40" s="543"/>
      <c r="DHA40" s="543"/>
      <c r="DHB40" s="543"/>
      <c r="DHC40" s="543"/>
      <c r="DHD40" s="543"/>
      <c r="DHE40" s="543"/>
      <c r="DHF40" s="543"/>
      <c r="DHG40" s="543"/>
      <c r="DHH40" s="543"/>
      <c r="DHI40" s="543"/>
      <c r="DHJ40" s="543"/>
      <c r="DHK40" s="543"/>
      <c r="DHL40" s="543"/>
      <c r="DHM40" s="543"/>
      <c r="DHN40" s="543"/>
      <c r="DHO40" s="543"/>
      <c r="DHP40" s="543"/>
      <c r="DHQ40" s="543"/>
      <c r="DHR40" s="543"/>
      <c r="DHS40" s="543"/>
      <c r="DHT40" s="543"/>
      <c r="DHU40" s="543"/>
      <c r="DHV40" s="543"/>
      <c r="DHW40" s="543"/>
      <c r="DHX40" s="543"/>
      <c r="DHY40" s="543"/>
      <c r="DHZ40" s="543"/>
      <c r="DIA40" s="543"/>
      <c r="DIB40" s="543"/>
      <c r="DIC40" s="543"/>
      <c r="DID40" s="543"/>
      <c r="DIE40" s="543"/>
      <c r="DIF40" s="543"/>
      <c r="DIG40" s="543"/>
      <c r="DIH40" s="543"/>
      <c r="DII40" s="543"/>
      <c r="DIJ40" s="543"/>
      <c r="DIK40" s="543"/>
      <c r="DIL40" s="543"/>
      <c r="DIM40" s="543"/>
      <c r="DIN40" s="543"/>
      <c r="DIO40" s="543"/>
      <c r="DIP40" s="543"/>
      <c r="DIQ40" s="543"/>
      <c r="DIR40" s="543"/>
      <c r="DIS40" s="543"/>
      <c r="DIT40" s="543"/>
      <c r="DIU40" s="543"/>
      <c r="DIV40" s="543"/>
      <c r="DIW40" s="543"/>
      <c r="DIX40" s="543"/>
      <c r="DIY40" s="543"/>
      <c r="DIZ40" s="543"/>
      <c r="DJA40" s="543"/>
      <c r="DJB40" s="543"/>
      <c r="DJC40" s="543"/>
      <c r="DJD40" s="543"/>
      <c r="DJE40" s="543"/>
      <c r="DJF40" s="543"/>
      <c r="DJG40" s="543"/>
      <c r="DJH40" s="543"/>
      <c r="DJI40" s="543"/>
      <c r="DJJ40" s="543"/>
      <c r="DJK40" s="543"/>
      <c r="DJL40" s="543"/>
      <c r="DJM40" s="543"/>
      <c r="DJN40" s="543"/>
      <c r="DJO40" s="543"/>
      <c r="DJP40" s="543"/>
      <c r="DJQ40" s="543"/>
      <c r="DJR40" s="543"/>
      <c r="DJS40" s="543"/>
      <c r="DJT40" s="543"/>
      <c r="DJU40" s="543"/>
      <c r="DJV40" s="543"/>
      <c r="DJW40" s="543"/>
      <c r="DJX40" s="543"/>
      <c r="DJY40" s="543"/>
      <c r="DJZ40" s="543"/>
      <c r="DKA40" s="543"/>
      <c r="DKB40" s="543"/>
      <c r="DKC40" s="543"/>
      <c r="DKD40" s="543"/>
      <c r="DKE40" s="543"/>
      <c r="DKF40" s="543"/>
      <c r="DKG40" s="543"/>
      <c r="DKH40" s="543"/>
      <c r="DKI40" s="543"/>
      <c r="DKJ40" s="543"/>
      <c r="DKK40" s="543"/>
      <c r="DKL40" s="543"/>
      <c r="DKM40" s="543"/>
      <c r="DKN40" s="543"/>
      <c r="DKO40" s="543"/>
      <c r="DKP40" s="543"/>
      <c r="DKQ40" s="543"/>
      <c r="DKR40" s="543"/>
      <c r="DKS40" s="543"/>
      <c r="DKT40" s="543"/>
      <c r="DKU40" s="543"/>
      <c r="DKV40" s="543"/>
      <c r="DKW40" s="543"/>
      <c r="DKX40" s="543"/>
      <c r="DKY40" s="543"/>
      <c r="DKZ40" s="543"/>
      <c r="DLA40" s="543"/>
      <c r="DLB40" s="543"/>
      <c r="DLC40" s="543"/>
      <c r="DLD40" s="543"/>
      <c r="DLE40" s="543"/>
      <c r="DLF40" s="543"/>
      <c r="DLG40" s="543"/>
      <c r="DLH40" s="543"/>
      <c r="DLI40" s="543"/>
      <c r="DLJ40" s="543"/>
      <c r="DLK40" s="543"/>
      <c r="DLL40" s="543"/>
      <c r="DLM40" s="543"/>
      <c r="DLN40" s="543"/>
      <c r="DLO40" s="543"/>
      <c r="DLP40" s="543"/>
      <c r="DLQ40" s="543"/>
      <c r="DLR40" s="543"/>
      <c r="DLS40" s="543"/>
      <c r="DLT40" s="543"/>
      <c r="DLU40" s="543"/>
      <c r="DLV40" s="543"/>
      <c r="DLW40" s="543"/>
      <c r="DLX40" s="543"/>
      <c r="DLY40" s="543"/>
      <c r="DLZ40" s="543"/>
      <c r="DMA40" s="543"/>
      <c r="DMB40" s="543"/>
      <c r="DMC40" s="543"/>
      <c r="DMD40" s="543"/>
      <c r="DME40" s="543"/>
      <c r="DMF40" s="543"/>
      <c r="DMG40" s="543"/>
      <c r="DMH40" s="543"/>
      <c r="DMI40" s="543"/>
      <c r="DMJ40" s="543"/>
      <c r="DMK40" s="543"/>
      <c r="DML40" s="543"/>
      <c r="DMM40" s="543"/>
      <c r="DMN40" s="543"/>
      <c r="DMO40" s="543"/>
      <c r="DMP40" s="543"/>
      <c r="DMQ40" s="543"/>
      <c r="DMR40" s="543"/>
      <c r="DMS40" s="543"/>
      <c r="DMT40" s="543"/>
      <c r="DMU40" s="543"/>
      <c r="DMV40" s="543"/>
      <c r="DMW40" s="543"/>
      <c r="DMX40" s="543"/>
      <c r="DMY40" s="543"/>
      <c r="DMZ40" s="543"/>
      <c r="DNA40" s="543"/>
      <c r="DNB40" s="543"/>
      <c r="DNC40" s="543"/>
      <c r="DND40" s="543"/>
      <c r="DNE40" s="543"/>
      <c r="DNF40" s="543"/>
      <c r="DNG40" s="543"/>
      <c r="DNH40" s="543"/>
      <c r="DNI40" s="543"/>
      <c r="DNJ40" s="543"/>
      <c r="DNK40" s="543"/>
      <c r="DNL40" s="543"/>
      <c r="DNM40" s="543"/>
      <c r="DNN40" s="543"/>
      <c r="DNO40" s="543"/>
      <c r="DNP40" s="543"/>
      <c r="DNQ40" s="543"/>
      <c r="DNR40" s="543"/>
      <c r="DNS40" s="543"/>
      <c r="DNT40" s="543"/>
      <c r="DNU40" s="543"/>
      <c r="DNV40" s="543"/>
      <c r="DNW40" s="543"/>
      <c r="DNX40" s="543"/>
      <c r="DNY40" s="543"/>
      <c r="DNZ40" s="543"/>
      <c r="DOA40" s="543"/>
      <c r="DOB40" s="543"/>
      <c r="DOC40" s="543"/>
      <c r="DOD40" s="543"/>
      <c r="DOE40" s="543"/>
      <c r="DOF40" s="543"/>
      <c r="DOG40" s="543"/>
      <c r="DOH40" s="543"/>
      <c r="DOI40" s="543"/>
      <c r="DOJ40" s="543"/>
      <c r="DOK40" s="543"/>
      <c r="DOL40" s="543"/>
      <c r="DOM40" s="543"/>
      <c r="DON40" s="543"/>
      <c r="DOO40" s="543"/>
      <c r="DOP40" s="543"/>
      <c r="DOQ40" s="543"/>
      <c r="DOR40" s="543"/>
      <c r="DOS40" s="543"/>
      <c r="DOT40" s="543"/>
      <c r="DOU40" s="543"/>
      <c r="DOV40" s="543"/>
      <c r="DOW40" s="543"/>
      <c r="DOX40" s="543"/>
      <c r="DOY40" s="543"/>
      <c r="DOZ40" s="543"/>
      <c r="DPA40" s="543"/>
      <c r="DPB40" s="543"/>
      <c r="DPC40" s="543"/>
      <c r="DPD40" s="543"/>
      <c r="DPE40" s="543"/>
      <c r="DPF40" s="543"/>
      <c r="DPG40" s="543"/>
      <c r="DPH40" s="543"/>
      <c r="DPI40" s="543"/>
      <c r="DPJ40" s="543"/>
      <c r="DPK40" s="543"/>
      <c r="DPL40" s="543"/>
      <c r="DPM40" s="543"/>
      <c r="DPN40" s="543"/>
      <c r="DPO40" s="543"/>
      <c r="DPP40" s="543"/>
      <c r="DPQ40" s="543"/>
      <c r="DPR40" s="543"/>
      <c r="DPS40" s="543"/>
      <c r="DPT40" s="543"/>
      <c r="DPU40" s="543"/>
      <c r="DPV40" s="543"/>
      <c r="DPW40" s="543"/>
      <c r="DPX40" s="543"/>
      <c r="DPY40" s="543"/>
      <c r="DPZ40" s="543"/>
      <c r="DQA40" s="543"/>
      <c r="DQB40" s="543"/>
      <c r="DQC40" s="543"/>
      <c r="DQD40" s="543"/>
      <c r="DQE40" s="543"/>
      <c r="DQF40" s="543"/>
      <c r="DQG40" s="543"/>
      <c r="DQH40" s="543"/>
      <c r="DQI40" s="543"/>
      <c r="DQJ40" s="543"/>
      <c r="DQK40" s="543"/>
      <c r="DQL40" s="543"/>
      <c r="DQM40" s="543"/>
      <c r="DQN40" s="543"/>
      <c r="DQO40" s="543"/>
      <c r="DQP40" s="543"/>
      <c r="DQQ40" s="543"/>
      <c r="DQR40" s="543"/>
      <c r="DQS40" s="543"/>
      <c r="DQT40" s="543"/>
      <c r="DQU40" s="543"/>
      <c r="DQV40" s="543"/>
      <c r="DQW40" s="543"/>
      <c r="DQX40" s="543"/>
      <c r="DQY40" s="543"/>
      <c r="DQZ40" s="543"/>
      <c r="DRA40" s="543"/>
      <c r="DRB40" s="543"/>
      <c r="DRC40" s="543"/>
      <c r="DRD40" s="543"/>
      <c r="DRE40" s="543"/>
      <c r="DRF40" s="543"/>
      <c r="DRG40" s="543"/>
      <c r="DRH40" s="543"/>
      <c r="DRI40" s="543"/>
      <c r="DRJ40" s="543"/>
      <c r="DRK40" s="543"/>
      <c r="DRL40" s="543"/>
      <c r="DRM40" s="543"/>
      <c r="DRN40" s="543"/>
      <c r="DRO40" s="543"/>
      <c r="DRP40" s="543"/>
      <c r="DRQ40" s="543"/>
      <c r="DRR40" s="543"/>
      <c r="DRS40" s="543"/>
      <c r="DRT40" s="543"/>
      <c r="DRU40" s="543"/>
      <c r="DRV40" s="543"/>
      <c r="DRW40" s="543"/>
      <c r="DRX40" s="543"/>
      <c r="DRY40" s="543"/>
      <c r="DRZ40" s="543"/>
      <c r="DSA40" s="543"/>
      <c r="DSB40" s="543"/>
      <c r="DSC40" s="543"/>
      <c r="DSD40" s="543"/>
      <c r="DSE40" s="543"/>
      <c r="DSF40" s="543"/>
      <c r="DSG40" s="543"/>
      <c r="DSH40" s="543"/>
      <c r="DSI40" s="543"/>
      <c r="DSJ40" s="543"/>
      <c r="DSK40" s="543"/>
      <c r="DSL40" s="543"/>
      <c r="DSM40" s="543"/>
      <c r="DSN40" s="543"/>
      <c r="DSO40" s="543"/>
      <c r="DSP40" s="543"/>
      <c r="DSQ40" s="543"/>
      <c r="DSR40" s="543"/>
      <c r="DSS40" s="543"/>
      <c r="DST40" s="543"/>
      <c r="DSU40" s="543"/>
      <c r="DSV40" s="543"/>
      <c r="DSW40" s="543"/>
      <c r="DSX40" s="543"/>
      <c r="DSY40" s="543"/>
      <c r="DSZ40" s="543"/>
      <c r="DTA40" s="543"/>
      <c r="DTB40" s="543"/>
      <c r="DTC40" s="543"/>
      <c r="DTD40" s="543"/>
      <c r="DTE40" s="543"/>
      <c r="DTF40" s="543"/>
      <c r="DTG40" s="543"/>
      <c r="DTH40" s="543"/>
      <c r="DTI40" s="543"/>
      <c r="DTJ40" s="543"/>
      <c r="DTK40" s="543"/>
      <c r="DTL40" s="543"/>
      <c r="DTM40" s="543"/>
      <c r="DTN40" s="543"/>
      <c r="DTO40" s="543"/>
      <c r="DTP40" s="543"/>
      <c r="DTQ40" s="543"/>
      <c r="DTR40" s="543"/>
      <c r="DTS40" s="543"/>
      <c r="DTT40" s="543"/>
      <c r="DTU40" s="543"/>
      <c r="DTV40" s="543"/>
      <c r="DTW40" s="543"/>
      <c r="DTX40" s="543"/>
      <c r="DTY40" s="543"/>
      <c r="DTZ40" s="543"/>
      <c r="DUA40" s="543"/>
      <c r="DUB40" s="543"/>
      <c r="DUC40" s="543"/>
      <c r="DUD40" s="543"/>
      <c r="DUE40" s="543"/>
      <c r="DUF40" s="543"/>
      <c r="DUG40" s="543"/>
      <c r="DUH40" s="543"/>
      <c r="DUI40" s="543"/>
      <c r="DUJ40" s="543"/>
      <c r="DUK40" s="543"/>
      <c r="DUL40" s="543"/>
      <c r="DUM40" s="543"/>
      <c r="DUN40" s="543"/>
      <c r="DUO40" s="543"/>
      <c r="DUP40" s="543"/>
      <c r="DUQ40" s="543"/>
      <c r="DUR40" s="543"/>
      <c r="DUS40" s="543"/>
      <c r="DUT40" s="543"/>
      <c r="DUU40" s="543"/>
      <c r="DUV40" s="543"/>
      <c r="DUW40" s="543"/>
      <c r="DUX40" s="543"/>
      <c r="DUY40" s="543"/>
      <c r="DUZ40" s="543"/>
      <c r="DVA40" s="543"/>
      <c r="DVB40" s="543"/>
      <c r="DVC40" s="543"/>
      <c r="DVD40" s="543"/>
      <c r="DVE40" s="543"/>
      <c r="DVF40" s="543"/>
      <c r="DVG40" s="543"/>
      <c r="DVH40" s="543"/>
      <c r="DVI40" s="543"/>
      <c r="DVJ40" s="543"/>
      <c r="DVK40" s="543"/>
      <c r="DVL40" s="543"/>
      <c r="DVM40" s="543"/>
      <c r="DVN40" s="543"/>
      <c r="DVO40" s="543"/>
      <c r="DVP40" s="543"/>
      <c r="DVQ40" s="543"/>
      <c r="DVR40" s="543"/>
      <c r="DVS40" s="543"/>
      <c r="DVT40" s="543"/>
      <c r="DVU40" s="543"/>
      <c r="DVV40" s="543"/>
      <c r="DVW40" s="543"/>
      <c r="DVX40" s="543"/>
      <c r="DVY40" s="543"/>
      <c r="DVZ40" s="543"/>
      <c r="DWA40" s="543"/>
      <c r="DWB40" s="543"/>
      <c r="DWC40" s="543"/>
      <c r="DWD40" s="543"/>
      <c r="DWE40" s="543"/>
      <c r="DWF40" s="543"/>
      <c r="DWG40" s="543"/>
      <c r="DWH40" s="543"/>
      <c r="DWI40" s="543"/>
      <c r="DWJ40" s="543"/>
      <c r="DWK40" s="543"/>
      <c r="DWL40" s="543"/>
      <c r="DWM40" s="543"/>
      <c r="DWN40" s="543"/>
      <c r="DWO40" s="543"/>
      <c r="DWP40" s="543"/>
      <c r="DWQ40" s="543"/>
      <c r="DWR40" s="543"/>
      <c r="DWS40" s="543"/>
      <c r="DWT40" s="543"/>
      <c r="DWU40" s="543"/>
      <c r="DWV40" s="543"/>
      <c r="DWW40" s="543"/>
      <c r="DWX40" s="543"/>
      <c r="DWY40" s="543"/>
      <c r="DWZ40" s="543"/>
      <c r="DXA40" s="543"/>
      <c r="DXB40" s="543"/>
      <c r="DXC40" s="543"/>
      <c r="DXD40" s="543"/>
      <c r="DXE40" s="543"/>
      <c r="DXF40" s="543"/>
      <c r="DXG40" s="543"/>
      <c r="DXH40" s="543"/>
      <c r="DXI40" s="543"/>
      <c r="DXJ40" s="543"/>
      <c r="DXK40" s="543"/>
      <c r="DXL40" s="543"/>
      <c r="DXM40" s="543"/>
      <c r="DXN40" s="543"/>
      <c r="DXO40" s="543"/>
      <c r="DXP40" s="543"/>
      <c r="DXQ40" s="543"/>
      <c r="DXR40" s="543"/>
      <c r="DXS40" s="543"/>
      <c r="DXT40" s="543"/>
      <c r="DXU40" s="543"/>
      <c r="DXV40" s="543"/>
      <c r="DXW40" s="543"/>
      <c r="DXX40" s="543"/>
      <c r="DXY40" s="543"/>
      <c r="DXZ40" s="543"/>
      <c r="DYA40" s="543"/>
      <c r="DYB40" s="543"/>
      <c r="DYC40" s="543"/>
      <c r="DYD40" s="543"/>
      <c r="DYE40" s="543"/>
      <c r="DYF40" s="543"/>
      <c r="DYG40" s="543"/>
      <c r="DYH40" s="543"/>
      <c r="DYI40" s="543"/>
      <c r="DYJ40" s="543"/>
      <c r="DYK40" s="543"/>
      <c r="DYL40" s="543"/>
      <c r="DYM40" s="543"/>
      <c r="DYN40" s="543"/>
      <c r="DYO40" s="543"/>
      <c r="DYP40" s="543"/>
      <c r="DYQ40" s="543"/>
      <c r="DYR40" s="543"/>
      <c r="DYS40" s="543"/>
      <c r="DYT40" s="543"/>
      <c r="DYU40" s="543"/>
      <c r="DYV40" s="543"/>
      <c r="DYW40" s="543"/>
      <c r="DYX40" s="543"/>
      <c r="DYY40" s="543"/>
      <c r="DYZ40" s="543"/>
      <c r="DZA40" s="543"/>
      <c r="DZB40" s="543"/>
      <c r="DZC40" s="543"/>
      <c r="DZD40" s="543"/>
      <c r="DZE40" s="543"/>
      <c r="DZF40" s="543"/>
      <c r="DZG40" s="543"/>
      <c r="DZH40" s="543"/>
      <c r="DZI40" s="543"/>
      <c r="DZJ40" s="543"/>
      <c r="DZK40" s="543"/>
      <c r="DZL40" s="543"/>
      <c r="DZM40" s="543"/>
      <c r="DZN40" s="543"/>
      <c r="DZO40" s="543"/>
      <c r="DZP40" s="543"/>
      <c r="DZQ40" s="543"/>
      <c r="DZR40" s="543"/>
      <c r="DZS40" s="543"/>
      <c r="DZT40" s="543"/>
      <c r="DZU40" s="543"/>
      <c r="DZV40" s="543"/>
      <c r="DZW40" s="543"/>
      <c r="DZX40" s="543"/>
      <c r="DZY40" s="543"/>
      <c r="DZZ40" s="543"/>
      <c r="EAA40" s="543"/>
      <c r="EAB40" s="543"/>
      <c r="EAC40" s="543"/>
      <c r="EAD40" s="543"/>
      <c r="EAE40" s="543"/>
      <c r="EAF40" s="543"/>
      <c r="EAG40" s="543"/>
      <c r="EAH40" s="543"/>
      <c r="EAI40" s="543"/>
      <c r="EAJ40" s="543"/>
      <c r="EAK40" s="543"/>
      <c r="EAL40" s="543"/>
      <c r="EAM40" s="543"/>
      <c r="EAN40" s="543"/>
      <c r="EAO40" s="543"/>
      <c r="EAP40" s="543"/>
      <c r="EAQ40" s="543"/>
      <c r="EAR40" s="543"/>
      <c r="EAS40" s="543"/>
      <c r="EAT40" s="543"/>
      <c r="EAU40" s="543"/>
      <c r="EAV40" s="543"/>
      <c r="EAW40" s="543"/>
      <c r="EAX40" s="543"/>
      <c r="EAY40" s="543"/>
      <c r="EAZ40" s="543"/>
      <c r="EBA40" s="543"/>
      <c r="EBB40" s="543"/>
      <c r="EBC40" s="543"/>
      <c r="EBD40" s="543"/>
      <c r="EBE40" s="543"/>
      <c r="EBF40" s="543"/>
      <c r="EBG40" s="543"/>
      <c r="EBH40" s="543"/>
      <c r="EBI40" s="543"/>
      <c r="EBJ40" s="543"/>
      <c r="EBK40" s="543"/>
      <c r="EBL40" s="543"/>
      <c r="EBM40" s="543"/>
      <c r="EBN40" s="543"/>
      <c r="EBO40" s="543"/>
      <c r="EBP40" s="543"/>
      <c r="EBQ40" s="543"/>
      <c r="EBR40" s="543"/>
      <c r="EBS40" s="543"/>
      <c r="EBT40" s="543"/>
      <c r="EBU40" s="543"/>
      <c r="EBV40" s="543"/>
      <c r="EBW40" s="543"/>
      <c r="EBX40" s="543"/>
      <c r="EBY40" s="543"/>
      <c r="EBZ40" s="543"/>
      <c r="ECA40" s="543"/>
      <c r="ECB40" s="543"/>
      <c r="ECC40" s="543"/>
      <c r="ECD40" s="543"/>
      <c r="ECE40" s="543"/>
      <c r="ECF40" s="543"/>
      <c r="ECG40" s="543"/>
      <c r="ECH40" s="543"/>
      <c r="ECI40" s="543"/>
      <c r="ECJ40" s="543"/>
      <c r="ECK40" s="543"/>
      <c r="ECL40" s="543"/>
      <c r="ECM40" s="543"/>
      <c r="ECN40" s="543"/>
      <c r="ECO40" s="543"/>
      <c r="ECP40" s="543"/>
      <c r="ECQ40" s="543"/>
      <c r="ECR40" s="543"/>
      <c r="ECS40" s="543"/>
      <c r="ECT40" s="543"/>
      <c r="ECU40" s="543"/>
      <c r="ECV40" s="543"/>
      <c r="ECW40" s="543"/>
      <c r="ECX40" s="543"/>
      <c r="ECY40" s="543"/>
      <c r="ECZ40" s="543"/>
      <c r="EDA40" s="543"/>
      <c r="EDB40" s="543"/>
      <c r="EDC40" s="543"/>
      <c r="EDD40" s="543"/>
      <c r="EDE40" s="543"/>
      <c r="EDF40" s="543"/>
      <c r="EDG40" s="543"/>
      <c r="EDH40" s="543"/>
      <c r="EDI40" s="543"/>
      <c r="EDJ40" s="543"/>
      <c r="EDK40" s="543"/>
      <c r="EDL40" s="543"/>
      <c r="EDM40" s="543"/>
      <c r="EDN40" s="543"/>
      <c r="EDO40" s="543"/>
      <c r="EDP40" s="543"/>
      <c r="EDQ40" s="543"/>
      <c r="EDR40" s="543"/>
      <c r="EDS40" s="543"/>
      <c r="EDT40" s="543"/>
      <c r="EDU40" s="543"/>
      <c r="EDV40" s="543"/>
      <c r="EDW40" s="543"/>
      <c r="EDX40" s="543"/>
      <c r="EDY40" s="543"/>
      <c r="EDZ40" s="543"/>
      <c r="EEA40" s="543"/>
      <c r="EEB40" s="543"/>
      <c r="EEC40" s="543"/>
      <c r="EED40" s="543"/>
      <c r="EEE40" s="543"/>
      <c r="EEF40" s="543"/>
      <c r="EEG40" s="543"/>
      <c r="EEH40" s="543"/>
      <c r="EEI40" s="543"/>
      <c r="EEJ40" s="543"/>
      <c r="EEK40" s="543"/>
      <c r="EEL40" s="543"/>
      <c r="EEM40" s="543"/>
      <c r="EEN40" s="543"/>
      <c r="EEO40" s="543"/>
      <c r="EEP40" s="543"/>
      <c r="EEQ40" s="543"/>
      <c r="EER40" s="543"/>
      <c r="EES40" s="543"/>
      <c r="EET40" s="543"/>
      <c r="EEU40" s="543"/>
      <c r="EEV40" s="543"/>
      <c r="EEW40" s="543"/>
      <c r="EEX40" s="543"/>
      <c r="EEY40" s="543"/>
      <c r="EEZ40" s="543"/>
      <c r="EFA40" s="543"/>
      <c r="EFB40" s="543"/>
      <c r="EFC40" s="543"/>
      <c r="EFD40" s="543"/>
      <c r="EFE40" s="543"/>
      <c r="EFF40" s="543"/>
      <c r="EFG40" s="543"/>
      <c r="EFH40" s="543"/>
      <c r="EFI40" s="543"/>
      <c r="EFJ40" s="543"/>
      <c r="EFK40" s="543"/>
      <c r="EFL40" s="543"/>
      <c r="EFM40" s="543"/>
      <c r="EFN40" s="543"/>
      <c r="EFO40" s="543"/>
      <c r="EFP40" s="543"/>
      <c r="EFQ40" s="543"/>
      <c r="EFR40" s="543"/>
      <c r="EFS40" s="543"/>
      <c r="EFT40" s="543"/>
      <c r="EFU40" s="543"/>
      <c r="EFV40" s="543"/>
      <c r="EFW40" s="543"/>
      <c r="EFX40" s="543"/>
      <c r="EFY40" s="543"/>
      <c r="EFZ40" s="543"/>
      <c r="EGA40" s="543"/>
      <c r="EGB40" s="543"/>
      <c r="EGC40" s="543"/>
      <c r="EGD40" s="543"/>
      <c r="EGE40" s="543"/>
      <c r="EGF40" s="543"/>
      <c r="EGG40" s="543"/>
      <c r="EGH40" s="543"/>
      <c r="EGI40" s="543"/>
      <c r="EGJ40" s="543"/>
      <c r="EGK40" s="543"/>
      <c r="EGL40" s="543"/>
      <c r="EGM40" s="543"/>
      <c r="EGN40" s="543"/>
      <c r="EGO40" s="543"/>
      <c r="EGP40" s="543"/>
      <c r="EGQ40" s="543"/>
      <c r="EGR40" s="543"/>
      <c r="EGS40" s="543"/>
      <c r="EGT40" s="543"/>
      <c r="EGU40" s="543"/>
      <c r="EGV40" s="543"/>
      <c r="EGW40" s="543"/>
      <c r="EGX40" s="543"/>
      <c r="EGY40" s="543"/>
      <c r="EGZ40" s="543"/>
      <c r="EHA40" s="543"/>
      <c r="EHB40" s="543"/>
      <c r="EHC40" s="543"/>
      <c r="EHD40" s="543"/>
      <c r="EHE40" s="543"/>
      <c r="EHF40" s="543"/>
      <c r="EHG40" s="543"/>
      <c r="EHH40" s="543"/>
      <c r="EHI40" s="543"/>
      <c r="EHJ40" s="543"/>
      <c r="EHK40" s="543"/>
      <c r="EHL40" s="543"/>
      <c r="EHM40" s="543"/>
      <c r="EHN40" s="543"/>
      <c r="EHO40" s="543"/>
      <c r="EHP40" s="543"/>
      <c r="EHQ40" s="543"/>
      <c r="EHR40" s="543"/>
      <c r="EHS40" s="543"/>
      <c r="EHT40" s="543"/>
      <c r="EHU40" s="543"/>
      <c r="EHV40" s="543"/>
      <c r="EHW40" s="543"/>
      <c r="EHX40" s="543"/>
      <c r="EHY40" s="543"/>
      <c r="EHZ40" s="543"/>
      <c r="EIA40" s="543"/>
      <c r="EIB40" s="543"/>
      <c r="EIC40" s="543"/>
      <c r="EID40" s="543"/>
      <c r="EIE40" s="543"/>
      <c r="EIF40" s="543"/>
      <c r="EIG40" s="543"/>
      <c r="EIH40" s="543"/>
      <c r="EII40" s="543"/>
      <c r="EIJ40" s="543"/>
      <c r="EIK40" s="543"/>
      <c r="EIL40" s="543"/>
      <c r="EIM40" s="543"/>
      <c r="EIN40" s="543"/>
      <c r="EIO40" s="543"/>
      <c r="EIP40" s="543"/>
      <c r="EIQ40" s="543"/>
      <c r="EIR40" s="543"/>
      <c r="EIS40" s="543"/>
      <c r="EIT40" s="543"/>
      <c r="EIU40" s="543"/>
      <c r="EIV40" s="543"/>
      <c r="EIW40" s="543"/>
      <c r="EIX40" s="543"/>
      <c r="EIY40" s="543"/>
      <c r="EIZ40" s="543"/>
      <c r="EJA40" s="543"/>
      <c r="EJB40" s="543"/>
      <c r="EJC40" s="543"/>
      <c r="EJD40" s="543"/>
      <c r="EJE40" s="543"/>
      <c r="EJF40" s="543"/>
      <c r="EJG40" s="543"/>
      <c r="EJH40" s="543"/>
      <c r="EJI40" s="543"/>
      <c r="EJJ40" s="543"/>
      <c r="EJK40" s="543"/>
      <c r="EJL40" s="543"/>
      <c r="EJM40" s="543"/>
      <c r="EJN40" s="543"/>
      <c r="EJO40" s="543"/>
      <c r="EJP40" s="543"/>
      <c r="EJQ40" s="543"/>
      <c r="EJR40" s="543"/>
      <c r="EJS40" s="543"/>
      <c r="EJT40" s="543"/>
      <c r="EJU40" s="543"/>
      <c r="EJV40" s="543"/>
      <c r="EJW40" s="543"/>
      <c r="EJX40" s="543"/>
      <c r="EJY40" s="543"/>
      <c r="EJZ40" s="543"/>
      <c r="EKA40" s="543"/>
      <c r="EKB40" s="543"/>
      <c r="EKC40" s="543"/>
      <c r="EKD40" s="543"/>
      <c r="EKE40" s="543"/>
      <c r="EKF40" s="543"/>
      <c r="EKG40" s="543"/>
      <c r="EKH40" s="543"/>
      <c r="EKI40" s="543"/>
      <c r="EKJ40" s="543"/>
      <c r="EKK40" s="543"/>
      <c r="EKL40" s="543"/>
      <c r="EKM40" s="543"/>
      <c r="EKN40" s="543"/>
      <c r="EKO40" s="543"/>
      <c r="EKP40" s="543"/>
      <c r="EKQ40" s="543"/>
      <c r="EKR40" s="543"/>
      <c r="EKS40" s="543"/>
      <c r="EKT40" s="543"/>
      <c r="EKU40" s="543"/>
      <c r="EKV40" s="543"/>
      <c r="EKW40" s="543"/>
      <c r="EKX40" s="543"/>
      <c r="EKY40" s="543"/>
      <c r="EKZ40" s="543"/>
      <c r="ELA40" s="543"/>
      <c r="ELB40" s="543"/>
      <c r="ELC40" s="543"/>
      <c r="ELD40" s="543"/>
      <c r="ELE40" s="543"/>
      <c r="ELF40" s="543"/>
      <c r="ELG40" s="543"/>
      <c r="ELH40" s="543"/>
      <c r="ELI40" s="543"/>
      <c r="ELJ40" s="543"/>
      <c r="ELK40" s="543"/>
      <c r="ELL40" s="543"/>
      <c r="ELM40" s="543"/>
      <c r="ELN40" s="543"/>
      <c r="ELO40" s="543"/>
      <c r="ELP40" s="543"/>
      <c r="ELQ40" s="543"/>
      <c r="ELR40" s="543"/>
      <c r="ELS40" s="543"/>
      <c r="ELT40" s="543"/>
      <c r="ELU40" s="543"/>
      <c r="ELV40" s="543"/>
      <c r="ELW40" s="543"/>
      <c r="ELX40" s="543"/>
      <c r="ELY40" s="543"/>
      <c r="ELZ40" s="543"/>
      <c r="EMA40" s="543"/>
      <c r="EMB40" s="543"/>
      <c r="EMC40" s="543"/>
      <c r="EMD40" s="543"/>
      <c r="EME40" s="543"/>
      <c r="EMF40" s="543"/>
      <c r="EMG40" s="543"/>
      <c r="EMH40" s="543"/>
      <c r="EMI40" s="543"/>
      <c r="EMJ40" s="543"/>
      <c r="EMK40" s="543"/>
      <c r="EML40" s="543"/>
      <c r="EMM40" s="543"/>
      <c r="EMN40" s="543"/>
      <c r="EMO40" s="543"/>
      <c r="EMP40" s="543"/>
      <c r="EMQ40" s="543"/>
      <c r="EMR40" s="543"/>
      <c r="EMS40" s="543"/>
      <c r="EMT40" s="543"/>
      <c r="EMU40" s="543"/>
      <c r="EMV40" s="543"/>
      <c r="EMW40" s="543"/>
      <c r="EMX40" s="543"/>
      <c r="EMY40" s="543"/>
      <c r="EMZ40" s="543"/>
      <c r="ENA40" s="543"/>
      <c r="ENB40" s="543"/>
      <c r="ENC40" s="543"/>
      <c r="END40" s="543"/>
      <c r="ENE40" s="543"/>
      <c r="ENF40" s="543"/>
      <c r="ENG40" s="543"/>
      <c r="ENH40" s="543"/>
      <c r="ENI40" s="543"/>
      <c r="ENJ40" s="543"/>
      <c r="ENK40" s="543"/>
      <c r="ENL40" s="543"/>
      <c r="ENM40" s="543"/>
      <c r="ENN40" s="543"/>
      <c r="ENO40" s="543"/>
      <c r="ENP40" s="543"/>
      <c r="ENQ40" s="543"/>
      <c r="ENR40" s="543"/>
      <c r="ENS40" s="543"/>
      <c r="ENT40" s="543"/>
      <c r="ENU40" s="543"/>
      <c r="ENV40" s="543"/>
      <c r="ENW40" s="543"/>
      <c r="ENX40" s="543"/>
      <c r="ENY40" s="543"/>
      <c r="ENZ40" s="543"/>
      <c r="EOA40" s="543"/>
      <c r="EOB40" s="543"/>
      <c r="EOC40" s="543"/>
      <c r="EOD40" s="543"/>
      <c r="EOE40" s="543"/>
      <c r="EOF40" s="543"/>
      <c r="EOG40" s="543"/>
      <c r="EOH40" s="543"/>
      <c r="EOI40" s="543"/>
      <c r="EOJ40" s="543"/>
      <c r="EOK40" s="543"/>
      <c r="EOL40" s="543"/>
      <c r="EOM40" s="543"/>
      <c r="EON40" s="543"/>
      <c r="EOO40" s="543"/>
      <c r="EOP40" s="543"/>
      <c r="EOQ40" s="543"/>
      <c r="EOR40" s="543"/>
      <c r="EOS40" s="543"/>
      <c r="EOT40" s="543"/>
      <c r="EOU40" s="543"/>
      <c r="EOV40" s="543"/>
      <c r="EOW40" s="543"/>
      <c r="EOX40" s="543"/>
      <c r="EOY40" s="543"/>
      <c r="EOZ40" s="543"/>
      <c r="EPA40" s="543"/>
      <c r="EPB40" s="543"/>
      <c r="EPC40" s="543"/>
      <c r="EPD40" s="543"/>
      <c r="EPE40" s="543"/>
      <c r="EPF40" s="543"/>
      <c r="EPG40" s="543"/>
      <c r="EPH40" s="543"/>
      <c r="EPI40" s="543"/>
      <c r="EPJ40" s="543"/>
      <c r="EPK40" s="543"/>
      <c r="EPL40" s="543"/>
      <c r="EPM40" s="543"/>
      <c r="EPN40" s="543"/>
      <c r="EPO40" s="543"/>
      <c r="EPP40" s="543"/>
      <c r="EPQ40" s="543"/>
      <c r="EPR40" s="543"/>
      <c r="EPS40" s="543"/>
      <c r="EPT40" s="543"/>
      <c r="EPU40" s="543"/>
      <c r="EPV40" s="543"/>
      <c r="EPW40" s="543"/>
      <c r="EPX40" s="543"/>
      <c r="EPY40" s="543"/>
      <c r="EPZ40" s="543"/>
      <c r="EQA40" s="543"/>
      <c r="EQB40" s="543"/>
      <c r="EQC40" s="543"/>
      <c r="EQD40" s="543"/>
      <c r="EQE40" s="543"/>
      <c r="EQF40" s="543"/>
      <c r="EQG40" s="543"/>
      <c r="EQH40" s="543"/>
      <c r="EQI40" s="543"/>
      <c r="EQJ40" s="543"/>
      <c r="EQK40" s="543"/>
      <c r="EQL40" s="543"/>
      <c r="EQM40" s="543"/>
      <c r="EQN40" s="543"/>
      <c r="EQO40" s="543"/>
      <c r="EQP40" s="543"/>
      <c r="EQQ40" s="543"/>
      <c r="EQR40" s="543"/>
      <c r="EQS40" s="543"/>
      <c r="EQT40" s="543"/>
      <c r="EQU40" s="543"/>
      <c r="EQV40" s="543"/>
      <c r="EQW40" s="543"/>
      <c r="EQX40" s="543"/>
      <c r="EQY40" s="543"/>
      <c r="EQZ40" s="543"/>
      <c r="ERA40" s="543"/>
      <c r="ERB40" s="543"/>
      <c r="ERC40" s="543"/>
      <c r="ERD40" s="543"/>
      <c r="ERE40" s="543"/>
      <c r="ERF40" s="543"/>
      <c r="ERG40" s="543"/>
      <c r="ERH40" s="543"/>
      <c r="ERI40" s="543"/>
      <c r="ERJ40" s="543"/>
      <c r="ERK40" s="543"/>
      <c r="ERL40" s="543"/>
      <c r="ERM40" s="543"/>
      <c r="ERN40" s="543"/>
      <c r="ERO40" s="543"/>
      <c r="ERP40" s="543"/>
      <c r="ERQ40" s="543"/>
      <c r="ERR40" s="543"/>
      <c r="ERS40" s="543"/>
      <c r="ERT40" s="543"/>
      <c r="ERU40" s="543"/>
      <c r="ERV40" s="543"/>
      <c r="ERW40" s="543"/>
      <c r="ERX40" s="543"/>
      <c r="ERY40" s="543"/>
      <c r="ERZ40" s="543"/>
      <c r="ESA40" s="543"/>
      <c r="ESB40" s="543"/>
      <c r="ESC40" s="543"/>
      <c r="ESD40" s="543"/>
      <c r="ESE40" s="543"/>
      <c r="ESF40" s="543"/>
      <c r="ESG40" s="543"/>
      <c r="ESH40" s="543"/>
      <c r="ESI40" s="543"/>
      <c r="ESJ40" s="543"/>
      <c r="ESK40" s="543"/>
      <c r="ESL40" s="543"/>
      <c r="ESM40" s="543"/>
      <c r="ESN40" s="543"/>
      <c r="ESO40" s="543"/>
      <c r="ESP40" s="543"/>
      <c r="ESQ40" s="543"/>
      <c r="ESR40" s="543"/>
      <c r="ESS40" s="543"/>
      <c r="EST40" s="543"/>
      <c r="ESU40" s="543"/>
      <c r="ESV40" s="543"/>
      <c r="ESW40" s="543"/>
      <c r="ESX40" s="543"/>
      <c r="ESY40" s="543"/>
      <c r="ESZ40" s="543"/>
      <c r="ETA40" s="543"/>
      <c r="ETB40" s="543"/>
      <c r="ETC40" s="543"/>
      <c r="ETD40" s="543"/>
      <c r="ETE40" s="543"/>
      <c r="ETF40" s="543"/>
      <c r="ETG40" s="543"/>
      <c r="ETH40" s="543"/>
      <c r="ETI40" s="543"/>
      <c r="ETJ40" s="543"/>
      <c r="ETK40" s="543"/>
      <c r="ETL40" s="543"/>
      <c r="ETM40" s="543"/>
      <c r="ETN40" s="543"/>
      <c r="ETO40" s="543"/>
      <c r="ETP40" s="543"/>
      <c r="ETQ40" s="543"/>
      <c r="ETR40" s="543"/>
      <c r="ETS40" s="543"/>
      <c r="ETT40" s="543"/>
      <c r="ETU40" s="543"/>
      <c r="ETV40" s="543"/>
      <c r="ETW40" s="543"/>
      <c r="ETX40" s="543"/>
      <c r="ETY40" s="543"/>
      <c r="ETZ40" s="543"/>
      <c r="EUA40" s="543"/>
      <c r="EUB40" s="543"/>
      <c r="EUC40" s="543"/>
      <c r="EUD40" s="543"/>
      <c r="EUE40" s="543"/>
      <c r="EUF40" s="543"/>
      <c r="EUG40" s="543"/>
      <c r="EUH40" s="543"/>
      <c r="EUI40" s="543"/>
      <c r="EUJ40" s="543"/>
      <c r="EUK40" s="543"/>
      <c r="EUL40" s="543"/>
      <c r="EUM40" s="543"/>
      <c r="EUN40" s="543"/>
      <c r="EUO40" s="543"/>
      <c r="EUP40" s="543"/>
      <c r="EUQ40" s="543"/>
      <c r="EUR40" s="543"/>
      <c r="EUS40" s="543"/>
      <c r="EUT40" s="543"/>
      <c r="EUU40" s="543"/>
      <c r="EUV40" s="543"/>
      <c r="EUW40" s="543"/>
      <c r="EUX40" s="543"/>
      <c r="EUY40" s="543"/>
      <c r="EUZ40" s="543"/>
      <c r="EVA40" s="543"/>
      <c r="EVB40" s="543"/>
      <c r="EVC40" s="543"/>
      <c r="EVD40" s="543"/>
      <c r="EVE40" s="543"/>
      <c r="EVF40" s="543"/>
      <c r="EVG40" s="543"/>
      <c r="EVH40" s="543"/>
      <c r="EVI40" s="543"/>
      <c r="EVJ40" s="543"/>
      <c r="EVK40" s="543"/>
      <c r="EVL40" s="543"/>
      <c r="EVM40" s="543"/>
      <c r="EVN40" s="543"/>
      <c r="EVO40" s="543"/>
      <c r="EVP40" s="543"/>
      <c r="EVQ40" s="543"/>
      <c r="EVR40" s="543"/>
      <c r="EVS40" s="543"/>
      <c r="EVT40" s="543"/>
      <c r="EVU40" s="543"/>
      <c r="EVV40" s="543"/>
      <c r="EVW40" s="543"/>
      <c r="EVX40" s="543"/>
      <c r="EVY40" s="543"/>
      <c r="EVZ40" s="543"/>
      <c r="EWA40" s="543"/>
      <c r="EWB40" s="543"/>
      <c r="EWC40" s="543"/>
      <c r="EWD40" s="543"/>
      <c r="EWE40" s="543"/>
      <c r="EWF40" s="543"/>
      <c r="EWG40" s="543"/>
      <c r="EWH40" s="543"/>
      <c r="EWI40" s="543"/>
      <c r="EWJ40" s="543"/>
      <c r="EWK40" s="543"/>
      <c r="EWL40" s="543"/>
      <c r="EWM40" s="543"/>
      <c r="EWN40" s="543"/>
      <c r="EWO40" s="543"/>
      <c r="EWP40" s="543"/>
      <c r="EWQ40" s="543"/>
      <c r="EWR40" s="543"/>
      <c r="EWS40" s="543"/>
      <c r="EWT40" s="543"/>
      <c r="EWU40" s="543"/>
      <c r="EWV40" s="543"/>
      <c r="EWW40" s="543"/>
      <c r="EWX40" s="543"/>
      <c r="EWY40" s="543"/>
      <c r="EWZ40" s="543"/>
      <c r="EXA40" s="543"/>
      <c r="EXB40" s="543"/>
      <c r="EXC40" s="543"/>
      <c r="EXD40" s="543"/>
      <c r="EXE40" s="543"/>
      <c r="EXF40" s="543"/>
      <c r="EXG40" s="543"/>
      <c r="EXH40" s="543"/>
      <c r="EXI40" s="543"/>
      <c r="EXJ40" s="543"/>
      <c r="EXK40" s="543"/>
      <c r="EXL40" s="543"/>
      <c r="EXM40" s="543"/>
      <c r="EXN40" s="543"/>
      <c r="EXO40" s="543"/>
      <c r="EXP40" s="543"/>
      <c r="EXQ40" s="543"/>
      <c r="EXR40" s="543"/>
      <c r="EXS40" s="543"/>
      <c r="EXT40" s="543"/>
      <c r="EXU40" s="543"/>
      <c r="EXV40" s="543"/>
      <c r="EXW40" s="543"/>
      <c r="EXX40" s="543"/>
      <c r="EXY40" s="543"/>
      <c r="EXZ40" s="543"/>
      <c r="EYA40" s="543"/>
      <c r="EYB40" s="543"/>
      <c r="EYC40" s="543"/>
      <c r="EYD40" s="543"/>
      <c r="EYE40" s="543"/>
      <c r="EYF40" s="543"/>
      <c r="EYG40" s="543"/>
      <c r="EYH40" s="543"/>
      <c r="EYI40" s="543"/>
      <c r="EYJ40" s="543"/>
      <c r="EYK40" s="543"/>
      <c r="EYL40" s="543"/>
      <c r="EYM40" s="543"/>
      <c r="EYN40" s="543"/>
      <c r="EYO40" s="543"/>
      <c r="EYP40" s="543"/>
      <c r="EYQ40" s="543"/>
      <c r="EYR40" s="543"/>
      <c r="EYS40" s="543"/>
      <c r="EYT40" s="543"/>
      <c r="EYU40" s="543"/>
      <c r="EYV40" s="543"/>
      <c r="EYW40" s="543"/>
      <c r="EYX40" s="543"/>
      <c r="EYY40" s="543"/>
      <c r="EYZ40" s="543"/>
      <c r="EZA40" s="543"/>
      <c r="EZB40" s="543"/>
      <c r="EZC40" s="543"/>
      <c r="EZD40" s="543"/>
      <c r="EZE40" s="543"/>
      <c r="EZF40" s="543"/>
      <c r="EZG40" s="543"/>
      <c r="EZH40" s="543"/>
      <c r="EZI40" s="543"/>
      <c r="EZJ40" s="543"/>
      <c r="EZK40" s="543"/>
      <c r="EZL40" s="543"/>
      <c r="EZM40" s="543"/>
      <c r="EZN40" s="543"/>
      <c r="EZO40" s="543"/>
      <c r="EZP40" s="543"/>
      <c r="EZQ40" s="543"/>
      <c r="EZR40" s="543"/>
      <c r="EZS40" s="543"/>
      <c r="EZT40" s="543"/>
      <c r="EZU40" s="543"/>
      <c r="EZV40" s="543"/>
      <c r="EZW40" s="543"/>
      <c r="EZX40" s="543"/>
      <c r="EZY40" s="543"/>
      <c r="EZZ40" s="543"/>
      <c r="FAA40" s="543"/>
      <c r="FAB40" s="543"/>
      <c r="FAC40" s="543"/>
      <c r="FAD40" s="543"/>
      <c r="FAE40" s="543"/>
      <c r="FAF40" s="543"/>
      <c r="FAG40" s="543"/>
      <c r="FAH40" s="543"/>
      <c r="FAI40" s="543"/>
      <c r="FAJ40" s="543"/>
      <c r="FAK40" s="543"/>
      <c r="FAL40" s="543"/>
      <c r="FAM40" s="543"/>
      <c r="FAN40" s="543"/>
      <c r="FAO40" s="543"/>
      <c r="FAP40" s="543"/>
      <c r="FAQ40" s="543"/>
      <c r="FAR40" s="543"/>
      <c r="FAS40" s="543"/>
      <c r="FAT40" s="543"/>
      <c r="FAU40" s="543"/>
      <c r="FAV40" s="543"/>
      <c r="FAW40" s="543"/>
      <c r="FAX40" s="543"/>
      <c r="FAY40" s="543"/>
      <c r="FAZ40" s="543"/>
      <c r="FBA40" s="543"/>
      <c r="FBB40" s="543"/>
      <c r="FBC40" s="543"/>
      <c r="FBD40" s="543"/>
      <c r="FBE40" s="543"/>
      <c r="FBF40" s="543"/>
      <c r="FBG40" s="543"/>
      <c r="FBH40" s="543"/>
      <c r="FBI40" s="543"/>
      <c r="FBJ40" s="543"/>
      <c r="FBK40" s="543"/>
      <c r="FBL40" s="543"/>
      <c r="FBM40" s="543"/>
      <c r="FBN40" s="543"/>
      <c r="FBO40" s="543"/>
      <c r="FBP40" s="543"/>
      <c r="FBQ40" s="543"/>
      <c r="FBR40" s="543"/>
      <c r="FBS40" s="543"/>
      <c r="FBT40" s="543"/>
      <c r="FBU40" s="543"/>
      <c r="FBV40" s="543"/>
      <c r="FBW40" s="543"/>
      <c r="FBX40" s="543"/>
      <c r="FBY40" s="543"/>
      <c r="FBZ40" s="543"/>
      <c r="FCA40" s="543"/>
      <c r="FCB40" s="543"/>
      <c r="FCC40" s="543"/>
      <c r="FCD40" s="543"/>
      <c r="FCE40" s="543"/>
      <c r="FCF40" s="543"/>
      <c r="FCG40" s="543"/>
      <c r="FCH40" s="543"/>
      <c r="FCI40" s="543"/>
      <c r="FCJ40" s="543"/>
      <c r="FCK40" s="543"/>
      <c r="FCL40" s="543"/>
      <c r="FCM40" s="543"/>
      <c r="FCN40" s="543"/>
      <c r="FCO40" s="543"/>
      <c r="FCP40" s="543"/>
      <c r="FCQ40" s="543"/>
      <c r="FCR40" s="543"/>
      <c r="FCS40" s="543"/>
      <c r="FCT40" s="543"/>
      <c r="FCU40" s="543"/>
      <c r="FCV40" s="543"/>
      <c r="FCW40" s="543"/>
      <c r="FCX40" s="543"/>
      <c r="FCY40" s="543"/>
      <c r="FCZ40" s="543"/>
      <c r="FDA40" s="543"/>
      <c r="FDB40" s="543"/>
      <c r="FDC40" s="543"/>
      <c r="FDD40" s="543"/>
      <c r="FDE40" s="543"/>
      <c r="FDF40" s="543"/>
      <c r="FDG40" s="543"/>
      <c r="FDH40" s="543"/>
      <c r="FDI40" s="543"/>
      <c r="FDJ40" s="543"/>
      <c r="FDK40" s="543"/>
      <c r="FDL40" s="543"/>
      <c r="FDM40" s="543"/>
      <c r="FDN40" s="543"/>
      <c r="FDO40" s="543"/>
      <c r="FDP40" s="543"/>
      <c r="FDQ40" s="543"/>
      <c r="FDR40" s="543"/>
      <c r="FDS40" s="543"/>
      <c r="FDT40" s="543"/>
      <c r="FDU40" s="543"/>
      <c r="FDV40" s="543"/>
      <c r="FDW40" s="543"/>
      <c r="FDX40" s="543"/>
      <c r="FDY40" s="543"/>
      <c r="FDZ40" s="543"/>
      <c r="FEA40" s="543"/>
      <c r="FEB40" s="543"/>
      <c r="FEC40" s="543"/>
      <c r="FED40" s="543"/>
      <c r="FEE40" s="543"/>
      <c r="FEF40" s="543"/>
      <c r="FEG40" s="543"/>
      <c r="FEH40" s="543"/>
      <c r="FEI40" s="543"/>
      <c r="FEJ40" s="543"/>
      <c r="FEK40" s="543"/>
      <c r="FEL40" s="543"/>
      <c r="FEM40" s="543"/>
      <c r="FEN40" s="543"/>
      <c r="FEO40" s="543"/>
      <c r="FEP40" s="543"/>
      <c r="FEQ40" s="543"/>
      <c r="FER40" s="543"/>
      <c r="FES40" s="543"/>
      <c r="FET40" s="543"/>
      <c r="FEU40" s="543"/>
      <c r="FEV40" s="543"/>
      <c r="FEW40" s="543"/>
      <c r="FEX40" s="543"/>
      <c r="FEY40" s="543"/>
      <c r="FEZ40" s="543"/>
      <c r="FFA40" s="543"/>
      <c r="FFB40" s="543"/>
      <c r="FFC40" s="543"/>
      <c r="FFD40" s="543"/>
      <c r="FFE40" s="543"/>
      <c r="FFF40" s="543"/>
      <c r="FFG40" s="543"/>
      <c r="FFH40" s="543"/>
      <c r="FFI40" s="543"/>
      <c r="FFJ40" s="543"/>
      <c r="FFK40" s="543"/>
      <c r="FFL40" s="543"/>
      <c r="FFM40" s="543"/>
      <c r="FFN40" s="543"/>
      <c r="FFO40" s="543"/>
      <c r="FFP40" s="543"/>
      <c r="FFQ40" s="543"/>
      <c r="FFR40" s="543"/>
      <c r="FFS40" s="543"/>
      <c r="FFT40" s="543"/>
      <c r="FFU40" s="543"/>
      <c r="FFV40" s="543"/>
      <c r="FFW40" s="543"/>
      <c r="FFX40" s="543"/>
      <c r="FFY40" s="543"/>
      <c r="FFZ40" s="543"/>
      <c r="FGA40" s="543"/>
      <c r="FGB40" s="543"/>
      <c r="FGC40" s="543"/>
      <c r="FGD40" s="543"/>
      <c r="FGE40" s="543"/>
      <c r="FGF40" s="543"/>
      <c r="FGG40" s="543"/>
      <c r="FGH40" s="543"/>
      <c r="FGI40" s="543"/>
      <c r="FGJ40" s="543"/>
      <c r="FGK40" s="543"/>
      <c r="FGL40" s="543"/>
      <c r="FGM40" s="543"/>
      <c r="FGN40" s="543"/>
      <c r="FGO40" s="543"/>
      <c r="FGP40" s="543"/>
      <c r="FGQ40" s="543"/>
      <c r="FGR40" s="543"/>
      <c r="FGS40" s="543"/>
      <c r="FGT40" s="543"/>
      <c r="FGU40" s="543"/>
      <c r="FGV40" s="543"/>
      <c r="FGW40" s="543"/>
      <c r="FGX40" s="543"/>
      <c r="FGY40" s="543"/>
      <c r="FGZ40" s="543"/>
      <c r="FHA40" s="543"/>
      <c r="FHB40" s="543"/>
      <c r="FHC40" s="543"/>
      <c r="FHD40" s="543"/>
      <c r="FHE40" s="543"/>
      <c r="FHF40" s="543"/>
      <c r="FHG40" s="543"/>
      <c r="FHH40" s="543"/>
      <c r="FHI40" s="543"/>
      <c r="FHJ40" s="543"/>
      <c r="FHK40" s="543"/>
      <c r="FHL40" s="543"/>
      <c r="FHM40" s="543"/>
      <c r="FHN40" s="543"/>
      <c r="FHO40" s="543"/>
      <c r="FHP40" s="543"/>
      <c r="FHQ40" s="543"/>
      <c r="FHR40" s="543"/>
      <c r="FHS40" s="543"/>
      <c r="FHT40" s="543"/>
      <c r="FHU40" s="543"/>
      <c r="FHV40" s="543"/>
      <c r="FHW40" s="543"/>
      <c r="FHX40" s="543"/>
      <c r="FHY40" s="543"/>
      <c r="FHZ40" s="543"/>
      <c r="FIA40" s="543"/>
      <c r="FIB40" s="543"/>
      <c r="FIC40" s="543"/>
      <c r="FID40" s="543"/>
      <c r="FIE40" s="543"/>
      <c r="FIF40" s="543"/>
      <c r="FIG40" s="543"/>
      <c r="FIH40" s="543"/>
      <c r="FII40" s="543"/>
      <c r="FIJ40" s="543"/>
      <c r="FIK40" s="543"/>
      <c r="FIL40" s="543"/>
      <c r="FIM40" s="543"/>
      <c r="FIN40" s="543"/>
      <c r="FIO40" s="543"/>
      <c r="FIP40" s="543"/>
      <c r="FIQ40" s="543"/>
      <c r="FIR40" s="543"/>
      <c r="FIS40" s="543"/>
      <c r="FIT40" s="543"/>
      <c r="FIU40" s="543"/>
      <c r="FIV40" s="543"/>
      <c r="FIW40" s="543"/>
      <c r="FIX40" s="543"/>
      <c r="FIY40" s="543"/>
      <c r="FIZ40" s="543"/>
      <c r="FJA40" s="543"/>
      <c r="FJB40" s="543"/>
      <c r="FJC40" s="543"/>
      <c r="FJD40" s="543"/>
      <c r="FJE40" s="543"/>
      <c r="FJF40" s="543"/>
      <c r="FJG40" s="543"/>
      <c r="FJH40" s="543"/>
      <c r="FJI40" s="543"/>
      <c r="FJJ40" s="543"/>
      <c r="FJK40" s="543"/>
      <c r="FJL40" s="543"/>
      <c r="FJM40" s="543"/>
      <c r="FJN40" s="543"/>
      <c r="FJO40" s="543"/>
      <c r="FJP40" s="543"/>
      <c r="FJQ40" s="543"/>
      <c r="FJR40" s="543"/>
      <c r="FJS40" s="543"/>
      <c r="FJT40" s="543"/>
      <c r="FJU40" s="543"/>
      <c r="FJV40" s="543"/>
      <c r="FJW40" s="543"/>
      <c r="FJX40" s="543"/>
      <c r="FJY40" s="543"/>
      <c r="FJZ40" s="543"/>
      <c r="FKA40" s="543"/>
      <c r="FKB40" s="543"/>
      <c r="FKC40" s="543"/>
      <c r="FKD40" s="543"/>
      <c r="FKE40" s="543"/>
      <c r="FKF40" s="543"/>
      <c r="FKG40" s="543"/>
      <c r="FKH40" s="543"/>
      <c r="FKI40" s="543"/>
      <c r="FKJ40" s="543"/>
      <c r="FKK40" s="543"/>
      <c r="FKL40" s="543"/>
      <c r="FKM40" s="543"/>
      <c r="FKN40" s="543"/>
      <c r="FKO40" s="543"/>
      <c r="FKP40" s="543"/>
      <c r="FKQ40" s="543"/>
      <c r="FKR40" s="543"/>
      <c r="FKS40" s="543"/>
      <c r="FKT40" s="543"/>
      <c r="FKU40" s="543"/>
      <c r="FKV40" s="543"/>
      <c r="FKW40" s="543"/>
      <c r="FKX40" s="543"/>
      <c r="FKY40" s="543"/>
      <c r="FKZ40" s="543"/>
      <c r="FLA40" s="543"/>
      <c r="FLB40" s="543"/>
      <c r="FLC40" s="543"/>
      <c r="FLD40" s="543"/>
      <c r="FLE40" s="543"/>
      <c r="FLF40" s="543"/>
      <c r="FLG40" s="543"/>
      <c r="FLH40" s="543"/>
      <c r="FLI40" s="543"/>
      <c r="FLJ40" s="543"/>
      <c r="FLK40" s="543"/>
      <c r="FLL40" s="543"/>
      <c r="FLM40" s="543"/>
      <c r="FLN40" s="543"/>
      <c r="FLO40" s="543"/>
      <c r="FLP40" s="543"/>
      <c r="FLQ40" s="543"/>
      <c r="FLR40" s="543"/>
      <c r="FLS40" s="543"/>
      <c r="FLT40" s="543"/>
      <c r="FLU40" s="543"/>
      <c r="FLV40" s="543"/>
      <c r="FLW40" s="543"/>
      <c r="FLX40" s="543"/>
      <c r="FLY40" s="543"/>
      <c r="FLZ40" s="543"/>
      <c r="FMA40" s="543"/>
      <c r="FMB40" s="543"/>
      <c r="FMC40" s="543"/>
      <c r="FMD40" s="543"/>
      <c r="FME40" s="543"/>
      <c r="FMF40" s="543"/>
      <c r="FMG40" s="543"/>
      <c r="FMH40" s="543"/>
      <c r="FMI40" s="543"/>
      <c r="FMJ40" s="543"/>
      <c r="FMK40" s="543"/>
      <c r="FML40" s="543"/>
      <c r="FMM40" s="543"/>
      <c r="FMN40" s="543"/>
      <c r="FMO40" s="543"/>
      <c r="FMP40" s="543"/>
      <c r="FMQ40" s="543"/>
      <c r="FMR40" s="543"/>
      <c r="FMS40" s="543"/>
      <c r="FMT40" s="543"/>
      <c r="FMU40" s="543"/>
      <c r="FMV40" s="543"/>
      <c r="FMW40" s="543"/>
      <c r="FMX40" s="543"/>
      <c r="FMY40" s="543"/>
      <c r="FMZ40" s="543"/>
      <c r="FNA40" s="543"/>
      <c r="FNB40" s="543"/>
      <c r="FNC40" s="543"/>
      <c r="FND40" s="543"/>
      <c r="FNE40" s="543"/>
      <c r="FNF40" s="543"/>
      <c r="FNG40" s="543"/>
      <c r="FNH40" s="543"/>
      <c r="FNI40" s="543"/>
      <c r="FNJ40" s="543"/>
      <c r="FNK40" s="543"/>
      <c r="FNL40" s="543"/>
      <c r="FNM40" s="543"/>
      <c r="FNN40" s="543"/>
      <c r="FNO40" s="543"/>
      <c r="FNP40" s="543"/>
      <c r="FNQ40" s="543"/>
      <c r="FNR40" s="543"/>
      <c r="FNS40" s="543"/>
      <c r="FNT40" s="543"/>
      <c r="FNU40" s="543"/>
      <c r="FNV40" s="543"/>
      <c r="FNW40" s="543"/>
      <c r="FNX40" s="543"/>
      <c r="FNY40" s="543"/>
      <c r="FNZ40" s="543"/>
      <c r="FOA40" s="543"/>
      <c r="FOB40" s="543"/>
      <c r="FOC40" s="543"/>
      <c r="FOD40" s="543"/>
      <c r="FOE40" s="543"/>
      <c r="FOF40" s="543"/>
      <c r="FOG40" s="543"/>
      <c r="FOH40" s="543"/>
      <c r="FOI40" s="543"/>
      <c r="FOJ40" s="543"/>
      <c r="FOK40" s="543"/>
      <c r="FOL40" s="543"/>
      <c r="FOM40" s="543"/>
      <c r="FON40" s="543"/>
      <c r="FOO40" s="543"/>
      <c r="FOP40" s="543"/>
      <c r="FOQ40" s="543"/>
      <c r="FOR40" s="543"/>
      <c r="FOS40" s="543"/>
      <c r="FOT40" s="543"/>
      <c r="FOU40" s="543"/>
      <c r="FOV40" s="543"/>
      <c r="FOW40" s="543"/>
      <c r="FOX40" s="543"/>
      <c r="FOY40" s="543"/>
      <c r="FOZ40" s="543"/>
      <c r="FPA40" s="543"/>
      <c r="FPB40" s="543"/>
      <c r="FPC40" s="543"/>
      <c r="FPD40" s="543"/>
      <c r="FPE40" s="543"/>
      <c r="FPF40" s="543"/>
      <c r="FPG40" s="543"/>
      <c r="FPH40" s="543"/>
      <c r="FPI40" s="543"/>
      <c r="FPJ40" s="543"/>
      <c r="FPK40" s="543"/>
      <c r="FPL40" s="543"/>
      <c r="FPM40" s="543"/>
      <c r="FPN40" s="543"/>
      <c r="FPO40" s="543"/>
      <c r="FPP40" s="543"/>
      <c r="FPQ40" s="543"/>
      <c r="FPR40" s="543"/>
      <c r="FPS40" s="543"/>
      <c r="FPT40" s="543"/>
      <c r="FPU40" s="543"/>
      <c r="FPV40" s="543"/>
      <c r="FPW40" s="543"/>
      <c r="FPX40" s="543"/>
      <c r="FPY40" s="543"/>
      <c r="FPZ40" s="543"/>
      <c r="FQA40" s="543"/>
      <c r="FQB40" s="543"/>
      <c r="FQC40" s="543"/>
      <c r="FQD40" s="543"/>
      <c r="FQE40" s="543"/>
      <c r="FQF40" s="543"/>
      <c r="FQG40" s="543"/>
      <c r="FQH40" s="543"/>
      <c r="FQI40" s="543"/>
      <c r="FQJ40" s="543"/>
      <c r="FQK40" s="543"/>
      <c r="FQL40" s="543"/>
      <c r="FQM40" s="543"/>
      <c r="FQN40" s="543"/>
      <c r="FQO40" s="543"/>
      <c r="FQP40" s="543"/>
      <c r="FQQ40" s="543"/>
      <c r="FQR40" s="543"/>
      <c r="FQS40" s="543"/>
      <c r="FQT40" s="543"/>
      <c r="FQU40" s="543"/>
      <c r="FQV40" s="543"/>
      <c r="FQW40" s="543"/>
      <c r="FQX40" s="543"/>
      <c r="FQY40" s="543"/>
      <c r="FQZ40" s="543"/>
      <c r="FRA40" s="543"/>
      <c r="FRB40" s="543"/>
      <c r="FRC40" s="543"/>
      <c r="FRD40" s="543"/>
      <c r="FRE40" s="543"/>
      <c r="FRF40" s="543"/>
      <c r="FRG40" s="543"/>
      <c r="FRH40" s="543"/>
      <c r="FRI40" s="543"/>
      <c r="FRJ40" s="543"/>
      <c r="FRK40" s="543"/>
      <c r="FRL40" s="543"/>
      <c r="FRM40" s="543"/>
      <c r="FRN40" s="543"/>
      <c r="FRO40" s="543"/>
      <c r="FRP40" s="543"/>
      <c r="FRQ40" s="543"/>
      <c r="FRR40" s="543"/>
      <c r="FRS40" s="543"/>
      <c r="FRT40" s="543"/>
      <c r="FRU40" s="543"/>
      <c r="FRV40" s="543"/>
      <c r="FRW40" s="543"/>
      <c r="FRX40" s="543"/>
      <c r="FRY40" s="543"/>
      <c r="FRZ40" s="543"/>
      <c r="FSA40" s="543"/>
      <c r="FSB40" s="543"/>
      <c r="FSC40" s="543"/>
      <c r="FSD40" s="543"/>
      <c r="FSE40" s="543"/>
      <c r="FSF40" s="543"/>
      <c r="FSG40" s="543"/>
      <c r="FSH40" s="543"/>
      <c r="FSI40" s="543"/>
      <c r="FSJ40" s="543"/>
      <c r="FSK40" s="543"/>
      <c r="FSL40" s="543"/>
      <c r="FSM40" s="543"/>
      <c r="FSN40" s="543"/>
      <c r="FSO40" s="543"/>
      <c r="FSP40" s="543"/>
      <c r="FSQ40" s="543"/>
      <c r="FSR40" s="543"/>
      <c r="FSS40" s="543"/>
      <c r="FST40" s="543"/>
      <c r="FSU40" s="543"/>
      <c r="FSV40" s="543"/>
      <c r="FSW40" s="543"/>
      <c r="FSX40" s="543"/>
      <c r="FSY40" s="543"/>
      <c r="FSZ40" s="543"/>
      <c r="FTA40" s="543"/>
      <c r="FTB40" s="543"/>
      <c r="FTC40" s="543"/>
      <c r="FTD40" s="543"/>
      <c r="FTE40" s="543"/>
      <c r="FTF40" s="543"/>
      <c r="FTG40" s="543"/>
      <c r="FTH40" s="543"/>
      <c r="FTI40" s="543"/>
      <c r="FTJ40" s="543"/>
      <c r="FTK40" s="543"/>
      <c r="FTL40" s="543"/>
      <c r="FTM40" s="543"/>
      <c r="FTN40" s="543"/>
      <c r="FTO40" s="543"/>
      <c r="FTP40" s="543"/>
      <c r="FTQ40" s="543"/>
      <c r="FTR40" s="543"/>
      <c r="FTS40" s="543"/>
      <c r="FTT40" s="543"/>
      <c r="FTU40" s="543"/>
      <c r="FTV40" s="543"/>
      <c r="FTW40" s="543"/>
      <c r="FTX40" s="543"/>
      <c r="FTY40" s="543"/>
      <c r="FTZ40" s="543"/>
      <c r="FUA40" s="543"/>
      <c r="FUB40" s="543"/>
      <c r="FUC40" s="543"/>
      <c r="FUD40" s="543"/>
      <c r="FUE40" s="543"/>
      <c r="FUF40" s="543"/>
      <c r="FUG40" s="543"/>
      <c r="FUH40" s="543"/>
      <c r="FUI40" s="543"/>
      <c r="FUJ40" s="543"/>
      <c r="FUK40" s="543"/>
      <c r="FUL40" s="543"/>
      <c r="FUM40" s="543"/>
      <c r="FUN40" s="543"/>
      <c r="FUO40" s="543"/>
      <c r="FUP40" s="543"/>
      <c r="FUQ40" s="543"/>
      <c r="FUR40" s="543"/>
      <c r="FUS40" s="543"/>
      <c r="FUT40" s="543"/>
      <c r="FUU40" s="543"/>
      <c r="FUV40" s="543"/>
      <c r="FUW40" s="543"/>
      <c r="FUX40" s="543"/>
      <c r="FUY40" s="543"/>
      <c r="FUZ40" s="543"/>
      <c r="FVA40" s="543"/>
      <c r="FVB40" s="543"/>
      <c r="FVC40" s="543"/>
      <c r="FVD40" s="543"/>
      <c r="FVE40" s="543"/>
      <c r="FVF40" s="543"/>
      <c r="FVG40" s="543"/>
      <c r="FVH40" s="543"/>
      <c r="FVI40" s="543"/>
      <c r="FVJ40" s="543"/>
      <c r="FVK40" s="543"/>
      <c r="FVL40" s="543"/>
      <c r="FVM40" s="543"/>
      <c r="FVN40" s="543"/>
      <c r="FVO40" s="543"/>
      <c r="FVP40" s="543"/>
      <c r="FVQ40" s="543"/>
      <c r="FVR40" s="543"/>
      <c r="FVS40" s="543"/>
      <c r="FVT40" s="543"/>
      <c r="FVU40" s="543"/>
      <c r="FVV40" s="543"/>
      <c r="FVW40" s="543"/>
      <c r="FVX40" s="543"/>
      <c r="FVY40" s="543"/>
      <c r="FVZ40" s="543"/>
      <c r="FWA40" s="543"/>
      <c r="FWB40" s="543"/>
      <c r="FWC40" s="543"/>
      <c r="FWD40" s="543"/>
      <c r="FWE40" s="543"/>
      <c r="FWF40" s="543"/>
      <c r="FWG40" s="543"/>
      <c r="FWH40" s="543"/>
      <c r="FWI40" s="543"/>
      <c r="FWJ40" s="543"/>
      <c r="FWK40" s="543"/>
      <c r="FWL40" s="543"/>
      <c r="FWM40" s="543"/>
      <c r="FWN40" s="543"/>
      <c r="FWO40" s="543"/>
      <c r="FWP40" s="543"/>
      <c r="FWQ40" s="543"/>
      <c r="FWR40" s="543"/>
      <c r="FWS40" s="543"/>
      <c r="FWT40" s="543"/>
      <c r="FWU40" s="543"/>
      <c r="FWV40" s="543"/>
      <c r="FWW40" s="543"/>
      <c r="FWX40" s="543"/>
      <c r="FWY40" s="543"/>
      <c r="FWZ40" s="543"/>
      <c r="FXA40" s="543"/>
      <c r="FXB40" s="543"/>
      <c r="FXC40" s="543"/>
      <c r="FXD40" s="543"/>
      <c r="FXE40" s="543"/>
      <c r="FXF40" s="543"/>
      <c r="FXG40" s="543"/>
      <c r="FXH40" s="543"/>
      <c r="FXI40" s="543"/>
      <c r="FXJ40" s="543"/>
      <c r="FXK40" s="543"/>
      <c r="FXL40" s="543"/>
      <c r="FXM40" s="543"/>
      <c r="FXN40" s="543"/>
      <c r="FXO40" s="543"/>
      <c r="FXP40" s="543"/>
      <c r="FXQ40" s="543"/>
      <c r="FXR40" s="543"/>
      <c r="FXS40" s="543"/>
      <c r="FXT40" s="543"/>
      <c r="FXU40" s="543"/>
      <c r="FXV40" s="543"/>
      <c r="FXW40" s="543"/>
      <c r="FXX40" s="543"/>
      <c r="FXY40" s="543"/>
      <c r="FXZ40" s="543"/>
      <c r="FYA40" s="543"/>
      <c r="FYB40" s="543"/>
      <c r="FYC40" s="543"/>
      <c r="FYD40" s="543"/>
      <c r="FYE40" s="543"/>
      <c r="FYF40" s="543"/>
      <c r="FYG40" s="543"/>
      <c r="FYH40" s="543"/>
      <c r="FYI40" s="543"/>
      <c r="FYJ40" s="543"/>
      <c r="FYK40" s="543"/>
      <c r="FYL40" s="543"/>
      <c r="FYM40" s="543"/>
      <c r="FYN40" s="543"/>
      <c r="FYO40" s="543"/>
      <c r="FYP40" s="543"/>
      <c r="FYQ40" s="543"/>
      <c r="FYR40" s="543"/>
      <c r="FYS40" s="543"/>
      <c r="FYT40" s="543"/>
      <c r="FYU40" s="543"/>
      <c r="FYV40" s="543"/>
      <c r="FYW40" s="543"/>
      <c r="FYX40" s="543"/>
      <c r="FYY40" s="543"/>
      <c r="FYZ40" s="543"/>
      <c r="FZA40" s="543"/>
      <c r="FZB40" s="543"/>
      <c r="FZC40" s="543"/>
      <c r="FZD40" s="543"/>
      <c r="FZE40" s="543"/>
      <c r="FZF40" s="543"/>
      <c r="FZG40" s="543"/>
      <c r="FZH40" s="543"/>
      <c r="FZI40" s="543"/>
      <c r="FZJ40" s="543"/>
      <c r="FZK40" s="543"/>
      <c r="FZL40" s="543"/>
      <c r="FZM40" s="543"/>
      <c r="FZN40" s="543"/>
      <c r="FZO40" s="543"/>
      <c r="FZP40" s="543"/>
      <c r="FZQ40" s="543"/>
      <c r="FZR40" s="543"/>
      <c r="FZS40" s="543"/>
      <c r="FZT40" s="543"/>
      <c r="FZU40" s="543"/>
      <c r="FZV40" s="543"/>
      <c r="FZW40" s="543"/>
      <c r="FZX40" s="543"/>
      <c r="FZY40" s="543"/>
      <c r="FZZ40" s="543"/>
      <c r="GAA40" s="543"/>
      <c r="GAB40" s="543"/>
      <c r="GAC40" s="543"/>
      <c r="GAD40" s="543"/>
      <c r="GAE40" s="543"/>
      <c r="GAF40" s="543"/>
      <c r="GAG40" s="543"/>
      <c r="GAH40" s="543"/>
      <c r="GAI40" s="543"/>
      <c r="GAJ40" s="543"/>
      <c r="GAK40" s="543"/>
      <c r="GAL40" s="543"/>
      <c r="GAM40" s="543"/>
      <c r="GAN40" s="543"/>
      <c r="GAO40" s="543"/>
      <c r="GAP40" s="543"/>
      <c r="GAQ40" s="543"/>
      <c r="GAR40" s="543"/>
      <c r="GAS40" s="543"/>
      <c r="GAT40" s="543"/>
      <c r="GAU40" s="543"/>
      <c r="GAV40" s="543"/>
      <c r="GAW40" s="543"/>
      <c r="GAX40" s="543"/>
      <c r="GAY40" s="543"/>
      <c r="GAZ40" s="543"/>
      <c r="GBA40" s="543"/>
      <c r="GBB40" s="543"/>
      <c r="GBC40" s="543"/>
      <c r="GBD40" s="543"/>
      <c r="GBE40" s="543"/>
      <c r="GBF40" s="543"/>
      <c r="GBG40" s="543"/>
      <c r="GBH40" s="543"/>
      <c r="GBI40" s="543"/>
      <c r="GBJ40" s="543"/>
      <c r="GBK40" s="543"/>
      <c r="GBL40" s="543"/>
      <c r="GBM40" s="543"/>
      <c r="GBN40" s="543"/>
      <c r="GBO40" s="543"/>
      <c r="GBP40" s="543"/>
      <c r="GBQ40" s="543"/>
      <c r="GBR40" s="543"/>
      <c r="GBS40" s="543"/>
      <c r="GBT40" s="543"/>
      <c r="GBU40" s="543"/>
      <c r="GBV40" s="543"/>
      <c r="GBW40" s="543"/>
      <c r="GBX40" s="543"/>
      <c r="GBY40" s="543"/>
      <c r="GBZ40" s="543"/>
      <c r="GCA40" s="543"/>
      <c r="GCB40" s="543"/>
      <c r="GCC40" s="543"/>
      <c r="GCD40" s="543"/>
      <c r="GCE40" s="543"/>
      <c r="GCF40" s="543"/>
      <c r="GCG40" s="543"/>
      <c r="GCH40" s="543"/>
      <c r="GCI40" s="543"/>
      <c r="GCJ40" s="543"/>
      <c r="GCK40" s="543"/>
      <c r="GCL40" s="543"/>
      <c r="GCM40" s="543"/>
      <c r="GCN40" s="543"/>
      <c r="GCO40" s="543"/>
      <c r="GCP40" s="543"/>
      <c r="GCQ40" s="543"/>
      <c r="GCR40" s="543"/>
      <c r="GCS40" s="543"/>
      <c r="GCT40" s="543"/>
      <c r="GCU40" s="543"/>
      <c r="GCV40" s="543"/>
      <c r="GCW40" s="543"/>
      <c r="GCX40" s="543"/>
      <c r="GCY40" s="543"/>
      <c r="GCZ40" s="543"/>
      <c r="GDA40" s="543"/>
      <c r="GDB40" s="543"/>
      <c r="GDC40" s="543"/>
      <c r="GDD40" s="543"/>
      <c r="GDE40" s="543"/>
      <c r="GDF40" s="543"/>
      <c r="GDG40" s="543"/>
      <c r="GDH40" s="543"/>
      <c r="GDI40" s="543"/>
      <c r="GDJ40" s="543"/>
      <c r="GDK40" s="543"/>
      <c r="GDL40" s="543"/>
      <c r="GDM40" s="543"/>
      <c r="GDN40" s="543"/>
      <c r="GDO40" s="543"/>
      <c r="GDP40" s="543"/>
      <c r="GDQ40" s="543"/>
      <c r="GDR40" s="543"/>
      <c r="GDS40" s="543"/>
      <c r="GDT40" s="543"/>
      <c r="GDU40" s="543"/>
      <c r="GDV40" s="543"/>
      <c r="GDW40" s="543"/>
      <c r="GDX40" s="543"/>
      <c r="GDY40" s="543"/>
      <c r="GDZ40" s="543"/>
      <c r="GEA40" s="543"/>
      <c r="GEB40" s="543"/>
      <c r="GEC40" s="543"/>
      <c r="GED40" s="543"/>
      <c r="GEE40" s="543"/>
      <c r="GEF40" s="543"/>
      <c r="GEG40" s="543"/>
      <c r="GEH40" s="543"/>
      <c r="GEI40" s="543"/>
      <c r="GEJ40" s="543"/>
      <c r="GEK40" s="543"/>
      <c r="GEL40" s="543"/>
      <c r="GEM40" s="543"/>
      <c r="GEN40" s="543"/>
      <c r="GEO40" s="543"/>
      <c r="GEP40" s="543"/>
      <c r="GEQ40" s="543"/>
      <c r="GER40" s="543"/>
      <c r="GES40" s="543"/>
      <c r="GET40" s="543"/>
      <c r="GEU40" s="543"/>
      <c r="GEV40" s="543"/>
      <c r="GEW40" s="543"/>
      <c r="GEX40" s="543"/>
      <c r="GEY40" s="543"/>
      <c r="GEZ40" s="543"/>
      <c r="GFA40" s="543"/>
      <c r="GFB40" s="543"/>
      <c r="GFC40" s="543"/>
      <c r="GFD40" s="543"/>
      <c r="GFE40" s="543"/>
      <c r="GFF40" s="543"/>
      <c r="GFG40" s="543"/>
      <c r="GFH40" s="543"/>
      <c r="GFI40" s="543"/>
      <c r="GFJ40" s="543"/>
      <c r="GFK40" s="543"/>
      <c r="GFL40" s="543"/>
      <c r="GFM40" s="543"/>
      <c r="GFN40" s="543"/>
      <c r="GFO40" s="543"/>
      <c r="GFP40" s="543"/>
      <c r="GFQ40" s="543"/>
      <c r="GFR40" s="543"/>
      <c r="GFS40" s="543"/>
      <c r="GFT40" s="543"/>
      <c r="GFU40" s="543"/>
      <c r="GFV40" s="543"/>
      <c r="GFW40" s="543"/>
      <c r="GFX40" s="543"/>
      <c r="GFY40" s="543"/>
      <c r="GFZ40" s="543"/>
      <c r="GGA40" s="543"/>
      <c r="GGB40" s="543"/>
      <c r="GGC40" s="543"/>
      <c r="GGD40" s="543"/>
      <c r="GGE40" s="543"/>
      <c r="GGF40" s="543"/>
      <c r="GGG40" s="543"/>
      <c r="GGH40" s="543"/>
      <c r="GGI40" s="543"/>
      <c r="GGJ40" s="543"/>
      <c r="GGK40" s="543"/>
      <c r="GGL40" s="543"/>
      <c r="GGM40" s="543"/>
      <c r="GGN40" s="543"/>
      <c r="GGO40" s="543"/>
      <c r="GGP40" s="543"/>
      <c r="GGQ40" s="543"/>
      <c r="GGR40" s="543"/>
      <c r="GGS40" s="543"/>
      <c r="GGT40" s="543"/>
      <c r="GGU40" s="543"/>
      <c r="GGV40" s="543"/>
      <c r="GGW40" s="543"/>
      <c r="GGX40" s="543"/>
      <c r="GGY40" s="543"/>
      <c r="GGZ40" s="543"/>
      <c r="GHA40" s="543"/>
      <c r="GHB40" s="543"/>
      <c r="GHC40" s="543"/>
      <c r="GHD40" s="543"/>
      <c r="GHE40" s="543"/>
      <c r="GHF40" s="543"/>
      <c r="GHG40" s="543"/>
      <c r="GHH40" s="543"/>
      <c r="GHI40" s="543"/>
      <c r="GHJ40" s="543"/>
      <c r="GHK40" s="543"/>
      <c r="GHL40" s="543"/>
      <c r="GHM40" s="543"/>
      <c r="GHN40" s="543"/>
      <c r="GHO40" s="543"/>
      <c r="GHP40" s="543"/>
      <c r="GHQ40" s="543"/>
      <c r="GHR40" s="543"/>
      <c r="GHS40" s="543"/>
      <c r="GHT40" s="543"/>
      <c r="GHU40" s="543"/>
      <c r="GHV40" s="543"/>
      <c r="GHW40" s="543"/>
      <c r="GHX40" s="543"/>
      <c r="GHY40" s="543"/>
      <c r="GHZ40" s="543"/>
      <c r="GIA40" s="543"/>
      <c r="GIB40" s="543"/>
      <c r="GIC40" s="543"/>
      <c r="GID40" s="543"/>
      <c r="GIE40" s="543"/>
      <c r="GIF40" s="543"/>
      <c r="GIG40" s="543"/>
      <c r="GIH40" s="543"/>
      <c r="GII40" s="543"/>
      <c r="GIJ40" s="543"/>
      <c r="GIK40" s="543"/>
      <c r="GIL40" s="543"/>
      <c r="GIM40" s="543"/>
      <c r="GIN40" s="543"/>
      <c r="GIO40" s="543"/>
      <c r="GIP40" s="543"/>
      <c r="GIQ40" s="543"/>
      <c r="GIR40" s="543"/>
      <c r="GIS40" s="543"/>
      <c r="GIT40" s="543"/>
      <c r="GIU40" s="543"/>
      <c r="GIV40" s="543"/>
      <c r="GIW40" s="543"/>
      <c r="GIX40" s="543"/>
      <c r="GIY40" s="543"/>
      <c r="GIZ40" s="543"/>
      <c r="GJA40" s="543"/>
      <c r="GJB40" s="543"/>
      <c r="GJC40" s="543"/>
      <c r="GJD40" s="543"/>
      <c r="GJE40" s="543"/>
      <c r="GJF40" s="543"/>
      <c r="GJG40" s="543"/>
      <c r="GJH40" s="543"/>
      <c r="GJI40" s="543"/>
      <c r="GJJ40" s="543"/>
      <c r="GJK40" s="543"/>
      <c r="GJL40" s="543"/>
      <c r="GJM40" s="543"/>
      <c r="GJN40" s="543"/>
      <c r="GJO40" s="543"/>
      <c r="GJP40" s="543"/>
      <c r="GJQ40" s="543"/>
      <c r="GJR40" s="543"/>
      <c r="GJS40" s="543"/>
      <c r="GJT40" s="543"/>
      <c r="GJU40" s="543"/>
      <c r="GJV40" s="543"/>
      <c r="GJW40" s="543"/>
      <c r="GJX40" s="543"/>
      <c r="GJY40" s="543"/>
      <c r="GJZ40" s="543"/>
      <c r="GKA40" s="543"/>
      <c r="GKB40" s="543"/>
      <c r="GKC40" s="543"/>
      <c r="GKD40" s="543"/>
      <c r="GKE40" s="543"/>
      <c r="GKF40" s="543"/>
      <c r="GKG40" s="543"/>
      <c r="GKH40" s="543"/>
      <c r="GKI40" s="543"/>
      <c r="GKJ40" s="543"/>
      <c r="GKK40" s="543"/>
      <c r="GKL40" s="543"/>
      <c r="GKM40" s="543"/>
      <c r="GKN40" s="543"/>
      <c r="GKO40" s="543"/>
      <c r="GKP40" s="543"/>
      <c r="GKQ40" s="543"/>
      <c r="GKR40" s="543"/>
      <c r="GKS40" s="543"/>
      <c r="GKT40" s="543"/>
      <c r="GKU40" s="543"/>
      <c r="GKV40" s="543"/>
      <c r="GKW40" s="543"/>
      <c r="GKX40" s="543"/>
      <c r="GKY40" s="543"/>
      <c r="GKZ40" s="543"/>
      <c r="GLA40" s="543"/>
      <c r="GLB40" s="543"/>
      <c r="GLC40" s="543"/>
      <c r="GLD40" s="543"/>
      <c r="GLE40" s="543"/>
      <c r="GLF40" s="543"/>
      <c r="GLG40" s="543"/>
      <c r="GLH40" s="543"/>
      <c r="GLI40" s="543"/>
      <c r="GLJ40" s="543"/>
      <c r="GLK40" s="543"/>
      <c r="GLL40" s="543"/>
      <c r="GLM40" s="543"/>
      <c r="GLN40" s="543"/>
      <c r="GLO40" s="543"/>
      <c r="GLP40" s="543"/>
      <c r="GLQ40" s="543"/>
      <c r="GLR40" s="543"/>
      <c r="GLS40" s="543"/>
      <c r="GLT40" s="543"/>
      <c r="GLU40" s="543"/>
      <c r="GLV40" s="543"/>
      <c r="GLW40" s="543"/>
      <c r="GLX40" s="543"/>
      <c r="GLY40" s="543"/>
      <c r="GLZ40" s="543"/>
      <c r="GMA40" s="543"/>
      <c r="GMB40" s="543"/>
      <c r="GMC40" s="543"/>
      <c r="GMD40" s="543"/>
      <c r="GME40" s="543"/>
      <c r="GMF40" s="543"/>
      <c r="GMG40" s="543"/>
      <c r="GMH40" s="543"/>
      <c r="GMI40" s="543"/>
      <c r="GMJ40" s="543"/>
      <c r="GMK40" s="543"/>
      <c r="GML40" s="543"/>
      <c r="GMM40" s="543"/>
      <c r="GMN40" s="543"/>
      <c r="GMO40" s="543"/>
      <c r="GMP40" s="543"/>
      <c r="GMQ40" s="543"/>
      <c r="GMR40" s="543"/>
      <c r="GMS40" s="543"/>
      <c r="GMT40" s="543"/>
      <c r="GMU40" s="543"/>
      <c r="GMV40" s="543"/>
      <c r="GMW40" s="543"/>
      <c r="GMX40" s="543"/>
      <c r="GMY40" s="543"/>
      <c r="GMZ40" s="543"/>
      <c r="GNA40" s="543"/>
      <c r="GNB40" s="543"/>
      <c r="GNC40" s="543"/>
      <c r="GND40" s="543"/>
      <c r="GNE40" s="543"/>
      <c r="GNF40" s="543"/>
      <c r="GNG40" s="543"/>
      <c r="GNH40" s="543"/>
      <c r="GNI40" s="543"/>
      <c r="GNJ40" s="543"/>
      <c r="GNK40" s="543"/>
      <c r="GNL40" s="543"/>
      <c r="GNM40" s="543"/>
      <c r="GNN40" s="543"/>
      <c r="GNO40" s="543"/>
      <c r="GNP40" s="543"/>
      <c r="GNQ40" s="543"/>
      <c r="GNR40" s="543"/>
      <c r="GNS40" s="543"/>
      <c r="GNT40" s="543"/>
      <c r="GNU40" s="543"/>
      <c r="GNV40" s="543"/>
      <c r="GNW40" s="543"/>
      <c r="GNX40" s="543"/>
      <c r="GNY40" s="543"/>
      <c r="GNZ40" s="543"/>
      <c r="GOA40" s="543"/>
      <c r="GOB40" s="543"/>
      <c r="GOC40" s="543"/>
      <c r="GOD40" s="543"/>
      <c r="GOE40" s="543"/>
      <c r="GOF40" s="543"/>
      <c r="GOG40" s="543"/>
      <c r="GOH40" s="543"/>
      <c r="GOI40" s="543"/>
      <c r="GOJ40" s="543"/>
      <c r="GOK40" s="543"/>
      <c r="GOL40" s="543"/>
      <c r="GOM40" s="543"/>
      <c r="GON40" s="543"/>
      <c r="GOO40" s="543"/>
      <c r="GOP40" s="543"/>
      <c r="GOQ40" s="543"/>
      <c r="GOR40" s="543"/>
      <c r="GOS40" s="543"/>
      <c r="GOT40" s="543"/>
      <c r="GOU40" s="543"/>
      <c r="GOV40" s="543"/>
      <c r="GOW40" s="543"/>
      <c r="GOX40" s="543"/>
      <c r="GOY40" s="543"/>
      <c r="GOZ40" s="543"/>
      <c r="GPA40" s="543"/>
      <c r="GPB40" s="543"/>
      <c r="GPC40" s="543"/>
      <c r="GPD40" s="543"/>
      <c r="GPE40" s="543"/>
      <c r="GPF40" s="543"/>
      <c r="GPG40" s="543"/>
      <c r="GPH40" s="543"/>
      <c r="GPI40" s="543"/>
      <c r="GPJ40" s="543"/>
      <c r="GPK40" s="543"/>
      <c r="GPL40" s="543"/>
      <c r="GPM40" s="543"/>
      <c r="GPN40" s="543"/>
      <c r="GPO40" s="543"/>
      <c r="GPP40" s="543"/>
      <c r="GPQ40" s="543"/>
      <c r="GPR40" s="543"/>
      <c r="GPS40" s="543"/>
      <c r="GPT40" s="543"/>
      <c r="GPU40" s="543"/>
      <c r="GPV40" s="543"/>
      <c r="GPW40" s="543"/>
      <c r="GPX40" s="543"/>
      <c r="GPY40" s="543"/>
      <c r="GPZ40" s="543"/>
      <c r="GQA40" s="543"/>
      <c r="GQB40" s="543"/>
      <c r="GQC40" s="543"/>
      <c r="GQD40" s="543"/>
      <c r="GQE40" s="543"/>
      <c r="GQF40" s="543"/>
      <c r="GQG40" s="543"/>
      <c r="GQH40" s="543"/>
      <c r="GQI40" s="543"/>
      <c r="GQJ40" s="543"/>
      <c r="GQK40" s="543"/>
      <c r="GQL40" s="543"/>
      <c r="GQM40" s="543"/>
      <c r="GQN40" s="543"/>
      <c r="GQO40" s="543"/>
      <c r="GQP40" s="543"/>
      <c r="GQQ40" s="543"/>
      <c r="GQR40" s="543"/>
      <c r="GQS40" s="543"/>
      <c r="GQT40" s="543"/>
      <c r="GQU40" s="543"/>
      <c r="GQV40" s="543"/>
      <c r="GQW40" s="543"/>
      <c r="GQX40" s="543"/>
      <c r="GQY40" s="543"/>
      <c r="GQZ40" s="543"/>
      <c r="GRA40" s="543"/>
      <c r="GRB40" s="543"/>
      <c r="GRC40" s="543"/>
      <c r="GRD40" s="543"/>
      <c r="GRE40" s="543"/>
      <c r="GRF40" s="543"/>
      <c r="GRG40" s="543"/>
      <c r="GRH40" s="543"/>
      <c r="GRI40" s="543"/>
      <c r="GRJ40" s="543"/>
      <c r="GRK40" s="543"/>
      <c r="GRL40" s="543"/>
      <c r="GRM40" s="543"/>
      <c r="GRN40" s="543"/>
      <c r="GRO40" s="543"/>
      <c r="GRP40" s="543"/>
      <c r="GRQ40" s="543"/>
      <c r="GRR40" s="543"/>
      <c r="GRS40" s="543"/>
      <c r="GRT40" s="543"/>
      <c r="GRU40" s="543"/>
      <c r="GRV40" s="543"/>
      <c r="GRW40" s="543"/>
      <c r="GRX40" s="543"/>
      <c r="GRY40" s="543"/>
      <c r="GRZ40" s="543"/>
      <c r="GSA40" s="543"/>
      <c r="GSB40" s="543"/>
      <c r="GSC40" s="543"/>
      <c r="GSD40" s="543"/>
      <c r="GSE40" s="543"/>
      <c r="GSF40" s="543"/>
      <c r="GSG40" s="543"/>
      <c r="GSH40" s="543"/>
      <c r="GSI40" s="543"/>
      <c r="GSJ40" s="543"/>
      <c r="GSK40" s="543"/>
      <c r="GSL40" s="543"/>
      <c r="GSM40" s="543"/>
      <c r="GSN40" s="543"/>
      <c r="GSO40" s="543"/>
      <c r="GSP40" s="543"/>
      <c r="GSQ40" s="543"/>
      <c r="GSR40" s="543"/>
      <c r="GSS40" s="543"/>
      <c r="GST40" s="543"/>
      <c r="GSU40" s="543"/>
      <c r="GSV40" s="543"/>
      <c r="GSW40" s="543"/>
      <c r="GSX40" s="543"/>
      <c r="GSY40" s="543"/>
      <c r="GSZ40" s="543"/>
      <c r="GTA40" s="543"/>
      <c r="GTB40" s="543"/>
      <c r="GTC40" s="543"/>
      <c r="GTD40" s="543"/>
      <c r="GTE40" s="543"/>
      <c r="GTF40" s="543"/>
      <c r="GTG40" s="543"/>
      <c r="GTH40" s="543"/>
      <c r="GTI40" s="543"/>
      <c r="GTJ40" s="543"/>
      <c r="GTK40" s="543"/>
      <c r="GTL40" s="543"/>
      <c r="GTM40" s="543"/>
      <c r="GTN40" s="543"/>
      <c r="GTO40" s="543"/>
      <c r="GTP40" s="543"/>
      <c r="GTQ40" s="543"/>
      <c r="GTR40" s="543"/>
      <c r="GTS40" s="543"/>
      <c r="GTT40" s="543"/>
      <c r="GTU40" s="543"/>
      <c r="GTV40" s="543"/>
      <c r="GTW40" s="543"/>
      <c r="GTX40" s="543"/>
      <c r="GTY40" s="543"/>
      <c r="GTZ40" s="543"/>
      <c r="GUA40" s="543"/>
      <c r="GUB40" s="543"/>
      <c r="GUC40" s="543"/>
      <c r="GUD40" s="543"/>
      <c r="GUE40" s="543"/>
      <c r="GUF40" s="543"/>
      <c r="GUG40" s="543"/>
      <c r="GUH40" s="543"/>
      <c r="GUI40" s="543"/>
      <c r="GUJ40" s="543"/>
      <c r="GUK40" s="543"/>
      <c r="GUL40" s="543"/>
      <c r="GUM40" s="543"/>
      <c r="GUN40" s="543"/>
      <c r="GUO40" s="543"/>
      <c r="GUP40" s="543"/>
      <c r="GUQ40" s="543"/>
      <c r="GUR40" s="543"/>
      <c r="GUS40" s="543"/>
      <c r="GUT40" s="543"/>
      <c r="GUU40" s="543"/>
      <c r="GUV40" s="543"/>
      <c r="GUW40" s="543"/>
      <c r="GUX40" s="543"/>
      <c r="GUY40" s="543"/>
      <c r="GUZ40" s="543"/>
      <c r="GVA40" s="543"/>
      <c r="GVB40" s="543"/>
      <c r="GVC40" s="543"/>
      <c r="GVD40" s="543"/>
      <c r="GVE40" s="543"/>
      <c r="GVF40" s="543"/>
      <c r="GVG40" s="543"/>
      <c r="GVH40" s="543"/>
      <c r="GVI40" s="543"/>
      <c r="GVJ40" s="543"/>
      <c r="GVK40" s="543"/>
      <c r="GVL40" s="543"/>
      <c r="GVM40" s="543"/>
      <c r="GVN40" s="543"/>
      <c r="GVO40" s="543"/>
      <c r="GVP40" s="543"/>
      <c r="GVQ40" s="543"/>
      <c r="GVR40" s="543"/>
      <c r="GVS40" s="543"/>
      <c r="GVT40" s="543"/>
      <c r="GVU40" s="543"/>
      <c r="GVV40" s="543"/>
      <c r="GVW40" s="543"/>
      <c r="GVX40" s="543"/>
      <c r="GVY40" s="543"/>
      <c r="GVZ40" s="543"/>
      <c r="GWA40" s="543"/>
      <c r="GWB40" s="543"/>
      <c r="GWC40" s="543"/>
      <c r="GWD40" s="543"/>
      <c r="GWE40" s="543"/>
      <c r="GWF40" s="543"/>
      <c r="GWG40" s="543"/>
      <c r="GWH40" s="543"/>
      <c r="GWI40" s="543"/>
      <c r="GWJ40" s="543"/>
      <c r="GWK40" s="543"/>
      <c r="GWL40" s="543"/>
      <c r="GWM40" s="543"/>
      <c r="GWN40" s="543"/>
      <c r="GWO40" s="543"/>
      <c r="GWP40" s="543"/>
      <c r="GWQ40" s="543"/>
      <c r="GWR40" s="543"/>
      <c r="GWS40" s="543"/>
      <c r="GWT40" s="543"/>
      <c r="GWU40" s="543"/>
      <c r="GWV40" s="543"/>
      <c r="GWW40" s="543"/>
      <c r="GWX40" s="543"/>
      <c r="GWY40" s="543"/>
      <c r="GWZ40" s="543"/>
      <c r="GXA40" s="543"/>
      <c r="GXB40" s="543"/>
      <c r="GXC40" s="543"/>
      <c r="GXD40" s="543"/>
      <c r="GXE40" s="543"/>
      <c r="GXF40" s="543"/>
      <c r="GXG40" s="543"/>
      <c r="GXH40" s="543"/>
      <c r="GXI40" s="543"/>
      <c r="GXJ40" s="543"/>
      <c r="GXK40" s="543"/>
      <c r="GXL40" s="543"/>
      <c r="GXM40" s="543"/>
      <c r="GXN40" s="543"/>
      <c r="GXO40" s="543"/>
      <c r="GXP40" s="543"/>
      <c r="GXQ40" s="543"/>
      <c r="GXR40" s="543"/>
      <c r="GXS40" s="543"/>
      <c r="GXT40" s="543"/>
      <c r="GXU40" s="543"/>
      <c r="GXV40" s="543"/>
      <c r="GXW40" s="543"/>
      <c r="GXX40" s="543"/>
      <c r="GXY40" s="543"/>
      <c r="GXZ40" s="543"/>
      <c r="GYA40" s="543"/>
      <c r="GYB40" s="543"/>
      <c r="GYC40" s="543"/>
      <c r="GYD40" s="543"/>
      <c r="GYE40" s="543"/>
      <c r="GYF40" s="543"/>
      <c r="GYG40" s="543"/>
      <c r="GYH40" s="543"/>
      <c r="GYI40" s="543"/>
      <c r="GYJ40" s="543"/>
      <c r="GYK40" s="543"/>
      <c r="GYL40" s="543"/>
      <c r="GYM40" s="543"/>
      <c r="GYN40" s="543"/>
      <c r="GYO40" s="543"/>
      <c r="GYP40" s="543"/>
      <c r="GYQ40" s="543"/>
      <c r="GYR40" s="543"/>
      <c r="GYS40" s="543"/>
      <c r="GYT40" s="543"/>
      <c r="GYU40" s="543"/>
      <c r="GYV40" s="543"/>
      <c r="GYW40" s="543"/>
      <c r="GYX40" s="543"/>
      <c r="GYY40" s="543"/>
      <c r="GYZ40" s="543"/>
      <c r="GZA40" s="543"/>
      <c r="GZB40" s="543"/>
      <c r="GZC40" s="543"/>
      <c r="GZD40" s="543"/>
      <c r="GZE40" s="543"/>
      <c r="GZF40" s="543"/>
      <c r="GZG40" s="543"/>
      <c r="GZH40" s="543"/>
      <c r="GZI40" s="543"/>
      <c r="GZJ40" s="543"/>
      <c r="GZK40" s="543"/>
      <c r="GZL40" s="543"/>
      <c r="GZM40" s="543"/>
      <c r="GZN40" s="543"/>
      <c r="GZO40" s="543"/>
      <c r="GZP40" s="543"/>
      <c r="GZQ40" s="543"/>
      <c r="GZR40" s="543"/>
      <c r="GZS40" s="543"/>
      <c r="GZT40" s="543"/>
      <c r="GZU40" s="543"/>
      <c r="GZV40" s="543"/>
      <c r="GZW40" s="543"/>
      <c r="GZX40" s="543"/>
      <c r="GZY40" s="543"/>
      <c r="GZZ40" s="543"/>
      <c r="HAA40" s="543"/>
      <c r="HAB40" s="543"/>
      <c r="HAC40" s="543"/>
      <c r="HAD40" s="543"/>
      <c r="HAE40" s="543"/>
      <c r="HAF40" s="543"/>
      <c r="HAG40" s="543"/>
      <c r="HAH40" s="543"/>
      <c r="HAI40" s="543"/>
      <c r="HAJ40" s="543"/>
      <c r="HAK40" s="543"/>
      <c r="HAL40" s="543"/>
      <c r="HAM40" s="543"/>
      <c r="HAN40" s="543"/>
      <c r="HAO40" s="543"/>
      <c r="HAP40" s="543"/>
      <c r="HAQ40" s="543"/>
      <c r="HAR40" s="543"/>
      <c r="HAS40" s="543"/>
      <c r="HAT40" s="543"/>
      <c r="HAU40" s="543"/>
      <c r="HAV40" s="543"/>
      <c r="HAW40" s="543"/>
      <c r="HAX40" s="543"/>
      <c r="HAY40" s="543"/>
      <c r="HAZ40" s="543"/>
      <c r="HBA40" s="543"/>
      <c r="HBB40" s="543"/>
      <c r="HBC40" s="543"/>
      <c r="HBD40" s="543"/>
      <c r="HBE40" s="543"/>
      <c r="HBF40" s="543"/>
      <c r="HBG40" s="543"/>
      <c r="HBH40" s="543"/>
      <c r="HBI40" s="543"/>
      <c r="HBJ40" s="543"/>
      <c r="HBK40" s="543"/>
      <c r="HBL40" s="543"/>
      <c r="HBM40" s="543"/>
      <c r="HBN40" s="543"/>
      <c r="HBO40" s="543"/>
      <c r="HBP40" s="543"/>
      <c r="HBQ40" s="543"/>
      <c r="HBR40" s="543"/>
      <c r="HBS40" s="543"/>
      <c r="HBT40" s="543"/>
      <c r="HBU40" s="543"/>
      <c r="HBV40" s="543"/>
      <c r="HBW40" s="543"/>
      <c r="HBX40" s="543"/>
      <c r="HBY40" s="543"/>
      <c r="HBZ40" s="543"/>
      <c r="HCA40" s="543"/>
      <c r="HCB40" s="543"/>
      <c r="HCC40" s="543"/>
      <c r="HCD40" s="543"/>
      <c r="HCE40" s="543"/>
      <c r="HCF40" s="543"/>
      <c r="HCG40" s="543"/>
      <c r="HCH40" s="543"/>
      <c r="HCI40" s="543"/>
      <c r="HCJ40" s="543"/>
      <c r="HCK40" s="543"/>
      <c r="HCL40" s="543"/>
      <c r="HCM40" s="543"/>
      <c r="HCN40" s="543"/>
      <c r="HCO40" s="543"/>
      <c r="HCP40" s="543"/>
      <c r="HCQ40" s="543"/>
      <c r="HCR40" s="543"/>
      <c r="HCS40" s="543"/>
      <c r="HCT40" s="543"/>
      <c r="HCU40" s="543"/>
      <c r="HCV40" s="543"/>
      <c r="HCW40" s="543"/>
      <c r="HCX40" s="543"/>
      <c r="HCY40" s="543"/>
      <c r="HCZ40" s="543"/>
      <c r="HDA40" s="543"/>
      <c r="HDB40" s="543"/>
      <c r="HDC40" s="543"/>
      <c r="HDD40" s="543"/>
      <c r="HDE40" s="543"/>
      <c r="HDF40" s="543"/>
      <c r="HDG40" s="543"/>
      <c r="HDH40" s="543"/>
      <c r="HDI40" s="543"/>
      <c r="HDJ40" s="543"/>
      <c r="HDK40" s="543"/>
      <c r="HDL40" s="543"/>
      <c r="HDM40" s="543"/>
      <c r="HDN40" s="543"/>
      <c r="HDO40" s="543"/>
      <c r="HDP40" s="543"/>
      <c r="HDQ40" s="543"/>
      <c r="HDR40" s="543"/>
      <c r="HDS40" s="543"/>
      <c r="HDT40" s="543"/>
      <c r="HDU40" s="543"/>
      <c r="HDV40" s="543"/>
      <c r="HDW40" s="543"/>
      <c r="HDX40" s="543"/>
      <c r="HDY40" s="543"/>
      <c r="HDZ40" s="543"/>
      <c r="HEA40" s="543"/>
      <c r="HEB40" s="543"/>
      <c r="HEC40" s="543"/>
      <c r="HED40" s="543"/>
      <c r="HEE40" s="543"/>
      <c r="HEF40" s="543"/>
      <c r="HEG40" s="543"/>
      <c r="HEH40" s="543"/>
      <c r="HEI40" s="543"/>
      <c r="HEJ40" s="543"/>
      <c r="HEK40" s="543"/>
      <c r="HEL40" s="543"/>
      <c r="HEM40" s="543"/>
      <c r="HEN40" s="543"/>
      <c r="HEO40" s="543"/>
      <c r="HEP40" s="543"/>
      <c r="HEQ40" s="543"/>
      <c r="HER40" s="543"/>
      <c r="HES40" s="543"/>
      <c r="HET40" s="543"/>
      <c r="HEU40" s="543"/>
      <c r="HEV40" s="543"/>
      <c r="HEW40" s="543"/>
      <c r="HEX40" s="543"/>
      <c r="HEY40" s="543"/>
      <c r="HEZ40" s="543"/>
      <c r="HFA40" s="543"/>
      <c r="HFB40" s="543"/>
      <c r="HFC40" s="543"/>
      <c r="HFD40" s="543"/>
      <c r="HFE40" s="543"/>
      <c r="HFF40" s="543"/>
      <c r="HFG40" s="543"/>
      <c r="HFH40" s="543"/>
      <c r="HFI40" s="543"/>
      <c r="HFJ40" s="543"/>
      <c r="HFK40" s="543"/>
      <c r="HFL40" s="543"/>
      <c r="HFM40" s="543"/>
      <c r="HFN40" s="543"/>
      <c r="HFO40" s="543"/>
      <c r="HFP40" s="543"/>
      <c r="HFQ40" s="543"/>
      <c r="HFR40" s="543"/>
      <c r="HFS40" s="543"/>
      <c r="HFT40" s="543"/>
      <c r="HFU40" s="543"/>
      <c r="HFV40" s="543"/>
      <c r="HFW40" s="543"/>
      <c r="HFX40" s="543"/>
      <c r="HFY40" s="543"/>
      <c r="HFZ40" s="543"/>
      <c r="HGA40" s="543"/>
      <c r="HGB40" s="543"/>
      <c r="HGC40" s="543"/>
      <c r="HGD40" s="543"/>
      <c r="HGE40" s="543"/>
      <c r="HGF40" s="543"/>
      <c r="HGG40" s="543"/>
      <c r="HGH40" s="543"/>
      <c r="HGI40" s="543"/>
      <c r="HGJ40" s="543"/>
      <c r="HGK40" s="543"/>
      <c r="HGL40" s="543"/>
      <c r="HGM40" s="543"/>
      <c r="HGN40" s="543"/>
      <c r="HGO40" s="543"/>
      <c r="HGP40" s="543"/>
      <c r="HGQ40" s="543"/>
      <c r="HGR40" s="543"/>
      <c r="HGS40" s="543"/>
      <c r="HGT40" s="543"/>
      <c r="HGU40" s="543"/>
      <c r="HGV40" s="543"/>
      <c r="HGW40" s="543"/>
      <c r="HGX40" s="543"/>
      <c r="HGY40" s="543"/>
      <c r="HGZ40" s="543"/>
      <c r="HHA40" s="543"/>
      <c r="HHB40" s="543"/>
      <c r="HHC40" s="543"/>
      <c r="HHD40" s="543"/>
      <c r="HHE40" s="543"/>
      <c r="HHF40" s="543"/>
      <c r="HHG40" s="543"/>
      <c r="HHH40" s="543"/>
      <c r="HHI40" s="543"/>
      <c r="HHJ40" s="543"/>
      <c r="HHK40" s="543"/>
      <c r="HHL40" s="543"/>
      <c r="HHM40" s="543"/>
      <c r="HHN40" s="543"/>
      <c r="HHO40" s="543"/>
      <c r="HHP40" s="543"/>
      <c r="HHQ40" s="543"/>
      <c r="HHR40" s="543"/>
      <c r="HHS40" s="543"/>
      <c r="HHT40" s="543"/>
      <c r="HHU40" s="543"/>
      <c r="HHV40" s="543"/>
      <c r="HHW40" s="543"/>
      <c r="HHX40" s="543"/>
      <c r="HHY40" s="543"/>
      <c r="HHZ40" s="543"/>
      <c r="HIA40" s="543"/>
      <c r="HIB40" s="543"/>
      <c r="HIC40" s="543"/>
      <c r="HID40" s="543"/>
      <c r="HIE40" s="543"/>
      <c r="HIF40" s="543"/>
      <c r="HIG40" s="543"/>
      <c r="HIH40" s="543"/>
      <c r="HII40" s="543"/>
      <c r="HIJ40" s="543"/>
      <c r="HIK40" s="543"/>
      <c r="HIL40" s="543"/>
      <c r="HIM40" s="543"/>
      <c r="HIN40" s="543"/>
      <c r="HIO40" s="543"/>
      <c r="HIP40" s="543"/>
      <c r="HIQ40" s="543"/>
      <c r="HIR40" s="543"/>
      <c r="HIS40" s="543"/>
      <c r="HIT40" s="543"/>
      <c r="HIU40" s="543"/>
      <c r="HIV40" s="543"/>
      <c r="HIW40" s="543"/>
      <c r="HIX40" s="543"/>
      <c r="HIY40" s="543"/>
      <c r="HIZ40" s="543"/>
      <c r="HJA40" s="543"/>
      <c r="HJB40" s="543"/>
      <c r="HJC40" s="543"/>
      <c r="HJD40" s="543"/>
      <c r="HJE40" s="543"/>
      <c r="HJF40" s="543"/>
      <c r="HJG40" s="543"/>
      <c r="HJH40" s="543"/>
      <c r="HJI40" s="543"/>
      <c r="HJJ40" s="543"/>
      <c r="HJK40" s="543"/>
      <c r="HJL40" s="543"/>
      <c r="HJM40" s="543"/>
      <c r="HJN40" s="543"/>
      <c r="HJO40" s="543"/>
      <c r="HJP40" s="543"/>
      <c r="HJQ40" s="543"/>
      <c r="HJR40" s="543"/>
      <c r="HJS40" s="543"/>
      <c r="HJT40" s="543"/>
      <c r="HJU40" s="543"/>
      <c r="HJV40" s="543"/>
      <c r="HJW40" s="543"/>
      <c r="HJX40" s="543"/>
      <c r="HJY40" s="543"/>
      <c r="HJZ40" s="543"/>
      <c r="HKA40" s="543"/>
      <c r="HKB40" s="543"/>
      <c r="HKC40" s="543"/>
      <c r="HKD40" s="543"/>
      <c r="HKE40" s="543"/>
      <c r="HKF40" s="543"/>
      <c r="HKG40" s="543"/>
      <c r="HKH40" s="543"/>
      <c r="HKI40" s="543"/>
      <c r="HKJ40" s="543"/>
      <c r="HKK40" s="543"/>
      <c r="HKL40" s="543"/>
      <c r="HKM40" s="543"/>
      <c r="HKN40" s="543"/>
      <c r="HKO40" s="543"/>
      <c r="HKP40" s="543"/>
      <c r="HKQ40" s="543"/>
      <c r="HKR40" s="543"/>
      <c r="HKS40" s="543"/>
      <c r="HKT40" s="543"/>
      <c r="HKU40" s="543"/>
      <c r="HKV40" s="543"/>
      <c r="HKW40" s="543"/>
      <c r="HKX40" s="543"/>
      <c r="HKY40" s="543"/>
      <c r="HKZ40" s="543"/>
      <c r="HLA40" s="543"/>
      <c r="HLB40" s="543"/>
      <c r="HLC40" s="543"/>
      <c r="HLD40" s="543"/>
      <c r="HLE40" s="543"/>
      <c r="HLF40" s="543"/>
      <c r="HLG40" s="543"/>
      <c r="HLH40" s="543"/>
      <c r="HLI40" s="543"/>
      <c r="HLJ40" s="543"/>
      <c r="HLK40" s="543"/>
      <c r="HLL40" s="543"/>
      <c r="HLM40" s="543"/>
      <c r="HLN40" s="543"/>
      <c r="HLO40" s="543"/>
      <c r="HLP40" s="543"/>
      <c r="HLQ40" s="543"/>
      <c r="HLR40" s="543"/>
      <c r="HLS40" s="543"/>
      <c r="HLT40" s="543"/>
      <c r="HLU40" s="543"/>
      <c r="HLV40" s="543"/>
      <c r="HLW40" s="543"/>
      <c r="HLX40" s="543"/>
      <c r="HLY40" s="543"/>
      <c r="HLZ40" s="543"/>
      <c r="HMA40" s="543"/>
      <c r="HMB40" s="543"/>
      <c r="HMC40" s="543"/>
      <c r="HMD40" s="543"/>
      <c r="HME40" s="543"/>
      <c r="HMF40" s="543"/>
      <c r="HMG40" s="543"/>
      <c r="HMH40" s="543"/>
      <c r="HMI40" s="543"/>
      <c r="HMJ40" s="543"/>
      <c r="HMK40" s="543"/>
      <c r="HML40" s="543"/>
      <c r="HMM40" s="543"/>
      <c r="HMN40" s="543"/>
      <c r="HMO40" s="543"/>
      <c r="HMP40" s="543"/>
      <c r="HMQ40" s="543"/>
      <c r="HMR40" s="543"/>
      <c r="HMS40" s="543"/>
      <c r="HMT40" s="543"/>
      <c r="HMU40" s="543"/>
      <c r="HMV40" s="543"/>
      <c r="HMW40" s="543"/>
      <c r="HMX40" s="543"/>
      <c r="HMY40" s="543"/>
      <c r="HMZ40" s="543"/>
      <c r="HNA40" s="543"/>
      <c r="HNB40" s="543"/>
      <c r="HNC40" s="543"/>
      <c r="HND40" s="543"/>
      <c r="HNE40" s="543"/>
      <c r="HNF40" s="543"/>
      <c r="HNG40" s="543"/>
      <c r="HNH40" s="543"/>
      <c r="HNI40" s="543"/>
      <c r="HNJ40" s="543"/>
      <c r="HNK40" s="543"/>
      <c r="HNL40" s="543"/>
      <c r="HNM40" s="543"/>
      <c r="HNN40" s="543"/>
      <c r="HNO40" s="543"/>
      <c r="HNP40" s="543"/>
      <c r="HNQ40" s="543"/>
      <c r="HNR40" s="543"/>
      <c r="HNS40" s="543"/>
      <c r="HNT40" s="543"/>
      <c r="HNU40" s="543"/>
      <c r="HNV40" s="543"/>
      <c r="HNW40" s="543"/>
      <c r="HNX40" s="543"/>
      <c r="HNY40" s="543"/>
      <c r="HNZ40" s="543"/>
      <c r="HOA40" s="543"/>
      <c r="HOB40" s="543"/>
      <c r="HOC40" s="543"/>
      <c r="HOD40" s="543"/>
      <c r="HOE40" s="543"/>
      <c r="HOF40" s="543"/>
      <c r="HOG40" s="543"/>
      <c r="HOH40" s="543"/>
      <c r="HOI40" s="543"/>
      <c r="HOJ40" s="543"/>
      <c r="HOK40" s="543"/>
      <c r="HOL40" s="543"/>
      <c r="HOM40" s="543"/>
      <c r="HON40" s="543"/>
      <c r="HOO40" s="543"/>
      <c r="HOP40" s="543"/>
      <c r="HOQ40" s="543"/>
      <c r="HOR40" s="543"/>
      <c r="HOS40" s="543"/>
      <c r="HOT40" s="543"/>
      <c r="HOU40" s="543"/>
      <c r="HOV40" s="543"/>
      <c r="HOW40" s="543"/>
      <c r="HOX40" s="543"/>
      <c r="HOY40" s="543"/>
      <c r="HOZ40" s="543"/>
      <c r="HPA40" s="543"/>
      <c r="HPB40" s="543"/>
      <c r="HPC40" s="543"/>
      <c r="HPD40" s="543"/>
      <c r="HPE40" s="543"/>
      <c r="HPF40" s="543"/>
      <c r="HPG40" s="543"/>
      <c r="HPH40" s="543"/>
      <c r="HPI40" s="543"/>
      <c r="HPJ40" s="543"/>
      <c r="HPK40" s="543"/>
      <c r="HPL40" s="543"/>
      <c r="HPM40" s="543"/>
      <c r="HPN40" s="543"/>
      <c r="HPO40" s="543"/>
      <c r="HPP40" s="543"/>
      <c r="HPQ40" s="543"/>
      <c r="HPR40" s="543"/>
      <c r="HPS40" s="543"/>
      <c r="HPT40" s="543"/>
      <c r="HPU40" s="543"/>
      <c r="HPV40" s="543"/>
      <c r="HPW40" s="543"/>
      <c r="HPX40" s="543"/>
      <c r="HPY40" s="543"/>
      <c r="HPZ40" s="543"/>
      <c r="HQA40" s="543"/>
      <c r="HQB40" s="543"/>
      <c r="HQC40" s="543"/>
      <c r="HQD40" s="543"/>
      <c r="HQE40" s="543"/>
      <c r="HQF40" s="543"/>
      <c r="HQG40" s="543"/>
      <c r="HQH40" s="543"/>
      <c r="HQI40" s="543"/>
      <c r="HQJ40" s="543"/>
      <c r="HQK40" s="543"/>
      <c r="HQL40" s="543"/>
      <c r="HQM40" s="543"/>
      <c r="HQN40" s="543"/>
      <c r="HQO40" s="543"/>
      <c r="HQP40" s="543"/>
      <c r="HQQ40" s="543"/>
      <c r="HQR40" s="543"/>
      <c r="HQS40" s="543"/>
      <c r="HQT40" s="543"/>
      <c r="HQU40" s="543"/>
      <c r="HQV40" s="543"/>
      <c r="HQW40" s="543"/>
      <c r="HQX40" s="543"/>
      <c r="HQY40" s="543"/>
      <c r="HQZ40" s="543"/>
      <c r="HRA40" s="543"/>
      <c r="HRB40" s="543"/>
      <c r="HRC40" s="543"/>
      <c r="HRD40" s="543"/>
      <c r="HRE40" s="543"/>
      <c r="HRF40" s="543"/>
      <c r="HRG40" s="543"/>
      <c r="HRH40" s="543"/>
      <c r="HRI40" s="543"/>
      <c r="HRJ40" s="543"/>
      <c r="HRK40" s="543"/>
      <c r="HRL40" s="543"/>
      <c r="HRM40" s="543"/>
      <c r="HRN40" s="543"/>
      <c r="HRO40" s="543"/>
      <c r="HRP40" s="543"/>
      <c r="HRQ40" s="543"/>
      <c r="HRR40" s="543"/>
      <c r="HRS40" s="543"/>
      <c r="HRT40" s="543"/>
      <c r="HRU40" s="543"/>
      <c r="HRV40" s="543"/>
      <c r="HRW40" s="543"/>
      <c r="HRX40" s="543"/>
      <c r="HRY40" s="543"/>
      <c r="HRZ40" s="543"/>
      <c r="HSA40" s="543"/>
      <c r="HSB40" s="543"/>
      <c r="HSC40" s="543"/>
      <c r="HSD40" s="543"/>
      <c r="HSE40" s="543"/>
      <c r="HSF40" s="543"/>
      <c r="HSG40" s="543"/>
      <c r="HSH40" s="543"/>
      <c r="HSI40" s="543"/>
      <c r="HSJ40" s="543"/>
      <c r="HSK40" s="543"/>
      <c r="HSL40" s="543"/>
      <c r="HSM40" s="543"/>
      <c r="HSN40" s="543"/>
      <c r="HSO40" s="543"/>
      <c r="HSP40" s="543"/>
      <c r="HSQ40" s="543"/>
      <c r="HSR40" s="543"/>
      <c r="HSS40" s="543"/>
      <c r="HST40" s="543"/>
      <c r="HSU40" s="543"/>
      <c r="HSV40" s="543"/>
      <c r="HSW40" s="543"/>
      <c r="HSX40" s="543"/>
      <c r="HSY40" s="543"/>
      <c r="HSZ40" s="543"/>
      <c r="HTA40" s="543"/>
      <c r="HTB40" s="543"/>
      <c r="HTC40" s="543"/>
      <c r="HTD40" s="543"/>
      <c r="HTE40" s="543"/>
      <c r="HTF40" s="543"/>
      <c r="HTG40" s="543"/>
      <c r="HTH40" s="543"/>
      <c r="HTI40" s="543"/>
      <c r="HTJ40" s="543"/>
      <c r="HTK40" s="543"/>
      <c r="HTL40" s="543"/>
      <c r="HTM40" s="543"/>
      <c r="HTN40" s="543"/>
      <c r="HTO40" s="543"/>
      <c r="HTP40" s="543"/>
      <c r="HTQ40" s="543"/>
      <c r="HTR40" s="543"/>
      <c r="HTS40" s="543"/>
      <c r="HTT40" s="543"/>
      <c r="HTU40" s="543"/>
      <c r="HTV40" s="543"/>
      <c r="HTW40" s="543"/>
      <c r="HTX40" s="543"/>
      <c r="HTY40" s="543"/>
      <c r="HTZ40" s="543"/>
      <c r="HUA40" s="543"/>
      <c r="HUB40" s="543"/>
      <c r="HUC40" s="543"/>
      <c r="HUD40" s="543"/>
      <c r="HUE40" s="543"/>
      <c r="HUF40" s="543"/>
      <c r="HUG40" s="543"/>
      <c r="HUH40" s="543"/>
      <c r="HUI40" s="543"/>
      <c r="HUJ40" s="543"/>
      <c r="HUK40" s="543"/>
      <c r="HUL40" s="543"/>
      <c r="HUM40" s="543"/>
      <c r="HUN40" s="543"/>
      <c r="HUO40" s="543"/>
      <c r="HUP40" s="543"/>
      <c r="HUQ40" s="543"/>
      <c r="HUR40" s="543"/>
      <c r="HUS40" s="543"/>
      <c r="HUT40" s="543"/>
      <c r="HUU40" s="543"/>
      <c r="HUV40" s="543"/>
      <c r="HUW40" s="543"/>
      <c r="HUX40" s="543"/>
      <c r="HUY40" s="543"/>
      <c r="HUZ40" s="543"/>
      <c r="HVA40" s="543"/>
      <c r="HVB40" s="543"/>
      <c r="HVC40" s="543"/>
      <c r="HVD40" s="543"/>
      <c r="HVE40" s="543"/>
      <c r="HVF40" s="543"/>
      <c r="HVG40" s="543"/>
      <c r="HVH40" s="543"/>
      <c r="HVI40" s="543"/>
      <c r="HVJ40" s="543"/>
      <c r="HVK40" s="543"/>
      <c r="HVL40" s="543"/>
      <c r="HVM40" s="543"/>
      <c r="HVN40" s="543"/>
      <c r="HVO40" s="543"/>
      <c r="HVP40" s="543"/>
      <c r="HVQ40" s="543"/>
      <c r="HVR40" s="543"/>
      <c r="HVS40" s="543"/>
      <c r="HVT40" s="543"/>
      <c r="HVU40" s="543"/>
      <c r="HVV40" s="543"/>
      <c r="HVW40" s="543"/>
      <c r="HVX40" s="543"/>
      <c r="HVY40" s="543"/>
      <c r="HVZ40" s="543"/>
      <c r="HWA40" s="543"/>
      <c r="HWB40" s="543"/>
      <c r="HWC40" s="543"/>
      <c r="HWD40" s="543"/>
      <c r="HWE40" s="543"/>
      <c r="HWF40" s="543"/>
      <c r="HWG40" s="543"/>
      <c r="HWH40" s="543"/>
      <c r="HWI40" s="543"/>
      <c r="HWJ40" s="543"/>
      <c r="HWK40" s="543"/>
      <c r="HWL40" s="543"/>
      <c r="HWM40" s="543"/>
      <c r="HWN40" s="543"/>
      <c r="HWO40" s="543"/>
      <c r="HWP40" s="543"/>
      <c r="HWQ40" s="543"/>
      <c r="HWR40" s="543"/>
      <c r="HWS40" s="543"/>
      <c r="HWT40" s="543"/>
      <c r="HWU40" s="543"/>
      <c r="HWV40" s="543"/>
      <c r="HWW40" s="543"/>
      <c r="HWX40" s="543"/>
      <c r="HWY40" s="543"/>
      <c r="HWZ40" s="543"/>
      <c r="HXA40" s="543"/>
      <c r="HXB40" s="543"/>
      <c r="HXC40" s="543"/>
      <c r="HXD40" s="543"/>
      <c r="HXE40" s="543"/>
      <c r="HXF40" s="543"/>
      <c r="HXG40" s="543"/>
      <c r="HXH40" s="543"/>
      <c r="HXI40" s="543"/>
      <c r="HXJ40" s="543"/>
      <c r="HXK40" s="543"/>
      <c r="HXL40" s="543"/>
      <c r="HXM40" s="543"/>
      <c r="HXN40" s="543"/>
      <c r="HXO40" s="543"/>
      <c r="HXP40" s="543"/>
      <c r="HXQ40" s="543"/>
      <c r="HXR40" s="543"/>
      <c r="HXS40" s="543"/>
      <c r="HXT40" s="543"/>
      <c r="HXU40" s="543"/>
      <c r="HXV40" s="543"/>
      <c r="HXW40" s="543"/>
      <c r="HXX40" s="543"/>
      <c r="HXY40" s="543"/>
      <c r="HXZ40" s="543"/>
      <c r="HYA40" s="543"/>
      <c r="HYB40" s="543"/>
      <c r="HYC40" s="543"/>
      <c r="HYD40" s="543"/>
      <c r="HYE40" s="543"/>
      <c r="HYF40" s="543"/>
      <c r="HYG40" s="543"/>
      <c r="HYH40" s="543"/>
      <c r="HYI40" s="543"/>
      <c r="HYJ40" s="543"/>
      <c r="HYK40" s="543"/>
      <c r="HYL40" s="543"/>
      <c r="HYM40" s="543"/>
      <c r="HYN40" s="543"/>
      <c r="HYO40" s="543"/>
      <c r="HYP40" s="543"/>
      <c r="HYQ40" s="543"/>
      <c r="HYR40" s="543"/>
      <c r="HYS40" s="543"/>
      <c r="HYT40" s="543"/>
      <c r="HYU40" s="543"/>
      <c r="HYV40" s="543"/>
      <c r="HYW40" s="543"/>
      <c r="HYX40" s="543"/>
      <c r="HYY40" s="543"/>
      <c r="HYZ40" s="543"/>
      <c r="HZA40" s="543"/>
      <c r="HZB40" s="543"/>
      <c r="HZC40" s="543"/>
      <c r="HZD40" s="543"/>
      <c r="HZE40" s="543"/>
      <c r="HZF40" s="543"/>
      <c r="HZG40" s="543"/>
      <c r="HZH40" s="543"/>
      <c r="HZI40" s="543"/>
      <c r="HZJ40" s="543"/>
      <c r="HZK40" s="543"/>
      <c r="HZL40" s="543"/>
      <c r="HZM40" s="543"/>
      <c r="HZN40" s="543"/>
      <c r="HZO40" s="543"/>
      <c r="HZP40" s="543"/>
      <c r="HZQ40" s="543"/>
      <c r="HZR40" s="543"/>
      <c r="HZS40" s="543"/>
      <c r="HZT40" s="543"/>
      <c r="HZU40" s="543"/>
      <c r="HZV40" s="543"/>
      <c r="HZW40" s="543"/>
      <c r="HZX40" s="543"/>
      <c r="HZY40" s="543"/>
      <c r="HZZ40" s="543"/>
      <c r="IAA40" s="543"/>
      <c r="IAB40" s="543"/>
      <c r="IAC40" s="543"/>
      <c r="IAD40" s="543"/>
      <c r="IAE40" s="543"/>
      <c r="IAF40" s="543"/>
      <c r="IAG40" s="543"/>
      <c r="IAH40" s="543"/>
      <c r="IAI40" s="543"/>
      <c r="IAJ40" s="543"/>
      <c r="IAK40" s="543"/>
      <c r="IAL40" s="543"/>
      <c r="IAM40" s="543"/>
      <c r="IAN40" s="543"/>
      <c r="IAO40" s="543"/>
      <c r="IAP40" s="543"/>
      <c r="IAQ40" s="543"/>
      <c r="IAR40" s="543"/>
      <c r="IAS40" s="543"/>
      <c r="IAT40" s="543"/>
      <c r="IAU40" s="543"/>
      <c r="IAV40" s="543"/>
      <c r="IAW40" s="543"/>
      <c r="IAX40" s="543"/>
      <c r="IAY40" s="543"/>
      <c r="IAZ40" s="543"/>
      <c r="IBA40" s="543"/>
      <c r="IBB40" s="543"/>
      <c r="IBC40" s="543"/>
      <c r="IBD40" s="543"/>
      <c r="IBE40" s="543"/>
      <c r="IBF40" s="543"/>
      <c r="IBG40" s="543"/>
      <c r="IBH40" s="543"/>
      <c r="IBI40" s="543"/>
      <c r="IBJ40" s="543"/>
      <c r="IBK40" s="543"/>
      <c r="IBL40" s="543"/>
      <c r="IBM40" s="543"/>
      <c r="IBN40" s="543"/>
      <c r="IBO40" s="543"/>
      <c r="IBP40" s="543"/>
      <c r="IBQ40" s="543"/>
      <c r="IBR40" s="543"/>
      <c r="IBS40" s="543"/>
      <c r="IBT40" s="543"/>
      <c r="IBU40" s="543"/>
      <c r="IBV40" s="543"/>
      <c r="IBW40" s="543"/>
      <c r="IBX40" s="543"/>
      <c r="IBY40" s="543"/>
      <c r="IBZ40" s="543"/>
      <c r="ICA40" s="543"/>
      <c r="ICB40" s="543"/>
      <c r="ICC40" s="543"/>
      <c r="ICD40" s="543"/>
      <c r="ICE40" s="543"/>
      <c r="ICF40" s="543"/>
      <c r="ICG40" s="543"/>
      <c r="ICH40" s="543"/>
      <c r="ICI40" s="543"/>
      <c r="ICJ40" s="543"/>
      <c r="ICK40" s="543"/>
      <c r="ICL40" s="543"/>
      <c r="ICM40" s="543"/>
      <c r="ICN40" s="543"/>
      <c r="ICO40" s="543"/>
      <c r="ICP40" s="543"/>
      <c r="ICQ40" s="543"/>
      <c r="ICR40" s="543"/>
      <c r="ICS40" s="543"/>
      <c r="ICT40" s="543"/>
      <c r="ICU40" s="543"/>
      <c r="ICV40" s="543"/>
      <c r="ICW40" s="543"/>
      <c r="ICX40" s="543"/>
      <c r="ICY40" s="543"/>
      <c r="ICZ40" s="543"/>
      <c r="IDA40" s="543"/>
      <c r="IDB40" s="543"/>
      <c r="IDC40" s="543"/>
      <c r="IDD40" s="543"/>
      <c r="IDE40" s="543"/>
      <c r="IDF40" s="543"/>
      <c r="IDG40" s="543"/>
      <c r="IDH40" s="543"/>
      <c r="IDI40" s="543"/>
      <c r="IDJ40" s="543"/>
      <c r="IDK40" s="543"/>
      <c r="IDL40" s="543"/>
      <c r="IDM40" s="543"/>
      <c r="IDN40" s="543"/>
      <c r="IDO40" s="543"/>
      <c r="IDP40" s="543"/>
      <c r="IDQ40" s="543"/>
      <c r="IDR40" s="543"/>
      <c r="IDS40" s="543"/>
      <c r="IDT40" s="543"/>
      <c r="IDU40" s="543"/>
      <c r="IDV40" s="543"/>
      <c r="IDW40" s="543"/>
      <c r="IDX40" s="543"/>
      <c r="IDY40" s="543"/>
      <c r="IDZ40" s="543"/>
      <c r="IEA40" s="543"/>
      <c r="IEB40" s="543"/>
      <c r="IEC40" s="543"/>
      <c r="IED40" s="543"/>
      <c r="IEE40" s="543"/>
      <c r="IEF40" s="543"/>
      <c r="IEG40" s="543"/>
      <c r="IEH40" s="543"/>
      <c r="IEI40" s="543"/>
      <c r="IEJ40" s="543"/>
      <c r="IEK40" s="543"/>
      <c r="IEL40" s="543"/>
      <c r="IEM40" s="543"/>
      <c r="IEN40" s="543"/>
      <c r="IEO40" s="543"/>
      <c r="IEP40" s="543"/>
      <c r="IEQ40" s="543"/>
      <c r="IER40" s="543"/>
      <c r="IES40" s="543"/>
      <c r="IET40" s="543"/>
      <c r="IEU40" s="543"/>
      <c r="IEV40" s="543"/>
      <c r="IEW40" s="543"/>
      <c r="IEX40" s="543"/>
      <c r="IEY40" s="543"/>
      <c r="IEZ40" s="543"/>
      <c r="IFA40" s="543"/>
      <c r="IFB40" s="543"/>
      <c r="IFC40" s="543"/>
      <c r="IFD40" s="543"/>
      <c r="IFE40" s="543"/>
      <c r="IFF40" s="543"/>
      <c r="IFG40" s="543"/>
      <c r="IFH40" s="543"/>
      <c r="IFI40" s="543"/>
      <c r="IFJ40" s="543"/>
      <c r="IFK40" s="543"/>
      <c r="IFL40" s="543"/>
      <c r="IFM40" s="543"/>
      <c r="IFN40" s="543"/>
      <c r="IFO40" s="543"/>
      <c r="IFP40" s="543"/>
      <c r="IFQ40" s="543"/>
      <c r="IFR40" s="543"/>
      <c r="IFS40" s="543"/>
      <c r="IFT40" s="543"/>
      <c r="IFU40" s="543"/>
      <c r="IFV40" s="543"/>
      <c r="IFW40" s="543"/>
      <c r="IFX40" s="543"/>
      <c r="IFY40" s="543"/>
      <c r="IFZ40" s="543"/>
      <c r="IGA40" s="543"/>
      <c r="IGB40" s="543"/>
      <c r="IGC40" s="543"/>
      <c r="IGD40" s="543"/>
      <c r="IGE40" s="543"/>
      <c r="IGF40" s="543"/>
      <c r="IGG40" s="543"/>
      <c r="IGH40" s="543"/>
      <c r="IGI40" s="543"/>
      <c r="IGJ40" s="543"/>
      <c r="IGK40" s="543"/>
      <c r="IGL40" s="543"/>
      <c r="IGM40" s="543"/>
      <c r="IGN40" s="543"/>
      <c r="IGO40" s="543"/>
      <c r="IGP40" s="543"/>
      <c r="IGQ40" s="543"/>
      <c r="IGR40" s="543"/>
      <c r="IGS40" s="543"/>
      <c r="IGT40" s="543"/>
      <c r="IGU40" s="543"/>
      <c r="IGV40" s="543"/>
      <c r="IGW40" s="543"/>
      <c r="IGX40" s="543"/>
      <c r="IGY40" s="543"/>
      <c r="IGZ40" s="543"/>
      <c r="IHA40" s="543"/>
      <c r="IHB40" s="543"/>
      <c r="IHC40" s="543"/>
      <c r="IHD40" s="543"/>
      <c r="IHE40" s="543"/>
      <c r="IHF40" s="543"/>
      <c r="IHG40" s="543"/>
      <c r="IHH40" s="543"/>
      <c r="IHI40" s="543"/>
      <c r="IHJ40" s="543"/>
      <c r="IHK40" s="543"/>
      <c r="IHL40" s="543"/>
      <c r="IHM40" s="543"/>
      <c r="IHN40" s="543"/>
      <c r="IHO40" s="543"/>
      <c r="IHP40" s="543"/>
      <c r="IHQ40" s="543"/>
      <c r="IHR40" s="543"/>
      <c r="IHS40" s="543"/>
      <c r="IHT40" s="543"/>
      <c r="IHU40" s="543"/>
      <c r="IHV40" s="543"/>
      <c r="IHW40" s="543"/>
      <c r="IHX40" s="543"/>
      <c r="IHY40" s="543"/>
      <c r="IHZ40" s="543"/>
      <c r="IIA40" s="543"/>
      <c r="IIB40" s="543"/>
      <c r="IIC40" s="543"/>
      <c r="IID40" s="543"/>
      <c r="IIE40" s="543"/>
      <c r="IIF40" s="543"/>
      <c r="IIG40" s="543"/>
      <c r="IIH40" s="543"/>
      <c r="III40" s="543"/>
      <c r="IIJ40" s="543"/>
      <c r="IIK40" s="543"/>
      <c r="IIL40" s="543"/>
      <c r="IIM40" s="543"/>
      <c r="IIN40" s="543"/>
      <c r="IIO40" s="543"/>
      <c r="IIP40" s="543"/>
      <c r="IIQ40" s="543"/>
      <c r="IIR40" s="543"/>
      <c r="IIS40" s="543"/>
      <c r="IIT40" s="543"/>
      <c r="IIU40" s="543"/>
      <c r="IIV40" s="543"/>
      <c r="IIW40" s="543"/>
      <c r="IIX40" s="543"/>
      <c r="IIY40" s="543"/>
      <c r="IIZ40" s="543"/>
      <c r="IJA40" s="543"/>
      <c r="IJB40" s="543"/>
      <c r="IJC40" s="543"/>
      <c r="IJD40" s="543"/>
      <c r="IJE40" s="543"/>
      <c r="IJF40" s="543"/>
      <c r="IJG40" s="543"/>
      <c r="IJH40" s="543"/>
      <c r="IJI40" s="543"/>
      <c r="IJJ40" s="543"/>
      <c r="IJK40" s="543"/>
      <c r="IJL40" s="543"/>
      <c r="IJM40" s="543"/>
      <c r="IJN40" s="543"/>
      <c r="IJO40" s="543"/>
      <c r="IJP40" s="543"/>
      <c r="IJQ40" s="543"/>
      <c r="IJR40" s="543"/>
      <c r="IJS40" s="543"/>
      <c r="IJT40" s="543"/>
      <c r="IJU40" s="543"/>
      <c r="IJV40" s="543"/>
      <c r="IJW40" s="543"/>
      <c r="IJX40" s="543"/>
      <c r="IJY40" s="543"/>
      <c r="IJZ40" s="543"/>
      <c r="IKA40" s="543"/>
      <c r="IKB40" s="543"/>
      <c r="IKC40" s="543"/>
      <c r="IKD40" s="543"/>
      <c r="IKE40" s="543"/>
      <c r="IKF40" s="543"/>
      <c r="IKG40" s="543"/>
      <c r="IKH40" s="543"/>
      <c r="IKI40" s="543"/>
      <c r="IKJ40" s="543"/>
      <c r="IKK40" s="543"/>
      <c r="IKL40" s="543"/>
      <c r="IKM40" s="543"/>
      <c r="IKN40" s="543"/>
      <c r="IKO40" s="543"/>
      <c r="IKP40" s="543"/>
      <c r="IKQ40" s="543"/>
      <c r="IKR40" s="543"/>
      <c r="IKS40" s="543"/>
      <c r="IKT40" s="543"/>
      <c r="IKU40" s="543"/>
      <c r="IKV40" s="543"/>
      <c r="IKW40" s="543"/>
      <c r="IKX40" s="543"/>
      <c r="IKY40" s="543"/>
      <c r="IKZ40" s="543"/>
      <c r="ILA40" s="543"/>
      <c r="ILB40" s="543"/>
      <c r="ILC40" s="543"/>
      <c r="ILD40" s="543"/>
      <c r="ILE40" s="543"/>
      <c r="ILF40" s="543"/>
      <c r="ILG40" s="543"/>
      <c r="ILH40" s="543"/>
      <c r="ILI40" s="543"/>
      <c r="ILJ40" s="543"/>
      <c r="ILK40" s="543"/>
      <c r="ILL40" s="543"/>
      <c r="ILM40" s="543"/>
      <c r="ILN40" s="543"/>
      <c r="ILO40" s="543"/>
      <c r="ILP40" s="543"/>
      <c r="ILQ40" s="543"/>
      <c r="ILR40" s="543"/>
      <c r="ILS40" s="543"/>
      <c r="ILT40" s="543"/>
      <c r="ILU40" s="543"/>
      <c r="ILV40" s="543"/>
      <c r="ILW40" s="543"/>
      <c r="ILX40" s="543"/>
      <c r="ILY40" s="543"/>
      <c r="ILZ40" s="543"/>
      <c r="IMA40" s="543"/>
      <c r="IMB40" s="543"/>
      <c r="IMC40" s="543"/>
      <c r="IMD40" s="543"/>
      <c r="IME40" s="543"/>
      <c r="IMF40" s="543"/>
      <c r="IMG40" s="543"/>
      <c r="IMH40" s="543"/>
      <c r="IMI40" s="543"/>
      <c r="IMJ40" s="543"/>
      <c r="IMK40" s="543"/>
      <c r="IML40" s="543"/>
      <c r="IMM40" s="543"/>
      <c r="IMN40" s="543"/>
      <c r="IMO40" s="543"/>
      <c r="IMP40" s="543"/>
      <c r="IMQ40" s="543"/>
      <c r="IMR40" s="543"/>
      <c r="IMS40" s="543"/>
      <c r="IMT40" s="543"/>
      <c r="IMU40" s="543"/>
      <c r="IMV40" s="543"/>
      <c r="IMW40" s="543"/>
      <c r="IMX40" s="543"/>
      <c r="IMY40" s="543"/>
      <c r="IMZ40" s="543"/>
      <c r="INA40" s="543"/>
      <c r="INB40" s="543"/>
      <c r="INC40" s="543"/>
      <c r="IND40" s="543"/>
      <c r="INE40" s="543"/>
      <c r="INF40" s="543"/>
      <c r="ING40" s="543"/>
      <c r="INH40" s="543"/>
      <c r="INI40" s="543"/>
      <c r="INJ40" s="543"/>
      <c r="INK40" s="543"/>
      <c r="INL40" s="543"/>
      <c r="INM40" s="543"/>
      <c r="INN40" s="543"/>
      <c r="INO40" s="543"/>
      <c r="INP40" s="543"/>
      <c r="INQ40" s="543"/>
      <c r="INR40" s="543"/>
      <c r="INS40" s="543"/>
      <c r="INT40" s="543"/>
      <c r="INU40" s="543"/>
      <c r="INV40" s="543"/>
      <c r="INW40" s="543"/>
      <c r="INX40" s="543"/>
      <c r="INY40" s="543"/>
      <c r="INZ40" s="543"/>
      <c r="IOA40" s="543"/>
      <c r="IOB40" s="543"/>
      <c r="IOC40" s="543"/>
      <c r="IOD40" s="543"/>
      <c r="IOE40" s="543"/>
      <c r="IOF40" s="543"/>
      <c r="IOG40" s="543"/>
      <c r="IOH40" s="543"/>
      <c r="IOI40" s="543"/>
      <c r="IOJ40" s="543"/>
      <c r="IOK40" s="543"/>
      <c r="IOL40" s="543"/>
      <c r="IOM40" s="543"/>
      <c r="ION40" s="543"/>
      <c r="IOO40" s="543"/>
      <c r="IOP40" s="543"/>
      <c r="IOQ40" s="543"/>
      <c r="IOR40" s="543"/>
      <c r="IOS40" s="543"/>
      <c r="IOT40" s="543"/>
      <c r="IOU40" s="543"/>
      <c r="IOV40" s="543"/>
      <c r="IOW40" s="543"/>
      <c r="IOX40" s="543"/>
      <c r="IOY40" s="543"/>
      <c r="IOZ40" s="543"/>
      <c r="IPA40" s="543"/>
      <c r="IPB40" s="543"/>
      <c r="IPC40" s="543"/>
      <c r="IPD40" s="543"/>
      <c r="IPE40" s="543"/>
      <c r="IPF40" s="543"/>
      <c r="IPG40" s="543"/>
      <c r="IPH40" s="543"/>
      <c r="IPI40" s="543"/>
      <c r="IPJ40" s="543"/>
      <c r="IPK40" s="543"/>
      <c r="IPL40" s="543"/>
      <c r="IPM40" s="543"/>
      <c r="IPN40" s="543"/>
      <c r="IPO40" s="543"/>
      <c r="IPP40" s="543"/>
      <c r="IPQ40" s="543"/>
      <c r="IPR40" s="543"/>
      <c r="IPS40" s="543"/>
      <c r="IPT40" s="543"/>
      <c r="IPU40" s="543"/>
      <c r="IPV40" s="543"/>
      <c r="IPW40" s="543"/>
      <c r="IPX40" s="543"/>
      <c r="IPY40" s="543"/>
      <c r="IPZ40" s="543"/>
      <c r="IQA40" s="543"/>
      <c r="IQB40" s="543"/>
      <c r="IQC40" s="543"/>
      <c r="IQD40" s="543"/>
      <c r="IQE40" s="543"/>
      <c r="IQF40" s="543"/>
      <c r="IQG40" s="543"/>
      <c r="IQH40" s="543"/>
      <c r="IQI40" s="543"/>
      <c r="IQJ40" s="543"/>
      <c r="IQK40" s="543"/>
      <c r="IQL40" s="543"/>
      <c r="IQM40" s="543"/>
      <c r="IQN40" s="543"/>
      <c r="IQO40" s="543"/>
      <c r="IQP40" s="543"/>
      <c r="IQQ40" s="543"/>
      <c r="IQR40" s="543"/>
      <c r="IQS40" s="543"/>
      <c r="IQT40" s="543"/>
      <c r="IQU40" s="543"/>
      <c r="IQV40" s="543"/>
      <c r="IQW40" s="543"/>
      <c r="IQX40" s="543"/>
      <c r="IQY40" s="543"/>
      <c r="IQZ40" s="543"/>
      <c r="IRA40" s="543"/>
      <c r="IRB40" s="543"/>
      <c r="IRC40" s="543"/>
      <c r="IRD40" s="543"/>
      <c r="IRE40" s="543"/>
      <c r="IRF40" s="543"/>
      <c r="IRG40" s="543"/>
      <c r="IRH40" s="543"/>
      <c r="IRI40" s="543"/>
      <c r="IRJ40" s="543"/>
      <c r="IRK40" s="543"/>
      <c r="IRL40" s="543"/>
      <c r="IRM40" s="543"/>
      <c r="IRN40" s="543"/>
      <c r="IRO40" s="543"/>
      <c r="IRP40" s="543"/>
      <c r="IRQ40" s="543"/>
      <c r="IRR40" s="543"/>
      <c r="IRS40" s="543"/>
      <c r="IRT40" s="543"/>
      <c r="IRU40" s="543"/>
      <c r="IRV40" s="543"/>
      <c r="IRW40" s="543"/>
      <c r="IRX40" s="543"/>
      <c r="IRY40" s="543"/>
      <c r="IRZ40" s="543"/>
      <c r="ISA40" s="543"/>
      <c r="ISB40" s="543"/>
      <c r="ISC40" s="543"/>
      <c r="ISD40" s="543"/>
      <c r="ISE40" s="543"/>
      <c r="ISF40" s="543"/>
      <c r="ISG40" s="543"/>
      <c r="ISH40" s="543"/>
      <c r="ISI40" s="543"/>
      <c r="ISJ40" s="543"/>
      <c r="ISK40" s="543"/>
      <c r="ISL40" s="543"/>
      <c r="ISM40" s="543"/>
      <c r="ISN40" s="543"/>
      <c r="ISO40" s="543"/>
      <c r="ISP40" s="543"/>
      <c r="ISQ40" s="543"/>
      <c r="ISR40" s="543"/>
      <c r="ISS40" s="543"/>
      <c r="IST40" s="543"/>
      <c r="ISU40" s="543"/>
      <c r="ISV40" s="543"/>
      <c r="ISW40" s="543"/>
      <c r="ISX40" s="543"/>
      <c r="ISY40" s="543"/>
      <c r="ISZ40" s="543"/>
      <c r="ITA40" s="543"/>
      <c r="ITB40" s="543"/>
      <c r="ITC40" s="543"/>
      <c r="ITD40" s="543"/>
      <c r="ITE40" s="543"/>
      <c r="ITF40" s="543"/>
      <c r="ITG40" s="543"/>
      <c r="ITH40" s="543"/>
      <c r="ITI40" s="543"/>
      <c r="ITJ40" s="543"/>
      <c r="ITK40" s="543"/>
      <c r="ITL40" s="543"/>
      <c r="ITM40" s="543"/>
      <c r="ITN40" s="543"/>
      <c r="ITO40" s="543"/>
      <c r="ITP40" s="543"/>
      <c r="ITQ40" s="543"/>
      <c r="ITR40" s="543"/>
      <c r="ITS40" s="543"/>
      <c r="ITT40" s="543"/>
      <c r="ITU40" s="543"/>
      <c r="ITV40" s="543"/>
      <c r="ITW40" s="543"/>
      <c r="ITX40" s="543"/>
      <c r="ITY40" s="543"/>
      <c r="ITZ40" s="543"/>
      <c r="IUA40" s="543"/>
      <c r="IUB40" s="543"/>
      <c r="IUC40" s="543"/>
      <c r="IUD40" s="543"/>
      <c r="IUE40" s="543"/>
      <c r="IUF40" s="543"/>
      <c r="IUG40" s="543"/>
      <c r="IUH40" s="543"/>
      <c r="IUI40" s="543"/>
      <c r="IUJ40" s="543"/>
      <c r="IUK40" s="543"/>
      <c r="IUL40" s="543"/>
      <c r="IUM40" s="543"/>
      <c r="IUN40" s="543"/>
      <c r="IUO40" s="543"/>
      <c r="IUP40" s="543"/>
      <c r="IUQ40" s="543"/>
      <c r="IUR40" s="543"/>
      <c r="IUS40" s="543"/>
      <c r="IUT40" s="543"/>
      <c r="IUU40" s="543"/>
      <c r="IUV40" s="543"/>
      <c r="IUW40" s="543"/>
      <c r="IUX40" s="543"/>
      <c r="IUY40" s="543"/>
      <c r="IUZ40" s="543"/>
      <c r="IVA40" s="543"/>
      <c r="IVB40" s="543"/>
      <c r="IVC40" s="543"/>
      <c r="IVD40" s="543"/>
      <c r="IVE40" s="543"/>
      <c r="IVF40" s="543"/>
      <c r="IVG40" s="543"/>
      <c r="IVH40" s="543"/>
      <c r="IVI40" s="543"/>
      <c r="IVJ40" s="543"/>
      <c r="IVK40" s="543"/>
      <c r="IVL40" s="543"/>
      <c r="IVM40" s="543"/>
      <c r="IVN40" s="543"/>
      <c r="IVO40" s="543"/>
      <c r="IVP40" s="543"/>
      <c r="IVQ40" s="543"/>
      <c r="IVR40" s="543"/>
      <c r="IVS40" s="543"/>
      <c r="IVT40" s="543"/>
      <c r="IVU40" s="543"/>
      <c r="IVV40" s="543"/>
      <c r="IVW40" s="543"/>
      <c r="IVX40" s="543"/>
      <c r="IVY40" s="543"/>
      <c r="IVZ40" s="543"/>
      <c r="IWA40" s="543"/>
      <c r="IWB40" s="543"/>
      <c r="IWC40" s="543"/>
      <c r="IWD40" s="543"/>
      <c r="IWE40" s="543"/>
      <c r="IWF40" s="543"/>
      <c r="IWG40" s="543"/>
      <c r="IWH40" s="543"/>
      <c r="IWI40" s="543"/>
      <c r="IWJ40" s="543"/>
      <c r="IWK40" s="543"/>
      <c r="IWL40" s="543"/>
      <c r="IWM40" s="543"/>
      <c r="IWN40" s="543"/>
      <c r="IWO40" s="543"/>
      <c r="IWP40" s="543"/>
      <c r="IWQ40" s="543"/>
      <c r="IWR40" s="543"/>
      <c r="IWS40" s="543"/>
      <c r="IWT40" s="543"/>
      <c r="IWU40" s="543"/>
      <c r="IWV40" s="543"/>
      <c r="IWW40" s="543"/>
      <c r="IWX40" s="543"/>
      <c r="IWY40" s="543"/>
      <c r="IWZ40" s="543"/>
      <c r="IXA40" s="543"/>
      <c r="IXB40" s="543"/>
      <c r="IXC40" s="543"/>
      <c r="IXD40" s="543"/>
      <c r="IXE40" s="543"/>
      <c r="IXF40" s="543"/>
      <c r="IXG40" s="543"/>
      <c r="IXH40" s="543"/>
      <c r="IXI40" s="543"/>
      <c r="IXJ40" s="543"/>
      <c r="IXK40" s="543"/>
      <c r="IXL40" s="543"/>
      <c r="IXM40" s="543"/>
      <c r="IXN40" s="543"/>
      <c r="IXO40" s="543"/>
      <c r="IXP40" s="543"/>
      <c r="IXQ40" s="543"/>
      <c r="IXR40" s="543"/>
      <c r="IXS40" s="543"/>
      <c r="IXT40" s="543"/>
      <c r="IXU40" s="543"/>
      <c r="IXV40" s="543"/>
      <c r="IXW40" s="543"/>
      <c r="IXX40" s="543"/>
      <c r="IXY40" s="543"/>
      <c r="IXZ40" s="543"/>
      <c r="IYA40" s="543"/>
      <c r="IYB40" s="543"/>
      <c r="IYC40" s="543"/>
      <c r="IYD40" s="543"/>
      <c r="IYE40" s="543"/>
      <c r="IYF40" s="543"/>
      <c r="IYG40" s="543"/>
      <c r="IYH40" s="543"/>
      <c r="IYI40" s="543"/>
      <c r="IYJ40" s="543"/>
      <c r="IYK40" s="543"/>
      <c r="IYL40" s="543"/>
      <c r="IYM40" s="543"/>
      <c r="IYN40" s="543"/>
      <c r="IYO40" s="543"/>
      <c r="IYP40" s="543"/>
      <c r="IYQ40" s="543"/>
      <c r="IYR40" s="543"/>
      <c r="IYS40" s="543"/>
      <c r="IYT40" s="543"/>
      <c r="IYU40" s="543"/>
      <c r="IYV40" s="543"/>
      <c r="IYW40" s="543"/>
      <c r="IYX40" s="543"/>
      <c r="IYY40" s="543"/>
      <c r="IYZ40" s="543"/>
      <c r="IZA40" s="543"/>
      <c r="IZB40" s="543"/>
      <c r="IZC40" s="543"/>
      <c r="IZD40" s="543"/>
      <c r="IZE40" s="543"/>
      <c r="IZF40" s="543"/>
      <c r="IZG40" s="543"/>
      <c r="IZH40" s="543"/>
      <c r="IZI40" s="543"/>
      <c r="IZJ40" s="543"/>
      <c r="IZK40" s="543"/>
      <c r="IZL40" s="543"/>
      <c r="IZM40" s="543"/>
      <c r="IZN40" s="543"/>
      <c r="IZO40" s="543"/>
      <c r="IZP40" s="543"/>
      <c r="IZQ40" s="543"/>
      <c r="IZR40" s="543"/>
      <c r="IZS40" s="543"/>
      <c r="IZT40" s="543"/>
      <c r="IZU40" s="543"/>
      <c r="IZV40" s="543"/>
      <c r="IZW40" s="543"/>
      <c r="IZX40" s="543"/>
      <c r="IZY40" s="543"/>
      <c r="IZZ40" s="543"/>
      <c r="JAA40" s="543"/>
      <c r="JAB40" s="543"/>
      <c r="JAC40" s="543"/>
      <c r="JAD40" s="543"/>
      <c r="JAE40" s="543"/>
      <c r="JAF40" s="543"/>
      <c r="JAG40" s="543"/>
      <c r="JAH40" s="543"/>
      <c r="JAI40" s="543"/>
      <c r="JAJ40" s="543"/>
      <c r="JAK40" s="543"/>
      <c r="JAL40" s="543"/>
      <c r="JAM40" s="543"/>
      <c r="JAN40" s="543"/>
      <c r="JAO40" s="543"/>
      <c r="JAP40" s="543"/>
      <c r="JAQ40" s="543"/>
      <c r="JAR40" s="543"/>
      <c r="JAS40" s="543"/>
      <c r="JAT40" s="543"/>
      <c r="JAU40" s="543"/>
      <c r="JAV40" s="543"/>
      <c r="JAW40" s="543"/>
      <c r="JAX40" s="543"/>
      <c r="JAY40" s="543"/>
      <c r="JAZ40" s="543"/>
      <c r="JBA40" s="543"/>
      <c r="JBB40" s="543"/>
      <c r="JBC40" s="543"/>
      <c r="JBD40" s="543"/>
      <c r="JBE40" s="543"/>
      <c r="JBF40" s="543"/>
      <c r="JBG40" s="543"/>
      <c r="JBH40" s="543"/>
      <c r="JBI40" s="543"/>
      <c r="JBJ40" s="543"/>
      <c r="JBK40" s="543"/>
      <c r="JBL40" s="543"/>
      <c r="JBM40" s="543"/>
      <c r="JBN40" s="543"/>
      <c r="JBO40" s="543"/>
      <c r="JBP40" s="543"/>
      <c r="JBQ40" s="543"/>
      <c r="JBR40" s="543"/>
      <c r="JBS40" s="543"/>
      <c r="JBT40" s="543"/>
      <c r="JBU40" s="543"/>
      <c r="JBV40" s="543"/>
      <c r="JBW40" s="543"/>
      <c r="JBX40" s="543"/>
      <c r="JBY40" s="543"/>
      <c r="JBZ40" s="543"/>
      <c r="JCA40" s="543"/>
      <c r="JCB40" s="543"/>
      <c r="JCC40" s="543"/>
      <c r="JCD40" s="543"/>
      <c r="JCE40" s="543"/>
      <c r="JCF40" s="543"/>
      <c r="JCG40" s="543"/>
      <c r="JCH40" s="543"/>
      <c r="JCI40" s="543"/>
      <c r="JCJ40" s="543"/>
      <c r="JCK40" s="543"/>
      <c r="JCL40" s="543"/>
      <c r="JCM40" s="543"/>
      <c r="JCN40" s="543"/>
      <c r="JCO40" s="543"/>
      <c r="JCP40" s="543"/>
      <c r="JCQ40" s="543"/>
      <c r="JCR40" s="543"/>
      <c r="JCS40" s="543"/>
      <c r="JCT40" s="543"/>
      <c r="JCU40" s="543"/>
      <c r="JCV40" s="543"/>
      <c r="JCW40" s="543"/>
      <c r="JCX40" s="543"/>
      <c r="JCY40" s="543"/>
      <c r="JCZ40" s="543"/>
      <c r="JDA40" s="543"/>
      <c r="JDB40" s="543"/>
      <c r="JDC40" s="543"/>
      <c r="JDD40" s="543"/>
      <c r="JDE40" s="543"/>
      <c r="JDF40" s="543"/>
      <c r="JDG40" s="543"/>
      <c r="JDH40" s="543"/>
      <c r="JDI40" s="543"/>
      <c r="JDJ40" s="543"/>
      <c r="JDK40" s="543"/>
      <c r="JDL40" s="543"/>
      <c r="JDM40" s="543"/>
      <c r="JDN40" s="543"/>
      <c r="JDO40" s="543"/>
      <c r="JDP40" s="543"/>
      <c r="JDQ40" s="543"/>
      <c r="JDR40" s="543"/>
      <c r="JDS40" s="543"/>
      <c r="JDT40" s="543"/>
      <c r="JDU40" s="543"/>
      <c r="JDV40" s="543"/>
      <c r="JDW40" s="543"/>
      <c r="JDX40" s="543"/>
      <c r="JDY40" s="543"/>
      <c r="JDZ40" s="543"/>
      <c r="JEA40" s="543"/>
      <c r="JEB40" s="543"/>
      <c r="JEC40" s="543"/>
      <c r="JED40" s="543"/>
      <c r="JEE40" s="543"/>
      <c r="JEF40" s="543"/>
      <c r="JEG40" s="543"/>
      <c r="JEH40" s="543"/>
      <c r="JEI40" s="543"/>
      <c r="JEJ40" s="543"/>
      <c r="JEK40" s="543"/>
      <c r="JEL40" s="543"/>
      <c r="JEM40" s="543"/>
      <c r="JEN40" s="543"/>
      <c r="JEO40" s="543"/>
      <c r="JEP40" s="543"/>
      <c r="JEQ40" s="543"/>
      <c r="JER40" s="543"/>
      <c r="JES40" s="543"/>
      <c r="JET40" s="543"/>
      <c r="JEU40" s="543"/>
      <c r="JEV40" s="543"/>
      <c r="JEW40" s="543"/>
      <c r="JEX40" s="543"/>
      <c r="JEY40" s="543"/>
      <c r="JEZ40" s="543"/>
      <c r="JFA40" s="543"/>
      <c r="JFB40" s="543"/>
      <c r="JFC40" s="543"/>
      <c r="JFD40" s="543"/>
      <c r="JFE40" s="543"/>
      <c r="JFF40" s="543"/>
      <c r="JFG40" s="543"/>
      <c r="JFH40" s="543"/>
      <c r="JFI40" s="543"/>
      <c r="JFJ40" s="543"/>
      <c r="JFK40" s="543"/>
      <c r="JFL40" s="543"/>
      <c r="JFM40" s="543"/>
      <c r="JFN40" s="543"/>
      <c r="JFO40" s="543"/>
      <c r="JFP40" s="543"/>
      <c r="JFQ40" s="543"/>
      <c r="JFR40" s="543"/>
      <c r="JFS40" s="543"/>
      <c r="JFT40" s="543"/>
      <c r="JFU40" s="543"/>
      <c r="JFV40" s="543"/>
      <c r="JFW40" s="543"/>
      <c r="JFX40" s="543"/>
      <c r="JFY40" s="543"/>
      <c r="JFZ40" s="543"/>
      <c r="JGA40" s="543"/>
      <c r="JGB40" s="543"/>
      <c r="JGC40" s="543"/>
      <c r="JGD40" s="543"/>
      <c r="JGE40" s="543"/>
      <c r="JGF40" s="543"/>
      <c r="JGG40" s="543"/>
      <c r="JGH40" s="543"/>
      <c r="JGI40" s="543"/>
      <c r="JGJ40" s="543"/>
      <c r="JGK40" s="543"/>
      <c r="JGL40" s="543"/>
      <c r="JGM40" s="543"/>
      <c r="JGN40" s="543"/>
      <c r="JGO40" s="543"/>
      <c r="JGP40" s="543"/>
      <c r="JGQ40" s="543"/>
      <c r="JGR40" s="543"/>
      <c r="JGS40" s="543"/>
      <c r="JGT40" s="543"/>
      <c r="JGU40" s="543"/>
      <c r="JGV40" s="543"/>
      <c r="JGW40" s="543"/>
      <c r="JGX40" s="543"/>
      <c r="JGY40" s="543"/>
      <c r="JGZ40" s="543"/>
      <c r="JHA40" s="543"/>
      <c r="JHB40" s="543"/>
      <c r="JHC40" s="543"/>
      <c r="JHD40" s="543"/>
      <c r="JHE40" s="543"/>
      <c r="JHF40" s="543"/>
      <c r="JHG40" s="543"/>
      <c r="JHH40" s="543"/>
      <c r="JHI40" s="543"/>
      <c r="JHJ40" s="543"/>
      <c r="JHK40" s="543"/>
      <c r="JHL40" s="543"/>
      <c r="JHM40" s="543"/>
      <c r="JHN40" s="543"/>
      <c r="JHO40" s="543"/>
      <c r="JHP40" s="543"/>
      <c r="JHQ40" s="543"/>
      <c r="JHR40" s="543"/>
      <c r="JHS40" s="543"/>
      <c r="JHT40" s="543"/>
      <c r="JHU40" s="543"/>
      <c r="JHV40" s="543"/>
      <c r="JHW40" s="543"/>
      <c r="JHX40" s="543"/>
      <c r="JHY40" s="543"/>
      <c r="JHZ40" s="543"/>
      <c r="JIA40" s="543"/>
      <c r="JIB40" s="543"/>
      <c r="JIC40" s="543"/>
      <c r="JID40" s="543"/>
      <c r="JIE40" s="543"/>
      <c r="JIF40" s="543"/>
      <c r="JIG40" s="543"/>
      <c r="JIH40" s="543"/>
      <c r="JII40" s="543"/>
      <c r="JIJ40" s="543"/>
      <c r="JIK40" s="543"/>
      <c r="JIL40" s="543"/>
      <c r="JIM40" s="543"/>
      <c r="JIN40" s="543"/>
      <c r="JIO40" s="543"/>
      <c r="JIP40" s="543"/>
      <c r="JIQ40" s="543"/>
      <c r="JIR40" s="543"/>
      <c r="JIS40" s="543"/>
      <c r="JIT40" s="543"/>
      <c r="JIU40" s="543"/>
      <c r="JIV40" s="543"/>
      <c r="JIW40" s="543"/>
      <c r="JIX40" s="543"/>
      <c r="JIY40" s="543"/>
      <c r="JIZ40" s="543"/>
      <c r="JJA40" s="543"/>
      <c r="JJB40" s="543"/>
      <c r="JJC40" s="543"/>
      <c r="JJD40" s="543"/>
      <c r="JJE40" s="543"/>
      <c r="JJF40" s="543"/>
      <c r="JJG40" s="543"/>
      <c r="JJH40" s="543"/>
      <c r="JJI40" s="543"/>
      <c r="JJJ40" s="543"/>
      <c r="JJK40" s="543"/>
      <c r="JJL40" s="543"/>
      <c r="JJM40" s="543"/>
      <c r="JJN40" s="543"/>
      <c r="JJO40" s="543"/>
      <c r="JJP40" s="543"/>
      <c r="JJQ40" s="543"/>
      <c r="JJR40" s="543"/>
      <c r="JJS40" s="543"/>
      <c r="JJT40" s="543"/>
      <c r="JJU40" s="543"/>
      <c r="JJV40" s="543"/>
      <c r="JJW40" s="543"/>
      <c r="JJX40" s="543"/>
      <c r="JJY40" s="543"/>
      <c r="JJZ40" s="543"/>
      <c r="JKA40" s="543"/>
      <c r="JKB40" s="543"/>
      <c r="JKC40" s="543"/>
      <c r="JKD40" s="543"/>
      <c r="JKE40" s="543"/>
      <c r="JKF40" s="543"/>
      <c r="JKG40" s="543"/>
      <c r="JKH40" s="543"/>
      <c r="JKI40" s="543"/>
      <c r="JKJ40" s="543"/>
      <c r="JKK40" s="543"/>
      <c r="JKL40" s="543"/>
      <c r="JKM40" s="543"/>
      <c r="JKN40" s="543"/>
      <c r="JKO40" s="543"/>
      <c r="JKP40" s="543"/>
      <c r="JKQ40" s="543"/>
      <c r="JKR40" s="543"/>
      <c r="JKS40" s="543"/>
      <c r="JKT40" s="543"/>
      <c r="JKU40" s="543"/>
      <c r="JKV40" s="543"/>
      <c r="JKW40" s="543"/>
      <c r="JKX40" s="543"/>
      <c r="JKY40" s="543"/>
      <c r="JKZ40" s="543"/>
      <c r="JLA40" s="543"/>
      <c r="JLB40" s="543"/>
      <c r="JLC40" s="543"/>
      <c r="JLD40" s="543"/>
      <c r="JLE40" s="543"/>
      <c r="JLF40" s="543"/>
      <c r="JLG40" s="543"/>
      <c r="JLH40" s="543"/>
      <c r="JLI40" s="543"/>
      <c r="JLJ40" s="543"/>
      <c r="JLK40" s="543"/>
      <c r="JLL40" s="543"/>
      <c r="JLM40" s="543"/>
      <c r="JLN40" s="543"/>
      <c r="JLO40" s="543"/>
      <c r="JLP40" s="543"/>
      <c r="JLQ40" s="543"/>
      <c r="JLR40" s="543"/>
      <c r="JLS40" s="543"/>
      <c r="JLT40" s="543"/>
      <c r="JLU40" s="543"/>
      <c r="JLV40" s="543"/>
      <c r="JLW40" s="543"/>
      <c r="JLX40" s="543"/>
      <c r="JLY40" s="543"/>
      <c r="JLZ40" s="543"/>
      <c r="JMA40" s="543"/>
      <c r="JMB40" s="543"/>
      <c r="JMC40" s="543"/>
      <c r="JMD40" s="543"/>
      <c r="JME40" s="543"/>
      <c r="JMF40" s="543"/>
      <c r="JMG40" s="543"/>
      <c r="JMH40" s="543"/>
      <c r="JMI40" s="543"/>
      <c r="JMJ40" s="543"/>
      <c r="JMK40" s="543"/>
      <c r="JML40" s="543"/>
      <c r="JMM40" s="543"/>
      <c r="JMN40" s="543"/>
      <c r="JMO40" s="543"/>
      <c r="JMP40" s="543"/>
      <c r="JMQ40" s="543"/>
      <c r="JMR40" s="543"/>
      <c r="JMS40" s="543"/>
      <c r="JMT40" s="543"/>
      <c r="JMU40" s="543"/>
      <c r="JMV40" s="543"/>
      <c r="JMW40" s="543"/>
      <c r="JMX40" s="543"/>
      <c r="JMY40" s="543"/>
      <c r="JMZ40" s="543"/>
      <c r="JNA40" s="543"/>
      <c r="JNB40" s="543"/>
      <c r="JNC40" s="543"/>
      <c r="JND40" s="543"/>
      <c r="JNE40" s="543"/>
      <c r="JNF40" s="543"/>
      <c r="JNG40" s="543"/>
      <c r="JNH40" s="543"/>
      <c r="JNI40" s="543"/>
      <c r="JNJ40" s="543"/>
      <c r="JNK40" s="543"/>
      <c r="JNL40" s="543"/>
      <c r="JNM40" s="543"/>
      <c r="JNN40" s="543"/>
      <c r="JNO40" s="543"/>
      <c r="JNP40" s="543"/>
      <c r="JNQ40" s="543"/>
      <c r="JNR40" s="543"/>
      <c r="JNS40" s="543"/>
      <c r="JNT40" s="543"/>
      <c r="JNU40" s="543"/>
      <c r="JNV40" s="543"/>
      <c r="JNW40" s="543"/>
      <c r="JNX40" s="543"/>
      <c r="JNY40" s="543"/>
      <c r="JNZ40" s="543"/>
      <c r="JOA40" s="543"/>
      <c r="JOB40" s="543"/>
      <c r="JOC40" s="543"/>
      <c r="JOD40" s="543"/>
      <c r="JOE40" s="543"/>
      <c r="JOF40" s="543"/>
      <c r="JOG40" s="543"/>
      <c r="JOH40" s="543"/>
      <c r="JOI40" s="543"/>
      <c r="JOJ40" s="543"/>
      <c r="JOK40" s="543"/>
      <c r="JOL40" s="543"/>
      <c r="JOM40" s="543"/>
      <c r="JON40" s="543"/>
      <c r="JOO40" s="543"/>
      <c r="JOP40" s="543"/>
      <c r="JOQ40" s="543"/>
      <c r="JOR40" s="543"/>
      <c r="JOS40" s="543"/>
      <c r="JOT40" s="543"/>
      <c r="JOU40" s="543"/>
      <c r="JOV40" s="543"/>
      <c r="JOW40" s="543"/>
      <c r="JOX40" s="543"/>
      <c r="JOY40" s="543"/>
      <c r="JOZ40" s="543"/>
      <c r="JPA40" s="543"/>
      <c r="JPB40" s="543"/>
      <c r="JPC40" s="543"/>
      <c r="JPD40" s="543"/>
      <c r="JPE40" s="543"/>
      <c r="JPF40" s="543"/>
      <c r="JPG40" s="543"/>
      <c r="JPH40" s="543"/>
      <c r="JPI40" s="543"/>
      <c r="JPJ40" s="543"/>
      <c r="JPK40" s="543"/>
      <c r="JPL40" s="543"/>
      <c r="JPM40" s="543"/>
      <c r="JPN40" s="543"/>
      <c r="JPO40" s="543"/>
      <c r="JPP40" s="543"/>
      <c r="JPQ40" s="543"/>
      <c r="JPR40" s="543"/>
      <c r="JPS40" s="543"/>
      <c r="JPT40" s="543"/>
      <c r="JPU40" s="543"/>
      <c r="JPV40" s="543"/>
      <c r="JPW40" s="543"/>
      <c r="JPX40" s="543"/>
      <c r="JPY40" s="543"/>
      <c r="JPZ40" s="543"/>
      <c r="JQA40" s="543"/>
      <c r="JQB40" s="543"/>
      <c r="JQC40" s="543"/>
      <c r="JQD40" s="543"/>
      <c r="JQE40" s="543"/>
      <c r="JQF40" s="543"/>
      <c r="JQG40" s="543"/>
      <c r="JQH40" s="543"/>
      <c r="JQI40" s="543"/>
      <c r="JQJ40" s="543"/>
      <c r="JQK40" s="543"/>
      <c r="JQL40" s="543"/>
      <c r="JQM40" s="543"/>
      <c r="JQN40" s="543"/>
      <c r="JQO40" s="543"/>
      <c r="JQP40" s="543"/>
      <c r="JQQ40" s="543"/>
      <c r="JQR40" s="543"/>
      <c r="JQS40" s="543"/>
      <c r="JQT40" s="543"/>
      <c r="JQU40" s="543"/>
      <c r="JQV40" s="543"/>
      <c r="JQW40" s="543"/>
      <c r="JQX40" s="543"/>
      <c r="JQY40" s="543"/>
      <c r="JQZ40" s="543"/>
      <c r="JRA40" s="543"/>
      <c r="JRB40" s="543"/>
      <c r="JRC40" s="543"/>
      <c r="JRD40" s="543"/>
      <c r="JRE40" s="543"/>
      <c r="JRF40" s="543"/>
      <c r="JRG40" s="543"/>
      <c r="JRH40" s="543"/>
      <c r="JRI40" s="543"/>
      <c r="JRJ40" s="543"/>
      <c r="JRK40" s="543"/>
      <c r="JRL40" s="543"/>
      <c r="JRM40" s="543"/>
      <c r="JRN40" s="543"/>
      <c r="JRO40" s="543"/>
      <c r="JRP40" s="543"/>
      <c r="JRQ40" s="543"/>
      <c r="JRR40" s="543"/>
      <c r="JRS40" s="543"/>
      <c r="JRT40" s="543"/>
      <c r="JRU40" s="543"/>
      <c r="JRV40" s="543"/>
      <c r="JRW40" s="543"/>
      <c r="JRX40" s="543"/>
      <c r="JRY40" s="543"/>
      <c r="JRZ40" s="543"/>
      <c r="JSA40" s="543"/>
      <c r="JSB40" s="543"/>
      <c r="JSC40" s="543"/>
      <c r="JSD40" s="543"/>
      <c r="JSE40" s="543"/>
      <c r="JSF40" s="543"/>
      <c r="JSG40" s="543"/>
      <c r="JSH40" s="543"/>
      <c r="JSI40" s="543"/>
      <c r="JSJ40" s="543"/>
      <c r="JSK40" s="543"/>
      <c r="JSL40" s="543"/>
      <c r="JSM40" s="543"/>
      <c r="JSN40" s="543"/>
      <c r="JSO40" s="543"/>
      <c r="JSP40" s="543"/>
      <c r="JSQ40" s="543"/>
      <c r="JSR40" s="543"/>
      <c r="JSS40" s="543"/>
      <c r="JST40" s="543"/>
      <c r="JSU40" s="543"/>
      <c r="JSV40" s="543"/>
      <c r="JSW40" s="543"/>
      <c r="JSX40" s="543"/>
      <c r="JSY40" s="543"/>
      <c r="JSZ40" s="543"/>
      <c r="JTA40" s="543"/>
      <c r="JTB40" s="543"/>
      <c r="JTC40" s="543"/>
      <c r="JTD40" s="543"/>
      <c r="JTE40" s="543"/>
      <c r="JTF40" s="543"/>
      <c r="JTG40" s="543"/>
      <c r="JTH40" s="543"/>
      <c r="JTI40" s="543"/>
      <c r="JTJ40" s="543"/>
      <c r="JTK40" s="543"/>
      <c r="JTL40" s="543"/>
      <c r="JTM40" s="543"/>
      <c r="JTN40" s="543"/>
      <c r="JTO40" s="543"/>
      <c r="JTP40" s="543"/>
      <c r="JTQ40" s="543"/>
      <c r="JTR40" s="543"/>
      <c r="JTS40" s="543"/>
      <c r="JTT40" s="543"/>
      <c r="JTU40" s="543"/>
      <c r="JTV40" s="543"/>
      <c r="JTW40" s="543"/>
      <c r="JTX40" s="543"/>
      <c r="JTY40" s="543"/>
      <c r="JTZ40" s="543"/>
      <c r="JUA40" s="543"/>
      <c r="JUB40" s="543"/>
      <c r="JUC40" s="543"/>
      <c r="JUD40" s="543"/>
      <c r="JUE40" s="543"/>
      <c r="JUF40" s="543"/>
      <c r="JUG40" s="543"/>
      <c r="JUH40" s="543"/>
      <c r="JUI40" s="543"/>
      <c r="JUJ40" s="543"/>
      <c r="JUK40" s="543"/>
      <c r="JUL40" s="543"/>
      <c r="JUM40" s="543"/>
      <c r="JUN40" s="543"/>
      <c r="JUO40" s="543"/>
      <c r="JUP40" s="543"/>
      <c r="JUQ40" s="543"/>
      <c r="JUR40" s="543"/>
      <c r="JUS40" s="543"/>
      <c r="JUT40" s="543"/>
      <c r="JUU40" s="543"/>
      <c r="JUV40" s="543"/>
      <c r="JUW40" s="543"/>
      <c r="JUX40" s="543"/>
      <c r="JUY40" s="543"/>
      <c r="JUZ40" s="543"/>
      <c r="JVA40" s="543"/>
      <c r="JVB40" s="543"/>
      <c r="JVC40" s="543"/>
      <c r="JVD40" s="543"/>
      <c r="JVE40" s="543"/>
      <c r="JVF40" s="543"/>
      <c r="JVG40" s="543"/>
      <c r="JVH40" s="543"/>
      <c r="JVI40" s="543"/>
      <c r="JVJ40" s="543"/>
      <c r="JVK40" s="543"/>
      <c r="JVL40" s="543"/>
      <c r="JVM40" s="543"/>
      <c r="JVN40" s="543"/>
      <c r="JVO40" s="543"/>
      <c r="JVP40" s="543"/>
      <c r="JVQ40" s="543"/>
      <c r="JVR40" s="543"/>
      <c r="JVS40" s="543"/>
      <c r="JVT40" s="543"/>
      <c r="JVU40" s="543"/>
      <c r="JVV40" s="543"/>
      <c r="JVW40" s="543"/>
      <c r="JVX40" s="543"/>
      <c r="JVY40" s="543"/>
      <c r="JVZ40" s="543"/>
      <c r="JWA40" s="543"/>
      <c r="JWB40" s="543"/>
      <c r="JWC40" s="543"/>
      <c r="JWD40" s="543"/>
      <c r="JWE40" s="543"/>
      <c r="JWF40" s="543"/>
      <c r="JWG40" s="543"/>
      <c r="JWH40" s="543"/>
      <c r="JWI40" s="543"/>
      <c r="JWJ40" s="543"/>
      <c r="JWK40" s="543"/>
      <c r="JWL40" s="543"/>
      <c r="JWM40" s="543"/>
      <c r="JWN40" s="543"/>
      <c r="JWO40" s="543"/>
      <c r="JWP40" s="543"/>
      <c r="JWQ40" s="543"/>
      <c r="JWR40" s="543"/>
      <c r="JWS40" s="543"/>
      <c r="JWT40" s="543"/>
      <c r="JWU40" s="543"/>
      <c r="JWV40" s="543"/>
      <c r="JWW40" s="543"/>
      <c r="JWX40" s="543"/>
      <c r="JWY40" s="543"/>
      <c r="JWZ40" s="543"/>
      <c r="JXA40" s="543"/>
      <c r="JXB40" s="543"/>
      <c r="JXC40" s="543"/>
      <c r="JXD40" s="543"/>
      <c r="JXE40" s="543"/>
      <c r="JXF40" s="543"/>
      <c r="JXG40" s="543"/>
      <c r="JXH40" s="543"/>
      <c r="JXI40" s="543"/>
      <c r="JXJ40" s="543"/>
      <c r="JXK40" s="543"/>
      <c r="JXL40" s="543"/>
      <c r="JXM40" s="543"/>
      <c r="JXN40" s="543"/>
      <c r="JXO40" s="543"/>
      <c r="JXP40" s="543"/>
      <c r="JXQ40" s="543"/>
      <c r="JXR40" s="543"/>
      <c r="JXS40" s="543"/>
      <c r="JXT40" s="543"/>
      <c r="JXU40" s="543"/>
      <c r="JXV40" s="543"/>
      <c r="JXW40" s="543"/>
      <c r="JXX40" s="543"/>
      <c r="JXY40" s="543"/>
      <c r="JXZ40" s="543"/>
      <c r="JYA40" s="543"/>
      <c r="JYB40" s="543"/>
      <c r="JYC40" s="543"/>
      <c r="JYD40" s="543"/>
      <c r="JYE40" s="543"/>
      <c r="JYF40" s="543"/>
      <c r="JYG40" s="543"/>
      <c r="JYH40" s="543"/>
      <c r="JYI40" s="543"/>
      <c r="JYJ40" s="543"/>
      <c r="JYK40" s="543"/>
      <c r="JYL40" s="543"/>
      <c r="JYM40" s="543"/>
      <c r="JYN40" s="543"/>
      <c r="JYO40" s="543"/>
      <c r="JYP40" s="543"/>
      <c r="JYQ40" s="543"/>
      <c r="JYR40" s="543"/>
      <c r="JYS40" s="543"/>
      <c r="JYT40" s="543"/>
      <c r="JYU40" s="543"/>
      <c r="JYV40" s="543"/>
      <c r="JYW40" s="543"/>
      <c r="JYX40" s="543"/>
      <c r="JYY40" s="543"/>
      <c r="JYZ40" s="543"/>
      <c r="JZA40" s="543"/>
      <c r="JZB40" s="543"/>
      <c r="JZC40" s="543"/>
      <c r="JZD40" s="543"/>
      <c r="JZE40" s="543"/>
      <c r="JZF40" s="543"/>
      <c r="JZG40" s="543"/>
      <c r="JZH40" s="543"/>
      <c r="JZI40" s="543"/>
      <c r="JZJ40" s="543"/>
      <c r="JZK40" s="543"/>
      <c r="JZL40" s="543"/>
      <c r="JZM40" s="543"/>
      <c r="JZN40" s="543"/>
      <c r="JZO40" s="543"/>
      <c r="JZP40" s="543"/>
      <c r="JZQ40" s="543"/>
      <c r="JZR40" s="543"/>
      <c r="JZS40" s="543"/>
      <c r="JZT40" s="543"/>
      <c r="JZU40" s="543"/>
      <c r="JZV40" s="543"/>
      <c r="JZW40" s="543"/>
      <c r="JZX40" s="543"/>
      <c r="JZY40" s="543"/>
      <c r="JZZ40" s="543"/>
      <c r="KAA40" s="543"/>
      <c r="KAB40" s="543"/>
      <c r="KAC40" s="543"/>
      <c r="KAD40" s="543"/>
      <c r="KAE40" s="543"/>
      <c r="KAF40" s="543"/>
      <c r="KAG40" s="543"/>
      <c r="KAH40" s="543"/>
      <c r="KAI40" s="543"/>
      <c r="KAJ40" s="543"/>
      <c r="KAK40" s="543"/>
      <c r="KAL40" s="543"/>
      <c r="KAM40" s="543"/>
      <c r="KAN40" s="543"/>
      <c r="KAO40" s="543"/>
      <c r="KAP40" s="543"/>
      <c r="KAQ40" s="543"/>
      <c r="KAR40" s="543"/>
      <c r="KAS40" s="543"/>
      <c r="KAT40" s="543"/>
      <c r="KAU40" s="543"/>
      <c r="KAV40" s="543"/>
      <c r="KAW40" s="543"/>
      <c r="KAX40" s="543"/>
      <c r="KAY40" s="543"/>
      <c r="KAZ40" s="543"/>
      <c r="KBA40" s="543"/>
      <c r="KBB40" s="543"/>
      <c r="KBC40" s="543"/>
      <c r="KBD40" s="543"/>
      <c r="KBE40" s="543"/>
      <c r="KBF40" s="543"/>
      <c r="KBG40" s="543"/>
      <c r="KBH40" s="543"/>
      <c r="KBI40" s="543"/>
      <c r="KBJ40" s="543"/>
      <c r="KBK40" s="543"/>
      <c r="KBL40" s="543"/>
      <c r="KBM40" s="543"/>
      <c r="KBN40" s="543"/>
      <c r="KBO40" s="543"/>
      <c r="KBP40" s="543"/>
      <c r="KBQ40" s="543"/>
      <c r="KBR40" s="543"/>
      <c r="KBS40" s="543"/>
      <c r="KBT40" s="543"/>
      <c r="KBU40" s="543"/>
      <c r="KBV40" s="543"/>
      <c r="KBW40" s="543"/>
      <c r="KBX40" s="543"/>
      <c r="KBY40" s="543"/>
      <c r="KBZ40" s="543"/>
      <c r="KCA40" s="543"/>
      <c r="KCB40" s="543"/>
      <c r="KCC40" s="543"/>
      <c r="KCD40" s="543"/>
      <c r="KCE40" s="543"/>
      <c r="KCF40" s="543"/>
      <c r="KCG40" s="543"/>
      <c r="KCH40" s="543"/>
      <c r="KCI40" s="543"/>
      <c r="KCJ40" s="543"/>
      <c r="KCK40" s="543"/>
      <c r="KCL40" s="543"/>
      <c r="KCM40" s="543"/>
      <c r="KCN40" s="543"/>
      <c r="KCO40" s="543"/>
      <c r="KCP40" s="543"/>
      <c r="KCQ40" s="543"/>
      <c r="KCR40" s="543"/>
      <c r="KCS40" s="543"/>
      <c r="KCT40" s="543"/>
      <c r="KCU40" s="543"/>
      <c r="KCV40" s="543"/>
      <c r="KCW40" s="543"/>
      <c r="KCX40" s="543"/>
      <c r="KCY40" s="543"/>
      <c r="KCZ40" s="543"/>
      <c r="KDA40" s="543"/>
      <c r="KDB40" s="543"/>
      <c r="KDC40" s="543"/>
      <c r="KDD40" s="543"/>
      <c r="KDE40" s="543"/>
      <c r="KDF40" s="543"/>
      <c r="KDG40" s="543"/>
      <c r="KDH40" s="543"/>
      <c r="KDI40" s="543"/>
      <c r="KDJ40" s="543"/>
      <c r="KDK40" s="543"/>
      <c r="KDL40" s="543"/>
      <c r="KDM40" s="543"/>
      <c r="KDN40" s="543"/>
      <c r="KDO40" s="543"/>
      <c r="KDP40" s="543"/>
      <c r="KDQ40" s="543"/>
      <c r="KDR40" s="543"/>
      <c r="KDS40" s="543"/>
      <c r="KDT40" s="543"/>
      <c r="KDU40" s="543"/>
      <c r="KDV40" s="543"/>
      <c r="KDW40" s="543"/>
      <c r="KDX40" s="543"/>
      <c r="KDY40" s="543"/>
      <c r="KDZ40" s="543"/>
      <c r="KEA40" s="543"/>
      <c r="KEB40" s="543"/>
      <c r="KEC40" s="543"/>
      <c r="KED40" s="543"/>
      <c r="KEE40" s="543"/>
      <c r="KEF40" s="543"/>
      <c r="KEG40" s="543"/>
      <c r="KEH40" s="543"/>
      <c r="KEI40" s="543"/>
      <c r="KEJ40" s="543"/>
      <c r="KEK40" s="543"/>
      <c r="KEL40" s="543"/>
      <c r="KEM40" s="543"/>
      <c r="KEN40" s="543"/>
      <c r="KEO40" s="543"/>
      <c r="KEP40" s="543"/>
      <c r="KEQ40" s="543"/>
      <c r="KER40" s="543"/>
      <c r="KES40" s="543"/>
      <c r="KET40" s="543"/>
      <c r="KEU40" s="543"/>
      <c r="KEV40" s="543"/>
      <c r="KEW40" s="543"/>
      <c r="KEX40" s="543"/>
      <c r="KEY40" s="543"/>
      <c r="KEZ40" s="543"/>
      <c r="KFA40" s="543"/>
      <c r="KFB40" s="543"/>
      <c r="KFC40" s="543"/>
      <c r="KFD40" s="543"/>
      <c r="KFE40" s="543"/>
      <c r="KFF40" s="543"/>
      <c r="KFG40" s="543"/>
      <c r="KFH40" s="543"/>
      <c r="KFI40" s="543"/>
      <c r="KFJ40" s="543"/>
      <c r="KFK40" s="543"/>
      <c r="KFL40" s="543"/>
      <c r="KFM40" s="543"/>
      <c r="KFN40" s="543"/>
      <c r="KFO40" s="543"/>
      <c r="KFP40" s="543"/>
      <c r="KFQ40" s="543"/>
      <c r="KFR40" s="543"/>
      <c r="KFS40" s="543"/>
      <c r="KFT40" s="543"/>
      <c r="KFU40" s="543"/>
      <c r="KFV40" s="543"/>
      <c r="KFW40" s="543"/>
      <c r="KFX40" s="543"/>
      <c r="KFY40" s="543"/>
      <c r="KFZ40" s="543"/>
      <c r="KGA40" s="543"/>
      <c r="KGB40" s="543"/>
      <c r="KGC40" s="543"/>
      <c r="KGD40" s="543"/>
      <c r="KGE40" s="543"/>
      <c r="KGF40" s="543"/>
      <c r="KGG40" s="543"/>
      <c r="KGH40" s="543"/>
      <c r="KGI40" s="543"/>
      <c r="KGJ40" s="543"/>
      <c r="KGK40" s="543"/>
      <c r="KGL40" s="543"/>
      <c r="KGM40" s="543"/>
      <c r="KGN40" s="543"/>
      <c r="KGO40" s="543"/>
      <c r="KGP40" s="543"/>
      <c r="KGQ40" s="543"/>
      <c r="KGR40" s="543"/>
      <c r="KGS40" s="543"/>
      <c r="KGT40" s="543"/>
      <c r="KGU40" s="543"/>
      <c r="KGV40" s="543"/>
      <c r="KGW40" s="543"/>
      <c r="KGX40" s="543"/>
      <c r="KGY40" s="543"/>
      <c r="KGZ40" s="543"/>
      <c r="KHA40" s="543"/>
      <c r="KHB40" s="543"/>
      <c r="KHC40" s="543"/>
      <c r="KHD40" s="543"/>
      <c r="KHE40" s="543"/>
      <c r="KHF40" s="543"/>
      <c r="KHG40" s="543"/>
      <c r="KHH40" s="543"/>
      <c r="KHI40" s="543"/>
      <c r="KHJ40" s="543"/>
      <c r="KHK40" s="543"/>
      <c r="KHL40" s="543"/>
      <c r="KHM40" s="543"/>
      <c r="KHN40" s="543"/>
      <c r="KHO40" s="543"/>
      <c r="KHP40" s="543"/>
      <c r="KHQ40" s="543"/>
      <c r="KHR40" s="543"/>
      <c r="KHS40" s="543"/>
      <c r="KHT40" s="543"/>
      <c r="KHU40" s="543"/>
      <c r="KHV40" s="543"/>
      <c r="KHW40" s="543"/>
      <c r="KHX40" s="543"/>
      <c r="KHY40" s="543"/>
      <c r="KHZ40" s="543"/>
      <c r="KIA40" s="543"/>
      <c r="KIB40" s="543"/>
      <c r="KIC40" s="543"/>
      <c r="KID40" s="543"/>
      <c r="KIE40" s="543"/>
      <c r="KIF40" s="543"/>
      <c r="KIG40" s="543"/>
      <c r="KIH40" s="543"/>
      <c r="KII40" s="543"/>
      <c r="KIJ40" s="543"/>
      <c r="KIK40" s="543"/>
      <c r="KIL40" s="543"/>
      <c r="KIM40" s="543"/>
      <c r="KIN40" s="543"/>
      <c r="KIO40" s="543"/>
      <c r="KIP40" s="543"/>
      <c r="KIQ40" s="543"/>
      <c r="KIR40" s="543"/>
      <c r="KIS40" s="543"/>
      <c r="KIT40" s="543"/>
      <c r="KIU40" s="543"/>
      <c r="KIV40" s="543"/>
      <c r="KIW40" s="543"/>
      <c r="KIX40" s="543"/>
      <c r="KIY40" s="543"/>
      <c r="KIZ40" s="543"/>
      <c r="KJA40" s="543"/>
      <c r="KJB40" s="543"/>
      <c r="KJC40" s="543"/>
      <c r="KJD40" s="543"/>
      <c r="KJE40" s="543"/>
      <c r="KJF40" s="543"/>
      <c r="KJG40" s="543"/>
      <c r="KJH40" s="543"/>
      <c r="KJI40" s="543"/>
      <c r="KJJ40" s="543"/>
      <c r="KJK40" s="543"/>
      <c r="KJL40" s="543"/>
      <c r="KJM40" s="543"/>
      <c r="KJN40" s="543"/>
      <c r="KJO40" s="543"/>
      <c r="KJP40" s="543"/>
      <c r="KJQ40" s="543"/>
      <c r="KJR40" s="543"/>
      <c r="KJS40" s="543"/>
      <c r="KJT40" s="543"/>
      <c r="KJU40" s="543"/>
      <c r="KJV40" s="543"/>
      <c r="KJW40" s="543"/>
      <c r="KJX40" s="543"/>
      <c r="KJY40" s="543"/>
      <c r="KJZ40" s="543"/>
      <c r="KKA40" s="543"/>
      <c r="KKB40" s="543"/>
      <c r="KKC40" s="543"/>
      <c r="KKD40" s="543"/>
      <c r="KKE40" s="543"/>
      <c r="KKF40" s="543"/>
      <c r="KKG40" s="543"/>
      <c r="KKH40" s="543"/>
      <c r="KKI40" s="543"/>
      <c r="KKJ40" s="543"/>
      <c r="KKK40" s="543"/>
      <c r="KKL40" s="543"/>
      <c r="KKM40" s="543"/>
      <c r="KKN40" s="543"/>
      <c r="KKO40" s="543"/>
      <c r="KKP40" s="543"/>
      <c r="KKQ40" s="543"/>
      <c r="KKR40" s="543"/>
      <c r="KKS40" s="543"/>
      <c r="KKT40" s="543"/>
      <c r="KKU40" s="543"/>
      <c r="KKV40" s="543"/>
      <c r="KKW40" s="543"/>
      <c r="KKX40" s="543"/>
      <c r="KKY40" s="543"/>
      <c r="KKZ40" s="543"/>
      <c r="KLA40" s="543"/>
      <c r="KLB40" s="543"/>
      <c r="KLC40" s="543"/>
      <c r="KLD40" s="543"/>
      <c r="KLE40" s="543"/>
      <c r="KLF40" s="543"/>
      <c r="KLG40" s="543"/>
      <c r="KLH40" s="543"/>
      <c r="KLI40" s="543"/>
      <c r="KLJ40" s="543"/>
      <c r="KLK40" s="543"/>
      <c r="KLL40" s="543"/>
      <c r="KLM40" s="543"/>
      <c r="KLN40" s="543"/>
      <c r="KLO40" s="543"/>
      <c r="KLP40" s="543"/>
      <c r="KLQ40" s="543"/>
      <c r="KLR40" s="543"/>
      <c r="KLS40" s="543"/>
      <c r="KLT40" s="543"/>
      <c r="KLU40" s="543"/>
      <c r="KLV40" s="543"/>
      <c r="KLW40" s="543"/>
      <c r="KLX40" s="543"/>
      <c r="KLY40" s="543"/>
      <c r="KLZ40" s="543"/>
      <c r="KMA40" s="543"/>
      <c r="KMB40" s="543"/>
      <c r="KMC40" s="543"/>
      <c r="KMD40" s="543"/>
      <c r="KME40" s="543"/>
      <c r="KMF40" s="543"/>
      <c r="KMG40" s="543"/>
      <c r="KMH40" s="543"/>
      <c r="KMI40" s="543"/>
      <c r="KMJ40" s="543"/>
      <c r="KMK40" s="543"/>
      <c r="KML40" s="543"/>
      <c r="KMM40" s="543"/>
      <c r="KMN40" s="543"/>
      <c r="KMO40" s="543"/>
      <c r="KMP40" s="543"/>
      <c r="KMQ40" s="543"/>
      <c r="KMR40" s="543"/>
      <c r="KMS40" s="543"/>
      <c r="KMT40" s="543"/>
      <c r="KMU40" s="543"/>
      <c r="KMV40" s="543"/>
      <c r="KMW40" s="543"/>
      <c r="KMX40" s="543"/>
      <c r="KMY40" s="543"/>
      <c r="KMZ40" s="543"/>
      <c r="KNA40" s="543"/>
      <c r="KNB40" s="543"/>
      <c r="KNC40" s="543"/>
      <c r="KND40" s="543"/>
      <c r="KNE40" s="543"/>
      <c r="KNF40" s="543"/>
      <c r="KNG40" s="543"/>
      <c r="KNH40" s="543"/>
      <c r="KNI40" s="543"/>
      <c r="KNJ40" s="543"/>
      <c r="KNK40" s="543"/>
      <c r="KNL40" s="543"/>
      <c r="KNM40" s="543"/>
      <c r="KNN40" s="543"/>
      <c r="KNO40" s="543"/>
      <c r="KNP40" s="543"/>
      <c r="KNQ40" s="543"/>
      <c r="KNR40" s="543"/>
      <c r="KNS40" s="543"/>
      <c r="KNT40" s="543"/>
      <c r="KNU40" s="543"/>
      <c r="KNV40" s="543"/>
      <c r="KNW40" s="543"/>
      <c r="KNX40" s="543"/>
      <c r="KNY40" s="543"/>
      <c r="KNZ40" s="543"/>
      <c r="KOA40" s="543"/>
      <c r="KOB40" s="543"/>
      <c r="KOC40" s="543"/>
      <c r="KOD40" s="543"/>
      <c r="KOE40" s="543"/>
      <c r="KOF40" s="543"/>
      <c r="KOG40" s="543"/>
      <c r="KOH40" s="543"/>
      <c r="KOI40" s="543"/>
      <c r="KOJ40" s="543"/>
      <c r="KOK40" s="543"/>
      <c r="KOL40" s="543"/>
      <c r="KOM40" s="543"/>
      <c r="KON40" s="543"/>
      <c r="KOO40" s="543"/>
      <c r="KOP40" s="543"/>
      <c r="KOQ40" s="543"/>
      <c r="KOR40" s="543"/>
      <c r="KOS40" s="543"/>
      <c r="KOT40" s="543"/>
      <c r="KOU40" s="543"/>
      <c r="KOV40" s="543"/>
      <c r="KOW40" s="543"/>
      <c r="KOX40" s="543"/>
      <c r="KOY40" s="543"/>
      <c r="KOZ40" s="543"/>
      <c r="KPA40" s="543"/>
      <c r="KPB40" s="543"/>
      <c r="KPC40" s="543"/>
      <c r="KPD40" s="543"/>
      <c r="KPE40" s="543"/>
      <c r="KPF40" s="543"/>
      <c r="KPG40" s="543"/>
      <c r="KPH40" s="543"/>
      <c r="KPI40" s="543"/>
      <c r="KPJ40" s="543"/>
      <c r="KPK40" s="543"/>
      <c r="KPL40" s="543"/>
      <c r="KPM40" s="543"/>
      <c r="KPN40" s="543"/>
      <c r="KPO40" s="543"/>
      <c r="KPP40" s="543"/>
      <c r="KPQ40" s="543"/>
      <c r="KPR40" s="543"/>
      <c r="KPS40" s="543"/>
      <c r="KPT40" s="543"/>
      <c r="KPU40" s="543"/>
      <c r="KPV40" s="543"/>
      <c r="KPW40" s="543"/>
      <c r="KPX40" s="543"/>
      <c r="KPY40" s="543"/>
      <c r="KPZ40" s="543"/>
      <c r="KQA40" s="543"/>
      <c r="KQB40" s="543"/>
      <c r="KQC40" s="543"/>
      <c r="KQD40" s="543"/>
      <c r="KQE40" s="543"/>
      <c r="KQF40" s="543"/>
      <c r="KQG40" s="543"/>
      <c r="KQH40" s="543"/>
      <c r="KQI40" s="543"/>
      <c r="KQJ40" s="543"/>
      <c r="KQK40" s="543"/>
      <c r="KQL40" s="543"/>
      <c r="KQM40" s="543"/>
      <c r="KQN40" s="543"/>
      <c r="KQO40" s="543"/>
      <c r="KQP40" s="543"/>
      <c r="KQQ40" s="543"/>
      <c r="KQR40" s="543"/>
      <c r="KQS40" s="543"/>
      <c r="KQT40" s="543"/>
      <c r="KQU40" s="543"/>
      <c r="KQV40" s="543"/>
      <c r="KQW40" s="543"/>
      <c r="KQX40" s="543"/>
      <c r="KQY40" s="543"/>
      <c r="KQZ40" s="543"/>
      <c r="KRA40" s="543"/>
      <c r="KRB40" s="543"/>
      <c r="KRC40" s="543"/>
      <c r="KRD40" s="543"/>
      <c r="KRE40" s="543"/>
      <c r="KRF40" s="543"/>
      <c r="KRG40" s="543"/>
      <c r="KRH40" s="543"/>
      <c r="KRI40" s="543"/>
      <c r="KRJ40" s="543"/>
      <c r="KRK40" s="543"/>
      <c r="KRL40" s="543"/>
      <c r="KRM40" s="543"/>
      <c r="KRN40" s="543"/>
      <c r="KRO40" s="543"/>
      <c r="KRP40" s="543"/>
      <c r="KRQ40" s="543"/>
      <c r="KRR40" s="543"/>
      <c r="KRS40" s="543"/>
      <c r="KRT40" s="543"/>
      <c r="KRU40" s="543"/>
      <c r="KRV40" s="543"/>
      <c r="KRW40" s="543"/>
      <c r="KRX40" s="543"/>
      <c r="KRY40" s="543"/>
      <c r="KRZ40" s="543"/>
      <c r="KSA40" s="543"/>
      <c r="KSB40" s="543"/>
      <c r="KSC40" s="543"/>
      <c r="KSD40" s="543"/>
      <c r="KSE40" s="543"/>
      <c r="KSF40" s="543"/>
      <c r="KSG40" s="543"/>
      <c r="KSH40" s="543"/>
      <c r="KSI40" s="543"/>
      <c r="KSJ40" s="543"/>
      <c r="KSK40" s="543"/>
      <c r="KSL40" s="543"/>
      <c r="KSM40" s="543"/>
      <c r="KSN40" s="543"/>
      <c r="KSO40" s="543"/>
      <c r="KSP40" s="543"/>
      <c r="KSQ40" s="543"/>
      <c r="KSR40" s="543"/>
      <c r="KSS40" s="543"/>
      <c r="KST40" s="543"/>
      <c r="KSU40" s="543"/>
      <c r="KSV40" s="543"/>
      <c r="KSW40" s="543"/>
      <c r="KSX40" s="543"/>
      <c r="KSY40" s="543"/>
      <c r="KSZ40" s="543"/>
      <c r="KTA40" s="543"/>
      <c r="KTB40" s="543"/>
      <c r="KTC40" s="543"/>
      <c r="KTD40" s="543"/>
      <c r="KTE40" s="543"/>
      <c r="KTF40" s="543"/>
      <c r="KTG40" s="543"/>
      <c r="KTH40" s="543"/>
      <c r="KTI40" s="543"/>
      <c r="KTJ40" s="543"/>
      <c r="KTK40" s="543"/>
      <c r="KTL40" s="543"/>
      <c r="KTM40" s="543"/>
      <c r="KTN40" s="543"/>
      <c r="KTO40" s="543"/>
      <c r="KTP40" s="543"/>
      <c r="KTQ40" s="543"/>
      <c r="KTR40" s="543"/>
      <c r="KTS40" s="543"/>
      <c r="KTT40" s="543"/>
      <c r="KTU40" s="543"/>
      <c r="KTV40" s="543"/>
      <c r="KTW40" s="543"/>
      <c r="KTX40" s="543"/>
      <c r="KTY40" s="543"/>
      <c r="KTZ40" s="543"/>
      <c r="KUA40" s="543"/>
      <c r="KUB40" s="543"/>
      <c r="KUC40" s="543"/>
      <c r="KUD40" s="543"/>
      <c r="KUE40" s="543"/>
      <c r="KUF40" s="543"/>
      <c r="KUG40" s="543"/>
      <c r="KUH40" s="543"/>
      <c r="KUI40" s="543"/>
      <c r="KUJ40" s="543"/>
      <c r="KUK40" s="543"/>
      <c r="KUL40" s="543"/>
      <c r="KUM40" s="543"/>
      <c r="KUN40" s="543"/>
      <c r="KUO40" s="543"/>
      <c r="KUP40" s="543"/>
      <c r="KUQ40" s="543"/>
      <c r="KUR40" s="543"/>
      <c r="KUS40" s="543"/>
      <c r="KUT40" s="543"/>
      <c r="KUU40" s="543"/>
      <c r="KUV40" s="543"/>
      <c r="KUW40" s="543"/>
      <c r="KUX40" s="543"/>
      <c r="KUY40" s="543"/>
      <c r="KUZ40" s="543"/>
      <c r="KVA40" s="543"/>
      <c r="KVB40" s="543"/>
      <c r="KVC40" s="543"/>
      <c r="KVD40" s="543"/>
      <c r="KVE40" s="543"/>
      <c r="KVF40" s="543"/>
      <c r="KVG40" s="543"/>
      <c r="KVH40" s="543"/>
      <c r="KVI40" s="543"/>
      <c r="KVJ40" s="543"/>
      <c r="KVK40" s="543"/>
      <c r="KVL40" s="543"/>
      <c r="KVM40" s="543"/>
      <c r="KVN40" s="543"/>
      <c r="KVO40" s="543"/>
      <c r="KVP40" s="543"/>
      <c r="KVQ40" s="543"/>
      <c r="KVR40" s="543"/>
      <c r="KVS40" s="543"/>
      <c r="KVT40" s="543"/>
      <c r="KVU40" s="543"/>
      <c r="KVV40" s="543"/>
      <c r="KVW40" s="543"/>
      <c r="KVX40" s="543"/>
      <c r="KVY40" s="543"/>
      <c r="KVZ40" s="543"/>
      <c r="KWA40" s="543"/>
      <c r="KWB40" s="543"/>
      <c r="KWC40" s="543"/>
      <c r="KWD40" s="543"/>
      <c r="KWE40" s="543"/>
      <c r="KWF40" s="543"/>
      <c r="KWG40" s="543"/>
      <c r="KWH40" s="543"/>
      <c r="KWI40" s="543"/>
      <c r="KWJ40" s="543"/>
      <c r="KWK40" s="543"/>
      <c r="KWL40" s="543"/>
      <c r="KWM40" s="543"/>
      <c r="KWN40" s="543"/>
      <c r="KWO40" s="543"/>
      <c r="KWP40" s="543"/>
      <c r="KWQ40" s="543"/>
      <c r="KWR40" s="543"/>
      <c r="KWS40" s="543"/>
      <c r="KWT40" s="543"/>
      <c r="KWU40" s="543"/>
      <c r="KWV40" s="543"/>
      <c r="KWW40" s="543"/>
      <c r="KWX40" s="543"/>
      <c r="KWY40" s="543"/>
      <c r="KWZ40" s="543"/>
      <c r="KXA40" s="543"/>
      <c r="KXB40" s="543"/>
      <c r="KXC40" s="543"/>
      <c r="KXD40" s="543"/>
      <c r="KXE40" s="543"/>
      <c r="KXF40" s="543"/>
      <c r="KXG40" s="543"/>
      <c r="KXH40" s="543"/>
      <c r="KXI40" s="543"/>
      <c r="KXJ40" s="543"/>
      <c r="KXK40" s="543"/>
      <c r="KXL40" s="543"/>
      <c r="KXM40" s="543"/>
      <c r="KXN40" s="543"/>
      <c r="KXO40" s="543"/>
      <c r="KXP40" s="543"/>
      <c r="KXQ40" s="543"/>
      <c r="KXR40" s="543"/>
      <c r="KXS40" s="543"/>
      <c r="KXT40" s="543"/>
      <c r="KXU40" s="543"/>
      <c r="KXV40" s="543"/>
      <c r="KXW40" s="543"/>
      <c r="KXX40" s="543"/>
      <c r="KXY40" s="543"/>
      <c r="KXZ40" s="543"/>
      <c r="KYA40" s="543"/>
      <c r="KYB40" s="543"/>
      <c r="KYC40" s="543"/>
      <c r="KYD40" s="543"/>
      <c r="KYE40" s="543"/>
      <c r="KYF40" s="543"/>
      <c r="KYG40" s="543"/>
      <c r="KYH40" s="543"/>
      <c r="KYI40" s="543"/>
      <c r="KYJ40" s="543"/>
      <c r="KYK40" s="543"/>
      <c r="KYL40" s="543"/>
      <c r="KYM40" s="543"/>
      <c r="KYN40" s="543"/>
      <c r="KYO40" s="543"/>
      <c r="KYP40" s="543"/>
      <c r="KYQ40" s="543"/>
      <c r="KYR40" s="543"/>
      <c r="KYS40" s="543"/>
      <c r="KYT40" s="543"/>
      <c r="KYU40" s="543"/>
      <c r="KYV40" s="543"/>
      <c r="KYW40" s="543"/>
      <c r="KYX40" s="543"/>
      <c r="KYY40" s="543"/>
      <c r="KYZ40" s="543"/>
      <c r="KZA40" s="543"/>
      <c r="KZB40" s="543"/>
      <c r="KZC40" s="543"/>
      <c r="KZD40" s="543"/>
      <c r="KZE40" s="543"/>
      <c r="KZF40" s="543"/>
      <c r="KZG40" s="543"/>
      <c r="KZH40" s="543"/>
      <c r="KZI40" s="543"/>
      <c r="KZJ40" s="543"/>
      <c r="KZK40" s="543"/>
      <c r="KZL40" s="543"/>
      <c r="KZM40" s="543"/>
      <c r="KZN40" s="543"/>
      <c r="KZO40" s="543"/>
      <c r="KZP40" s="543"/>
      <c r="KZQ40" s="543"/>
      <c r="KZR40" s="543"/>
      <c r="KZS40" s="543"/>
      <c r="KZT40" s="543"/>
      <c r="KZU40" s="543"/>
      <c r="KZV40" s="543"/>
      <c r="KZW40" s="543"/>
      <c r="KZX40" s="543"/>
      <c r="KZY40" s="543"/>
      <c r="KZZ40" s="543"/>
      <c r="LAA40" s="543"/>
      <c r="LAB40" s="543"/>
      <c r="LAC40" s="543"/>
      <c r="LAD40" s="543"/>
      <c r="LAE40" s="543"/>
      <c r="LAF40" s="543"/>
      <c r="LAG40" s="543"/>
      <c r="LAH40" s="543"/>
      <c r="LAI40" s="543"/>
      <c r="LAJ40" s="543"/>
      <c r="LAK40" s="543"/>
      <c r="LAL40" s="543"/>
      <c r="LAM40" s="543"/>
      <c r="LAN40" s="543"/>
      <c r="LAO40" s="543"/>
      <c r="LAP40" s="543"/>
      <c r="LAQ40" s="543"/>
      <c r="LAR40" s="543"/>
      <c r="LAS40" s="543"/>
      <c r="LAT40" s="543"/>
      <c r="LAU40" s="543"/>
      <c r="LAV40" s="543"/>
      <c r="LAW40" s="543"/>
      <c r="LAX40" s="543"/>
      <c r="LAY40" s="543"/>
      <c r="LAZ40" s="543"/>
      <c r="LBA40" s="543"/>
      <c r="LBB40" s="543"/>
      <c r="LBC40" s="543"/>
      <c r="LBD40" s="543"/>
      <c r="LBE40" s="543"/>
      <c r="LBF40" s="543"/>
      <c r="LBG40" s="543"/>
      <c r="LBH40" s="543"/>
      <c r="LBI40" s="543"/>
      <c r="LBJ40" s="543"/>
      <c r="LBK40" s="543"/>
      <c r="LBL40" s="543"/>
      <c r="LBM40" s="543"/>
      <c r="LBN40" s="543"/>
      <c r="LBO40" s="543"/>
      <c r="LBP40" s="543"/>
      <c r="LBQ40" s="543"/>
      <c r="LBR40" s="543"/>
      <c r="LBS40" s="543"/>
      <c r="LBT40" s="543"/>
      <c r="LBU40" s="543"/>
      <c r="LBV40" s="543"/>
      <c r="LBW40" s="543"/>
      <c r="LBX40" s="543"/>
      <c r="LBY40" s="543"/>
      <c r="LBZ40" s="543"/>
      <c r="LCA40" s="543"/>
      <c r="LCB40" s="543"/>
      <c r="LCC40" s="543"/>
      <c r="LCD40" s="543"/>
      <c r="LCE40" s="543"/>
      <c r="LCF40" s="543"/>
      <c r="LCG40" s="543"/>
      <c r="LCH40" s="543"/>
      <c r="LCI40" s="543"/>
      <c r="LCJ40" s="543"/>
      <c r="LCK40" s="543"/>
      <c r="LCL40" s="543"/>
      <c r="LCM40" s="543"/>
      <c r="LCN40" s="543"/>
      <c r="LCO40" s="543"/>
      <c r="LCP40" s="543"/>
      <c r="LCQ40" s="543"/>
      <c r="LCR40" s="543"/>
      <c r="LCS40" s="543"/>
      <c r="LCT40" s="543"/>
      <c r="LCU40" s="543"/>
      <c r="LCV40" s="543"/>
      <c r="LCW40" s="543"/>
      <c r="LCX40" s="543"/>
      <c r="LCY40" s="543"/>
      <c r="LCZ40" s="543"/>
      <c r="LDA40" s="543"/>
      <c r="LDB40" s="543"/>
      <c r="LDC40" s="543"/>
      <c r="LDD40" s="543"/>
      <c r="LDE40" s="543"/>
      <c r="LDF40" s="543"/>
      <c r="LDG40" s="543"/>
      <c r="LDH40" s="543"/>
      <c r="LDI40" s="543"/>
      <c r="LDJ40" s="543"/>
      <c r="LDK40" s="543"/>
      <c r="LDL40" s="543"/>
      <c r="LDM40" s="543"/>
      <c r="LDN40" s="543"/>
      <c r="LDO40" s="543"/>
      <c r="LDP40" s="543"/>
      <c r="LDQ40" s="543"/>
      <c r="LDR40" s="543"/>
      <c r="LDS40" s="543"/>
      <c r="LDT40" s="543"/>
      <c r="LDU40" s="543"/>
      <c r="LDV40" s="543"/>
      <c r="LDW40" s="543"/>
      <c r="LDX40" s="543"/>
      <c r="LDY40" s="543"/>
      <c r="LDZ40" s="543"/>
      <c r="LEA40" s="543"/>
      <c r="LEB40" s="543"/>
      <c r="LEC40" s="543"/>
      <c r="LED40" s="543"/>
      <c r="LEE40" s="543"/>
      <c r="LEF40" s="543"/>
      <c r="LEG40" s="543"/>
      <c r="LEH40" s="543"/>
      <c r="LEI40" s="543"/>
      <c r="LEJ40" s="543"/>
      <c r="LEK40" s="543"/>
      <c r="LEL40" s="543"/>
      <c r="LEM40" s="543"/>
      <c r="LEN40" s="543"/>
      <c r="LEO40" s="543"/>
      <c r="LEP40" s="543"/>
      <c r="LEQ40" s="543"/>
      <c r="LER40" s="543"/>
      <c r="LES40" s="543"/>
      <c r="LET40" s="543"/>
      <c r="LEU40" s="543"/>
      <c r="LEV40" s="543"/>
      <c r="LEW40" s="543"/>
      <c r="LEX40" s="543"/>
      <c r="LEY40" s="543"/>
      <c r="LEZ40" s="543"/>
      <c r="LFA40" s="543"/>
      <c r="LFB40" s="543"/>
      <c r="LFC40" s="543"/>
      <c r="LFD40" s="543"/>
      <c r="LFE40" s="543"/>
      <c r="LFF40" s="543"/>
      <c r="LFG40" s="543"/>
      <c r="LFH40" s="543"/>
      <c r="LFI40" s="543"/>
      <c r="LFJ40" s="543"/>
      <c r="LFK40" s="543"/>
      <c r="LFL40" s="543"/>
      <c r="LFM40" s="543"/>
      <c r="LFN40" s="543"/>
      <c r="LFO40" s="543"/>
      <c r="LFP40" s="543"/>
      <c r="LFQ40" s="543"/>
      <c r="LFR40" s="543"/>
      <c r="LFS40" s="543"/>
      <c r="LFT40" s="543"/>
      <c r="LFU40" s="543"/>
      <c r="LFV40" s="543"/>
      <c r="LFW40" s="543"/>
      <c r="LFX40" s="543"/>
      <c r="LFY40" s="543"/>
      <c r="LFZ40" s="543"/>
      <c r="LGA40" s="543"/>
      <c r="LGB40" s="543"/>
      <c r="LGC40" s="543"/>
      <c r="LGD40" s="543"/>
      <c r="LGE40" s="543"/>
      <c r="LGF40" s="543"/>
      <c r="LGG40" s="543"/>
      <c r="LGH40" s="543"/>
      <c r="LGI40" s="543"/>
      <c r="LGJ40" s="543"/>
      <c r="LGK40" s="543"/>
      <c r="LGL40" s="543"/>
      <c r="LGM40" s="543"/>
      <c r="LGN40" s="543"/>
      <c r="LGO40" s="543"/>
      <c r="LGP40" s="543"/>
      <c r="LGQ40" s="543"/>
      <c r="LGR40" s="543"/>
      <c r="LGS40" s="543"/>
      <c r="LGT40" s="543"/>
      <c r="LGU40" s="543"/>
      <c r="LGV40" s="543"/>
      <c r="LGW40" s="543"/>
      <c r="LGX40" s="543"/>
      <c r="LGY40" s="543"/>
      <c r="LGZ40" s="543"/>
      <c r="LHA40" s="543"/>
      <c r="LHB40" s="543"/>
      <c r="LHC40" s="543"/>
      <c r="LHD40" s="543"/>
      <c r="LHE40" s="543"/>
      <c r="LHF40" s="543"/>
      <c r="LHG40" s="543"/>
      <c r="LHH40" s="543"/>
      <c r="LHI40" s="543"/>
      <c r="LHJ40" s="543"/>
      <c r="LHK40" s="543"/>
      <c r="LHL40" s="543"/>
      <c r="LHM40" s="543"/>
      <c r="LHN40" s="543"/>
      <c r="LHO40" s="543"/>
      <c r="LHP40" s="543"/>
      <c r="LHQ40" s="543"/>
      <c r="LHR40" s="543"/>
      <c r="LHS40" s="543"/>
      <c r="LHT40" s="543"/>
      <c r="LHU40" s="543"/>
      <c r="LHV40" s="543"/>
      <c r="LHW40" s="543"/>
      <c r="LHX40" s="543"/>
      <c r="LHY40" s="543"/>
      <c r="LHZ40" s="543"/>
      <c r="LIA40" s="543"/>
      <c r="LIB40" s="543"/>
      <c r="LIC40" s="543"/>
      <c r="LID40" s="543"/>
      <c r="LIE40" s="543"/>
      <c r="LIF40" s="543"/>
      <c r="LIG40" s="543"/>
      <c r="LIH40" s="543"/>
      <c r="LII40" s="543"/>
      <c r="LIJ40" s="543"/>
      <c r="LIK40" s="543"/>
      <c r="LIL40" s="543"/>
      <c r="LIM40" s="543"/>
      <c r="LIN40" s="543"/>
      <c r="LIO40" s="543"/>
      <c r="LIP40" s="543"/>
      <c r="LIQ40" s="543"/>
      <c r="LIR40" s="543"/>
      <c r="LIS40" s="543"/>
      <c r="LIT40" s="543"/>
      <c r="LIU40" s="543"/>
      <c r="LIV40" s="543"/>
      <c r="LIW40" s="543"/>
      <c r="LIX40" s="543"/>
      <c r="LIY40" s="543"/>
      <c r="LIZ40" s="543"/>
      <c r="LJA40" s="543"/>
      <c r="LJB40" s="543"/>
      <c r="LJC40" s="543"/>
      <c r="LJD40" s="543"/>
      <c r="LJE40" s="543"/>
      <c r="LJF40" s="543"/>
      <c r="LJG40" s="543"/>
      <c r="LJH40" s="543"/>
      <c r="LJI40" s="543"/>
      <c r="LJJ40" s="543"/>
      <c r="LJK40" s="543"/>
      <c r="LJL40" s="543"/>
      <c r="LJM40" s="543"/>
      <c r="LJN40" s="543"/>
      <c r="LJO40" s="543"/>
      <c r="LJP40" s="543"/>
      <c r="LJQ40" s="543"/>
      <c r="LJR40" s="543"/>
      <c r="LJS40" s="543"/>
      <c r="LJT40" s="543"/>
      <c r="LJU40" s="543"/>
      <c r="LJV40" s="543"/>
      <c r="LJW40" s="543"/>
      <c r="LJX40" s="543"/>
      <c r="LJY40" s="543"/>
      <c r="LJZ40" s="543"/>
      <c r="LKA40" s="543"/>
      <c r="LKB40" s="543"/>
      <c r="LKC40" s="543"/>
      <c r="LKD40" s="543"/>
      <c r="LKE40" s="543"/>
      <c r="LKF40" s="543"/>
      <c r="LKG40" s="543"/>
      <c r="LKH40" s="543"/>
      <c r="LKI40" s="543"/>
      <c r="LKJ40" s="543"/>
      <c r="LKK40" s="543"/>
      <c r="LKL40" s="543"/>
      <c r="LKM40" s="543"/>
      <c r="LKN40" s="543"/>
      <c r="LKO40" s="543"/>
      <c r="LKP40" s="543"/>
      <c r="LKQ40" s="543"/>
      <c r="LKR40" s="543"/>
      <c r="LKS40" s="543"/>
      <c r="LKT40" s="543"/>
      <c r="LKU40" s="543"/>
      <c r="LKV40" s="543"/>
      <c r="LKW40" s="543"/>
      <c r="LKX40" s="543"/>
      <c r="LKY40" s="543"/>
      <c r="LKZ40" s="543"/>
      <c r="LLA40" s="543"/>
      <c r="LLB40" s="543"/>
      <c r="LLC40" s="543"/>
      <c r="LLD40" s="543"/>
      <c r="LLE40" s="543"/>
      <c r="LLF40" s="543"/>
      <c r="LLG40" s="543"/>
      <c r="LLH40" s="543"/>
      <c r="LLI40" s="543"/>
      <c r="LLJ40" s="543"/>
      <c r="LLK40" s="543"/>
      <c r="LLL40" s="543"/>
      <c r="LLM40" s="543"/>
      <c r="LLN40" s="543"/>
      <c r="LLO40" s="543"/>
      <c r="LLP40" s="543"/>
      <c r="LLQ40" s="543"/>
      <c r="LLR40" s="543"/>
      <c r="LLS40" s="543"/>
      <c r="LLT40" s="543"/>
      <c r="LLU40" s="543"/>
      <c r="LLV40" s="543"/>
      <c r="LLW40" s="543"/>
      <c r="LLX40" s="543"/>
      <c r="LLY40" s="543"/>
      <c r="LLZ40" s="543"/>
      <c r="LMA40" s="543"/>
      <c r="LMB40" s="543"/>
      <c r="LMC40" s="543"/>
      <c r="LMD40" s="543"/>
      <c r="LME40" s="543"/>
      <c r="LMF40" s="543"/>
      <c r="LMG40" s="543"/>
      <c r="LMH40" s="543"/>
      <c r="LMI40" s="543"/>
      <c r="LMJ40" s="543"/>
      <c r="LMK40" s="543"/>
      <c r="LML40" s="543"/>
      <c r="LMM40" s="543"/>
      <c r="LMN40" s="543"/>
      <c r="LMO40" s="543"/>
      <c r="LMP40" s="543"/>
      <c r="LMQ40" s="543"/>
      <c r="LMR40" s="543"/>
      <c r="LMS40" s="543"/>
      <c r="LMT40" s="543"/>
      <c r="LMU40" s="543"/>
      <c r="LMV40" s="543"/>
      <c r="LMW40" s="543"/>
      <c r="LMX40" s="543"/>
      <c r="LMY40" s="543"/>
      <c r="LMZ40" s="543"/>
      <c r="LNA40" s="543"/>
      <c r="LNB40" s="543"/>
      <c r="LNC40" s="543"/>
      <c r="LND40" s="543"/>
      <c r="LNE40" s="543"/>
      <c r="LNF40" s="543"/>
      <c r="LNG40" s="543"/>
      <c r="LNH40" s="543"/>
      <c r="LNI40" s="543"/>
      <c r="LNJ40" s="543"/>
      <c r="LNK40" s="543"/>
      <c r="LNL40" s="543"/>
      <c r="LNM40" s="543"/>
      <c r="LNN40" s="543"/>
      <c r="LNO40" s="543"/>
      <c r="LNP40" s="543"/>
      <c r="LNQ40" s="543"/>
      <c r="LNR40" s="543"/>
      <c r="LNS40" s="543"/>
      <c r="LNT40" s="543"/>
      <c r="LNU40" s="543"/>
      <c r="LNV40" s="543"/>
      <c r="LNW40" s="543"/>
      <c r="LNX40" s="543"/>
      <c r="LNY40" s="543"/>
      <c r="LNZ40" s="543"/>
      <c r="LOA40" s="543"/>
      <c r="LOB40" s="543"/>
      <c r="LOC40" s="543"/>
      <c r="LOD40" s="543"/>
      <c r="LOE40" s="543"/>
      <c r="LOF40" s="543"/>
      <c r="LOG40" s="543"/>
      <c r="LOH40" s="543"/>
      <c r="LOI40" s="543"/>
      <c r="LOJ40" s="543"/>
      <c r="LOK40" s="543"/>
      <c r="LOL40" s="543"/>
      <c r="LOM40" s="543"/>
      <c r="LON40" s="543"/>
      <c r="LOO40" s="543"/>
      <c r="LOP40" s="543"/>
      <c r="LOQ40" s="543"/>
      <c r="LOR40" s="543"/>
      <c r="LOS40" s="543"/>
      <c r="LOT40" s="543"/>
      <c r="LOU40" s="543"/>
      <c r="LOV40" s="543"/>
      <c r="LOW40" s="543"/>
      <c r="LOX40" s="543"/>
      <c r="LOY40" s="543"/>
      <c r="LOZ40" s="543"/>
      <c r="LPA40" s="543"/>
      <c r="LPB40" s="543"/>
      <c r="LPC40" s="543"/>
      <c r="LPD40" s="543"/>
      <c r="LPE40" s="543"/>
      <c r="LPF40" s="543"/>
      <c r="LPG40" s="543"/>
      <c r="LPH40" s="543"/>
      <c r="LPI40" s="543"/>
      <c r="LPJ40" s="543"/>
      <c r="LPK40" s="543"/>
      <c r="LPL40" s="543"/>
      <c r="LPM40" s="543"/>
      <c r="LPN40" s="543"/>
      <c r="LPO40" s="543"/>
      <c r="LPP40" s="543"/>
      <c r="LPQ40" s="543"/>
      <c r="LPR40" s="543"/>
      <c r="LPS40" s="543"/>
      <c r="LPT40" s="543"/>
      <c r="LPU40" s="543"/>
      <c r="LPV40" s="543"/>
      <c r="LPW40" s="543"/>
      <c r="LPX40" s="543"/>
      <c r="LPY40" s="543"/>
      <c r="LPZ40" s="543"/>
      <c r="LQA40" s="543"/>
      <c r="LQB40" s="543"/>
      <c r="LQC40" s="543"/>
      <c r="LQD40" s="543"/>
      <c r="LQE40" s="543"/>
      <c r="LQF40" s="543"/>
      <c r="LQG40" s="543"/>
      <c r="LQH40" s="543"/>
      <c r="LQI40" s="543"/>
      <c r="LQJ40" s="543"/>
      <c r="LQK40" s="543"/>
      <c r="LQL40" s="543"/>
      <c r="LQM40" s="543"/>
      <c r="LQN40" s="543"/>
      <c r="LQO40" s="543"/>
      <c r="LQP40" s="543"/>
      <c r="LQQ40" s="543"/>
      <c r="LQR40" s="543"/>
      <c r="LQS40" s="543"/>
      <c r="LQT40" s="543"/>
      <c r="LQU40" s="543"/>
      <c r="LQV40" s="543"/>
      <c r="LQW40" s="543"/>
      <c r="LQX40" s="543"/>
      <c r="LQY40" s="543"/>
      <c r="LQZ40" s="543"/>
      <c r="LRA40" s="543"/>
      <c r="LRB40" s="543"/>
      <c r="LRC40" s="543"/>
      <c r="LRD40" s="543"/>
      <c r="LRE40" s="543"/>
      <c r="LRF40" s="543"/>
      <c r="LRG40" s="543"/>
      <c r="LRH40" s="543"/>
      <c r="LRI40" s="543"/>
      <c r="LRJ40" s="543"/>
      <c r="LRK40" s="543"/>
      <c r="LRL40" s="543"/>
      <c r="LRM40" s="543"/>
      <c r="LRN40" s="543"/>
      <c r="LRO40" s="543"/>
      <c r="LRP40" s="543"/>
      <c r="LRQ40" s="543"/>
      <c r="LRR40" s="543"/>
      <c r="LRS40" s="543"/>
      <c r="LRT40" s="543"/>
      <c r="LRU40" s="543"/>
      <c r="LRV40" s="543"/>
      <c r="LRW40" s="543"/>
      <c r="LRX40" s="543"/>
      <c r="LRY40" s="543"/>
      <c r="LRZ40" s="543"/>
      <c r="LSA40" s="543"/>
      <c r="LSB40" s="543"/>
      <c r="LSC40" s="543"/>
      <c r="LSD40" s="543"/>
      <c r="LSE40" s="543"/>
      <c r="LSF40" s="543"/>
      <c r="LSG40" s="543"/>
      <c r="LSH40" s="543"/>
      <c r="LSI40" s="543"/>
      <c r="LSJ40" s="543"/>
      <c r="LSK40" s="543"/>
      <c r="LSL40" s="543"/>
      <c r="LSM40" s="543"/>
      <c r="LSN40" s="543"/>
      <c r="LSO40" s="543"/>
      <c r="LSP40" s="543"/>
      <c r="LSQ40" s="543"/>
      <c r="LSR40" s="543"/>
      <c r="LSS40" s="543"/>
      <c r="LST40" s="543"/>
      <c r="LSU40" s="543"/>
      <c r="LSV40" s="543"/>
      <c r="LSW40" s="543"/>
      <c r="LSX40" s="543"/>
      <c r="LSY40" s="543"/>
      <c r="LSZ40" s="543"/>
      <c r="LTA40" s="543"/>
      <c r="LTB40" s="543"/>
      <c r="LTC40" s="543"/>
      <c r="LTD40" s="543"/>
      <c r="LTE40" s="543"/>
      <c r="LTF40" s="543"/>
      <c r="LTG40" s="543"/>
      <c r="LTH40" s="543"/>
      <c r="LTI40" s="543"/>
      <c r="LTJ40" s="543"/>
      <c r="LTK40" s="543"/>
      <c r="LTL40" s="543"/>
      <c r="LTM40" s="543"/>
      <c r="LTN40" s="543"/>
      <c r="LTO40" s="543"/>
      <c r="LTP40" s="543"/>
      <c r="LTQ40" s="543"/>
      <c r="LTR40" s="543"/>
      <c r="LTS40" s="543"/>
      <c r="LTT40" s="543"/>
      <c r="LTU40" s="543"/>
      <c r="LTV40" s="543"/>
      <c r="LTW40" s="543"/>
      <c r="LTX40" s="543"/>
      <c r="LTY40" s="543"/>
      <c r="LTZ40" s="543"/>
      <c r="LUA40" s="543"/>
      <c r="LUB40" s="543"/>
      <c r="LUC40" s="543"/>
      <c r="LUD40" s="543"/>
      <c r="LUE40" s="543"/>
      <c r="LUF40" s="543"/>
      <c r="LUG40" s="543"/>
      <c r="LUH40" s="543"/>
      <c r="LUI40" s="543"/>
      <c r="LUJ40" s="543"/>
      <c r="LUK40" s="543"/>
      <c r="LUL40" s="543"/>
      <c r="LUM40" s="543"/>
      <c r="LUN40" s="543"/>
      <c r="LUO40" s="543"/>
      <c r="LUP40" s="543"/>
      <c r="LUQ40" s="543"/>
      <c r="LUR40" s="543"/>
      <c r="LUS40" s="543"/>
      <c r="LUT40" s="543"/>
      <c r="LUU40" s="543"/>
      <c r="LUV40" s="543"/>
      <c r="LUW40" s="543"/>
      <c r="LUX40" s="543"/>
      <c r="LUY40" s="543"/>
      <c r="LUZ40" s="543"/>
      <c r="LVA40" s="543"/>
      <c r="LVB40" s="543"/>
      <c r="LVC40" s="543"/>
      <c r="LVD40" s="543"/>
      <c r="LVE40" s="543"/>
      <c r="LVF40" s="543"/>
      <c r="LVG40" s="543"/>
      <c r="LVH40" s="543"/>
      <c r="LVI40" s="543"/>
      <c r="LVJ40" s="543"/>
      <c r="LVK40" s="543"/>
      <c r="LVL40" s="543"/>
      <c r="LVM40" s="543"/>
      <c r="LVN40" s="543"/>
      <c r="LVO40" s="543"/>
      <c r="LVP40" s="543"/>
      <c r="LVQ40" s="543"/>
      <c r="LVR40" s="543"/>
      <c r="LVS40" s="543"/>
      <c r="LVT40" s="543"/>
      <c r="LVU40" s="543"/>
      <c r="LVV40" s="543"/>
      <c r="LVW40" s="543"/>
      <c r="LVX40" s="543"/>
      <c r="LVY40" s="543"/>
      <c r="LVZ40" s="543"/>
      <c r="LWA40" s="543"/>
      <c r="LWB40" s="543"/>
      <c r="LWC40" s="543"/>
      <c r="LWD40" s="543"/>
      <c r="LWE40" s="543"/>
      <c r="LWF40" s="543"/>
      <c r="LWG40" s="543"/>
      <c r="LWH40" s="543"/>
      <c r="LWI40" s="543"/>
      <c r="LWJ40" s="543"/>
      <c r="LWK40" s="543"/>
      <c r="LWL40" s="543"/>
      <c r="LWM40" s="543"/>
      <c r="LWN40" s="543"/>
      <c r="LWO40" s="543"/>
      <c r="LWP40" s="543"/>
      <c r="LWQ40" s="543"/>
      <c r="LWR40" s="543"/>
      <c r="LWS40" s="543"/>
      <c r="LWT40" s="543"/>
      <c r="LWU40" s="543"/>
      <c r="LWV40" s="543"/>
      <c r="LWW40" s="543"/>
      <c r="LWX40" s="543"/>
      <c r="LWY40" s="543"/>
      <c r="LWZ40" s="543"/>
      <c r="LXA40" s="543"/>
      <c r="LXB40" s="543"/>
      <c r="LXC40" s="543"/>
      <c r="LXD40" s="543"/>
      <c r="LXE40" s="543"/>
      <c r="LXF40" s="543"/>
      <c r="LXG40" s="543"/>
      <c r="LXH40" s="543"/>
      <c r="LXI40" s="543"/>
      <c r="LXJ40" s="543"/>
      <c r="LXK40" s="543"/>
      <c r="LXL40" s="543"/>
      <c r="LXM40" s="543"/>
      <c r="LXN40" s="543"/>
      <c r="LXO40" s="543"/>
      <c r="LXP40" s="543"/>
      <c r="LXQ40" s="543"/>
      <c r="LXR40" s="543"/>
      <c r="LXS40" s="543"/>
      <c r="LXT40" s="543"/>
      <c r="LXU40" s="543"/>
      <c r="LXV40" s="543"/>
      <c r="LXW40" s="543"/>
      <c r="LXX40" s="543"/>
      <c r="LXY40" s="543"/>
      <c r="LXZ40" s="543"/>
      <c r="LYA40" s="543"/>
      <c r="LYB40" s="543"/>
      <c r="LYC40" s="543"/>
      <c r="LYD40" s="543"/>
      <c r="LYE40" s="543"/>
      <c r="LYF40" s="543"/>
      <c r="LYG40" s="543"/>
      <c r="LYH40" s="543"/>
      <c r="LYI40" s="543"/>
      <c r="LYJ40" s="543"/>
      <c r="LYK40" s="543"/>
      <c r="LYL40" s="543"/>
      <c r="LYM40" s="543"/>
      <c r="LYN40" s="543"/>
      <c r="LYO40" s="543"/>
      <c r="LYP40" s="543"/>
      <c r="LYQ40" s="543"/>
      <c r="LYR40" s="543"/>
      <c r="LYS40" s="543"/>
      <c r="LYT40" s="543"/>
      <c r="LYU40" s="543"/>
      <c r="LYV40" s="543"/>
      <c r="LYW40" s="543"/>
      <c r="LYX40" s="543"/>
      <c r="LYY40" s="543"/>
      <c r="LYZ40" s="543"/>
      <c r="LZA40" s="543"/>
      <c r="LZB40" s="543"/>
      <c r="LZC40" s="543"/>
      <c r="LZD40" s="543"/>
      <c r="LZE40" s="543"/>
      <c r="LZF40" s="543"/>
      <c r="LZG40" s="543"/>
      <c r="LZH40" s="543"/>
      <c r="LZI40" s="543"/>
      <c r="LZJ40" s="543"/>
      <c r="LZK40" s="543"/>
      <c r="LZL40" s="543"/>
      <c r="LZM40" s="543"/>
      <c r="LZN40" s="543"/>
      <c r="LZO40" s="543"/>
      <c r="LZP40" s="543"/>
      <c r="LZQ40" s="543"/>
      <c r="LZR40" s="543"/>
      <c r="LZS40" s="543"/>
      <c r="LZT40" s="543"/>
      <c r="LZU40" s="543"/>
      <c r="LZV40" s="543"/>
      <c r="LZW40" s="543"/>
      <c r="LZX40" s="543"/>
      <c r="LZY40" s="543"/>
      <c r="LZZ40" s="543"/>
      <c r="MAA40" s="543"/>
      <c r="MAB40" s="543"/>
      <c r="MAC40" s="543"/>
      <c r="MAD40" s="543"/>
      <c r="MAE40" s="543"/>
      <c r="MAF40" s="543"/>
      <c r="MAG40" s="543"/>
      <c r="MAH40" s="543"/>
      <c r="MAI40" s="543"/>
      <c r="MAJ40" s="543"/>
      <c r="MAK40" s="543"/>
      <c r="MAL40" s="543"/>
      <c r="MAM40" s="543"/>
      <c r="MAN40" s="543"/>
      <c r="MAO40" s="543"/>
      <c r="MAP40" s="543"/>
      <c r="MAQ40" s="543"/>
      <c r="MAR40" s="543"/>
      <c r="MAS40" s="543"/>
      <c r="MAT40" s="543"/>
      <c r="MAU40" s="543"/>
      <c r="MAV40" s="543"/>
      <c r="MAW40" s="543"/>
      <c r="MAX40" s="543"/>
      <c r="MAY40" s="543"/>
      <c r="MAZ40" s="543"/>
      <c r="MBA40" s="543"/>
      <c r="MBB40" s="543"/>
      <c r="MBC40" s="543"/>
      <c r="MBD40" s="543"/>
      <c r="MBE40" s="543"/>
      <c r="MBF40" s="543"/>
      <c r="MBG40" s="543"/>
      <c r="MBH40" s="543"/>
      <c r="MBI40" s="543"/>
      <c r="MBJ40" s="543"/>
      <c r="MBK40" s="543"/>
      <c r="MBL40" s="543"/>
      <c r="MBM40" s="543"/>
      <c r="MBN40" s="543"/>
      <c r="MBO40" s="543"/>
      <c r="MBP40" s="543"/>
      <c r="MBQ40" s="543"/>
      <c r="MBR40" s="543"/>
      <c r="MBS40" s="543"/>
      <c r="MBT40" s="543"/>
      <c r="MBU40" s="543"/>
      <c r="MBV40" s="543"/>
      <c r="MBW40" s="543"/>
      <c r="MBX40" s="543"/>
      <c r="MBY40" s="543"/>
      <c r="MBZ40" s="543"/>
      <c r="MCA40" s="543"/>
      <c r="MCB40" s="543"/>
      <c r="MCC40" s="543"/>
      <c r="MCD40" s="543"/>
      <c r="MCE40" s="543"/>
      <c r="MCF40" s="543"/>
      <c r="MCG40" s="543"/>
      <c r="MCH40" s="543"/>
      <c r="MCI40" s="543"/>
      <c r="MCJ40" s="543"/>
      <c r="MCK40" s="543"/>
      <c r="MCL40" s="543"/>
      <c r="MCM40" s="543"/>
      <c r="MCN40" s="543"/>
      <c r="MCO40" s="543"/>
      <c r="MCP40" s="543"/>
      <c r="MCQ40" s="543"/>
      <c r="MCR40" s="543"/>
      <c r="MCS40" s="543"/>
      <c r="MCT40" s="543"/>
      <c r="MCU40" s="543"/>
      <c r="MCV40" s="543"/>
      <c r="MCW40" s="543"/>
      <c r="MCX40" s="543"/>
      <c r="MCY40" s="543"/>
      <c r="MCZ40" s="543"/>
      <c r="MDA40" s="543"/>
      <c r="MDB40" s="543"/>
      <c r="MDC40" s="543"/>
      <c r="MDD40" s="543"/>
      <c r="MDE40" s="543"/>
      <c r="MDF40" s="543"/>
      <c r="MDG40" s="543"/>
      <c r="MDH40" s="543"/>
      <c r="MDI40" s="543"/>
      <c r="MDJ40" s="543"/>
      <c r="MDK40" s="543"/>
      <c r="MDL40" s="543"/>
      <c r="MDM40" s="543"/>
      <c r="MDN40" s="543"/>
      <c r="MDO40" s="543"/>
      <c r="MDP40" s="543"/>
      <c r="MDQ40" s="543"/>
      <c r="MDR40" s="543"/>
      <c r="MDS40" s="543"/>
      <c r="MDT40" s="543"/>
      <c r="MDU40" s="543"/>
      <c r="MDV40" s="543"/>
      <c r="MDW40" s="543"/>
      <c r="MDX40" s="543"/>
      <c r="MDY40" s="543"/>
      <c r="MDZ40" s="543"/>
      <c r="MEA40" s="543"/>
      <c r="MEB40" s="543"/>
      <c r="MEC40" s="543"/>
      <c r="MED40" s="543"/>
      <c r="MEE40" s="543"/>
      <c r="MEF40" s="543"/>
      <c r="MEG40" s="543"/>
      <c r="MEH40" s="543"/>
      <c r="MEI40" s="543"/>
      <c r="MEJ40" s="543"/>
      <c r="MEK40" s="543"/>
      <c r="MEL40" s="543"/>
      <c r="MEM40" s="543"/>
      <c r="MEN40" s="543"/>
      <c r="MEO40" s="543"/>
      <c r="MEP40" s="543"/>
      <c r="MEQ40" s="543"/>
      <c r="MER40" s="543"/>
      <c r="MES40" s="543"/>
      <c r="MET40" s="543"/>
      <c r="MEU40" s="543"/>
      <c r="MEV40" s="543"/>
      <c r="MEW40" s="543"/>
      <c r="MEX40" s="543"/>
      <c r="MEY40" s="543"/>
      <c r="MEZ40" s="543"/>
      <c r="MFA40" s="543"/>
      <c r="MFB40" s="543"/>
      <c r="MFC40" s="543"/>
      <c r="MFD40" s="543"/>
      <c r="MFE40" s="543"/>
      <c r="MFF40" s="543"/>
      <c r="MFG40" s="543"/>
      <c r="MFH40" s="543"/>
      <c r="MFI40" s="543"/>
      <c r="MFJ40" s="543"/>
      <c r="MFK40" s="543"/>
      <c r="MFL40" s="543"/>
      <c r="MFM40" s="543"/>
      <c r="MFN40" s="543"/>
      <c r="MFO40" s="543"/>
      <c r="MFP40" s="543"/>
      <c r="MFQ40" s="543"/>
      <c r="MFR40" s="543"/>
      <c r="MFS40" s="543"/>
      <c r="MFT40" s="543"/>
      <c r="MFU40" s="543"/>
      <c r="MFV40" s="543"/>
      <c r="MFW40" s="543"/>
      <c r="MFX40" s="543"/>
      <c r="MFY40" s="543"/>
      <c r="MFZ40" s="543"/>
      <c r="MGA40" s="543"/>
      <c r="MGB40" s="543"/>
      <c r="MGC40" s="543"/>
      <c r="MGD40" s="543"/>
      <c r="MGE40" s="543"/>
      <c r="MGF40" s="543"/>
      <c r="MGG40" s="543"/>
      <c r="MGH40" s="543"/>
      <c r="MGI40" s="543"/>
      <c r="MGJ40" s="543"/>
      <c r="MGK40" s="543"/>
      <c r="MGL40" s="543"/>
      <c r="MGM40" s="543"/>
      <c r="MGN40" s="543"/>
      <c r="MGO40" s="543"/>
      <c r="MGP40" s="543"/>
      <c r="MGQ40" s="543"/>
      <c r="MGR40" s="543"/>
      <c r="MGS40" s="543"/>
      <c r="MGT40" s="543"/>
      <c r="MGU40" s="543"/>
      <c r="MGV40" s="543"/>
      <c r="MGW40" s="543"/>
      <c r="MGX40" s="543"/>
      <c r="MGY40" s="543"/>
      <c r="MGZ40" s="543"/>
      <c r="MHA40" s="543"/>
      <c r="MHB40" s="543"/>
      <c r="MHC40" s="543"/>
      <c r="MHD40" s="543"/>
      <c r="MHE40" s="543"/>
      <c r="MHF40" s="543"/>
      <c r="MHG40" s="543"/>
      <c r="MHH40" s="543"/>
      <c r="MHI40" s="543"/>
      <c r="MHJ40" s="543"/>
      <c r="MHK40" s="543"/>
      <c r="MHL40" s="543"/>
      <c r="MHM40" s="543"/>
      <c r="MHN40" s="543"/>
      <c r="MHO40" s="543"/>
      <c r="MHP40" s="543"/>
      <c r="MHQ40" s="543"/>
      <c r="MHR40" s="543"/>
      <c r="MHS40" s="543"/>
      <c r="MHT40" s="543"/>
      <c r="MHU40" s="543"/>
      <c r="MHV40" s="543"/>
      <c r="MHW40" s="543"/>
      <c r="MHX40" s="543"/>
      <c r="MHY40" s="543"/>
      <c r="MHZ40" s="543"/>
      <c r="MIA40" s="543"/>
      <c r="MIB40" s="543"/>
      <c r="MIC40" s="543"/>
      <c r="MID40" s="543"/>
      <c r="MIE40" s="543"/>
      <c r="MIF40" s="543"/>
      <c r="MIG40" s="543"/>
      <c r="MIH40" s="543"/>
      <c r="MII40" s="543"/>
      <c r="MIJ40" s="543"/>
      <c r="MIK40" s="543"/>
      <c r="MIL40" s="543"/>
      <c r="MIM40" s="543"/>
      <c r="MIN40" s="543"/>
      <c r="MIO40" s="543"/>
      <c r="MIP40" s="543"/>
      <c r="MIQ40" s="543"/>
      <c r="MIR40" s="543"/>
      <c r="MIS40" s="543"/>
      <c r="MIT40" s="543"/>
      <c r="MIU40" s="543"/>
      <c r="MIV40" s="543"/>
      <c r="MIW40" s="543"/>
      <c r="MIX40" s="543"/>
      <c r="MIY40" s="543"/>
      <c r="MIZ40" s="543"/>
      <c r="MJA40" s="543"/>
      <c r="MJB40" s="543"/>
      <c r="MJC40" s="543"/>
      <c r="MJD40" s="543"/>
      <c r="MJE40" s="543"/>
      <c r="MJF40" s="543"/>
      <c r="MJG40" s="543"/>
      <c r="MJH40" s="543"/>
      <c r="MJI40" s="543"/>
      <c r="MJJ40" s="543"/>
      <c r="MJK40" s="543"/>
      <c r="MJL40" s="543"/>
      <c r="MJM40" s="543"/>
      <c r="MJN40" s="543"/>
      <c r="MJO40" s="543"/>
      <c r="MJP40" s="543"/>
      <c r="MJQ40" s="543"/>
      <c r="MJR40" s="543"/>
      <c r="MJS40" s="543"/>
      <c r="MJT40" s="543"/>
      <c r="MJU40" s="543"/>
      <c r="MJV40" s="543"/>
      <c r="MJW40" s="543"/>
      <c r="MJX40" s="543"/>
      <c r="MJY40" s="543"/>
      <c r="MJZ40" s="543"/>
      <c r="MKA40" s="543"/>
      <c r="MKB40" s="543"/>
      <c r="MKC40" s="543"/>
      <c r="MKD40" s="543"/>
      <c r="MKE40" s="543"/>
      <c r="MKF40" s="543"/>
      <c r="MKG40" s="543"/>
      <c r="MKH40" s="543"/>
      <c r="MKI40" s="543"/>
      <c r="MKJ40" s="543"/>
      <c r="MKK40" s="543"/>
      <c r="MKL40" s="543"/>
      <c r="MKM40" s="543"/>
      <c r="MKN40" s="543"/>
      <c r="MKO40" s="543"/>
      <c r="MKP40" s="543"/>
      <c r="MKQ40" s="543"/>
      <c r="MKR40" s="543"/>
      <c r="MKS40" s="543"/>
      <c r="MKT40" s="543"/>
      <c r="MKU40" s="543"/>
      <c r="MKV40" s="543"/>
      <c r="MKW40" s="543"/>
      <c r="MKX40" s="543"/>
      <c r="MKY40" s="543"/>
      <c r="MKZ40" s="543"/>
      <c r="MLA40" s="543"/>
      <c r="MLB40" s="543"/>
      <c r="MLC40" s="543"/>
      <c r="MLD40" s="543"/>
      <c r="MLE40" s="543"/>
      <c r="MLF40" s="543"/>
      <c r="MLG40" s="543"/>
      <c r="MLH40" s="543"/>
      <c r="MLI40" s="543"/>
      <c r="MLJ40" s="543"/>
      <c r="MLK40" s="543"/>
      <c r="MLL40" s="543"/>
      <c r="MLM40" s="543"/>
      <c r="MLN40" s="543"/>
      <c r="MLO40" s="543"/>
      <c r="MLP40" s="543"/>
      <c r="MLQ40" s="543"/>
      <c r="MLR40" s="543"/>
      <c r="MLS40" s="543"/>
      <c r="MLT40" s="543"/>
      <c r="MLU40" s="543"/>
      <c r="MLV40" s="543"/>
      <c r="MLW40" s="543"/>
      <c r="MLX40" s="543"/>
      <c r="MLY40" s="543"/>
      <c r="MLZ40" s="543"/>
      <c r="MMA40" s="543"/>
      <c r="MMB40" s="543"/>
      <c r="MMC40" s="543"/>
      <c r="MMD40" s="543"/>
      <c r="MME40" s="543"/>
      <c r="MMF40" s="543"/>
      <c r="MMG40" s="543"/>
      <c r="MMH40" s="543"/>
      <c r="MMI40" s="543"/>
      <c r="MMJ40" s="543"/>
      <c r="MMK40" s="543"/>
      <c r="MML40" s="543"/>
      <c r="MMM40" s="543"/>
      <c r="MMN40" s="543"/>
      <c r="MMO40" s="543"/>
      <c r="MMP40" s="543"/>
      <c r="MMQ40" s="543"/>
      <c r="MMR40" s="543"/>
      <c r="MMS40" s="543"/>
      <c r="MMT40" s="543"/>
      <c r="MMU40" s="543"/>
      <c r="MMV40" s="543"/>
      <c r="MMW40" s="543"/>
      <c r="MMX40" s="543"/>
      <c r="MMY40" s="543"/>
      <c r="MMZ40" s="543"/>
      <c r="MNA40" s="543"/>
      <c r="MNB40" s="543"/>
      <c r="MNC40" s="543"/>
      <c r="MND40" s="543"/>
      <c r="MNE40" s="543"/>
      <c r="MNF40" s="543"/>
      <c r="MNG40" s="543"/>
      <c r="MNH40" s="543"/>
      <c r="MNI40" s="543"/>
      <c r="MNJ40" s="543"/>
      <c r="MNK40" s="543"/>
      <c r="MNL40" s="543"/>
      <c r="MNM40" s="543"/>
      <c r="MNN40" s="543"/>
      <c r="MNO40" s="543"/>
      <c r="MNP40" s="543"/>
      <c r="MNQ40" s="543"/>
      <c r="MNR40" s="543"/>
      <c r="MNS40" s="543"/>
      <c r="MNT40" s="543"/>
      <c r="MNU40" s="543"/>
      <c r="MNV40" s="543"/>
      <c r="MNW40" s="543"/>
      <c r="MNX40" s="543"/>
      <c r="MNY40" s="543"/>
      <c r="MNZ40" s="543"/>
      <c r="MOA40" s="543"/>
      <c r="MOB40" s="543"/>
      <c r="MOC40" s="543"/>
      <c r="MOD40" s="543"/>
      <c r="MOE40" s="543"/>
      <c r="MOF40" s="543"/>
      <c r="MOG40" s="543"/>
      <c r="MOH40" s="543"/>
      <c r="MOI40" s="543"/>
      <c r="MOJ40" s="543"/>
      <c r="MOK40" s="543"/>
      <c r="MOL40" s="543"/>
      <c r="MOM40" s="543"/>
      <c r="MON40" s="543"/>
      <c r="MOO40" s="543"/>
      <c r="MOP40" s="543"/>
      <c r="MOQ40" s="543"/>
      <c r="MOR40" s="543"/>
      <c r="MOS40" s="543"/>
      <c r="MOT40" s="543"/>
      <c r="MOU40" s="543"/>
      <c r="MOV40" s="543"/>
      <c r="MOW40" s="543"/>
      <c r="MOX40" s="543"/>
      <c r="MOY40" s="543"/>
      <c r="MOZ40" s="543"/>
      <c r="MPA40" s="543"/>
      <c r="MPB40" s="543"/>
      <c r="MPC40" s="543"/>
      <c r="MPD40" s="543"/>
      <c r="MPE40" s="543"/>
      <c r="MPF40" s="543"/>
      <c r="MPG40" s="543"/>
      <c r="MPH40" s="543"/>
      <c r="MPI40" s="543"/>
      <c r="MPJ40" s="543"/>
      <c r="MPK40" s="543"/>
      <c r="MPL40" s="543"/>
      <c r="MPM40" s="543"/>
      <c r="MPN40" s="543"/>
      <c r="MPO40" s="543"/>
      <c r="MPP40" s="543"/>
      <c r="MPQ40" s="543"/>
      <c r="MPR40" s="543"/>
      <c r="MPS40" s="543"/>
      <c r="MPT40" s="543"/>
      <c r="MPU40" s="543"/>
      <c r="MPV40" s="543"/>
      <c r="MPW40" s="543"/>
      <c r="MPX40" s="543"/>
      <c r="MPY40" s="543"/>
      <c r="MPZ40" s="543"/>
      <c r="MQA40" s="543"/>
      <c r="MQB40" s="543"/>
      <c r="MQC40" s="543"/>
      <c r="MQD40" s="543"/>
      <c r="MQE40" s="543"/>
      <c r="MQF40" s="543"/>
      <c r="MQG40" s="543"/>
      <c r="MQH40" s="543"/>
      <c r="MQI40" s="543"/>
      <c r="MQJ40" s="543"/>
      <c r="MQK40" s="543"/>
      <c r="MQL40" s="543"/>
      <c r="MQM40" s="543"/>
      <c r="MQN40" s="543"/>
      <c r="MQO40" s="543"/>
      <c r="MQP40" s="543"/>
      <c r="MQQ40" s="543"/>
      <c r="MQR40" s="543"/>
      <c r="MQS40" s="543"/>
      <c r="MQT40" s="543"/>
      <c r="MQU40" s="543"/>
      <c r="MQV40" s="543"/>
      <c r="MQW40" s="543"/>
      <c r="MQX40" s="543"/>
      <c r="MQY40" s="543"/>
      <c r="MQZ40" s="543"/>
      <c r="MRA40" s="543"/>
      <c r="MRB40" s="543"/>
      <c r="MRC40" s="543"/>
      <c r="MRD40" s="543"/>
      <c r="MRE40" s="543"/>
      <c r="MRF40" s="543"/>
      <c r="MRG40" s="543"/>
      <c r="MRH40" s="543"/>
      <c r="MRI40" s="543"/>
      <c r="MRJ40" s="543"/>
      <c r="MRK40" s="543"/>
      <c r="MRL40" s="543"/>
      <c r="MRM40" s="543"/>
      <c r="MRN40" s="543"/>
      <c r="MRO40" s="543"/>
      <c r="MRP40" s="543"/>
      <c r="MRQ40" s="543"/>
      <c r="MRR40" s="543"/>
      <c r="MRS40" s="543"/>
      <c r="MRT40" s="543"/>
      <c r="MRU40" s="543"/>
      <c r="MRV40" s="543"/>
      <c r="MRW40" s="543"/>
      <c r="MRX40" s="543"/>
      <c r="MRY40" s="543"/>
      <c r="MRZ40" s="543"/>
      <c r="MSA40" s="543"/>
      <c r="MSB40" s="543"/>
      <c r="MSC40" s="543"/>
      <c r="MSD40" s="543"/>
      <c r="MSE40" s="543"/>
      <c r="MSF40" s="543"/>
      <c r="MSG40" s="543"/>
      <c r="MSH40" s="543"/>
      <c r="MSI40" s="543"/>
      <c r="MSJ40" s="543"/>
      <c r="MSK40" s="543"/>
      <c r="MSL40" s="543"/>
      <c r="MSM40" s="543"/>
      <c r="MSN40" s="543"/>
      <c r="MSO40" s="543"/>
      <c r="MSP40" s="543"/>
      <c r="MSQ40" s="543"/>
      <c r="MSR40" s="543"/>
      <c r="MSS40" s="543"/>
      <c r="MST40" s="543"/>
      <c r="MSU40" s="543"/>
      <c r="MSV40" s="543"/>
      <c r="MSW40" s="543"/>
      <c r="MSX40" s="543"/>
      <c r="MSY40" s="543"/>
      <c r="MSZ40" s="543"/>
      <c r="MTA40" s="543"/>
      <c r="MTB40" s="543"/>
      <c r="MTC40" s="543"/>
      <c r="MTD40" s="543"/>
      <c r="MTE40" s="543"/>
      <c r="MTF40" s="543"/>
      <c r="MTG40" s="543"/>
      <c r="MTH40" s="543"/>
      <c r="MTI40" s="543"/>
      <c r="MTJ40" s="543"/>
      <c r="MTK40" s="543"/>
      <c r="MTL40" s="543"/>
      <c r="MTM40" s="543"/>
      <c r="MTN40" s="543"/>
      <c r="MTO40" s="543"/>
      <c r="MTP40" s="543"/>
      <c r="MTQ40" s="543"/>
      <c r="MTR40" s="543"/>
      <c r="MTS40" s="543"/>
      <c r="MTT40" s="543"/>
      <c r="MTU40" s="543"/>
      <c r="MTV40" s="543"/>
      <c r="MTW40" s="543"/>
      <c r="MTX40" s="543"/>
      <c r="MTY40" s="543"/>
      <c r="MTZ40" s="543"/>
      <c r="MUA40" s="543"/>
      <c r="MUB40" s="543"/>
      <c r="MUC40" s="543"/>
      <c r="MUD40" s="543"/>
      <c r="MUE40" s="543"/>
      <c r="MUF40" s="543"/>
      <c r="MUG40" s="543"/>
      <c r="MUH40" s="543"/>
      <c r="MUI40" s="543"/>
      <c r="MUJ40" s="543"/>
      <c r="MUK40" s="543"/>
      <c r="MUL40" s="543"/>
      <c r="MUM40" s="543"/>
      <c r="MUN40" s="543"/>
      <c r="MUO40" s="543"/>
      <c r="MUP40" s="543"/>
      <c r="MUQ40" s="543"/>
      <c r="MUR40" s="543"/>
      <c r="MUS40" s="543"/>
      <c r="MUT40" s="543"/>
      <c r="MUU40" s="543"/>
      <c r="MUV40" s="543"/>
      <c r="MUW40" s="543"/>
      <c r="MUX40" s="543"/>
      <c r="MUY40" s="543"/>
      <c r="MUZ40" s="543"/>
      <c r="MVA40" s="543"/>
      <c r="MVB40" s="543"/>
      <c r="MVC40" s="543"/>
      <c r="MVD40" s="543"/>
      <c r="MVE40" s="543"/>
      <c r="MVF40" s="543"/>
      <c r="MVG40" s="543"/>
      <c r="MVH40" s="543"/>
      <c r="MVI40" s="543"/>
      <c r="MVJ40" s="543"/>
      <c r="MVK40" s="543"/>
      <c r="MVL40" s="543"/>
      <c r="MVM40" s="543"/>
      <c r="MVN40" s="543"/>
      <c r="MVO40" s="543"/>
      <c r="MVP40" s="543"/>
      <c r="MVQ40" s="543"/>
      <c r="MVR40" s="543"/>
      <c r="MVS40" s="543"/>
      <c r="MVT40" s="543"/>
      <c r="MVU40" s="543"/>
      <c r="MVV40" s="543"/>
      <c r="MVW40" s="543"/>
      <c r="MVX40" s="543"/>
      <c r="MVY40" s="543"/>
      <c r="MVZ40" s="543"/>
      <c r="MWA40" s="543"/>
      <c r="MWB40" s="543"/>
      <c r="MWC40" s="543"/>
      <c r="MWD40" s="543"/>
      <c r="MWE40" s="543"/>
      <c r="MWF40" s="543"/>
      <c r="MWG40" s="543"/>
      <c r="MWH40" s="543"/>
      <c r="MWI40" s="543"/>
      <c r="MWJ40" s="543"/>
      <c r="MWK40" s="543"/>
      <c r="MWL40" s="543"/>
      <c r="MWM40" s="543"/>
      <c r="MWN40" s="543"/>
      <c r="MWO40" s="543"/>
      <c r="MWP40" s="543"/>
      <c r="MWQ40" s="543"/>
      <c r="MWR40" s="543"/>
      <c r="MWS40" s="543"/>
      <c r="MWT40" s="543"/>
      <c r="MWU40" s="543"/>
      <c r="MWV40" s="543"/>
      <c r="MWW40" s="543"/>
      <c r="MWX40" s="543"/>
      <c r="MWY40" s="543"/>
      <c r="MWZ40" s="543"/>
      <c r="MXA40" s="543"/>
      <c r="MXB40" s="543"/>
      <c r="MXC40" s="543"/>
      <c r="MXD40" s="543"/>
      <c r="MXE40" s="543"/>
      <c r="MXF40" s="543"/>
      <c r="MXG40" s="543"/>
      <c r="MXH40" s="543"/>
      <c r="MXI40" s="543"/>
      <c r="MXJ40" s="543"/>
      <c r="MXK40" s="543"/>
      <c r="MXL40" s="543"/>
      <c r="MXM40" s="543"/>
      <c r="MXN40" s="543"/>
      <c r="MXO40" s="543"/>
      <c r="MXP40" s="543"/>
      <c r="MXQ40" s="543"/>
      <c r="MXR40" s="543"/>
      <c r="MXS40" s="543"/>
      <c r="MXT40" s="543"/>
      <c r="MXU40" s="543"/>
      <c r="MXV40" s="543"/>
      <c r="MXW40" s="543"/>
      <c r="MXX40" s="543"/>
      <c r="MXY40" s="543"/>
      <c r="MXZ40" s="543"/>
      <c r="MYA40" s="543"/>
      <c r="MYB40" s="543"/>
      <c r="MYC40" s="543"/>
      <c r="MYD40" s="543"/>
      <c r="MYE40" s="543"/>
      <c r="MYF40" s="543"/>
      <c r="MYG40" s="543"/>
      <c r="MYH40" s="543"/>
      <c r="MYI40" s="543"/>
      <c r="MYJ40" s="543"/>
      <c r="MYK40" s="543"/>
      <c r="MYL40" s="543"/>
      <c r="MYM40" s="543"/>
      <c r="MYN40" s="543"/>
      <c r="MYO40" s="543"/>
      <c r="MYP40" s="543"/>
      <c r="MYQ40" s="543"/>
      <c r="MYR40" s="543"/>
      <c r="MYS40" s="543"/>
      <c r="MYT40" s="543"/>
      <c r="MYU40" s="543"/>
      <c r="MYV40" s="543"/>
      <c r="MYW40" s="543"/>
      <c r="MYX40" s="543"/>
      <c r="MYY40" s="543"/>
      <c r="MYZ40" s="543"/>
      <c r="MZA40" s="543"/>
      <c r="MZB40" s="543"/>
      <c r="MZC40" s="543"/>
      <c r="MZD40" s="543"/>
      <c r="MZE40" s="543"/>
      <c r="MZF40" s="543"/>
      <c r="MZG40" s="543"/>
      <c r="MZH40" s="543"/>
      <c r="MZI40" s="543"/>
      <c r="MZJ40" s="543"/>
      <c r="MZK40" s="543"/>
      <c r="MZL40" s="543"/>
      <c r="MZM40" s="543"/>
      <c r="MZN40" s="543"/>
      <c r="MZO40" s="543"/>
      <c r="MZP40" s="543"/>
      <c r="MZQ40" s="543"/>
      <c r="MZR40" s="543"/>
      <c r="MZS40" s="543"/>
      <c r="MZT40" s="543"/>
      <c r="MZU40" s="543"/>
      <c r="MZV40" s="543"/>
      <c r="MZW40" s="543"/>
      <c r="MZX40" s="543"/>
      <c r="MZY40" s="543"/>
      <c r="MZZ40" s="543"/>
      <c r="NAA40" s="543"/>
      <c r="NAB40" s="543"/>
      <c r="NAC40" s="543"/>
      <c r="NAD40" s="543"/>
      <c r="NAE40" s="543"/>
      <c r="NAF40" s="543"/>
      <c r="NAG40" s="543"/>
      <c r="NAH40" s="543"/>
      <c r="NAI40" s="543"/>
      <c r="NAJ40" s="543"/>
      <c r="NAK40" s="543"/>
      <c r="NAL40" s="543"/>
      <c r="NAM40" s="543"/>
      <c r="NAN40" s="543"/>
      <c r="NAO40" s="543"/>
      <c r="NAP40" s="543"/>
      <c r="NAQ40" s="543"/>
      <c r="NAR40" s="543"/>
      <c r="NAS40" s="543"/>
      <c r="NAT40" s="543"/>
      <c r="NAU40" s="543"/>
      <c r="NAV40" s="543"/>
      <c r="NAW40" s="543"/>
      <c r="NAX40" s="543"/>
      <c r="NAY40" s="543"/>
      <c r="NAZ40" s="543"/>
      <c r="NBA40" s="543"/>
      <c r="NBB40" s="543"/>
      <c r="NBC40" s="543"/>
      <c r="NBD40" s="543"/>
      <c r="NBE40" s="543"/>
      <c r="NBF40" s="543"/>
      <c r="NBG40" s="543"/>
      <c r="NBH40" s="543"/>
      <c r="NBI40" s="543"/>
      <c r="NBJ40" s="543"/>
      <c r="NBK40" s="543"/>
      <c r="NBL40" s="543"/>
      <c r="NBM40" s="543"/>
      <c r="NBN40" s="543"/>
      <c r="NBO40" s="543"/>
      <c r="NBP40" s="543"/>
      <c r="NBQ40" s="543"/>
      <c r="NBR40" s="543"/>
      <c r="NBS40" s="543"/>
      <c r="NBT40" s="543"/>
      <c r="NBU40" s="543"/>
      <c r="NBV40" s="543"/>
      <c r="NBW40" s="543"/>
      <c r="NBX40" s="543"/>
      <c r="NBY40" s="543"/>
      <c r="NBZ40" s="543"/>
      <c r="NCA40" s="543"/>
      <c r="NCB40" s="543"/>
      <c r="NCC40" s="543"/>
      <c r="NCD40" s="543"/>
      <c r="NCE40" s="543"/>
      <c r="NCF40" s="543"/>
      <c r="NCG40" s="543"/>
      <c r="NCH40" s="543"/>
      <c r="NCI40" s="543"/>
      <c r="NCJ40" s="543"/>
      <c r="NCK40" s="543"/>
      <c r="NCL40" s="543"/>
      <c r="NCM40" s="543"/>
      <c r="NCN40" s="543"/>
      <c r="NCO40" s="543"/>
      <c r="NCP40" s="543"/>
      <c r="NCQ40" s="543"/>
      <c r="NCR40" s="543"/>
      <c r="NCS40" s="543"/>
      <c r="NCT40" s="543"/>
      <c r="NCU40" s="543"/>
      <c r="NCV40" s="543"/>
      <c r="NCW40" s="543"/>
      <c r="NCX40" s="543"/>
      <c r="NCY40" s="543"/>
      <c r="NCZ40" s="543"/>
      <c r="NDA40" s="543"/>
      <c r="NDB40" s="543"/>
      <c r="NDC40" s="543"/>
      <c r="NDD40" s="543"/>
      <c r="NDE40" s="543"/>
      <c r="NDF40" s="543"/>
      <c r="NDG40" s="543"/>
      <c r="NDH40" s="543"/>
      <c r="NDI40" s="543"/>
      <c r="NDJ40" s="543"/>
      <c r="NDK40" s="543"/>
      <c r="NDL40" s="543"/>
      <c r="NDM40" s="543"/>
      <c r="NDN40" s="543"/>
      <c r="NDO40" s="543"/>
      <c r="NDP40" s="543"/>
      <c r="NDQ40" s="543"/>
      <c r="NDR40" s="543"/>
      <c r="NDS40" s="543"/>
      <c r="NDT40" s="543"/>
      <c r="NDU40" s="543"/>
      <c r="NDV40" s="543"/>
      <c r="NDW40" s="543"/>
      <c r="NDX40" s="543"/>
      <c r="NDY40" s="543"/>
      <c r="NDZ40" s="543"/>
      <c r="NEA40" s="543"/>
      <c r="NEB40" s="543"/>
      <c r="NEC40" s="543"/>
      <c r="NED40" s="543"/>
      <c r="NEE40" s="543"/>
      <c r="NEF40" s="543"/>
      <c r="NEG40" s="543"/>
      <c r="NEH40" s="543"/>
      <c r="NEI40" s="543"/>
      <c r="NEJ40" s="543"/>
      <c r="NEK40" s="543"/>
      <c r="NEL40" s="543"/>
      <c r="NEM40" s="543"/>
      <c r="NEN40" s="543"/>
      <c r="NEO40" s="543"/>
      <c r="NEP40" s="543"/>
      <c r="NEQ40" s="543"/>
      <c r="NER40" s="543"/>
      <c r="NES40" s="543"/>
      <c r="NET40" s="543"/>
      <c r="NEU40" s="543"/>
      <c r="NEV40" s="543"/>
      <c r="NEW40" s="543"/>
      <c r="NEX40" s="543"/>
      <c r="NEY40" s="543"/>
      <c r="NEZ40" s="543"/>
      <c r="NFA40" s="543"/>
      <c r="NFB40" s="543"/>
      <c r="NFC40" s="543"/>
      <c r="NFD40" s="543"/>
      <c r="NFE40" s="543"/>
      <c r="NFF40" s="543"/>
      <c r="NFG40" s="543"/>
      <c r="NFH40" s="543"/>
      <c r="NFI40" s="543"/>
      <c r="NFJ40" s="543"/>
      <c r="NFK40" s="543"/>
      <c r="NFL40" s="543"/>
      <c r="NFM40" s="543"/>
      <c r="NFN40" s="543"/>
      <c r="NFO40" s="543"/>
      <c r="NFP40" s="543"/>
      <c r="NFQ40" s="543"/>
      <c r="NFR40" s="543"/>
      <c r="NFS40" s="543"/>
      <c r="NFT40" s="543"/>
      <c r="NFU40" s="543"/>
      <c r="NFV40" s="543"/>
      <c r="NFW40" s="543"/>
      <c r="NFX40" s="543"/>
      <c r="NFY40" s="543"/>
      <c r="NFZ40" s="543"/>
      <c r="NGA40" s="543"/>
      <c r="NGB40" s="543"/>
      <c r="NGC40" s="543"/>
      <c r="NGD40" s="543"/>
      <c r="NGE40" s="543"/>
      <c r="NGF40" s="543"/>
      <c r="NGG40" s="543"/>
      <c r="NGH40" s="543"/>
      <c r="NGI40" s="543"/>
      <c r="NGJ40" s="543"/>
      <c r="NGK40" s="543"/>
      <c r="NGL40" s="543"/>
      <c r="NGM40" s="543"/>
      <c r="NGN40" s="543"/>
      <c r="NGO40" s="543"/>
      <c r="NGP40" s="543"/>
      <c r="NGQ40" s="543"/>
      <c r="NGR40" s="543"/>
      <c r="NGS40" s="543"/>
      <c r="NGT40" s="543"/>
      <c r="NGU40" s="543"/>
      <c r="NGV40" s="543"/>
      <c r="NGW40" s="543"/>
      <c r="NGX40" s="543"/>
      <c r="NGY40" s="543"/>
      <c r="NGZ40" s="543"/>
      <c r="NHA40" s="543"/>
      <c r="NHB40" s="543"/>
      <c r="NHC40" s="543"/>
      <c r="NHD40" s="543"/>
      <c r="NHE40" s="543"/>
      <c r="NHF40" s="543"/>
      <c r="NHG40" s="543"/>
      <c r="NHH40" s="543"/>
      <c r="NHI40" s="543"/>
      <c r="NHJ40" s="543"/>
      <c r="NHK40" s="543"/>
      <c r="NHL40" s="543"/>
      <c r="NHM40" s="543"/>
      <c r="NHN40" s="543"/>
      <c r="NHO40" s="543"/>
      <c r="NHP40" s="543"/>
      <c r="NHQ40" s="543"/>
      <c r="NHR40" s="543"/>
      <c r="NHS40" s="543"/>
      <c r="NHT40" s="543"/>
      <c r="NHU40" s="543"/>
      <c r="NHV40" s="543"/>
      <c r="NHW40" s="543"/>
      <c r="NHX40" s="543"/>
      <c r="NHY40" s="543"/>
      <c r="NHZ40" s="543"/>
      <c r="NIA40" s="543"/>
      <c r="NIB40" s="543"/>
      <c r="NIC40" s="543"/>
      <c r="NID40" s="543"/>
      <c r="NIE40" s="543"/>
      <c r="NIF40" s="543"/>
      <c r="NIG40" s="543"/>
      <c r="NIH40" s="543"/>
      <c r="NII40" s="543"/>
      <c r="NIJ40" s="543"/>
      <c r="NIK40" s="543"/>
      <c r="NIL40" s="543"/>
      <c r="NIM40" s="543"/>
      <c r="NIN40" s="543"/>
      <c r="NIO40" s="543"/>
      <c r="NIP40" s="543"/>
      <c r="NIQ40" s="543"/>
      <c r="NIR40" s="543"/>
      <c r="NIS40" s="543"/>
      <c r="NIT40" s="543"/>
      <c r="NIU40" s="543"/>
      <c r="NIV40" s="543"/>
      <c r="NIW40" s="543"/>
      <c r="NIX40" s="543"/>
      <c r="NIY40" s="543"/>
      <c r="NIZ40" s="543"/>
      <c r="NJA40" s="543"/>
      <c r="NJB40" s="543"/>
      <c r="NJC40" s="543"/>
      <c r="NJD40" s="543"/>
      <c r="NJE40" s="543"/>
      <c r="NJF40" s="543"/>
      <c r="NJG40" s="543"/>
      <c r="NJH40" s="543"/>
      <c r="NJI40" s="543"/>
      <c r="NJJ40" s="543"/>
      <c r="NJK40" s="543"/>
      <c r="NJL40" s="543"/>
      <c r="NJM40" s="543"/>
      <c r="NJN40" s="543"/>
      <c r="NJO40" s="543"/>
      <c r="NJP40" s="543"/>
      <c r="NJQ40" s="543"/>
      <c r="NJR40" s="543"/>
      <c r="NJS40" s="543"/>
      <c r="NJT40" s="543"/>
      <c r="NJU40" s="543"/>
      <c r="NJV40" s="543"/>
      <c r="NJW40" s="543"/>
      <c r="NJX40" s="543"/>
      <c r="NJY40" s="543"/>
      <c r="NJZ40" s="543"/>
      <c r="NKA40" s="543"/>
      <c r="NKB40" s="543"/>
      <c r="NKC40" s="543"/>
      <c r="NKD40" s="543"/>
      <c r="NKE40" s="543"/>
      <c r="NKF40" s="543"/>
      <c r="NKG40" s="543"/>
      <c r="NKH40" s="543"/>
      <c r="NKI40" s="543"/>
      <c r="NKJ40" s="543"/>
      <c r="NKK40" s="543"/>
      <c r="NKL40" s="543"/>
      <c r="NKM40" s="543"/>
      <c r="NKN40" s="543"/>
      <c r="NKO40" s="543"/>
      <c r="NKP40" s="543"/>
      <c r="NKQ40" s="543"/>
      <c r="NKR40" s="543"/>
      <c r="NKS40" s="543"/>
      <c r="NKT40" s="543"/>
      <c r="NKU40" s="543"/>
      <c r="NKV40" s="543"/>
      <c r="NKW40" s="543"/>
      <c r="NKX40" s="543"/>
      <c r="NKY40" s="543"/>
      <c r="NKZ40" s="543"/>
      <c r="NLA40" s="543"/>
      <c r="NLB40" s="543"/>
      <c r="NLC40" s="543"/>
      <c r="NLD40" s="543"/>
      <c r="NLE40" s="543"/>
      <c r="NLF40" s="543"/>
      <c r="NLG40" s="543"/>
      <c r="NLH40" s="543"/>
      <c r="NLI40" s="543"/>
      <c r="NLJ40" s="543"/>
      <c r="NLK40" s="543"/>
      <c r="NLL40" s="543"/>
      <c r="NLM40" s="543"/>
      <c r="NLN40" s="543"/>
      <c r="NLO40" s="543"/>
      <c r="NLP40" s="543"/>
      <c r="NLQ40" s="543"/>
      <c r="NLR40" s="543"/>
      <c r="NLS40" s="543"/>
      <c r="NLT40" s="543"/>
      <c r="NLU40" s="543"/>
      <c r="NLV40" s="543"/>
      <c r="NLW40" s="543"/>
      <c r="NLX40" s="543"/>
      <c r="NLY40" s="543"/>
      <c r="NLZ40" s="543"/>
      <c r="NMA40" s="543"/>
      <c r="NMB40" s="543"/>
      <c r="NMC40" s="543"/>
      <c r="NMD40" s="543"/>
      <c r="NME40" s="543"/>
      <c r="NMF40" s="543"/>
      <c r="NMG40" s="543"/>
      <c r="NMH40" s="543"/>
      <c r="NMI40" s="543"/>
      <c r="NMJ40" s="543"/>
      <c r="NMK40" s="543"/>
      <c r="NML40" s="543"/>
      <c r="NMM40" s="543"/>
      <c r="NMN40" s="543"/>
      <c r="NMO40" s="543"/>
      <c r="NMP40" s="543"/>
      <c r="NMQ40" s="543"/>
      <c r="NMR40" s="543"/>
      <c r="NMS40" s="543"/>
      <c r="NMT40" s="543"/>
      <c r="NMU40" s="543"/>
      <c r="NMV40" s="543"/>
      <c r="NMW40" s="543"/>
      <c r="NMX40" s="543"/>
      <c r="NMY40" s="543"/>
      <c r="NMZ40" s="543"/>
      <c r="NNA40" s="543"/>
      <c r="NNB40" s="543"/>
      <c r="NNC40" s="543"/>
      <c r="NND40" s="543"/>
      <c r="NNE40" s="543"/>
      <c r="NNF40" s="543"/>
      <c r="NNG40" s="543"/>
      <c r="NNH40" s="543"/>
      <c r="NNI40" s="543"/>
      <c r="NNJ40" s="543"/>
      <c r="NNK40" s="543"/>
      <c r="NNL40" s="543"/>
      <c r="NNM40" s="543"/>
      <c r="NNN40" s="543"/>
      <c r="NNO40" s="543"/>
      <c r="NNP40" s="543"/>
      <c r="NNQ40" s="543"/>
      <c r="NNR40" s="543"/>
      <c r="NNS40" s="543"/>
      <c r="NNT40" s="543"/>
      <c r="NNU40" s="543"/>
      <c r="NNV40" s="543"/>
      <c r="NNW40" s="543"/>
      <c r="NNX40" s="543"/>
      <c r="NNY40" s="543"/>
      <c r="NNZ40" s="543"/>
      <c r="NOA40" s="543"/>
      <c r="NOB40" s="543"/>
      <c r="NOC40" s="543"/>
      <c r="NOD40" s="543"/>
      <c r="NOE40" s="543"/>
      <c r="NOF40" s="543"/>
      <c r="NOG40" s="543"/>
      <c r="NOH40" s="543"/>
      <c r="NOI40" s="543"/>
      <c r="NOJ40" s="543"/>
      <c r="NOK40" s="543"/>
      <c r="NOL40" s="543"/>
      <c r="NOM40" s="543"/>
      <c r="NON40" s="543"/>
      <c r="NOO40" s="543"/>
      <c r="NOP40" s="543"/>
      <c r="NOQ40" s="543"/>
      <c r="NOR40" s="543"/>
      <c r="NOS40" s="543"/>
      <c r="NOT40" s="543"/>
      <c r="NOU40" s="543"/>
      <c r="NOV40" s="543"/>
      <c r="NOW40" s="543"/>
      <c r="NOX40" s="543"/>
      <c r="NOY40" s="543"/>
      <c r="NOZ40" s="543"/>
      <c r="NPA40" s="543"/>
      <c r="NPB40" s="543"/>
      <c r="NPC40" s="543"/>
      <c r="NPD40" s="543"/>
      <c r="NPE40" s="543"/>
      <c r="NPF40" s="543"/>
      <c r="NPG40" s="543"/>
      <c r="NPH40" s="543"/>
      <c r="NPI40" s="543"/>
      <c r="NPJ40" s="543"/>
      <c r="NPK40" s="543"/>
      <c r="NPL40" s="543"/>
      <c r="NPM40" s="543"/>
      <c r="NPN40" s="543"/>
      <c r="NPO40" s="543"/>
      <c r="NPP40" s="543"/>
      <c r="NPQ40" s="543"/>
      <c r="NPR40" s="543"/>
      <c r="NPS40" s="543"/>
      <c r="NPT40" s="543"/>
      <c r="NPU40" s="543"/>
      <c r="NPV40" s="543"/>
      <c r="NPW40" s="543"/>
      <c r="NPX40" s="543"/>
      <c r="NPY40" s="543"/>
      <c r="NPZ40" s="543"/>
      <c r="NQA40" s="543"/>
      <c r="NQB40" s="543"/>
      <c r="NQC40" s="543"/>
      <c r="NQD40" s="543"/>
      <c r="NQE40" s="543"/>
      <c r="NQF40" s="543"/>
      <c r="NQG40" s="543"/>
      <c r="NQH40" s="543"/>
      <c r="NQI40" s="543"/>
      <c r="NQJ40" s="543"/>
      <c r="NQK40" s="543"/>
      <c r="NQL40" s="543"/>
      <c r="NQM40" s="543"/>
      <c r="NQN40" s="543"/>
      <c r="NQO40" s="543"/>
      <c r="NQP40" s="543"/>
      <c r="NQQ40" s="543"/>
      <c r="NQR40" s="543"/>
      <c r="NQS40" s="543"/>
      <c r="NQT40" s="543"/>
      <c r="NQU40" s="543"/>
      <c r="NQV40" s="543"/>
      <c r="NQW40" s="543"/>
      <c r="NQX40" s="543"/>
      <c r="NQY40" s="543"/>
      <c r="NQZ40" s="543"/>
      <c r="NRA40" s="543"/>
      <c r="NRB40" s="543"/>
      <c r="NRC40" s="543"/>
      <c r="NRD40" s="543"/>
      <c r="NRE40" s="543"/>
      <c r="NRF40" s="543"/>
      <c r="NRG40" s="543"/>
      <c r="NRH40" s="543"/>
      <c r="NRI40" s="543"/>
      <c r="NRJ40" s="543"/>
      <c r="NRK40" s="543"/>
      <c r="NRL40" s="543"/>
      <c r="NRM40" s="543"/>
      <c r="NRN40" s="543"/>
      <c r="NRO40" s="543"/>
      <c r="NRP40" s="543"/>
      <c r="NRQ40" s="543"/>
      <c r="NRR40" s="543"/>
      <c r="NRS40" s="543"/>
      <c r="NRT40" s="543"/>
      <c r="NRU40" s="543"/>
      <c r="NRV40" s="543"/>
      <c r="NRW40" s="543"/>
      <c r="NRX40" s="543"/>
      <c r="NRY40" s="543"/>
      <c r="NRZ40" s="543"/>
      <c r="NSA40" s="543"/>
      <c r="NSB40" s="543"/>
      <c r="NSC40" s="543"/>
      <c r="NSD40" s="543"/>
      <c r="NSE40" s="543"/>
      <c r="NSF40" s="543"/>
      <c r="NSG40" s="543"/>
      <c r="NSH40" s="543"/>
      <c r="NSI40" s="543"/>
      <c r="NSJ40" s="543"/>
      <c r="NSK40" s="543"/>
      <c r="NSL40" s="543"/>
      <c r="NSM40" s="543"/>
      <c r="NSN40" s="543"/>
      <c r="NSO40" s="543"/>
      <c r="NSP40" s="543"/>
      <c r="NSQ40" s="543"/>
      <c r="NSR40" s="543"/>
      <c r="NSS40" s="543"/>
      <c r="NST40" s="543"/>
      <c r="NSU40" s="543"/>
      <c r="NSV40" s="543"/>
      <c r="NSW40" s="543"/>
      <c r="NSX40" s="543"/>
      <c r="NSY40" s="543"/>
      <c r="NSZ40" s="543"/>
      <c r="NTA40" s="543"/>
      <c r="NTB40" s="543"/>
      <c r="NTC40" s="543"/>
      <c r="NTD40" s="543"/>
      <c r="NTE40" s="543"/>
      <c r="NTF40" s="543"/>
      <c r="NTG40" s="543"/>
      <c r="NTH40" s="543"/>
      <c r="NTI40" s="543"/>
      <c r="NTJ40" s="543"/>
      <c r="NTK40" s="543"/>
      <c r="NTL40" s="543"/>
      <c r="NTM40" s="543"/>
      <c r="NTN40" s="543"/>
      <c r="NTO40" s="543"/>
      <c r="NTP40" s="543"/>
      <c r="NTQ40" s="543"/>
      <c r="NTR40" s="543"/>
      <c r="NTS40" s="543"/>
      <c r="NTT40" s="543"/>
      <c r="NTU40" s="543"/>
      <c r="NTV40" s="543"/>
      <c r="NTW40" s="543"/>
      <c r="NTX40" s="543"/>
      <c r="NTY40" s="543"/>
      <c r="NTZ40" s="543"/>
      <c r="NUA40" s="543"/>
      <c r="NUB40" s="543"/>
      <c r="NUC40" s="543"/>
      <c r="NUD40" s="543"/>
      <c r="NUE40" s="543"/>
      <c r="NUF40" s="543"/>
      <c r="NUG40" s="543"/>
      <c r="NUH40" s="543"/>
      <c r="NUI40" s="543"/>
      <c r="NUJ40" s="543"/>
      <c r="NUK40" s="543"/>
      <c r="NUL40" s="543"/>
      <c r="NUM40" s="543"/>
      <c r="NUN40" s="543"/>
      <c r="NUO40" s="543"/>
      <c r="NUP40" s="543"/>
      <c r="NUQ40" s="543"/>
      <c r="NUR40" s="543"/>
      <c r="NUS40" s="543"/>
      <c r="NUT40" s="543"/>
      <c r="NUU40" s="543"/>
      <c r="NUV40" s="543"/>
      <c r="NUW40" s="543"/>
      <c r="NUX40" s="543"/>
      <c r="NUY40" s="543"/>
      <c r="NUZ40" s="543"/>
      <c r="NVA40" s="543"/>
      <c r="NVB40" s="543"/>
      <c r="NVC40" s="543"/>
      <c r="NVD40" s="543"/>
      <c r="NVE40" s="543"/>
      <c r="NVF40" s="543"/>
      <c r="NVG40" s="543"/>
      <c r="NVH40" s="543"/>
      <c r="NVI40" s="543"/>
      <c r="NVJ40" s="543"/>
      <c r="NVK40" s="543"/>
      <c r="NVL40" s="543"/>
      <c r="NVM40" s="543"/>
      <c r="NVN40" s="543"/>
      <c r="NVO40" s="543"/>
      <c r="NVP40" s="543"/>
      <c r="NVQ40" s="543"/>
      <c r="NVR40" s="543"/>
      <c r="NVS40" s="543"/>
      <c r="NVT40" s="543"/>
      <c r="NVU40" s="543"/>
      <c r="NVV40" s="543"/>
      <c r="NVW40" s="543"/>
      <c r="NVX40" s="543"/>
      <c r="NVY40" s="543"/>
      <c r="NVZ40" s="543"/>
      <c r="NWA40" s="543"/>
      <c r="NWB40" s="543"/>
      <c r="NWC40" s="543"/>
      <c r="NWD40" s="543"/>
      <c r="NWE40" s="543"/>
      <c r="NWF40" s="543"/>
      <c r="NWG40" s="543"/>
      <c r="NWH40" s="543"/>
      <c r="NWI40" s="543"/>
      <c r="NWJ40" s="543"/>
      <c r="NWK40" s="543"/>
      <c r="NWL40" s="543"/>
      <c r="NWM40" s="543"/>
      <c r="NWN40" s="543"/>
      <c r="NWO40" s="543"/>
      <c r="NWP40" s="543"/>
      <c r="NWQ40" s="543"/>
      <c r="NWR40" s="543"/>
      <c r="NWS40" s="543"/>
      <c r="NWT40" s="543"/>
      <c r="NWU40" s="543"/>
      <c r="NWV40" s="543"/>
      <c r="NWW40" s="543"/>
      <c r="NWX40" s="543"/>
      <c r="NWY40" s="543"/>
      <c r="NWZ40" s="543"/>
      <c r="NXA40" s="543"/>
      <c r="NXB40" s="543"/>
      <c r="NXC40" s="543"/>
      <c r="NXD40" s="543"/>
      <c r="NXE40" s="543"/>
      <c r="NXF40" s="543"/>
      <c r="NXG40" s="543"/>
      <c r="NXH40" s="543"/>
      <c r="NXI40" s="543"/>
      <c r="NXJ40" s="543"/>
      <c r="NXK40" s="543"/>
      <c r="NXL40" s="543"/>
      <c r="NXM40" s="543"/>
      <c r="NXN40" s="543"/>
      <c r="NXO40" s="543"/>
      <c r="NXP40" s="543"/>
      <c r="NXQ40" s="543"/>
      <c r="NXR40" s="543"/>
      <c r="NXS40" s="543"/>
      <c r="NXT40" s="543"/>
      <c r="NXU40" s="543"/>
      <c r="NXV40" s="543"/>
      <c r="NXW40" s="543"/>
      <c r="NXX40" s="543"/>
      <c r="NXY40" s="543"/>
      <c r="NXZ40" s="543"/>
      <c r="NYA40" s="543"/>
      <c r="NYB40" s="543"/>
      <c r="NYC40" s="543"/>
      <c r="NYD40" s="543"/>
      <c r="NYE40" s="543"/>
      <c r="NYF40" s="543"/>
      <c r="NYG40" s="543"/>
      <c r="NYH40" s="543"/>
      <c r="NYI40" s="543"/>
      <c r="NYJ40" s="543"/>
      <c r="NYK40" s="543"/>
      <c r="NYL40" s="543"/>
      <c r="NYM40" s="543"/>
      <c r="NYN40" s="543"/>
      <c r="NYO40" s="543"/>
      <c r="NYP40" s="543"/>
      <c r="NYQ40" s="543"/>
      <c r="NYR40" s="543"/>
      <c r="NYS40" s="543"/>
      <c r="NYT40" s="543"/>
      <c r="NYU40" s="543"/>
      <c r="NYV40" s="543"/>
      <c r="NYW40" s="543"/>
      <c r="NYX40" s="543"/>
      <c r="NYY40" s="543"/>
      <c r="NYZ40" s="543"/>
      <c r="NZA40" s="543"/>
      <c r="NZB40" s="543"/>
      <c r="NZC40" s="543"/>
      <c r="NZD40" s="543"/>
      <c r="NZE40" s="543"/>
      <c r="NZF40" s="543"/>
      <c r="NZG40" s="543"/>
      <c r="NZH40" s="543"/>
      <c r="NZI40" s="543"/>
      <c r="NZJ40" s="543"/>
      <c r="NZK40" s="543"/>
      <c r="NZL40" s="543"/>
      <c r="NZM40" s="543"/>
      <c r="NZN40" s="543"/>
      <c r="NZO40" s="543"/>
      <c r="NZP40" s="543"/>
      <c r="NZQ40" s="543"/>
      <c r="NZR40" s="543"/>
      <c r="NZS40" s="543"/>
      <c r="NZT40" s="543"/>
      <c r="NZU40" s="543"/>
      <c r="NZV40" s="543"/>
      <c r="NZW40" s="543"/>
      <c r="NZX40" s="543"/>
      <c r="NZY40" s="543"/>
      <c r="NZZ40" s="543"/>
      <c r="OAA40" s="543"/>
      <c r="OAB40" s="543"/>
      <c r="OAC40" s="543"/>
      <c r="OAD40" s="543"/>
      <c r="OAE40" s="543"/>
      <c r="OAF40" s="543"/>
      <c r="OAG40" s="543"/>
      <c r="OAH40" s="543"/>
      <c r="OAI40" s="543"/>
      <c r="OAJ40" s="543"/>
      <c r="OAK40" s="543"/>
      <c r="OAL40" s="543"/>
      <c r="OAM40" s="543"/>
      <c r="OAN40" s="543"/>
      <c r="OAO40" s="543"/>
      <c r="OAP40" s="543"/>
      <c r="OAQ40" s="543"/>
      <c r="OAR40" s="543"/>
      <c r="OAS40" s="543"/>
      <c r="OAT40" s="543"/>
      <c r="OAU40" s="543"/>
      <c r="OAV40" s="543"/>
      <c r="OAW40" s="543"/>
      <c r="OAX40" s="543"/>
      <c r="OAY40" s="543"/>
      <c r="OAZ40" s="543"/>
      <c r="OBA40" s="543"/>
      <c r="OBB40" s="543"/>
      <c r="OBC40" s="543"/>
      <c r="OBD40" s="543"/>
      <c r="OBE40" s="543"/>
      <c r="OBF40" s="543"/>
      <c r="OBG40" s="543"/>
      <c r="OBH40" s="543"/>
      <c r="OBI40" s="543"/>
      <c r="OBJ40" s="543"/>
      <c r="OBK40" s="543"/>
      <c r="OBL40" s="543"/>
      <c r="OBM40" s="543"/>
      <c r="OBN40" s="543"/>
      <c r="OBO40" s="543"/>
      <c r="OBP40" s="543"/>
      <c r="OBQ40" s="543"/>
      <c r="OBR40" s="543"/>
      <c r="OBS40" s="543"/>
      <c r="OBT40" s="543"/>
      <c r="OBU40" s="543"/>
      <c r="OBV40" s="543"/>
      <c r="OBW40" s="543"/>
      <c r="OBX40" s="543"/>
      <c r="OBY40" s="543"/>
      <c r="OBZ40" s="543"/>
      <c r="OCA40" s="543"/>
      <c r="OCB40" s="543"/>
      <c r="OCC40" s="543"/>
      <c r="OCD40" s="543"/>
      <c r="OCE40" s="543"/>
      <c r="OCF40" s="543"/>
      <c r="OCG40" s="543"/>
      <c r="OCH40" s="543"/>
      <c r="OCI40" s="543"/>
      <c r="OCJ40" s="543"/>
      <c r="OCK40" s="543"/>
      <c r="OCL40" s="543"/>
      <c r="OCM40" s="543"/>
      <c r="OCN40" s="543"/>
      <c r="OCO40" s="543"/>
      <c r="OCP40" s="543"/>
      <c r="OCQ40" s="543"/>
      <c r="OCR40" s="543"/>
      <c r="OCS40" s="543"/>
      <c r="OCT40" s="543"/>
      <c r="OCU40" s="543"/>
      <c r="OCV40" s="543"/>
      <c r="OCW40" s="543"/>
      <c r="OCX40" s="543"/>
      <c r="OCY40" s="543"/>
      <c r="OCZ40" s="543"/>
      <c r="ODA40" s="543"/>
      <c r="ODB40" s="543"/>
      <c r="ODC40" s="543"/>
      <c r="ODD40" s="543"/>
      <c r="ODE40" s="543"/>
      <c r="ODF40" s="543"/>
      <c r="ODG40" s="543"/>
      <c r="ODH40" s="543"/>
      <c r="ODI40" s="543"/>
      <c r="ODJ40" s="543"/>
      <c r="ODK40" s="543"/>
      <c r="ODL40" s="543"/>
      <c r="ODM40" s="543"/>
      <c r="ODN40" s="543"/>
      <c r="ODO40" s="543"/>
      <c r="ODP40" s="543"/>
      <c r="ODQ40" s="543"/>
      <c r="ODR40" s="543"/>
      <c r="ODS40" s="543"/>
      <c r="ODT40" s="543"/>
      <c r="ODU40" s="543"/>
      <c r="ODV40" s="543"/>
      <c r="ODW40" s="543"/>
      <c r="ODX40" s="543"/>
      <c r="ODY40" s="543"/>
      <c r="ODZ40" s="543"/>
      <c r="OEA40" s="543"/>
      <c r="OEB40" s="543"/>
      <c r="OEC40" s="543"/>
      <c r="OED40" s="543"/>
      <c r="OEE40" s="543"/>
      <c r="OEF40" s="543"/>
      <c r="OEG40" s="543"/>
      <c r="OEH40" s="543"/>
      <c r="OEI40" s="543"/>
      <c r="OEJ40" s="543"/>
      <c r="OEK40" s="543"/>
      <c r="OEL40" s="543"/>
      <c r="OEM40" s="543"/>
      <c r="OEN40" s="543"/>
      <c r="OEO40" s="543"/>
      <c r="OEP40" s="543"/>
      <c r="OEQ40" s="543"/>
      <c r="OER40" s="543"/>
      <c r="OES40" s="543"/>
      <c r="OET40" s="543"/>
      <c r="OEU40" s="543"/>
      <c r="OEV40" s="543"/>
      <c r="OEW40" s="543"/>
      <c r="OEX40" s="543"/>
      <c r="OEY40" s="543"/>
      <c r="OEZ40" s="543"/>
      <c r="OFA40" s="543"/>
      <c r="OFB40" s="543"/>
      <c r="OFC40" s="543"/>
      <c r="OFD40" s="543"/>
      <c r="OFE40" s="543"/>
      <c r="OFF40" s="543"/>
      <c r="OFG40" s="543"/>
      <c r="OFH40" s="543"/>
      <c r="OFI40" s="543"/>
      <c r="OFJ40" s="543"/>
      <c r="OFK40" s="543"/>
      <c r="OFL40" s="543"/>
      <c r="OFM40" s="543"/>
      <c r="OFN40" s="543"/>
      <c r="OFO40" s="543"/>
      <c r="OFP40" s="543"/>
      <c r="OFQ40" s="543"/>
      <c r="OFR40" s="543"/>
      <c r="OFS40" s="543"/>
      <c r="OFT40" s="543"/>
      <c r="OFU40" s="543"/>
      <c r="OFV40" s="543"/>
      <c r="OFW40" s="543"/>
      <c r="OFX40" s="543"/>
      <c r="OFY40" s="543"/>
      <c r="OFZ40" s="543"/>
      <c r="OGA40" s="543"/>
      <c r="OGB40" s="543"/>
      <c r="OGC40" s="543"/>
      <c r="OGD40" s="543"/>
      <c r="OGE40" s="543"/>
      <c r="OGF40" s="543"/>
      <c r="OGG40" s="543"/>
      <c r="OGH40" s="543"/>
      <c r="OGI40" s="543"/>
      <c r="OGJ40" s="543"/>
      <c r="OGK40" s="543"/>
      <c r="OGL40" s="543"/>
      <c r="OGM40" s="543"/>
      <c r="OGN40" s="543"/>
      <c r="OGO40" s="543"/>
      <c r="OGP40" s="543"/>
      <c r="OGQ40" s="543"/>
      <c r="OGR40" s="543"/>
      <c r="OGS40" s="543"/>
      <c r="OGT40" s="543"/>
      <c r="OGU40" s="543"/>
      <c r="OGV40" s="543"/>
      <c r="OGW40" s="543"/>
      <c r="OGX40" s="543"/>
      <c r="OGY40" s="543"/>
      <c r="OGZ40" s="543"/>
      <c r="OHA40" s="543"/>
      <c r="OHB40" s="543"/>
      <c r="OHC40" s="543"/>
      <c r="OHD40" s="543"/>
      <c r="OHE40" s="543"/>
      <c r="OHF40" s="543"/>
      <c r="OHG40" s="543"/>
      <c r="OHH40" s="543"/>
      <c r="OHI40" s="543"/>
      <c r="OHJ40" s="543"/>
      <c r="OHK40" s="543"/>
      <c r="OHL40" s="543"/>
      <c r="OHM40" s="543"/>
      <c r="OHN40" s="543"/>
      <c r="OHO40" s="543"/>
      <c r="OHP40" s="543"/>
      <c r="OHQ40" s="543"/>
      <c r="OHR40" s="543"/>
      <c r="OHS40" s="543"/>
      <c r="OHT40" s="543"/>
      <c r="OHU40" s="543"/>
      <c r="OHV40" s="543"/>
      <c r="OHW40" s="543"/>
      <c r="OHX40" s="543"/>
      <c r="OHY40" s="543"/>
      <c r="OHZ40" s="543"/>
      <c r="OIA40" s="543"/>
      <c r="OIB40" s="543"/>
      <c r="OIC40" s="543"/>
      <c r="OID40" s="543"/>
      <c r="OIE40" s="543"/>
      <c r="OIF40" s="543"/>
      <c r="OIG40" s="543"/>
      <c r="OIH40" s="543"/>
      <c r="OII40" s="543"/>
      <c r="OIJ40" s="543"/>
      <c r="OIK40" s="543"/>
      <c r="OIL40" s="543"/>
      <c r="OIM40" s="543"/>
      <c r="OIN40" s="543"/>
      <c r="OIO40" s="543"/>
      <c r="OIP40" s="543"/>
      <c r="OIQ40" s="543"/>
      <c r="OIR40" s="543"/>
      <c r="OIS40" s="543"/>
      <c r="OIT40" s="543"/>
      <c r="OIU40" s="543"/>
      <c r="OIV40" s="543"/>
      <c r="OIW40" s="543"/>
      <c r="OIX40" s="543"/>
      <c r="OIY40" s="543"/>
      <c r="OIZ40" s="543"/>
      <c r="OJA40" s="543"/>
      <c r="OJB40" s="543"/>
      <c r="OJC40" s="543"/>
      <c r="OJD40" s="543"/>
      <c r="OJE40" s="543"/>
      <c r="OJF40" s="543"/>
      <c r="OJG40" s="543"/>
      <c r="OJH40" s="543"/>
      <c r="OJI40" s="543"/>
      <c r="OJJ40" s="543"/>
      <c r="OJK40" s="543"/>
      <c r="OJL40" s="543"/>
      <c r="OJM40" s="543"/>
      <c r="OJN40" s="543"/>
      <c r="OJO40" s="543"/>
      <c r="OJP40" s="543"/>
      <c r="OJQ40" s="543"/>
      <c r="OJR40" s="543"/>
      <c r="OJS40" s="543"/>
      <c r="OJT40" s="543"/>
      <c r="OJU40" s="543"/>
      <c r="OJV40" s="543"/>
      <c r="OJW40" s="543"/>
      <c r="OJX40" s="543"/>
      <c r="OJY40" s="543"/>
      <c r="OJZ40" s="543"/>
      <c r="OKA40" s="543"/>
      <c r="OKB40" s="543"/>
      <c r="OKC40" s="543"/>
      <c r="OKD40" s="543"/>
      <c r="OKE40" s="543"/>
      <c r="OKF40" s="543"/>
      <c r="OKG40" s="543"/>
      <c r="OKH40" s="543"/>
      <c r="OKI40" s="543"/>
      <c r="OKJ40" s="543"/>
      <c r="OKK40" s="543"/>
      <c r="OKL40" s="543"/>
      <c r="OKM40" s="543"/>
      <c r="OKN40" s="543"/>
      <c r="OKO40" s="543"/>
      <c r="OKP40" s="543"/>
      <c r="OKQ40" s="543"/>
      <c r="OKR40" s="543"/>
      <c r="OKS40" s="543"/>
      <c r="OKT40" s="543"/>
      <c r="OKU40" s="543"/>
      <c r="OKV40" s="543"/>
      <c r="OKW40" s="543"/>
      <c r="OKX40" s="543"/>
      <c r="OKY40" s="543"/>
      <c r="OKZ40" s="543"/>
      <c r="OLA40" s="543"/>
      <c r="OLB40" s="543"/>
      <c r="OLC40" s="543"/>
      <c r="OLD40" s="543"/>
      <c r="OLE40" s="543"/>
      <c r="OLF40" s="543"/>
      <c r="OLG40" s="543"/>
      <c r="OLH40" s="543"/>
      <c r="OLI40" s="543"/>
      <c r="OLJ40" s="543"/>
      <c r="OLK40" s="543"/>
      <c r="OLL40" s="543"/>
      <c r="OLM40" s="543"/>
      <c r="OLN40" s="543"/>
      <c r="OLO40" s="543"/>
      <c r="OLP40" s="543"/>
      <c r="OLQ40" s="543"/>
      <c r="OLR40" s="543"/>
      <c r="OLS40" s="543"/>
      <c r="OLT40" s="543"/>
      <c r="OLU40" s="543"/>
      <c r="OLV40" s="543"/>
      <c r="OLW40" s="543"/>
      <c r="OLX40" s="543"/>
      <c r="OLY40" s="543"/>
      <c r="OLZ40" s="543"/>
      <c r="OMA40" s="543"/>
      <c r="OMB40" s="543"/>
      <c r="OMC40" s="543"/>
      <c r="OMD40" s="543"/>
      <c r="OME40" s="543"/>
      <c r="OMF40" s="543"/>
      <c r="OMG40" s="543"/>
      <c r="OMH40" s="543"/>
      <c r="OMI40" s="543"/>
      <c r="OMJ40" s="543"/>
      <c r="OMK40" s="543"/>
      <c r="OML40" s="543"/>
      <c r="OMM40" s="543"/>
      <c r="OMN40" s="543"/>
      <c r="OMO40" s="543"/>
      <c r="OMP40" s="543"/>
      <c r="OMQ40" s="543"/>
      <c r="OMR40" s="543"/>
      <c r="OMS40" s="543"/>
      <c r="OMT40" s="543"/>
      <c r="OMU40" s="543"/>
      <c r="OMV40" s="543"/>
      <c r="OMW40" s="543"/>
      <c r="OMX40" s="543"/>
      <c r="OMY40" s="543"/>
      <c r="OMZ40" s="543"/>
      <c r="ONA40" s="543"/>
      <c r="ONB40" s="543"/>
      <c r="ONC40" s="543"/>
      <c r="OND40" s="543"/>
      <c r="ONE40" s="543"/>
      <c r="ONF40" s="543"/>
      <c r="ONG40" s="543"/>
      <c r="ONH40" s="543"/>
      <c r="ONI40" s="543"/>
      <c r="ONJ40" s="543"/>
      <c r="ONK40" s="543"/>
      <c r="ONL40" s="543"/>
      <c r="ONM40" s="543"/>
      <c r="ONN40" s="543"/>
      <c r="ONO40" s="543"/>
      <c r="ONP40" s="543"/>
      <c r="ONQ40" s="543"/>
      <c r="ONR40" s="543"/>
      <c r="ONS40" s="543"/>
      <c r="ONT40" s="543"/>
      <c r="ONU40" s="543"/>
      <c r="ONV40" s="543"/>
      <c r="ONW40" s="543"/>
      <c r="ONX40" s="543"/>
      <c r="ONY40" s="543"/>
      <c r="ONZ40" s="543"/>
      <c r="OOA40" s="543"/>
      <c r="OOB40" s="543"/>
      <c r="OOC40" s="543"/>
      <c r="OOD40" s="543"/>
      <c r="OOE40" s="543"/>
      <c r="OOF40" s="543"/>
      <c r="OOG40" s="543"/>
      <c r="OOH40" s="543"/>
      <c r="OOI40" s="543"/>
      <c r="OOJ40" s="543"/>
      <c r="OOK40" s="543"/>
      <c r="OOL40" s="543"/>
      <c r="OOM40" s="543"/>
      <c r="OON40" s="543"/>
      <c r="OOO40" s="543"/>
      <c r="OOP40" s="543"/>
      <c r="OOQ40" s="543"/>
      <c r="OOR40" s="543"/>
      <c r="OOS40" s="543"/>
      <c r="OOT40" s="543"/>
      <c r="OOU40" s="543"/>
      <c r="OOV40" s="543"/>
      <c r="OOW40" s="543"/>
      <c r="OOX40" s="543"/>
      <c r="OOY40" s="543"/>
      <c r="OOZ40" s="543"/>
      <c r="OPA40" s="543"/>
      <c r="OPB40" s="543"/>
      <c r="OPC40" s="543"/>
      <c r="OPD40" s="543"/>
      <c r="OPE40" s="543"/>
      <c r="OPF40" s="543"/>
      <c r="OPG40" s="543"/>
      <c r="OPH40" s="543"/>
      <c r="OPI40" s="543"/>
      <c r="OPJ40" s="543"/>
      <c r="OPK40" s="543"/>
      <c r="OPL40" s="543"/>
      <c r="OPM40" s="543"/>
      <c r="OPN40" s="543"/>
      <c r="OPO40" s="543"/>
      <c r="OPP40" s="543"/>
      <c r="OPQ40" s="543"/>
      <c r="OPR40" s="543"/>
      <c r="OPS40" s="543"/>
      <c r="OPT40" s="543"/>
      <c r="OPU40" s="543"/>
      <c r="OPV40" s="543"/>
      <c r="OPW40" s="543"/>
      <c r="OPX40" s="543"/>
      <c r="OPY40" s="543"/>
      <c r="OPZ40" s="543"/>
      <c r="OQA40" s="543"/>
      <c r="OQB40" s="543"/>
      <c r="OQC40" s="543"/>
      <c r="OQD40" s="543"/>
      <c r="OQE40" s="543"/>
      <c r="OQF40" s="543"/>
      <c r="OQG40" s="543"/>
      <c r="OQH40" s="543"/>
      <c r="OQI40" s="543"/>
      <c r="OQJ40" s="543"/>
      <c r="OQK40" s="543"/>
      <c r="OQL40" s="543"/>
      <c r="OQM40" s="543"/>
      <c r="OQN40" s="543"/>
      <c r="OQO40" s="543"/>
      <c r="OQP40" s="543"/>
      <c r="OQQ40" s="543"/>
      <c r="OQR40" s="543"/>
      <c r="OQS40" s="543"/>
      <c r="OQT40" s="543"/>
      <c r="OQU40" s="543"/>
      <c r="OQV40" s="543"/>
      <c r="OQW40" s="543"/>
      <c r="OQX40" s="543"/>
      <c r="OQY40" s="543"/>
      <c r="OQZ40" s="543"/>
      <c r="ORA40" s="543"/>
      <c r="ORB40" s="543"/>
      <c r="ORC40" s="543"/>
      <c r="ORD40" s="543"/>
      <c r="ORE40" s="543"/>
      <c r="ORF40" s="543"/>
      <c r="ORG40" s="543"/>
      <c r="ORH40" s="543"/>
      <c r="ORI40" s="543"/>
      <c r="ORJ40" s="543"/>
      <c r="ORK40" s="543"/>
      <c r="ORL40" s="543"/>
      <c r="ORM40" s="543"/>
      <c r="ORN40" s="543"/>
      <c r="ORO40" s="543"/>
      <c r="ORP40" s="543"/>
      <c r="ORQ40" s="543"/>
      <c r="ORR40" s="543"/>
      <c r="ORS40" s="543"/>
      <c r="ORT40" s="543"/>
      <c r="ORU40" s="543"/>
      <c r="ORV40" s="543"/>
      <c r="ORW40" s="543"/>
      <c r="ORX40" s="543"/>
      <c r="ORY40" s="543"/>
      <c r="ORZ40" s="543"/>
      <c r="OSA40" s="543"/>
      <c r="OSB40" s="543"/>
      <c r="OSC40" s="543"/>
      <c r="OSD40" s="543"/>
      <c r="OSE40" s="543"/>
      <c r="OSF40" s="543"/>
      <c r="OSG40" s="543"/>
      <c r="OSH40" s="543"/>
      <c r="OSI40" s="543"/>
      <c r="OSJ40" s="543"/>
      <c r="OSK40" s="543"/>
      <c r="OSL40" s="543"/>
      <c r="OSM40" s="543"/>
      <c r="OSN40" s="543"/>
      <c r="OSO40" s="543"/>
      <c r="OSP40" s="543"/>
      <c r="OSQ40" s="543"/>
      <c r="OSR40" s="543"/>
      <c r="OSS40" s="543"/>
      <c r="OST40" s="543"/>
      <c r="OSU40" s="543"/>
      <c r="OSV40" s="543"/>
      <c r="OSW40" s="543"/>
      <c r="OSX40" s="543"/>
      <c r="OSY40" s="543"/>
      <c r="OSZ40" s="543"/>
      <c r="OTA40" s="543"/>
      <c r="OTB40" s="543"/>
      <c r="OTC40" s="543"/>
      <c r="OTD40" s="543"/>
      <c r="OTE40" s="543"/>
      <c r="OTF40" s="543"/>
      <c r="OTG40" s="543"/>
      <c r="OTH40" s="543"/>
      <c r="OTI40" s="543"/>
      <c r="OTJ40" s="543"/>
      <c r="OTK40" s="543"/>
      <c r="OTL40" s="543"/>
      <c r="OTM40" s="543"/>
      <c r="OTN40" s="543"/>
      <c r="OTO40" s="543"/>
      <c r="OTP40" s="543"/>
      <c r="OTQ40" s="543"/>
      <c r="OTR40" s="543"/>
      <c r="OTS40" s="543"/>
      <c r="OTT40" s="543"/>
      <c r="OTU40" s="543"/>
      <c r="OTV40" s="543"/>
      <c r="OTW40" s="543"/>
      <c r="OTX40" s="543"/>
      <c r="OTY40" s="543"/>
      <c r="OTZ40" s="543"/>
      <c r="OUA40" s="543"/>
      <c r="OUB40" s="543"/>
      <c r="OUC40" s="543"/>
      <c r="OUD40" s="543"/>
      <c r="OUE40" s="543"/>
      <c r="OUF40" s="543"/>
      <c r="OUG40" s="543"/>
      <c r="OUH40" s="543"/>
      <c r="OUI40" s="543"/>
      <c r="OUJ40" s="543"/>
      <c r="OUK40" s="543"/>
      <c r="OUL40" s="543"/>
      <c r="OUM40" s="543"/>
      <c r="OUN40" s="543"/>
      <c r="OUO40" s="543"/>
      <c r="OUP40" s="543"/>
      <c r="OUQ40" s="543"/>
      <c r="OUR40" s="543"/>
      <c r="OUS40" s="543"/>
      <c r="OUT40" s="543"/>
      <c r="OUU40" s="543"/>
      <c r="OUV40" s="543"/>
      <c r="OUW40" s="543"/>
      <c r="OUX40" s="543"/>
      <c r="OUY40" s="543"/>
      <c r="OUZ40" s="543"/>
      <c r="OVA40" s="543"/>
      <c r="OVB40" s="543"/>
      <c r="OVC40" s="543"/>
      <c r="OVD40" s="543"/>
      <c r="OVE40" s="543"/>
      <c r="OVF40" s="543"/>
      <c r="OVG40" s="543"/>
      <c r="OVH40" s="543"/>
      <c r="OVI40" s="543"/>
      <c r="OVJ40" s="543"/>
      <c r="OVK40" s="543"/>
      <c r="OVL40" s="543"/>
      <c r="OVM40" s="543"/>
      <c r="OVN40" s="543"/>
      <c r="OVO40" s="543"/>
      <c r="OVP40" s="543"/>
      <c r="OVQ40" s="543"/>
      <c r="OVR40" s="543"/>
      <c r="OVS40" s="543"/>
      <c r="OVT40" s="543"/>
      <c r="OVU40" s="543"/>
      <c r="OVV40" s="543"/>
      <c r="OVW40" s="543"/>
      <c r="OVX40" s="543"/>
      <c r="OVY40" s="543"/>
      <c r="OVZ40" s="543"/>
      <c r="OWA40" s="543"/>
      <c r="OWB40" s="543"/>
      <c r="OWC40" s="543"/>
      <c r="OWD40" s="543"/>
      <c r="OWE40" s="543"/>
      <c r="OWF40" s="543"/>
      <c r="OWG40" s="543"/>
      <c r="OWH40" s="543"/>
      <c r="OWI40" s="543"/>
      <c r="OWJ40" s="543"/>
      <c r="OWK40" s="543"/>
      <c r="OWL40" s="543"/>
      <c r="OWM40" s="543"/>
      <c r="OWN40" s="543"/>
      <c r="OWO40" s="543"/>
      <c r="OWP40" s="543"/>
      <c r="OWQ40" s="543"/>
      <c r="OWR40" s="543"/>
      <c r="OWS40" s="543"/>
      <c r="OWT40" s="543"/>
      <c r="OWU40" s="543"/>
      <c r="OWV40" s="543"/>
      <c r="OWW40" s="543"/>
      <c r="OWX40" s="543"/>
      <c r="OWY40" s="543"/>
      <c r="OWZ40" s="543"/>
      <c r="OXA40" s="543"/>
      <c r="OXB40" s="543"/>
      <c r="OXC40" s="543"/>
      <c r="OXD40" s="543"/>
      <c r="OXE40" s="543"/>
      <c r="OXF40" s="543"/>
      <c r="OXG40" s="543"/>
      <c r="OXH40" s="543"/>
      <c r="OXI40" s="543"/>
      <c r="OXJ40" s="543"/>
      <c r="OXK40" s="543"/>
      <c r="OXL40" s="543"/>
      <c r="OXM40" s="543"/>
      <c r="OXN40" s="543"/>
      <c r="OXO40" s="543"/>
      <c r="OXP40" s="543"/>
      <c r="OXQ40" s="543"/>
      <c r="OXR40" s="543"/>
      <c r="OXS40" s="543"/>
      <c r="OXT40" s="543"/>
      <c r="OXU40" s="543"/>
      <c r="OXV40" s="543"/>
      <c r="OXW40" s="543"/>
      <c r="OXX40" s="543"/>
      <c r="OXY40" s="543"/>
      <c r="OXZ40" s="543"/>
      <c r="OYA40" s="543"/>
      <c r="OYB40" s="543"/>
      <c r="OYC40" s="543"/>
      <c r="OYD40" s="543"/>
      <c r="OYE40" s="543"/>
      <c r="OYF40" s="543"/>
      <c r="OYG40" s="543"/>
      <c r="OYH40" s="543"/>
      <c r="OYI40" s="543"/>
      <c r="OYJ40" s="543"/>
      <c r="OYK40" s="543"/>
      <c r="OYL40" s="543"/>
      <c r="OYM40" s="543"/>
      <c r="OYN40" s="543"/>
      <c r="OYO40" s="543"/>
      <c r="OYP40" s="543"/>
      <c r="OYQ40" s="543"/>
      <c r="OYR40" s="543"/>
      <c r="OYS40" s="543"/>
      <c r="OYT40" s="543"/>
      <c r="OYU40" s="543"/>
      <c r="OYV40" s="543"/>
      <c r="OYW40" s="543"/>
      <c r="OYX40" s="543"/>
      <c r="OYY40" s="543"/>
      <c r="OYZ40" s="543"/>
      <c r="OZA40" s="543"/>
      <c r="OZB40" s="543"/>
      <c r="OZC40" s="543"/>
      <c r="OZD40" s="543"/>
      <c r="OZE40" s="543"/>
      <c r="OZF40" s="543"/>
      <c r="OZG40" s="543"/>
      <c r="OZH40" s="543"/>
      <c r="OZI40" s="543"/>
      <c r="OZJ40" s="543"/>
      <c r="OZK40" s="543"/>
      <c r="OZL40" s="543"/>
      <c r="OZM40" s="543"/>
      <c r="OZN40" s="543"/>
      <c r="OZO40" s="543"/>
      <c r="OZP40" s="543"/>
      <c r="OZQ40" s="543"/>
      <c r="OZR40" s="543"/>
      <c r="OZS40" s="543"/>
      <c r="OZT40" s="543"/>
      <c r="OZU40" s="543"/>
      <c r="OZV40" s="543"/>
      <c r="OZW40" s="543"/>
      <c r="OZX40" s="543"/>
      <c r="OZY40" s="543"/>
      <c r="OZZ40" s="543"/>
      <c r="PAA40" s="543"/>
      <c r="PAB40" s="543"/>
      <c r="PAC40" s="543"/>
      <c r="PAD40" s="543"/>
      <c r="PAE40" s="543"/>
      <c r="PAF40" s="543"/>
      <c r="PAG40" s="543"/>
      <c r="PAH40" s="543"/>
      <c r="PAI40" s="543"/>
      <c r="PAJ40" s="543"/>
      <c r="PAK40" s="543"/>
      <c r="PAL40" s="543"/>
      <c r="PAM40" s="543"/>
      <c r="PAN40" s="543"/>
      <c r="PAO40" s="543"/>
      <c r="PAP40" s="543"/>
      <c r="PAQ40" s="543"/>
      <c r="PAR40" s="543"/>
      <c r="PAS40" s="543"/>
      <c r="PAT40" s="543"/>
      <c r="PAU40" s="543"/>
      <c r="PAV40" s="543"/>
      <c r="PAW40" s="543"/>
      <c r="PAX40" s="543"/>
      <c r="PAY40" s="543"/>
      <c r="PAZ40" s="543"/>
      <c r="PBA40" s="543"/>
      <c r="PBB40" s="543"/>
      <c r="PBC40" s="543"/>
      <c r="PBD40" s="543"/>
      <c r="PBE40" s="543"/>
      <c r="PBF40" s="543"/>
      <c r="PBG40" s="543"/>
      <c r="PBH40" s="543"/>
      <c r="PBI40" s="543"/>
      <c r="PBJ40" s="543"/>
      <c r="PBK40" s="543"/>
      <c r="PBL40" s="543"/>
      <c r="PBM40" s="543"/>
      <c r="PBN40" s="543"/>
      <c r="PBO40" s="543"/>
      <c r="PBP40" s="543"/>
      <c r="PBQ40" s="543"/>
      <c r="PBR40" s="543"/>
      <c r="PBS40" s="543"/>
      <c r="PBT40" s="543"/>
      <c r="PBU40" s="543"/>
      <c r="PBV40" s="543"/>
      <c r="PBW40" s="543"/>
      <c r="PBX40" s="543"/>
      <c r="PBY40" s="543"/>
      <c r="PBZ40" s="543"/>
      <c r="PCA40" s="543"/>
      <c r="PCB40" s="543"/>
      <c r="PCC40" s="543"/>
      <c r="PCD40" s="543"/>
      <c r="PCE40" s="543"/>
      <c r="PCF40" s="543"/>
      <c r="PCG40" s="543"/>
      <c r="PCH40" s="543"/>
      <c r="PCI40" s="543"/>
      <c r="PCJ40" s="543"/>
      <c r="PCK40" s="543"/>
      <c r="PCL40" s="543"/>
      <c r="PCM40" s="543"/>
      <c r="PCN40" s="543"/>
      <c r="PCO40" s="543"/>
      <c r="PCP40" s="543"/>
      <c r="PCQ40" s="543"/>
      <c r="PCR40" s="543"/>
      <c r="PCS40" s="543"/>
      <c r="PCT40" s="543"/>
      <c r="PCU40" s="543"/>
      <c r="PCV40" s="543"/>
      <c r="PCW40" s="543"/>
      <c r="PCX40" s="543"/>
      <c r="PCY40" s="543"/>
      <c r="PCZ40" s="543"/>
      <c r="PDA40" s="543"/>
      <c r="PDB40" s="543"/>
      <c r="PDC40" s="543"/>
      <c r="PDD40" s="543"/>
      <c r="PDE40" s="543"/>
      <c r="PDF40" s="543"/>
      <c r="PDG40" s="543"/>
      <c r="PDH40" s="543"/>
      <c r="PDI40" s="543"/>
      <c r="PDJ40" s="543"/>
      <c r="PDK40" s="543"/>
      <c r="PDL40" s="543"/>
      <c r="PDM40" s="543"/>
      <c r="PDN40" s="543"/>
      <c r="PDO40" s="543"/>
      <c r="PDP40" s="543"/>
      <c r="PDQ40" s="543"/>
      <c r="PDR40" s="543"/>
      <c r="PDS40" s="543"/>
      <c r="PDT40" s="543"/>
      <c r="PDU40" s="543"/>
      <c r="PDV40" s="543"/>
      <c r="PDW40" s="543"/>
      <c r="PDX40" s="543"/>
      <c r="PDY40" s="543"/>
      <c r="PDZ40" s="543"/>
      <c r="PEA40" s="543"/>
      <c r="PEB40" s="543"/>
      <c r="PEC40" s="543"/>
      <c r="PED40" s="543"/>
      <c r="PEE40" s="543"/>
      <c r="PEF40" s="543"/>
      <c r="PEG40" s="543"/>
      <c r="PEH40" s="543"/>
      <c r="PEI40" s="543"/>
      <c r="PEJ40" s="543"/>
      <c r="PEK40" s="543"/>
      <c r="PEL40" s="543"/>
      <c r="PEM40" s="543"/>
      <c r="PEN40" s="543"/>
      <c r="PEO40" s="543"/>
      <c r="PEP40" s="543"/>
      <c r="PEQ40" s="543"/>
      <c r="PER40" s="543"/>
      <c r="PES40" s="543"/>
      <c r="PET40" s="543"/>
      <c r="PEU40" s="543"/>
      <c r="PEV40" s="543"/>
      <c r="PEW40" s="543"/>
      <c r="PEX40" s="543"/>
      <c r="PEY40" s="543"/>
      <c r="PEZ40" s="543"/>
      <c r="PFA40" s="543"/>
      <c r="PFB40" s="543"/>
      <c r="PFC40" s="543"/>
      <c r="PFD40" s="543"/>
      <c r="PFE40" s="543"/>
      <c r="PFF40" s="543"/>
      <c r="PFG40" s="543"/>
      <c r="PFH40" s="543"/>
      <c r="PFI40" s="543"/>
      <c r="PFJ40" s="543"/>
      <c r="PFK40" s="543"/>
      <c r="PFL40" s="543"/>
      <c r="PFM40" s="543"/>
      <c r="PFN40" s="543"/>
      <c r="PFO40" s="543"/>
      <c r="PFP40" s="543"/>
      <c r="PFQ40" s="543"/>
      <c r="PFR40" s="543"/>
      <c r="PFS40" s="543"/>
      <c r="PFT40" s="543"/>
      <c r="PFU40" s="543"/>
      <c r="PFV40" s="543"/>
      <c r="PFW40" s="543"/>
      <c r="PFX40" s="543"/>
      <c r="PFY40" s="543"/>
      <c r="PFZ40" s="543"/>
      <c r="PGA40" s="543"/>
      <c r="PGB40" s="543"/>
      <c r="PGC40" s="543"/>
      <c r="PGD40" s="543"/>
      <c r="PGE40" s="543"/>
      <c r="PGF40" s="543"/>
      <c r="PGG40" s="543"/>
      <c r="PGH40" s="543"/>
      <c r="PGI40" s="543"/>
      <c r="PGJ40" s="543"/>
      <c r="PGK40" s="543"/>
      <c r="PGL40" s="543"/>
      <c r="PGM40" s="543"/>
      <c r="PGN40" s="543"/>
      <c r="PGO40" s="543"/>
      <c r="PGP40" s="543"/>
      <c r="PGQ40" s="543"/>
      <c r="PGR40" s="543"/>
      <c r="PGS40" s="543"/>
      <c r="PGT40" s="543"/>
      <c r="PGU40" s="543"/>
      <c r="PGV40" s="543"/>
      <c r="PGW40" s="543"/>
      <c r="PGX40" s="543"/>
      <c r="PGY40" s="543"/>
      <c r="PGZ40" s="543"/>
      <c r="PHA40" s="543"/>
      <c r="PHB40" s="543"/>
      <c r="PHC40" s="543"/>
      <c r="PHD40" s="543"/>
      <c r="PHE40" s="543"/>
      <c r="PHF40" s="543"/>
      <c r="PHG40" s="543"/>
      <c r="PHH40" s="543"/>
      <c r="PHI40" s="543"/>
      <c r="PHJ40" s="543"/>
      <c r="PHK40" s="543"/>
      <c r="PHL40" s="543"/>
      <c r="PHM40" s="543"/>
      <c r="PHN40" s="543"/>
      <c r="PHO40" s="543"/>
      <c r="PHP40" s="543"/>
      <c r="PHQ40" s="543"/>
      <c r="PHR40" s="543"/>
      <c r="PHS40" s="543"/>
      <c r="PHT40" s="543"/>
      <c r="PHU40" s="543"/>
      <c r="PHV40" s="543"/>
      <c r="PHW40" s="543"/>
      <c r="PHX40" s="543"/>
      <c r="PHY40" s="543"/>
      <c r="PHZ40" s="543"/>
      <c r="PIA40" s="543"/>
      <c r="PIB40" s="543"/>
      <c r="PIC40" s="543"/>
      <c r="PID40" s="543"/>
      <c r="PIE40" s="543"/>
      <c r="PIF40" s="543"/>
      <c r="PIG40" s="543"/>
      <c r="PIH40" s="543"/>
      <c r="PII40" s="543"/>
      <c r="PIJ40" s="543"/>
      <c r="PIK40" s="543"/>
      <c r="PIL40" s="543"/>
      <c r="PIM40" s="543"/>
      <c r="PIN40" s="543"/>
      <c r="PIO40" s="543"/>
      <c r="PIP40" s="543"/>
      <c r="PIQ40" s="543"/>
      <c r="PIR40" s="543"/>
      <c r="PIS40" s="543"/>
      <c r="PIT40" s="543"/>
      <c r="PIU40" s="543"/>
      <c r="PIV40" s="543"/>
      <c r="PIW40" s="543"/>
      <c r="PIX40" s="543"/>
      <c r="PIY40" s="543"/>
      <c r="PIZ40" s="543"/>
      <c r="PJA40" s="543"/>
      <c r="PJB40" s="543"/>
      <c r="PJC40" s="543"/>
      <c r="PJD40" s="543"/>
      <c r="PJE40" s="543"/>
      <c r="PJF40" s="543"/>
      <c r="PJG40" s="543"/>
      <c r="PJH40" s="543"/>
      <c r="PJI40" s="543"/>
      <c r="PJJ40" s="543"/>
      <c r="PJK40" s="543"/>
      <c r="PJL40" s="543"/>
      <c r="PJM40" s="543"/>
      <c r="PJN40" s="543"/>
      <c r="PJO40" s="543"/>
      <c r="PJP40" s="543"/>
      <c r="PJQ40" s="543"/>
      <c r="PJR40" s="543"/>
      <c r="PJS40" s="543"/>
      <c r="PJT40" s="543"/>
      <c r="PJU40" s="543"/>
      <c r="PJV40" s="543"/>
      <c r="PJW40" s="543"/>
      <c r="PJX40" s="543"/>
      <c r="PJY40" s="543"/>
      <c r="PJZ40" s="543"/>
      <c r="PKA40" s="543"/>
      <c r="PKB40" s="543"/>
      <c r="PKC40" s="543"/>
      <c r="PKD40" s="543"/>
      <c r="PKE40" s="543"/>
      <c r="PKF40" s="543"/>
      <c r="PKG40" s="543"/>
      <c r="PKH40" s="543"/>
      <c r="PKI40" s="543"/>
      <c r="PKJ40" s="543"/>
      <c r="PKK40" s="543"/>
      <c r="PKL40" s="543"/>
      <c r="PKM40" s="543"/>
      <c r="PKN40" s="543"/>
      <c r="PKO40" s="543"/>
      <c r="PKP40" s="543"/>
      <c r="PKQ40" s="543"/>
      <c r="PKR40" s="543"/>
      <c r="PKS40" s="543"/>
      <c r="PKT40" s="543"/>
      <c r="PKU40" s="543"/>
      <c r="PKV40" s="543"/>
      <c r="PKW40" s="543"/>
      <c r="PKX40" s="543"/>
      <c r="PKY40" s="543"/>
      <c r="PKZ40" s="543"/>
      <c r="PLA40" s="543"/>
      <c r="PLB40" s="543"/>
      <c r="PLC40" s="543"/>
      <c r="PLD40" s="543"/>
      <c r="PLE40" s="543"/>
      <c r="PLF40" s="543"/>
      <c r="PLG40" s="543"/>
      <c r="PLH40" s="543"/>
      <c r="PLI40" s="543"/>
      <c r="PLJ40" s="543"/>
      <c r="PLK40" s="543"/>
      <c r="PLL40" s="543"/>
      <c r="PLM40" s="543"/>
      <c r="PLN40" s="543"/>
      <c r="PLO40" s="543"/>
      <c r="PLP40" s="543"/>
      <c r="PLQ40" s="543"/>
      <c r="PLR40" s="543"/>
      <c r="PLS40" s="543"/>
      <c r="PLT40" s="543"/>
      <c r="PLU40" s="543"/>
      <c r="PLV40" s="543"/>
      <c r="PLW40" s="543"/>
      <c r="PLX40" s="543"/>
      <c r="PLY40" s="543"/>
      <c r="PLZ40" s="543"/>
      <c r="PMA40" s="543"/>
      <c r="PMB40" s="543"/>
      <c r="PMC40" s="543"/>
      <c r="PMD40" s="543"/>
      <c r="PME40" s="543"/>
      <c r="PMF40" s="543"/>
      <c r="PMG40" s="543"/>
      <c r="PMH40" s="543"/>
      <c r="PMI40" s="543"/>
      <c r="PMJ40" s="543"/>
      <c r="PMK40" s="543"/>
      <c r="PML40" s="543"/>
      <c r="PMM40" s="543"/>
      <c r="PMN40" s="543"/>
      <c r="PMO40" s="543"/>
      <c r="PMP40" s="543"/>
      <c r="PMQ40" s="543"/>
      <c r="PMR40" s="543"/>
      <c r="PMS40" s="543"/>
      <c r="PMT40" s="543"/>
      <c r="PMU40" s="543"/>
      <c r="PMV40" s="543"/>
      <c r="PMW40" s="543"/>
      <c r="PMX40" s="543"/>
      <c r="PMY40" s="543"/>
      <c r="PMZ40" s="543"/>
      <c r="PNA40" s="543"/>
      <c r="PNB40" s="543"/>
      <c r="PNC40" s="543"/>
      <c r="PND40" s="543"/>
      <c r="PNE40" s="543"/>
      <c r="PNF40" s="543"/>
      <c r="PNG40" s="543"/>
      <c r="PNH40" s="543"/>
      <c r="PNI40" s="543"/>
      <c r="PNJ40" s="543"/>
      <c r="PNK40" s="543"/>
      <c r="PNL40" s="543"/>
      <c r="PNM40" s="543"/>
      <c r="PNN40" s="543"/>
      <c r="PNO40" s="543"/>
      <c r="PNP40" s="543"/>
      <c r="PNQ40" s="543"/>
      <c r="PNR40" s="543"/>
      <c r="PNS40" s="543"/>
      <c r="PNT40" s="543"/>
      <c r="PNU40" s="543"/>
      <c r="PNV40" s="543"/>
      <c r="PNW40" s="543"/>
      <c r="PNX40" s="543"/>
      <c r="PNY40" s="543"/>
      <c r="PNZ40" s="543"/>
      <c r="POA40" s="543"/>
      <c r="POB40" s="543"/>
      <c r="POC40" s="543"/>
      <c r="POD40" s="543"/>
      <c r="POE40" s="543"/>
      <c r="POF40" s="543"/>
      <c r="POG40" s="543"/>
      <c r="POH40" s="543"/>
      <c r="POI40" s="543"/>
      <c r="POJ40" s="543"/>
      <c r="POK40" s="543"/>
      <c r="POL40" s="543"/>
      <c r="POM40" s="543"/>
      <c r="PON40" s="543"/>
      <c r="POO40" s="543"/>
      <c r="POP40" s="543"/>
      <c r="POQ40" s="543"/>
      <c r="POR40" s="543"/>
      <c r="POS40" s="543"/>
      <c r="POT40" s="543"/>
      <c r="POU40" s="543"/>
      <c r="POV40" s="543"/>
      <c r="POW40" s="543"/>
      <c r="POX40" s="543"/>
      <c r="POY40" s="543"/>
      <c r="POZ40" s="543"/>
      <c r="PPA40" s="543"/>
      <c r="PPB40" s="543"/>
      <c r="PPC40" s="543"/>
      <c r="PPD40" s="543"/>
      <c r="PPE40" s="543"/>
      <c r="PPF40" s="543"/>
      <c r="PPG40" s="543"/>
      <c r="PPH40" s="543"/>
      <c r="PPI40" s="543"/>
      <c r="PPJ40" s="543"/>
      <c r="PPK40" s="543"/>
      <c r="PPL40" s="543"/>
      <c r="PPM40" s="543"/>
      <c r="PPN40" s="543"/>
      <c r="PPO40" s="543"/>
      <c r="PPP40" s="543"/>
      <c r="PPQ40" s="543"/>
      <c r="PPR40" s="543"/>
      <c r="PPS40" s="543"/>
      <c r="PPT40" s="543"/>
      <c r="PPU40" s="543"/>
      <c r="PPV40" s="543"/>
      <c r="PPW40" s="543"/>
      <c r="PPX40" s="543"/>
      <c r="PPY40" s="543"/>
      <c r="PPZ40" s="543"/>
      <c r="PQA40" s="543"/>
      <c r="PQB40" s="543"/>
      <c r="PQC40" s="543"/>
      <c r="PQD40" s="543"/>
      <c r="PQE40" s="543"/>
      <c r="PQF40" s="543"/>
      <c r="PQG40" s="543"/>
      <c r="PQH40" s="543"/>
      <c r="PQI40" s="543"/>
      <c r="PQJ40" s="543"/>
      <c r="PQK40" s="543"/>
      <c r="PQL40" s="543"/>
      <c r="PQM40" s="543"/>
      <c r="PQN40" s="543"/>
      <c r="PQO40" s="543"/>
      <c r="PQP40" s="543"/>
      <c r="PQQ40" s="543"/>
      <c r="PQR40" s="543"/>
      <c r="PQS40" s="543"/>
      <c r="PQT40" s="543"/>
      <c r="PQU40" s="543"/>
      <c r="PQV40" s="543"/>
      <c r="PQW40" s="543"/>
      <c r="PQX40" s="543"/>
      <c r="PQY40" s="543"/>
      <c r="PQZ40" s="543"/>
      <c r="PRA40" s="543"/>
      <c r="PRB40" s="543"/>
      <c r="PRC40" s="543"/>
      <c r="PRD40" s="543"/>
      <c r="PRE40" s="543"/>
      <c r="PRF40" s="543"/>
      <c r="PRG40" s="543"/>
      <c r="PRH40" s="543"/>
      <c r="PRI40" s="543"/>
      <c r="PRJ40" s="543"/>
      <c r="PRK40" s="543"/>
      <c r="PRL40" s="543"/>
      <c r="PRM40" s="543"/>
      <c r="PRN40" s="543"/>
      <c r="PRO40" s="543"/>
      <c r="PRP40" s="543"/>
      <c r="PRQ40" s="543"/>
      <c r="PRR40" s="543"/>
      <c r="PRS40" s="543"/>
      <c r="PRT40" s="543"/>
      <c r="PRU40" s="543"/>
      <c r="PRV40" s="543"/>
      <c r="PRW40" s="543"/>
      <c r="PRX40" s="543"/>
      <c r="PRY40" s="543"/>
      <c r="PRZ40" s="543"/>
      <c r="PSA40" s="543"/>
      <c r="PSB40" s="543"/>
      <c r="PSC40" s="543"/>
      <c r="PSD40" s="543"/>
      <c r="PSE40" s="543"/>
      <c r="PSF40" s="543"/>
      <c r="PSG40" s="543"/>
      <c r="PSH40" s="543"/>
      <c r="PSI40" s="543"/>
      <c r="PSJ40" s="543"/>
      <c r="PSK40" s="543"/>
      <c r="PSL40" s="543"/>
      <c r="PSM40" s="543"/>
      <c r="PSN40" s="543"/>
      <c r="PSO40" s="543"/>
      <c r="PSP40" s="543"/>
      <c r="PSQ40" s="543"/>
      <c r="PSR40" s="543"/>
      <c r="PSS40" s="543"/>
      <c r="PST40" s="543"/>
      <c r="PSU40" s="543"/>
      <c r="PSV40" s="543"/>
      <c r="PSW40" s="543"/>
      <c r="PSX40" s="543"/>
      <c r="PSY40" s="543"/>
      <c r="PSZ40" s="543"/>
      <c r="PTA40" s="543"/>
      <c r="PTB40" s="543"/>
      <c r="PTC40" s="543"/>
      <c r="PTD40" s="543"/>
      <c r="PTE40" s="543"/>
      <c r="PTF40" s="543"/>
      <c r="PTG40" s="543"/>
      <c r="PTH40" s="543"/>
      <c r="PTI40" s="543"/>
      <c r="PTJ40" s="543"/>
      <c r="PTK40" s="543"/>
      <c r="PTL40" s="543"/>
      <c r="PTM40" s="543"/>
      <c r="PTN40" s="543"/>
      <c r="PTO40" s="543"/>
      <c r="PTP40" s="543"/>
      <c r="PTQ40" s="543"/>
      <c r="PTR40" s="543"/>
      <c r="PTS40" s="543"/>
      <c r="PTT40" s="543"/>
      <c r="PTU40" s="543"/>
      <c r="PTV40" s="543"/>
      <c r="PTW40" s="543"/>
      <c r="PTX40" s="543"/>
      <c r="PTY40" s="543"/>
      <c r="PTZ40" s="543"/>
      <c r="PUA40" s="543"/>
      <c r="PUB40" s="543"/>
      <c r="PUC40" s="543"/>
      <c r="PUD40" s="543"/>
      <c r="PUE40" s="543"/>
      <c r="PUF40" s="543"/>
      <c r="PUG40" s="543"/>
      <c r="PUH40" s="543"/>
      <c r="PUI40" s="543"/>
      <c r="PUJ40" s="543"/>
      <c r="PUK40" s="543"/>
      <c r="PUL40" s="543"/>
      <c r="PUM40" s="543"/>
      <c r="PUN40" s="543"/>
      <c r="PUO40" s="543"/>
      <c r="PUP40" s="543"/>
      <c r="PUQ40" s="543"/>
      <c r="PUR40" s="543"/>
      <c r="PUS40" s="543"/>
      <c r="PUT40" s="543"/>
      <c r="PUU40" s="543"/>
      <c r="PUV40" s="543"/>
      <c r="PUW40" s="543"/>
      <c r="PUX40" s="543"/>
      <c r="PUY40" s="543"/>
      <c r="PUZ40" s="543"/>
      <c r="PVA40" s="543"/>
      <c r="PVB40" s="543"/>
      <c r="PVC40" s="543"/>
      <c r="PVD40" s="543"/>
      <c r="PVE40" s="543"/>
      <c r="PVF40" s="543"/>
      <c r="PVG40" s="543"/>
      <c r="PVH40" s="543"/>
      <c r="PVI40" s="543"/>
      <c r="PVJ40" s="543"/>
      <c r="PVK40" s="543"/>
      <c r="PVL40" s="543"/>
      <c r="PVM40" s="543"/>
      <c r="PVN40" s="543"/>
      <c r="PVO40" s="543"/>
      <c r="PVP40" s="543"/>
      <c r="PVQ40" s="543"/>
      <c r="PVR40" s="543"/>
      <c r="PVS40" s="543"/>
      <c r="PVT40" s="543"/>
      <c r="PVU40" s="543"/>
      <c r="PVV40" s="543"/>
      <c r="PVW40" s="543"/>
      <c r="PVX40" s="543"/>
      <c r="PVY40" s="543"/>
      <c r="PVZ40" s="543"/>
      <c r="PWA40" s="543"/>
      <c r="PWB40" s="543"/>
      <c r="PWC40" s="543"/>
      <c r="PWD40" s="543"/>
      <c r="PWE40" s="543"/>
      <c r="PWF40" s="543"/>
      <c r="PWG40" s="543"/>
      <c r="PWH40" s="543"/>
      <c r="PWI40" s="543"/>
      <c r="PWJ40" s="543"/>
      <c r="PWK40" s="543"/>
      <c r="PWL40" s="543"/>
      <c r="PWM40" s="543"/>
      <c r="PWN40" s="543"/>
      <c r="PWO40" s="543"/>
      <c r="PWP40" s="543"/>
      <c r="PWQ40" s="543"/>
      <c r="PWR40" s="543"/>
      <c r="PWS40" s="543"/>
      <c r="PWT40" s="543"/>
      <c r="PWU40" s="543"/>
      <c r="PWV40" s="543"/>
      <c r="PWW40" s="543"/>
      <c r="PWX40" s="543"/>
      <c r="PWY40" s="543"/>
      <c r="PWZ40" s="543"/>
      <c r="PXA40" s="543"/>
      <c r="PXB40" s="543"/>
      <c r="PXC40" s="543"/>
      <c r="PXD40" s="543"/>
      <c r="PXE40" s="543"/>
      <c r="PXF40" s="543"/>
      <c r="PXG40" s="543"/>
      <c r="PXH40" s="543"/>
      <c r="PXI40" s="543"/>
      <c r="PXJ40" s="543"/>
      <c r="PXK40" s="543"/>
      <c r="PXL40" s="543"/>
      <c r="PXM40" s="543"/>
      <c r="PXN40" s="543"/>
      <c r="PXO40" s="543"/>
      <c r="PXP40" s="543"/>
      <c r="PXQ40" s="543"/>
      <c r="PXR40" s="543"/>
      <c r="PXS40" s="543"/>
      <c r="PXT40" s="543"/>
      <c r="PXU40" s="543"/>
      <c r="PXV40" s="543"/>
      <c r="PXW40" s="543"/>
      <c r="PXX40" s="543"/>
      <c r="PXY40" s="543"/>
      <c r="PXZ40" s="543"/>
      <c r="PYA40" s="543"/>
      <c r="PYB40" s="543"/>
      <c r="PYC40" s="543"/>
      <c r="PYD40" s="543"/>
      <c r="PYE40" s="543"/>
      <c r="PYF40" s="543"/>
      <c r="PYG40" s="543"/>
      <c r="PYH40" s="543"/>
      <c r="PYI40" s="543"/>
      <c r="PYJ40" s="543"/>
      <c r="PYK40" s="543"/>
      <c r="PYL40" s="543"/>
      <c r="PYM40" s="543"/>
      <c r="PYN40" s="543"/>
      <c r="PYO40" s="543"/>
      <c r="PYP40" s="543"/>
      <c r="PYQ40" s="543"/>
      <c r="PYR40" s="543"/>
      <c r="PYS40" s="543"/>
      <c r="PYT40" s="543"/>
      <c r="PYU40" s="543"/>
      <c r="PYV40" s="543"/>
      <c r="PYW40" s="543"/>
      <c r="PYX40" s="543"/>
      <c r="PYY40" s="543"/>
      <c r="PYZ40" s="543"/>
      <c r="PZA40" s="543"/>
      <c r="PZB40" s="543"/>
      <c r="PZC40" s="543"/>
      <c r="PZD40" s="543"/>
      <c r="PZE40" s="543"/>
      <c r="PZF40" s="543"/>
      <c r="PZG40" s="543"/>
      <c r="PZH40" s="543"/>
      <c r="PZI40" s="543"/>
      <c r="PZJ40" s="543"/>
      <c r="PZK40" s="543"/>
      <c r="PZL40" s="543"/>
      <c r="PZM40" s="543"/>
      <c r="PZN40" s="543"/>
      <c r="PZO40" s="543"/>
      <c r="PZP40" s="543"/>
      <c r="PZQ40" s="543"/>
      <c r="PZR40" s="543"/>
      <c r="PZS40" s="543"/>
      <c r="PZT40" s="543"/>
      <c r="PZU40" s="543"/>
      <c r="PZV40" s="543"/>
      <c r="PZW40" s="543"/>
      <c r="PZX40" s="543"/>
      <c r="PZY40" s="543"/>
      <c r="PZZ40" s="543"/>
      <c r="QAA40" s="543"/>
      <c r="QAB40" s="543"/>
      <c r="QAC40" s="543"/>
      <c r="QAD40" s="543"/>
      <c r="QAE40" s="543"/>
      <c r="QAF40" s="543"/>
      <c r="QAG40" s="543"/>
      <c r="QAH40" s="543"/>
      <c r="QAI40" s="543"/>
      <c r="QAJ40" s="543"/>
      <c r="QAK40" s="543"/>
      <c r="QAL40" s="543"/>
      <c r="QAM40" s="543"/>
      <c r="QAN40" s="543"/>
      <c r="QAO40" s="543"/>
      <c r="QAP40" s="543"/>
      <c r="QAQ40" s="543"/>
      <c r="QAR40" s="543"/>
      <c r="QAS40" s="543"/>
      <c r="QAT40" s="543"/>
      <c r="QAU40" s="543"/>
      <c r="QAV40" s="543"/>
      <c r="QAW40" s="543"/>
      <c r="QAX40" s="543"/>
      <c r="QAY40" s="543"/>
      <c r="QAZ40" s="543"/>
      <c r="QBA40" s="543"/>
      <c r="QBB40" s="543"/>
      <c r="QBC40" s="543"/>
      <c r="QBD40" s="543"/>
      <c r="QBE40" s="543"/>
      <c r="QBF40" s="543"/>
      <c r="QBG40" s="543"/>
      <c r="QBH40" s="543"/>
      <c r="QBI40" s="543"/>
      <c r="QBJ40" s="543"/>
      <c r="QBK40" s="543"/>
      <c r="QBL40" s="543"/>
      <c r="QBM40" s="543"/>
      <c r="QBN40" s="543"/>
      <c r="QBO40" s="543"/>
      <c r="QBP40" s="543"/>
      <c r="QBQ40" s="543"/>
      <c r="QBR40" s="543"/>
      <c r="QBS40" s="543"/>
      <c r="QBT40" s="543"/>
      <c r="QBU40" s="543"/>
      <c r="QBV40" s="543"/>
      <c r="QBW40" s="543"/>
      <c r="QBX40" s="543"/>
      <c r="QBY40" s="543"/>
      <c r="QBZ40" s="543"/>
      <c r="QCA40" s="543"/>
      <c r="QCB40" s="543"/>
      <c r="QCC40" s="543"/>
      <c r="QCD40" s="543"/>
      <c r="QCE40" s="543"/>
      <c r="QCF40" s="543"/>
      <c r="QCG40" s="543"/>
      <c r="QCH40" s="543"/>
      <c r="QCI40" s="543"/>
      <c r="QCJ40" s="543"/>
      <c r="QCK40" s="543"/>
      <c r="QCL40" s="543"/>
      <c r="QCM40" s="543"/>
      <c r="QCN40" s="543"/>
      <c r="QCO40" s="543"/>
      <c r="QCP40" s="543"/>
      <c r="QCQ40" s="543"/>
      <c r="QCR40" s="543"/>
      <c r="QCS40" s="543"/>
      <c r="QCT40" s="543"/>
      <c r="QCU40" s="543"/>
      <c r="QCV40" s="543"/>
      <c r="QCW40" s="543"/>
      <c r="QCX40" s="543"/>
      <c r="QCY40" s="543"/>
      <c r="QCZ40" s="543"/>
      <c r="QDA40" s="543"/>
      <c r="QDB40" s="543"/>
      <c r="QDC40" s="543"/>
      <c r="QDD40" s="543"/>
      <c r="QDE40" s="543"/>
      <c r="QDF40" s="543"/>
      <c r="QDG40" s="543"/>
      <c r="QDH40" s="543"/>
      <c r="QDI40" s="543"/>
      <c r="QDJ40" s="543"/>
      <c r="QDK40" s="543"/>
      <c r="QDL40" s="543"/>
      <c r="QDM40" s="543"/>
      <c r="QDN40" s="543"/>
      <c r="QDO40" s="543"/>
      <c r="QDP40" s="543"/>
      <c r="QDQ40" s="543"/>
      <c r="QDR40" s="543"/>
      <c r="QDS40" s="543"/>
      <c r="QDT40" s="543"/>
      <c r="QDU40" s="543"/>
      <c r="QDV40" s="543"/>
      <c r="QDW40" s="543"/>
      <c r="QDX40" s="543"/>
      <c r="QDY40" s="543"/>
      <c r="QDZ40" s="543"/>
      <c r="QEA40" s="543"/>
      <c r="QEB40" s="543"/>
      <c r="QEC40" s="543"/>
      <c r="QED40" s="543"/>
      <c r="QEE40" s="543"/>
      <c r="QEF40" s="543"/>
      <c r="QEG40" s="543"/>
      <c r="QEH40" s="543"/>
      <c r="QEI40" s="543"/>
      <c r="QEJ40" s="543"/>
      <c r="QEK40" s="543"/>
      <c r="QEL40" s="543"/>
      <c r="QEM40" s="543"/>
      <c r="QEN40" s="543"/>
      <c r="QEO40" s="543"/>
      <c r="QEP40" s="543"/>
      <c r="QEQ40" s="543"/>
      <c r="QER40" s="543"/>
      <c r="QES40" s="543"/>
      <c r="QET40" s="543"/>
      <c r="QEU40" s="543"/>
      <c r="QEV40" s="543"/>
      <c r="QEW40" s="543"/>
      <c r="QEX40" s="543"/>
      <c r="QEY40" s="543"/>
      <c r="QEZ40" s="543"/>
      <c r="QFA40" s="543"/>
      <c r="QFB40" s="543"/>
      <c r="QFC40" s="543"/>
      <c r="QFD40" s="543"/>
      <c r="QFE40" s="543"/>
      <c r="QFF40" s="543"/>
      <c r="QFG40" s="543"/>
      <c r="QFH40" s="543"/>
      <c r="QFI40" s="543"/>
      <c r="QFJ40" s="543"/>
      <c r="QFK40" s="543"/>
      <c r="QFL40" s="543"/>
      <c r="QFM40" s="543"/>
      <c r="QFN40" s="543"/>
      <c r="QFO40" s="543"/>
      <c r="QFP40" s="543"/>
      <c r="QFQ40" s="543"/>
      <c r="QFR40" s="543"/>
      <c r="QFS40" s="543"/>
      <c r="QFT40" s="543"/>
      <c r="QFU40" s="543"/>
      <c r="QFV40" s="543"/>
      <c r="QFW40" s="543"/>
      <c r="QFX40" s="543"/>
      <c r="QFY40" s="543"/>
      <c r="QFZ40" s="543"/>
      <c r="QGA40" s="543"/>
      <c r="QGB40" s="543"/>
      <c r="QGC40" s="543"/>
      <c r="QGD40" s="543"/>
      <c r="QGE40" s="543"/>
      <c r="QGF40" s="543"/>
      <c r="QGG40" s="543"/>
      <c r="QGH40" s="543"/>
      <c r="QGI40" s="543"/>
      <c r="QGJ40" s="543"/>
      <c r="QGK40" s="543"/>
      <c r="QGL40" s="543"/>
      <c r="QGM40" s="543"/>
      <c r="QGN40" s="543"/>
      <c r="QGO40" s="543"/>
      <c r="QGP40" s="543"/>
      <c r="QGQ40" s="543"/>
      <c r="QGR40" s="543"/>
      <c r="QGS40" s="543"/>
      <c r="QGT40" s="543"/>
      <c r="QGU40" s="543"/>
      <c r="QGV40" s="543"/>
      <c r="QGW40" s="543"/>
      <c r="QGX40" s="543"/>
      <c r="QGY40" s="543"/>
      <c r="QGZ40" s="543"/>
      <c r="QHA40" s="543"/>
      <c r="QHB40" s="543"/>
      <c r="QHC40" s="543"/>
      <c r="QHD40" s="543"/>
      <c r="QHE40" s="543"/>
      <c r="QHF40" s="543"/>
      <c r="QHG40" s="543"/>
      <c r="QHH40" s="543"/>
      <c r="QHI40" s="543"/>
      <c r="QHJ40" s="543"/>
      <c r="QHK40" s="543"/>
      <c r="QHL40" s="543"/>
      <c r="QHM40" s="543"/>
      <c r="QHN40" s="543"/>
      <c r="QHO40" s="543"/>
      <c r="QHP40" s="543"/>
      <c r="QHQ40" s="543"/>
      <c r="QHR40" s="543"/>
      <c r="QHS40" s="543"/>
      <c r="QHT40" s="543"/>
      <c r="QHU40" s="543"/>
      <c r="QHV40" s="543"/>
      <c r="QHW40" s="543"/>
      <c r="QHX40" s="543"/>
      <c r="QHY40" s="543"/>
      <c r="QHZ40" s="543"/>
      <c r="QIA40" s="543"/>
      <c r="QIB40" s="543"/>
      <c r="QIC40" s="543"/>
      <c r="QID40" s="543"/>
      <c r="QIE40" s="543"/>
      <c r="QIF40" s="543"/>
      <c r="QIG40" s="543"/>
      <c r="QIH40" s="543"/>
      <c r="QII40" s="543"/>
      <c r="QIJ40" s="543"/>
      <c r="QIK40" s="543"/>
      <c r="QIL40" s="543"/>
      <c r="QIM40" s="543"/>
      <c r="QIN40" s="543"/>
      <c r="QIO40" s="543"/>
      <c r="QIP40" s="543"/>
      <c r="QIQ40" s="543"/>
      <c r="QIR40" s="543"/>
      <c r="QIS40" s="543"/>
      <c r="QIT40" s="543"/>
      <c r="QIU40" s="543"/>
      <c r="QIV40" s="543"/>
      <c r="QIW40" s="543"/>
      <c r="QIX40" s="543"/>
      <c r="QIY40" s="543"/>
      <c r="QIZ40" s="543"/>
      <c r="QJA40" s="543"/>
      <c r="QJB40" s="543"/>
      <c r="QJC40" s="543"/>
      <c r="QJD40" s="543"/>
      <c r="QJE40" s="543"/>
      <c r="QJF40" s="543"/>
      <c r="QJG40" s="543"/>
      <c r="QJH40" s="543"/>
      <c r="QJI40" s="543"/>
      <c r="QJJ40" s="543"/>
      <c r="QJK40" s="543"/>
      <c r="QJL40" s="543"/>
      <c r="QJM40" s="543"/>
      <c r="QJN40" s="543"/>
      <c r="QJO40" s="543"/>
      <c r="QJP40" s="543"/>
      <c r="QJQ40" s="543"/>
      <c r="QJR40" s="543"/>
      <c r="QJS40" s="543"/>
      <c r="QJT40" s="543"/>
      <c r="QJU40" s="543"/>
      <c r="QJV40" s="543"/>
      <c r="QJW40" s="543"/>
      <c r="QJX40" s="543"/>
      <c r="QJY40" s="543"/>
      <c r="QJZ40" s="543"/>
      <c r="QKA40" s="543"/>
      <c r="QKB40" s="543"/>
      <c r="QKC40" s="543"/>
      <c r="QKD40" s="543"/>
      <c r="QKE40" s="543"/>
      <c r="QKF40" s="543"/>
      <c r="QKG40" s="543"/>
      <c r="QKH40" s="543"/>
      <c r="QKI40" s="543"/>
      <c r="QKJ40" s="543"/>
      <c r="QKK40" s="543"/>
      <c r="QKL40" s="543"/>
      <c r="QKM40" s="543"/>
      <c r="QKN40" s="543"/>
      <c r="QKO40" s="543"/>
      <c r="QKP40" s="543"/>
      <c r="QKQ40" s="543"/>
      <c r="QKR40" s="543"/>
      <c r="QKS40" s="543"/>
      <c r="QKT40" s="543"/>
      <c r="QKU40" s="543"/>
      <c r="QKV40" s="543"/>
      <c r="QKW40" s="543"/>
      <c r="QKX40" s="543"/>
      <c r="QKY40" s="543"/>
      <c r="QKZ40" s="543"/>
      <c r="QLA40" s="543"/>
      <c r="QLB40" s="543"/>
      <c r="QLC40" s="543"/>
      <c r="QLD40" s="543"/>
      <c r="QLE40" s="543"/>
      <c r="QLF40" s="543"/>
      <c r="QLG40" s="543"/>
      <c r="QLH40" s="543"/>
      <c r="QLI40" s="543"/>
      <c r="QLJ40" s="543"/>
      <c r="QLK40" s="543"/>
      <c r="QLL40" s="543"/>
      <c r="QLM40" s="543"/>
      <c r="QLN40" s="543"/>
      <c r="QLO40" s="543"/>
      <c r="QLP40" s="543"/>
      <c r="QLQ40" s="543"/>
      <c r="QLR40" s="543"/>
      <c r="QLS40" s="543"/>
      <c r="QLT40" s="543"/>
      <c r="QLU40" s="543"/>
      <c r="QLV40" s="543"/>
      <c r="QLW40" s="543"/>
      <c r="QLX40" s="543"/>
      <c r="QLY40" s="543"/>
      <c r="QLZ40" s="543"/>
      <c r="QMA40" s="543"/>
      <c r="QMB40" s="543"/>
      <c r="QMC40" s="543"/>
      <c r="QMD40" s="543"/>
      <c r="QME40" s="543"/>
      <c r="QMF40" s="543"/>
      <c r="QMG40" s="543"/>
      <c r="QMH40" s="543"/>
      <c r="QMI40" s="543"/>
      <c r="QMJ40" s="543"/>
      <c r="QMK40" s="543"/>
      <c r="QML40" s="543"/>
      <c r="QMM40" s="543"/>
      <c r="QMN40" s="543"/>
      <c r="QMO40" s="543"/>
      <c r="QMP40" s="543"/>
      <c r="QMQ40" s="543"/>
      <c r="QMR40" s="543"/>
      <c r="QMS40" s="543"/>
      <c r="QMT40" s="543"/>
      <c r="QMU40" s="543"/>
      <c r="QMV40" s="543"/>
      <c r="QMW40" s="543"/>
      <c r="QMX40" s="543"/>
      <c r="QMY40" s="543"/>
      <c r="QMZ40" s="543"/>
      <c r="QNA40" s="543"/>
      <c r="QNB40" s="543"/>
      <c r="QNC40" s="543"/>
      <c r="QND40" s="543"/>
      <c r="QNE40" s="543"/>
      <c r="QNF40" s="543"/>
      <c r="QNG40" s="543"/>
      <c r="QNH40" s="543"/>
      <c r="QNI40" s="543"/>
      <c r="QNJ40" s="543"/>
      <c r="QNK40" s="543"/>
      <c r="QNL40" s="543"/>
      <c r="QNM40" s="543"/>
      <c r="QNN40" s="543"/>
      <c r="QNO40" s="543"/>
      <c r="QNP40" s="543"/>
      <c r="QNQ40" s="543"/>
      <c r="QNR40" s="543"/>
      <c r="QNS40" s="543"/>
      <c r="QNT40" s="543"/>
      <c r="QNU40" s="543"/>
      <c r="QNV40" s="543"/>
      <c r="QNW40" s="543"/>
      <c r="QNX40" s="543"/>
      <c r="QNY40" s="543"/>
      <c r="QNZ40" s="543"/>
      <c r="QOA40" s="543"/>
      <c r="QOB40" s="543"/>
      <c r="QOC40" s="543"/>
      <c r="QOD40" s="543"/>
      <c r="QOE40" s="543"/>
      <c r="QOF40" s="543"/>
      <c r="QOG40" s="543"/>
      <c r="QOH40" s="543"/>
      <c r="QOI40" s="543"/>
      <c r="QOJ40" s="543"/>
      <c r="QOK40" s="543"/>
      <c r="QOL40" s="543"/>
      <c r="QOM40" s="543"/>
      <c r="QON40" s="543"/>
      <c r="QOO40" s="543"/>
      <c r="QOP40" s="543"/>
      <c r="QOQ40" s="543"/>
      <c r="QOR40" s="543"/>
      <c r="QOS40" s="543"/>
      <c r="QOT40" s="543"/>
      <c r="QOU40" s="543"/>
      <c r="QOV40" s="543"/>
      <c r="QOW40" s="543"/>
      <c r="QOX40" s="543"/>
      <c r="QOY40" s="543"/>
      <c r="QOZ40" s="543"/>
      <c r="QPA40" s="543"/>
      <c r="QPB40" s="543"/>
      <c r="QPC40" s="543"/>
      <c r="QPD40" s="543"/>
      <c r="QPE40" s="543"/>
      <c r="QPF40" s="543"/>
      <c r="QPG40" s="543"/>
      <c r="QPH40" s="543"/>
      <c r="QPI40" s="543"/>
      <c r="QPJ40" s="543"/>
      <c r="QPK40" s="543"/>
      <c r="QPL40" s="543"/>
      <c r="QPM40" s="543"/>
      <c r="QPN40" s="543"/>
      <c r="QPO40" s="543"/>
      <c r="QPP40" s="543"/>
      <c r="QPQ40" s="543"/>
      <c r="QPR40" s="543"/>
      <c r="QPS40" s="543"/>
      <c r="QPT40" s="543"/>
      <c r="QPU40" s="543"/>
      <c r="QPV40" s="543"/>
      <c r="QPW40" s="543"/>
      <c r="QPX40" s="543"/>
      <c r="QPY40" s="543"/>
      <c r="QPZ40" s="543"/>
      <c r="QQA40" s="543"/>
      <c r="QQB40" s="543"/>
      <c r="QQC40" s="543"/>
      <c r="QQD40" s="543"/>
      <c r="QQE40" s="543"/>
      <c r="QQF40" s="543"/>
      <c r="QQG40" s="543"/>
      <c r="QQH40" s="543"/>
      <c r="QQI40" s="543"/>
      <c r="QQJ40" s="543"/>
      <c r="QQK40" s="543"/>
      <c r="QQL40" s="543"/>
      <c r="QQM40" s="543"/>
      <c r="QQN40" s="543"/>
      <c r="QQO40" s="543"/>
      <c r="QQP40" s="543"/>
      <c r="QQQ40" s="543"/>
      <c r="QQR40" s="543"/>
      <c r="QQS40" s="543"/>
      <c r="QQT40" s="543"/>
      <c r="QQU40" s="543"/>
      <c r="QQV40" s="543"/>
      <c r="QQW40" s="543"/>
      <c r="QQX40" s="543"/>
      <c r="QQY40" s="543"/>
      <c r="QQZ40" s="543"/>
      <c r="QRA40" s="543"/>
      <c r="QRB40" s="543"/>
      <c r="QRC40" s="543"/>
      <c r="QRD40" s="543"/>
      <c r="QRE40" s="543"/>
      <c r="QRF40" s="543"/>
      <c r="QRG40" s="543"/>
      <c r="QRH40" s="543"/>
      <c r="QRI40" s="543"/>
      <c r="QRJ40" s="543"/>
      <c r="QRK40" s="543"/>
      <c r="QRL40" s="543"/>
      <c r="QRM40" s="543"/>
      <c r="QRN40" s="543"/>
      <c r="QRO40" s="543"/>
      <c r="QRP40" s="543"/>
      <c r="QRQ40" s="543"/>
      <c r="QRR40" s="543"/>
      <c r="QRS40" s="543"/>
      <c r="QRT40" s="543"/>
      <c r="QRU40" s="543"/>
      <c r="QRV40" s="543"/>
      <c r="QRW40" s="543"/>
      <c r="QRX40" s="543"/>
      <c r="QRY40" s="543"/>
      <c r="QRZ40" s="543"/>
      <c r="QSA40" s="543"/>
      <c r="QSB40" s="543"/>
      <c r="QSC40" s="543"/>
      <c r="QSD40" s="543"/>
      <c r="QSE40" s="543"/>
      <c r="QSF40" s="543"/>
      <c r="QSG40" s="543"/>
      <c r="QSH40" s="543"/>
      <c r="QSI40" s="543"/>
      <c r="QSJ40" s="543"/>
      <c r="QSK40" s="543"/>
      <c r="QSL40" s="543"/>
      <c r="QSM40" s="543"/>
      <c r="QSN40" s="543"/>
      <c r="QSO40" s="543"/>
      <c r="QSP40" s="543"/>
      <c r="QSQ40" s="543"/>
      <c r="QSR40" s="543"/>
      <c r="QSS40" s="543"/>
      <c r="QST40" s="543"/>
      <c r="QSU40" s="543"/>
      <c r="QSV40" s="543"/>
      <c r="QSW40" s="543"/>
      <c r="QSX40" s="543"/>
      <c r="QSY40" s="543"/>
      <c r="QSZ40" s="543"/>
      <c r="QTA40" s="543"/>
      <c r="QTB40" s="543"/>
      <c r="QTC40" s="543"/>
      <c r="QTD40" s="543"/>
      <c r="QTE40" s="543"/>
      <c r="QTF40" s="543"/>
      <c r="QTG40" s="543"/>
      <c r="QTH40" s="543"/>
      <c r="QTI40" s="543"/>
      <c r="QTJ40" s="543"/>
      <c r="QTK40" s="543"/>
      <c r="QTL40" s="543"/>
      <c r="QTM40" s="543"/>
      <c r="QTN40" s="543"/>
      <c r="QTO40" s="543"/>
      <c r="QTP40" s="543"/>
      <c r="QTQ40" s="543"/>
      <c r="QTR40" s="543"/>
      <c r="QTS40" s="543"/>
      <c r="QTT40" s="543"/>
      <c r="QTU40" s="543"/>
      <c r="QTV40" s="543"/>
      <c r="QTW40" s="543"/>
      <c r="QTX40" s="543"/>
      <c r="QTY40" s="543"/>
      <c r="QTZ40" s="543"/>
      <c r="QUA40" s="543"/>
      <c r="QUB40" s="543"/>
      <c r="QUC40" s="543"/>
      <c r="QUD40" s="543"/>
      <c r="QUE40" s="543"/>
      <c r="QUF40" s="543"/>
      <c r="QUG40" s="543"/>
      <c r="QUH40" s="543"/>
      <c r="QUI40" s="543"/>
      <c r="QUJ40" s="543"/>
      <c r="QUK40" s="543"/>
      <c r="QUL40" s="543"/>
      <c r="QUM40" s="543"/>
      <c r="QUN40" s="543"/>
      <c r="QUO40" s="543"/>
      <c r="QUP40" s="543"/>
      <c r="QUQ40" s="543"/>
      <c r="QUR40" s="543"/>
      <c r="QUS40" s="543"/>
      <c r="QUT40" s="543"/>
      <c r="QUU40" s="543"/>
      <c r="QUV40" s="543"/>
      <c r="QUW40" s="543"/>
      <c r="QUX40" s="543"/>
      <c r="QUY40" s="543"/>
      <c r="QUZ40" s="543"/>
      <c r="QVA40" s="543"/>
      <c r="QVB40" s="543"/>
      <c r="QVC40" s="543"/>
      <c r="QVD40" s="543"/>
      <c r="QVE40" s="543"/>
      <c r="QVF40" s="543"/>
      <c r="QVG40" s="543"/>
      <c r="QVH40" s="543"/>
      <c r="QVI40" s="543"/>
      <c r="QVJ40" s="543"/>
      <c r="QVK40" s="543"/>
      <c r="QVL40" s="543"/>
      <c r="QVM40" s="543"/>
      <c r="QVN40" s="543"/>
      <c r="QVO40" s="543"/>
      <c r="QVP40" s="543"/>
      <c r="QVQ40" s="543"/>
      <c r="QVR40" s="543"/>
      <c r="QVS40" s="543"/>
      <c r="QVT40" s="543"/>
      <c r="QVU40" s="543"/>
      <c r="QVV40" s="543"/>
      <c r="QVW40" s="543"/>
      <c r="QVX40" s="543"/>
      <c r="QVY40" s="543"/>
      <c r="QVZ40" s="543"/>
      <c r="QWA40" s="543"/>
      <c r="QWB40" s="543"/>
      <c r="QWC40" s="543"/>
      <c r="QWD40" s="543"/>
      <c r="QWE40" s="543"/>
      <c r="QWF40" s="543"/>
      <c r="QWG40" s="543"/>
      <c r="QWH40" s="543"/>
      <c r="QWI40" s="543"/>
      <c r="QWJ40" s="543"/>
      <c r="QWK40" s="543"/>
      <c r="QWL40" s="543"/>
      <c r="QWM40" s="543"/>
      <c r="QWN40" s="543"/>
      <c r="QWO40" s="543"/>
      <c r="QWP40" s="543"/>
      <c r="QWQ40" s="543"/>
      <c r="QWR40" s="543"/>
      <c r="QWS40" s="543"/>
      <c r="QWT40" s="543"/>
      <c r="QWU40" s="543"/>
      <c r="QWV40" s="543"/>
      <c r="QWW40" s="543"/>
      <c r="QWX40" s="543"/>
      <c r="QWY40" s="543"/>
      <c r="QWZ40" s="543"/>
      <c r="QXA40" s="543"/>
      <c r="QXB40" s="543"/>
      <c r="QXC40" s="543"/>
      <c r="QXD40" s="543"/>
      <c r="QXE40" s="543"/>
      <c r="QXF40" s="543"/>
      <c r="QXG40" s="543"/>
      <c r="QXH40" s="543"/>
      <c r="QXI40" s="543"/>
      <c r="QXJ40" s="543"/>
      <c r="QXK40" s="543"/>
      <c r="QXL40" s="543"/>
      <c r="QXM40" s="543"/>
      <c r="QXN40" s="543"/>
      <c r="QXO40" s="543"/>
      <c r="QXP40" s="543"/>
      <c r="QXQ40" s="543"/>
      <c r="QXR40" s="543"/>
      <c r="QXS40" s="543"/>
      <c r="QXT40" s="543"/>
      <c r="QXU40" s="543"/>
      <c r="QXV40" s="543"/>
      <c r="QXW40" s="543"/>
      <c r="QXX40" s="543"/>
      <c r="QXY40" s="543"/>
      <c r="QXZ40" s="543"/>
      <c r="QYA40" s="543"/>
      <c r="QYB40" s="543"/>
      <c r="QYC40" s="543"/>
      <c r="QYD40" s="543"/>
      <c r="QYE40" s="543"/>
      <c r="QYF40" s="543"/>
      <c r="QYG40" s="543"/>
      <c r="QYH40" s="543"/>
      <c r="QYI40" s="543"/>
      <c r="QYJ40" s="543"/>
      <c r="QYK40" s="543"/>
      <c r="QYL40" s="543"/>
      <c r="QYM40" s="543"/>
      <c r="QYN40" s="543"/>
      <c r="QYO40" s="543"/>
      <c r="QYP40" s="543"/>
      <c r="QYQ40" s="543"/>
      <c r="QYR40" s="543"/>
      <c r="QYS40" s="543"/>
      <c r="QYT40" s="543"/>
      <c r="QYU40" s="543"/>
      <c r="QYV40" s="543"/>
      <c r="QYW40" s="543"/>
      <c r="QYX40" s="543"/>
      <c r="QYY40" s="543"/>
      <c r="QYZ40" s="543"/>
      <c r="QZA40" s="543"/>
      <c r="QZB40" s="543"/>
      <c r="QZC40" s="543"/>
      <c r="QZD40" s="543"/>
      <c r="QZE40" s="543"/>
      <c r="QZF40" s="543"/>
      <c r="QZG40" s="543"/>
      <c r="QZH40" s="543"/>
      <c r="QZI40" s="543"/>
      <c r="QZJ40" s="543"/>
      <c r="QZK40" s="543"/>
      <c r="QZL40" s="543"/>
      <c r="QZM40" s="543"/>
      <c r="QZN40" s="543"/>
      <c r="QZO40" s="543"/>
      <c r="QZP40" s="543"/>
      <c r="QZQ40" s="543"/>
      <c r="QZR40" s="543"/>
      <c r="QZS40" s="543"/>
      <c r="QZT40" s="543"/>
      <c r="QZU40" s="543"/>
      <c r="QZV40" s="543"/>
      <c r="QZW40" s="543"/>
      <c r="QZX40" s="543"/>
      <c r="QZY40" s="543"/>
      <c r="QZZ40" s="543"/>
      <c r="RAA40" s="543"/>
      <c r="RAB40" s="543"/>
      <c r="RAC40" s="543"/>
      <c r="RAD40" s="543"/>
      <c r="RAE40" s="543"/>
      <c r="RAF40" s="543"/>
      <c r="RAG40" s="543"/>
      <c r="RAH40" s="543"/>
      <c r="RAI40" s="543"/>
      <c r="RAJ40" s="543"/>
      <c r="RAK40" s="543"/>
      <c r="RAL40" s="543"/>
      <c r="RAM40" s="543"/>
      <c r="RAN40" s="543"/>
      <c r="RAO40" s="543"/>
      <c r="RAP40" s="543"/>
      <c r="RAQ40" s="543"/>
      <c r="RAR40" s="543"/>
      <c r="RAS40" s="543"/>
      <c r="RAT40" s="543"/>
      <c r="RAU40" s="543"/>
      <c r="RAV40" s="543"/>
      <c r="RAW40" s="543"/>
      <c r="RAX40" s="543"/>
      <c r="RAY40" s="543"/>
      <c r="RAZ40" s="543"/>
      <c r="RBA40" s="543"/>
      <c r="RBB40" s="543"/>
      <c r="RBC40" s="543"/>
      <c r="RBD40" s="543"/>
      <c r="RBE40" s="543"/>
      <c r="RBF40" s="543"/>
      <c r="RBG40" s="543"/>
      <c r="RBH40" s="543"/>
      <c r="RBI40" s="543"/>
      <c r="RBJ40" s="543"/>
      <c r="RBK40" s="543"/>
      <c r="RBL40" s="543"/>
      <c r="RBM40" s="543"/>
      <c r="RBN40" s="543"/>
      <c r="RBO40" s="543"/>
      <c r="RBP40" s="543"/>
      <c r="RBQ40" s="543"/>
      <c r="RBR40" s="543"/>
      <c r="RBS40" s="543"/>
      <c r="RBT40" s="543"/>
      <c r="RBU40" s="543"/>
      <c r="RBV40" s="543"/>
      <c r="RBW40" s="543"/>
      <c r="RBX40" s="543"/>
      <c r="RBY40" s="543"/>
      <c r="RBZ40" s="543"/>
      <c r="RCA40" s="543"/>
      <c r="RCB40" s="543"/>
      <c r="RCC40" s="543"/>
      <c r="RCD40" s="543"/>
      <c r="RCE40" s="543"/>
      <c r="RCF40" s="543"/>
      <c r="RCG40" s="543"/>
      <c r="RCH40" s="543"/>
      <c r="RCI40" s="543"/>
      <c r="RCJ40" s="543"/>
      <c r="RCK40" s="543"/>
      <c r="RCL40" s="543"/>
      <c r="RCM40" s="543"/>
      <c r="RCN40" s="543"/>
      <c r="RCO40" s="543"/>
      <c r="RCP40" s="543"/>
      <c r="RCQ40" s="543"/>
      <c r="RCR40" s="543"/>
      <c r="RCS40" s="543"/>
      <c r="RCT40" s="543"/>
      <c r="RCU40" s="543"/>
      <c r="RCV40" s="543"/>
      <c r="RCW40" s="543"/>
      <c r="RCX40" s="543"/>
      <c r="RCY40" s="543"/>
      <c r="RCZ40" s="543"/>
      <c r="RDA40" s="543"/>
      <c r="RDB40" s="543"/>
      <c r="RDC40" s="543"/>
      <c r="RDD40" s="543"/>
      <c r="RDE40" s="543"/>
      <c r="RDF40" s="543"/>
      <c r="RDG40" s="543"/>
      <c r="RDH40" s="543"/>
      <c r="RDI40" s="543"/>
      <c r="RDJ40" s="543"/>
      <c r="RDK40" s="543"/>
      <c r="RDL40" s="543"/>
      <c r="RDM40" s="543"/>
      <c r="RDN40" s="543"/>
      <c r="RDO40" s="543"/>
      <c r="RDP40" s="543"/>
      <c r="RDQ40" s="543"/>
      <c r="RDR40" s="543"/>
      <c r="RDS40" s="543"/>
      <c r="RDT40" s="543"/>
      <c r="RDU40" s="543"/>
      <c r="RDV40" s="543"/>
      <c r="RDW40" s="543"/>
      <c r="RDX40" s="543"/>
      <c r="RDY40" s="543"/>
      <c r="RDZ40" s="543"/>
      <c r="REA40" s="543"/>
      <c r="REB40" s="543"/>
      <c r="REC40" s="543"/>
      <c r="RED40" s="543"/>
      <c r="REE40" s="543"/>
      <c r="REF40" s="543"/>
      <c r="REG40" s="543"/>
      <c r="REH40" s="543"/>
      <c r="REI40" s="543"/>
      <c r="REJ40" s="543"/>
      <c r="REK40" s="543"/>
      <c r="REL40" s="543"/>
      <c r="REM40" s="543"/>
      <c r="REN40" s="543"/>
      <c r="REO40" s="543"/>
      <c r="REP40" s="543"/>
      <c r="REQ40" s="543"/>
      <c r="RER40" s="543"/>
      <c r="RES40" s="543"/>
      <c r="RET40" s="543"/>
      <c r="REU40" s="543"/>
      <c r="REV40" s="543"/>
      <c r="REW40" s="543"/>
      <c r="REX40" s="543"/>
      <c r="REY40" s="543"/>
      <c r="REZ40" s="543"/>
      <c r="RFA40" s="543"/>
      <c r="RFB40" s="543"/>
      <c r="RFC40" s="543"/>
      <c r="RFD40" s="543"/>
      <c r="RFE40" s="543"/>
      <c r="RFF40" s="543"/>
      <c r="RFG40" s="543"/>
      <c r="RFH40" s="543"/>
      <c r="RFI40" s="543"/>
      <c r="RFJ40" s="543"/>
      <c r="RFK40" s="543"/>
      <c r="RFL40" s="543"/>
      <c r="RFM40" s="543"/>
      <c r="RFN40" s="543"/>
      <c r="RFO40" s="543"/>
      <c r="RFP40" s="543"/>
      <c r="RFQ40" s="543"/>
      <c r="RFR40" s="543"/>
      <c r="RFS40" s="543"/>
      <c r="RFT40" s="543"/>
      <c r="RFU40" s="543"/>
      <c r="RFV40" s="543"/>
      <c r="RFW40" s="543"/>
      <c r="RFX40" s="543"/>
      <c r="RFY40" s="543"/>
      <c r="RFZ40" s="543"/>
      <c r="RGA40" s="543"/>
      <c r="RGB40" s="543"/>
      <c r="RGC40" s="543"/>
      <c r="RGD40" s="543"/>
      <c r="RGE40" s="543"/>
      <c r="RGF40" s="543"/>
      <c r="RGG40" s="543"/>
      <c r="RGH40" s="543"/>
      <c r="RGI40" s="543"/>
      <c r="RGJ40" s="543"/>
      <c r="RGK40" s="543"/>
      <c r="RGL40" s="543"/>
      <c r="RGM40" s="543"/>
      <c r="RGN40" s="543"/>
      <c r="RGO40" s="543"/>
      <c r="RGP40" s="543"/>
      <c r="RGQ40" s="543"/>
      <c r="RGR40" s="543"/>
      <c r="RGS40" s="543"/>
      <c r="RGT40" s="543"/>
      <c r="RGU40" s="543"/>
      <c r="RGV40" s="543"/>
      <c r="RGW40" s="543"/>
      <c r="RGX40" s="543"/>
      <c r="RGY40" s="543"/>
      <c r="RGZ40" s="543"/>
      <c r="RHA40" s="543"/>
      <c r="RHB40" s="543"/>
      <c r="RHC40" s="543"/>
      <c r="RHD40" s="543"/>
      <c r="RHE40" s="543"/>
      <c r="RHF40" s="543"/>
      <c r="RHG40" s="543"/>
      <c r="RHH40" s="543"/>
      <c r="RHI40" s="543"/>
      <c r="RHJ40" s="543"/>
      <c r="RHK40" s="543"/>
      <c r="RHL40" s="543"/>
      <c r="RHM40" s="543"/>
      <c r="RHN40" s="543"/>
      <c r="RHO40" s="543"/>
      <c r="RHP40" s="543"/>
      <c r="RHQ40" s="543"/>
      <c r="RHR40" s="543"/>
      <c r="RHS40" s="543"/>
      <c r="RHT40" s="543"/>
      <c r="RHU40" s="543"/>
      <c r="RHV40" s="543"/>
      <c r="RHW40" s="543"/>
      <c r="RHX40" s="543"/>
      <c r="RHY40" s="543"/>
      <c r="RHZ40" s="543"/>
      <c r="RIA40" s="543"/>
      <c r="RIB40" s="543"/>
      <c r="RIC40" s="543"/>
      <c r="RID40" s="543"/>
      <c r="RIE40" s="543"/>
      <c r="RIF40" s="543"/>
      <c r="RIG40" s="543"/>
      <c r="RIH40" s="543"/>
      <c r="RII40" s="543"/>
      <c r="RIJ40" s="543"/>
      <c r="RIK40" s="543"/>
      <c r="RIL40" s="543"/>
      <c r="RIM40" s="543"/>
      <c r="RIN40" s="543"/>
      <c r="RIO40" s="543"/>
      <c r="RIP40" s="543"/>
      <c r="RIQ40" s="543"/>
      <c r="RIR40" s="543"/>
      <c r="RIS40" s="543"/>
      <c r="RIT40" s="543"/>
      <c r="RIU40" s="543"/>
      <c r="RIV40" s="543"/>
      <c r="RIW40" s="543"/>
      <c r="RIX40" s="543"/>
      <c r="RIY40" s="543"/>
      <c r="RIZ40" s="543"/>
      <c r="RJA40" s="543"/>
      <c r="RJB40" s="543"/>
      <c r="RJC40" s="543"/>
      <c r="RJD40" s="543"/>
      <c r="RJE40" s="543"/>
      <c r="RJF40" s="543"/>
      <c r="RJG40" s="543"/>
      <c r="RJH40" s="543"/>
      <c r="RJI40" s="543"/>
      <c r="RJJ40" s="543"/>
      <c r="RJK40" s="543"/>
      <c r="RJL40" s="543"/>
      <c r="RJM40" s="543"/>
      <c r="RJN40" s="543"/>
      <c r="RJO40" s="543"/>
      <c r="RJP40" s="543"/>
      <c r="RJQ40" s="543"/>
      <c r="RJR40" s="543"/>
      <c r="RJS40" s="543"/>
      <c r="RJT40" s="543"/>
      <c r="RJU40" s="543"/>
      <c r="RJV40" s="543"/>
      <c r="RJW40" s="543"/>
      <c r="RJX40" s="543"/>
      <c r="RJY40" s="543"/>
      <c r="RJZ40" s="543"/>
      <c r="RKA40" s="543"/>
      <c r="RKB40" s="543"/>
      <c r="RKC40" s="543"/>
      <c r="RKD40" s="543"/>
      <c r="RKE40" s="543"/>
      <c r="RKF40" s="543"/>
      <c r="RKG40" s="543"/>
      <c r="RKH40" s="543"/>
      <c r="RKI40" s="543"/>
      <c r="RKJ40" s="543"/>
      <c r="RKK40" s="543"/>
      <c r="RKL40" s="543"/>
      <c r="RKM40" s="543"/>
      <c r="RKN40" s="543"/>
      <c r="RKO40" s="543"/>
      <c r="RKP40" s="543"/>
      <c r="RKQ40" s="543"/>
      <c r="RKR40" s="543"/>
      <c r="RKS40" s="543"/>
      <c r="RKT40" s="543"/>
      <c r="RKU40" s="543"/>
      <c r="RKV40" s="543"/>
      <c r="RKW40" s="543"/>
      <c r="RKX40" s="543"/>
      <c r="RKY40" s="543"/>
      <c r="RKZ40" s="543"/>
      <c r="RLA40" s="543"/>
      <c r="RLB40" s="543"/>
      <c r="RLC40" s="543"/>
      <c r="RLD40" s="543"/>
      <c r="RLE40" s="543"/>
      <c r="RLF40" s="543"/>
      <c r="RLG40" s="543"/>
      <c r="RLH40" s="543"/>
      <c r="RLI40" s="543"/>
      <c r="RLJ40" s="543"/>
      <c r="RLK40" s="543"/>
      <c r="RLL40" s="543"/>
      <c r="RLM40" s="543"/>
      <c r="RLN40" s="543"/>
      <c r="RLO40" s="543"/>
      <c r="RLP40" s="543"/>
      <c r="RLQ40" s="543"/>
      <c r="RLR40" s="543"/>
      <c r="RLS40" s="543"/>
      <c r="RLT40" s="543"/>
      <c r="RLU40" s="543"/>
      <c r="RLV40" s="543"/>
      <c r="RLW40" s="543"/>
      <c r="RLX40" s="543"/>
      <c r="RLY40" s="543"/>
      <c r="RLZ40" s="543"/>
      <c r="RMA40" s="543"/>
      <c r="RMB40" s="543"/>
      <c r="RMC40" s="543"/>
      <c r="RMD40" s="543"/>
      <c r="RME40" s="543"/>
      <c r="RMF40" s="543"/>
      <c r="RMG40" s="543"/>
      <c r="RMH40" s="543"/>
      <c r="RMI40" s="543"/>
      <c r="RMJ40" s="543"/>
      <c r="RMK40" s="543"/>
      <c r="RML40" s="543"/>
      <c r="RMM40" s="543"/>
      <c r="RMN40" s="543"/>
      <c r="RMO40" s="543"/>
      <c r="RMP40" s="543"/>
      <c r="RMQ40" s="543"/>
      <c r="RMR40" s="543"/>
      <c r="RMS40" s="543"/>
      <c r="RMT40" s="543"/>
      <c r="RMU40" s="543"/>
      <c r="RMV40" s="543"/>
      <c r="RMW40" s="543"/>
      <c r="RMX40" s="543"/>
      <c r="RMY40" s="543"/>
      <c r="RMZ40" s="543"/>
      <c r="RNA40" s="543"/>
      <c r="RNB40" s="543"/>
      <c r="RNC40" s="543"/>
      <c r="RND40" s="543"/>
      <c r="RNE40" s="543"/>
      <c r="RNF40" s="543"/>
      <c r="RNG40" s="543"/>
      <c r="RNH40" s="543"/>
      <c r="RNI40" s="543"/>
      <c r="RNJ40" s="543"/>
      <c r="RNK40" s="543"/>
      <c r="RNL40" s="543"/>
      <c r="RNM40" s="543"/>
      <c r="RNN40" s="543"/>
      <c r="RNO40" s="543"/>
      <c r="RNP40" s="543"/>
      <c r="RNQ40" s="543"/>
      <c r="RNR40" s="543"/>
      <c r="RNS40" s="543"/>
      <c r="RNT40" s="543"/>
      <c r="RNU40" s="543"/>
      <c r="RNV40" s="543"/>
      <c r="RNW40" s="543"/>
      <c r="RNX40" s="543"/>
      <c r="RNY40" s="543"/>
      <c r="RNZ40" s="543"/>
      <c r="ROA40" s="543"/>
      <c r="ROB40" s="543"/>
      <c r="ROC40" s="543"/>
      <c r="ROD40" s="543"/>
      <c r="ROE40" s="543"/>
      <c r="ROF40" s="543"/>
      <c r="ROG40" s="543"/>
      <c r="ROH40" s="543"/>
      <c r="ROI40" s="543"/>
      <c r="ROJ40" s="543"/>
      <c r="ROK40" s="543"/>
      <c r="ROL40" s="543"/>
      <c r="ROM40" s="543"/>
      <c r="RON40" s="543"/>
      <c r="ROO40" s="543"/>
      <c r="ROP40" s="543"/>
      <c r="ROQ40" s="543"/>
      <c r="ROR40" s="543"/>
      <c r="ROS40" s="543"/>
      <c r="ROT40" s="543"/>
      <c r="ROU40" s="543"/>
      <c r="ROV40" s="543"/>
      <c r="ROW40" s="543"/>
      <c r="ROX40" s="543"/>
      <c r="ROY40" s="543"/>
      <c r="ROZ40" s="543"/>
      <c r="RPA40" s="543"/>
      <c r="RPB40" s="543"/>
      <c r="RPC40" s="543"/>
      <c r="RPD40" s="543"/>
      <c r="RPE40" s="543"/>
      <c r="RPF40" s="543"/>
      <c r="RPG40" s="543"/>
      <c r="RPH40" s="543"/>
      <c r="RPI40" s="543"/>
      <c r="RPJ40" s="543"/>
      <c r="RPK40" s="543"/>
      <c r="RPL40" s="543"/>
      <c r="RPM40" s="543"/>
      <c r="RPN40" s="543"/>
      <c r="RPO40" s="543"/>
      <c r="RPP40" s="543"/>
      <c r="RPQ40" s="543"/>
      <c r="RPR40" s="543"/>
      <c r="RPS40" s="543"/>
      <c r="RPT40" s="543"/>
      <c r="RPU40" s="543"/>
      <c r="RPV40" s="543"/>
      <c r="RPW40" s="543"/>
      <c r="RPX40" s="543"/>
      <c r="RPY40" s="543"/>
      <c r="RPZ40" s="543"/>
      <c r="RQA40" s="543"/>
      <c r="RQB40" s="543"/>
      <c r="RQC40" s="543"/>
      <c r="RQD40" s="543"/>
      <c r="RQE40" s="543"/>
      <c r="RQF40" s="543"/>
      <c r="RQG40" s="543"/>
      <c r="RQH40" s="543"/>
      <c r="RQI40" s="543"/>
      <c r="RQJ40" s="543"/>
      <c r="RQK40" s="543"/>
      <c r="RQL40" s="543"/>
      <c r="RQM40" s="543"/>
      <c r="RQN40" s="543"/>
      <c r="RQO40" s="543"/>
      <c r="RQP40" s="543"/>
      <c r="RQQ40" s="543"/>
      <c r="RQR40" s="543"/>
      <c r="RQS40" s="543"/>
      <c r="RQT40" s="543"/>
      <c r="RQU40" s="543"/>
      <c r="RQV40" s="543"/>
      <c r="RQW40" s="543"/>
      <c r="RQX40" s="543"/>
      <c r="RQY40" s="543"/>
      <c r="RQZ40" s="543"/>
      <c r="RRA40" s="543"/>
      <c r="RRB40" s="543"/>
      <c r="RRC40" s="543"/>
      <c r="RRD40" s="543"/>
      <c r="RRE40" s="543"/>
      <c r="RRF40" s="543"/>
      <c r="RRG40" s="543"/>
      <c r="RRH40" s="543"/>
      <c r="RRI40" s="543"/>
      <c r="RRJ40" s="543"/>
      <c r="RRK40" s="543"/>
      <c r="RRL40" s="543"/>
      <c r="RRM40" s="543"/>
      <c r="RRN40" s="543"/>
      <c r="RRO40" s="543"/>
      <c r="RRP40" s="543"/>
      <c r="RRQ40" s="543"/>
      <c r="RRR40" s="543"/>
      <c r="RRS40" s="543"/>
      <c r="RRT40" s="543"/>
      <c r="RRU40" s="543"/>
      <c r="RRV40" s="543"/>
      <c r="RRW40" s="543"/>
      <c r="RRX40" s="543"/>
      <c r="RRY40" s="543"/>
      <c r="RRZ40" s="543"/>
      <c r="RSA40" s="543"/>
      <c r="RSB40" s="543"/>
      <c r="RSC40" s="543"/>
      <c r="RSD40" s="543"/>
      <c r="RSE40" s="543"/>
      <c r="RSF40" s="543"/>
      <c r="RSG40" s="543"/>
      <c r="RSH40" s="543"/>
      <c r="RSI40" s="543"/>
      <c r="RSJ40" s="543"/>
      <c r="RSK40" s="543"/>
      <c r="RSL40" s="543"/>
      <c r="RSM40" s="543"/>
      <c r="RSN40" s="543"/>
      <c r="RSO40" s="543"/>
      <c r="RSP40" s="543"/>
      <c r="RSQ40" s="543"/>
      <c r="RSR40" s="543"/>
      <c r="RSS40" s="543"/>
      <c r="RST40" s="543"/>
      <c r="RSU40" s="543"/>
      <c r="RSV40" s="543"/>
      <c r="RSW40" s="543"/>
      <c r="RSX40" s="543"/>
      <c r="RSY40" s="543"/>
      <c r="RSZ40" s="543"/>
      <c r="RTA40" s="543"/>
      <c r="RTB40" s="543"/>
      <c r="RTC40" s="543"/>
      <c r="RTD40" s="543"/>
      <c r="RTE40" s="543"/>
      <c r="RTF40" s="543"/>
      <c r="RTG40" s="543"/>
      <c r="RTH40" s="543"/>
      <c r="RTI40" s="543"/>
      <c r="RTJ40" s="543"/>
      <c r="RTK40" s="543"/>
      <c r="RTL40" s="543"/>
      <c r="RTM40" s="543"/>
      <c r="RTN40" s="543"/>
      <c r="RTO40" s="543"/>
      <c r="RTP40" s="543"/>
      <c r="RTQ40" s="543"/>
      <c r="RTR40" s="543"/>
      <c r="RTS40" s="543"/>
      <c r="RTT40" s="543"/>
      <c r="RTU40" s="543"/>
      <c r="RTV40" s="543"/>
      <c r="RTW40" s="543"/>
      <c r="RTX40" s="543"/>
      <c r="RTY40" s="543"/>
      <c r="RTZ40" s="543"/>
      <c r="RUA40" s="543"/>
      <c r="RUB40" s="543"/>
      <c r="RUC40" s="543"/>
      <c r="RUD40" s="543"/>
      <c r="RUE40" s="543"/>
      <c r="RUF40" s="543"/>
      <c r="RUG40" s="543"/>
      <c r="RUH40" s="543"/>
      <c r="RUI40" s="543"/>
      <c r="RUJ40" s="543"/>
      <c r="RUK40" s="543"/>
      <c r="RUL40" s="543"/>
      <c r="RUM40" s="543"/>
      <c r="RUN40" s="543"/>
      <c r="RUO40" s="543"/>
      <c r="RUP40" s="543"/>
      <c r="RUQ40" s="543"/>
      <c r="RUR40" s="543"/>
      <c r="RUS40" s="543"/>
      <c r="RUT40" s="543"/>
      <c r="RUU40" s="543"/>
      <c r="RUV40" s="543"/>
      <c r="RUW40" s="543"/>
      <c r="RUX40" s="543"/>
      <c r="RUY40" s="543"/>
      <c r="RUZ40" s="543"/>
      <c r="RVA40" s="543"/>
      <c r="RVB40" s="543"/>
      <c r="RVC40" s="543"/>
      <c r="RVD40" s="543"/>
      <c r="RVE40" s="543"/>
      <c r="RVF40" s="543"/>
      <c r="RVG40" s="543"/>
      <c r="RVH40" s="543"/>
      <c r="RVI40" s="543"/>
      <c r="RVJ40" s="543"/>
      <c r="RVK40" s="543"/>
      <c r="RVL40" s="543"/>
      <c r="RVM40" s="543"/>
      <c r="RVN40" s="543"/>
      <c r="RVO40" s="543"/>
      <c r="RVP40" s="543"/>
      <c r="RVQ40" s="543"/>
      <c r="RVR40" s="543"/>
      <c r="RVS40" s="543"/>
      <c r="RVT40" s="543"/>
      <c r="RVU40" s="543"/>
      <c r="RVV40" s="543"/>
      <c r="RVW40" s="543"/>
      <c r="RVX40" s="543"/>
      <c r="RVY40" s="543"/>
      <c r="RVZ40" s="543"/>
      <c r="RWA40" s="543"/>
      <c r="RWB40" s="543"/>
      <c r="RWC40" s="543"/>
      <c r="RWD40" s="543"/>
      <c r="RWE40" s="543"/>
      <c r="RWF40" s="543"/>
      <c r="RWG40" s="543"/>
      <c r="RWH40" s="543"/>
      <c r="RWI40" s="543"/>
      <c r="RWJ40" s="543"/>
      <c r="RWK40" s="543"/>
      <c r="RWL40" s="543"/>
      <c r="RWM40" s="543"/>
      <c r="RWN40" s="543"/>
      <c r="RWO40" s="543"/>
      <c r="RWP40" s="543"/>
      <c r="RWQ40" s="543"/>
      <c r="RWR40" s="543"/>
      <c r="RWS40" s="543"/>
      <c r="RWT40" s="543"/>
      <c r="RWU40" s="543"/>
      <c r="RWV40" s="543"/>
      <c r="RWW40" s="543"/>
      <c r="RWX40" s="543"/>
      <c r="RWY40" s="543"/>
      <c r="RWZ40" s="543"/>
      <c r="RXA40" s="543"/>
      <c r="RXB40" s="543"/>
      <c r="RXC40" s="543"/>
      <c r="RXD40" s="543"/>
      <c r="RXE40" s="543"/>
      <c r="RXF40" s="543"/>
      <c r="RXG40" s="543"/>
      <c r="RXH40" s="543"/>
      <c r="RXI40" s="543"/>
      <c r="RXJ40" s="543"/>
      <c r="RXK40" s="543"/>
      <c r="RXL40" s="543"/>
      <c r="RXM40" s="543"/>
      <c r="RXN40" s="543"/>
      <c r="RXO40" s="543"/>
      <c r="RXP40" s="543"/>
      <c r="RXQ40" s="543"/>
      <c r="RXR40" s="543"/>
      <c r="RXS40" s="543"/>
      <c r="RXT40" s="543"/>
      <c r="RXU40" s="543"/>
      <c r="RXV40" s="543"/>
      <c r="RXW40" s="543"/>
      <c r="RXX40" s="543"/>
      <c r="RXY40" s="543"/>
      <c r="RXZ40" s="543"/>
      <c r="RYA40" s="543"/>
      <c r="RYB40" s="543"/>
      <c r="RYC40" s="543"/>
      <c r="RYD40" s="543"/>
      <c r="RYE40" s="543"/>
      <c r="RYF40" s="543"/>
      <c r="RYG40" s="543"/>
      <c r="RYH40" s="543"/>
      <c r="RYI40" s="543"/>
      <c r="RYJ40" s="543"/>
      <c r="RYK40" s="543"/>
      <c r="RYL40" s="543"/>
      <c r="RYM40" s="543"/>
      <c r="RYN40" s="543"/>
      <c r="RYO40" s="543"/>
      <c r="RYP40" s="543"/>
      <c r="RYQ40" s="543"/>
      <c r="RYR40" s="543"/>
      <c r="RYS40" s="543"/>
      <c r="RYT40" s="543"/>
      <c r="RYU40" s="543"/>
      <c r="RYV40" s="543"/>
      <c r="RYW40" s="543"/>
      <c r="RYX40" s="543"/>
      <c r="RYY40" s="543"/>
      <c r="RYZ40" s="543"/>
      <c r="RZA40" s="543"/>
      <c r="RZB40" s="543"/>
      <c r="RZC40" s="543"/>
      <c r="RZD40" s="543"/>
      <c r="RZE40" s="543"/>
      <c r="RZF40" s="543"/>
      <c r="RZG40" s="543"/>
      <c r="RZH40" s="543"/>
      <c r="RZI40" s="543"/>
      <c r="RZJ40" s="543"/>
      <c r="RZK40" s="543"/>
      <c r="RZL40" s="543"/>
      <c r="RZM40" s="543"/>
      <c r="RZN40" s="543"/>
      <c r="RZO40" s="543"/>
      <c r="RZP40" s="543"/>
      <c r="RZQ40" s="543"/>
      <c r="RZR40" s="543"/>
      <c r="RZS40" s="543"/>
      <c r="RZT40" s="543"/>
      <c r="RZU40" s="543"/>
      <c r="RZV40" s="543"/>
      <c r="RZW40" s="543"/>
      <c r="RZX40" s="543"/>
      <c r="RZY40" s="543"/>
      <c r="RZZ40" s="543"/>
      <c r="SAA40" s="543"/>
      <c r="SAB40" s="543"/>
      <c r="SAC40" s="543"/>
      <c r="SAD40" s="543"/>
      <c r="SAE40" s="543"/>
      <c r="SAF40" s="543"/>
      <c r="SAG40" s="543"/>
      <c r="SAH40" s="543"/>
      <c r="SAI40" s="543"/>
      <c r="SAJ40" s="543"/>
      <c r="SAK40" s="543"/>
      <c r="SAL40" s="543"/>
      <c r="SAM40" s="543"/>
      <c r="SAN40" s="543"/>
      <c r="SAO40" s="543"/>
      <c r="SAP40" s="543"/>
      <c r="SAQ40" s="543"/>
      <c r="SAR40" s="543"/>
      <c r="SAS40" s="543"/>
      <c r="SAT40" s="543"/>
      <c r="SAU40" s="543"/>
      <c r="SAV40" s="543"/>
      <c r="SAW40" s="543"/>
      <c r="SAX40" s="543"/>
      <c r="SAY40" s="543"/>
      <c r="SAZ40" s="543"/>
      <c r="SBA40" s="543"/>
      <c r="SBB40" s="543"/>
      <c r="SBC40" s="543"/>
      <c r="SBD40" s="543"/>
      <c r="SBE40" s="543"/>
      <c r="SBF40" s="543"/>
      <c r="SBG40" s="543"/>
      <c r="SBH40" s="543"/>
      <c r="SBI40" s="543"/>
      <c r="SBJ40" s="543"/>
      <c r="SBK40" s="543"/>
      <c r="SBL40" s="543"/>
      <c r="SBM40" s="543"/>
      <c r="SBN40" s="543"/>
      <c r="SBO40" s="543"/>
      <c r="SBP40" s="543"/>
      <c r="SBQ40" s="543"/>
      <c r="SBR40" s="543"/>
      <c r="SBS40" s="543"/>
      <c r="SBT40" s="543"/>
      <c r="SBU40" s="543"/>
      <c r="SBV40" s="543"/>
      <c r="SBW40" s="543"/>
      <c r="SBX40" s="543"/>
      <c r="SBY40" s="543"/>
      <c r="SBZ40" s="543"/>
      <c r="SCA40" s="543"/>
      <c r="SCB40" s="543"/>
      <c r="SCC40" s="543"/>
      <c r="SCD40" s="543"/>
      <c r="SCE40" s="543"/>
      <c r="SCF40" s="543"/>
      <c r="SCG40" s="543"/>
      <c r="SCH40" s="543"/>
      <c r="SCI40" s="543"/>
      <c r="SCJ40" s="543"/>
      <c r="SCK40" s="543"/>
      <c r="SCL40" s="543"/>
      <c r="SCM40" s="543"/>
      <c r="SCN40" s="543"/>
      <c r="SCO40" s="543"/>
      <c r="SCP40" s="543"/>
      <c r="SCQ40" s="543"/>
      <c r="SCR40" s="543"/>
      <c r="SCS40" s="543"/>
      <c r="SCT40" s="543"/>
      <c r="SCU40" s="543"/>
      <c r="SCV40" s="543"/>
      <c r="SCW40" s="543"/>
      <c r="SCX40" s="543"/>
      <c r="SCY40" s="543"/>
      <c r="SCZ40" s="543"/>
      <c r="SDA40" s="543"/>
      <c r="SDB40" s="543"/>
      <c r="SDC40" s="543"/>
      <c r="SDD40" s="543"/>
      <c r="SDE40" s="543"/>
      <c r="SDF40" s="543"/>
      <c r="SDG40" s="543"/>
      <c r="SDH40" s="543"/>
      <c r="SDI40" s="543"/>
      <c r="SDJ40" s="543"/>
      <c r="SDK40" s="543"/>
      <c r="SDL40" s="543"/>
      <c r="SDM40" s="543"/>
      <c r="SDN40" s="543"/>
      <c r="SDO40" s="543"/>
      <c r="SDP40" s="543"/>
      <c r="SDQ40" s="543"/>
      <c r="SDR40" s="543"/>
      <c r="SDS40" s="543"/>
      <c r="SDT40" s="543"/>
      <c r="SDU40" s="543"/>
      <c r="SDV40" s="543"/>
      <c r="SDW40" s="543"/>
      <c r="SDX40" s="543"/>
      <c r="SDY40" s="543"/>
      <c r="SDZ40" s="543"/>
      <c r="SEA40" s="543"/>
      <c r="SEB40" s="543"/>
      <c r="SEC40" s="543"/>
      <c r="SED40" s="543"/>
      <c r="SEE40" s="543"/>
      <c r="SEF40" s="543"/>
      <c r="SEG40" s="543"/>
      <c r="SEH40" s="543"/>
      <c r="SEI40" s="543"/>
      <c r="SEJ40" s="543"/>
      <c r="SEK40" s="543"/>
      <c r="SEL40" s="543"/>
      <c r="SEM40" s="543"/>
      <c r="SEN40" s="543"/>
      <c r="SEO40" s="543"/>
      <c r="SEP40" s="543"/>
      <c r="SEQ40" s="543"/>
      <c r="SER40" s="543"/>
      <c r="SES40" s="543"/>
      <c r="SET40" s="543"/>
      <c r="SEU40" s="543"/>
      <c r="SEV40" s="543"/>
      <c r="SEW40" s="543"/>
      <c r="SEX40" s="543"/>
      <c r="SEY40" s="543"/>
      <c r="SEZ40" s="543"/>
      <c r="SFA40" s="543"/>
      <c r="SFB40" s="543"/>
      <c r="SFC40" s="543"/>
      <c r="SFD40" s="543"/>
      <c r="SFE40" s="543"/>
      <c r="SFF40" s="543"/>
      <c r="SFG40" s="543"/>
      <c r="SFH40" s="543"/>
      <c r="SFI40" s="543"/>
      <c r="SFJ40" s="543"/>
      <c r="SFK40" s="543"/>
      <c r="SFL40" s="543"/>
      <c r="SFM40" s="543"/>
      <c r="SFN40" s="543"/>
      <c r="SFO40" s="543"/>
      <c r="SFP40" s="543"/>
      <c r="SFQ40" s="543"/>
      <c r="SFR40" s="543"/>
      <c r="SFS40" s="543"/>
      <c r="SFT40" s="543"/>
      <c r="SFU40" s="543"/>
      <c r="SFV40" s="543"/>
      <c r="SFW40" s="543"/>
      <c r="SFX40" s="543"/>
      <c r="SFY40" s="543"/>
      <c r="SFZ40" s="543"/>
      <c r="SGA40" s="543"/>
      <c r="SGB40" s="543"/>
      <c r="SGC40" s="543"/>
      <c r="SGD40" s="543"/>
      <c r="SGE40" s="543"/>
      <c r="SGF40" s="543"/>
      <c r="SGG40" s="543"/>
      <c r="SGH40" s="543"/>
      <c r="SGI40" s="543"/>
      <c r="SGJ40" s="543"/>
      <c r="SGK40" s="543"/>
      <c r="SGL40" s="543"/>
      <c r="SGM40" s="543"/>
      <c r="SGN40" s="543"/>
      <c r="SGO40" s="543"/>
      <c r="SGP40" s="543"/>
      <c r="SGQ40" s="543"/>
      <c r="SGR40" s="543"/>
      <c r="SGS40" s="543"/>
      <c r="SGT40" s="543"/>
      <c r="SGU40" s="543"/>
      <c r="SGV40" s="543"/>
      <c r="SGW40" s="543"/>
      <c r="SGX40" s="543"/>
      <c r="SGY40" s="543"/>
      <c r="SGZ40" s="543"/>
      <c r="SHA40" s="543"/>
      <c r="SHB40" s="543"/>
      <c r="SHC40" s="543"/>
      <c r="SHD40" s="543"/>
      <c r="SHE40" s="543"/>
      <c r="SHF40" s="543"/>
      <c r="SHG40" s="543"/>
      <c r="SHH40" s="543"/>
      <c r="SHI40" s="543"/>
      <c r="SHJ40" s="543"/>
      <c r="SHK40" s="543"/>
      <c r="SHL40" s="543"/>
      <c r="SHM40" s="543"/>
      <c r="SHN40" s="543"/>
      <c r="SHO40" s="543"/>
      <c r="SHP40" s="543"/>
      <c r="SHQ40" s="543"/>
      <c r="SHR40" s="543"/>
      <c r="SHS40" s="543"/>
      <c r="SHT40" s="543"/>
      <c r="SHU40" s="543"/>
      <c r="SHV40" s="543"/>
      <c r="SHW40" s="543"/>
      <c r="SHX40" s="543"/>
      <c r="SHY40" s="543"/>
      <c r="SHZ40" s="543"/>
      <c r="SIA40" s="543"/>
      <c r="SIB40" s="543"/>
      <c r="SIC40" s="543"/>
      <c r="SID40" s="543"/>
      <c r="SIE40" s="543"/>
      <c r="SIF40" s="543"/>
      <c r="SIG40" s="543"/>
      <c r="SIH40" s="543"/>
      <c r="SII40" s="543"/>
      <c r="SIJ40" s="543"/>
      <c r="SIK40" s="543"/>
      <c r="SIL40" s="543"/>
      <c r="SIM40" s="543"/>
      <c r="SIN40" s="543"/>
      <c r="SIO40" s="543"/>
      <c r="SIP40" s="543"/>
      <c r="SIQ40" s="543"/>
      <c r="SIR40" s="543"/>
      <c r="SIS40" s="543"/>
      <c r="SIT40" s="543"/>
      <c r="SIU40" s="543"/>
      <c r="SIV40" s="543"/>
      <c r="SIW40" s="543"/>
      <c r="SIX40" s="543"/>
      <c r="SIY40" s="543"/>
      <c r="SIZ40" s="543"/>
      <c r="SJA40" s="543"/>
      <c r="SJB40" s="543"/>
      <c r="SJC40" s="543"/>
      <c r="SJD40" s="543"/>
      <c r="SJE40" s="543"/>
      <c r="SJF40" s="543"/>
      <c r="SJG40" s="543"/>
      <c r="SJH40" s="543"/>
      <c r="SJI40" s="543"/>
      <c r="SJJ40" s="543"/>
      <c r="SJK40" s="543"/>
      <c r="SJL40" s="543"/>
      <c r="SJM40" s="543"/>
      <c r="SJN40" s="543"/>
      <c r="SJO40" s="543"/>
      <c r="SJP40" s="543"/>
      <c r="SJQ40" s="543"/>
      <c r="SJR40" s="543"/>
      <c r="SJS40" s="543"/>
      <c r="SJT40" s="543"/>
      <c r="SJU40" s="543"/>
      <c r="SJV40" s="543"/>
      <c r="SJW40" s="543"/>
      <c r="SJX40" s="543"/>
      <c r="SJY40" s="543"/>
      <c r="SJZ40" s="543"/>
      <c r="SKA40" s="543"/>
      <c r="SKB40" s="543"/>
      <c r="SKC40" s="543"/>
      <c r="SKD40" s="543"/>
      <c r="SKE40" s="543"/>
      <c r="SKF40" s="543"/>
      <c r="SKG40" s="543"/>
      <c r="SKH40" s="543"/>
      <c r="SKI40" s="543"/>
      <c r="SKJ40" s="543"/>
      <c r="SKK40" s="543"/>
      <c r="SKL40" s="543"/>
      <c r="SKM40" s="543"/>
      <c r="SKN40" s="543"/>
      <c r="SKO40" s="543"/>
      <c r="SKP40" s="543"/>
      <c r="SKQ40" s="543"/>
      <c r="SKR40" s="543"/>
      <c r="SKS40" s="543"/>
      <c r="SKT40" s="543"/>
      <c r="SKU40" s="543"/>
      <c r="SKV40" s="543"/>
      <c r="SKW40" s="543"/>
      <c r="SKX40" s="543"/>
      <c r="SKY40" s="543"/>
      <c r="SKZ40" s="543"/>
      <c r="SLA40" s="543"/>
      <c r="SLB40" s="543"/>
      <c r="SLC40" s="543"/>
      <c r="SLD40" s="543"/>
      <c r="SLE40" s="543"/>
      <c r="SLF40" s="543"/>
      <c r="SLG40" s="543"/>
      <c r="SLH40" s="543"/>
      <c r="SLI40" s="543"/>
      <c r="SLJ40" s="543"/>
      <c r="SLK40" s="543"/>
      <c r="SLL40" s="543"/>
      <c r="SLM40" s="543"/>
      <c r="SLN40" s="543"/>
      <c r="SLO40" s="543"/>
      <c r="SLP40" s="543"/>
      <c r="SLQ40" s="543"/>
      <c r="SLR40" s="543"/>
      <c r="SLS40" s="543"/>
      <c r="SLT40" s="543"/>
      <c r="SLU40" s="543"/>
      <c r="SLV40" s="543"/>
      <c r="SLW40" s="543"/>
      <c r="SLX40" s="543"/>
      <c r="SLY40" s="543"/>
      <c r="SLZ40" s="543"/>
      <c r="SMA40" s="543"/>
      <c r="SMB40" s="543"/>
      <c r="SMC40" s="543"/>
      <c r="SMD40" s="543"/>
      <c r="SME40" s="543"/>
      <c r="SMF40" s="543"/>
      <c r="SMG40" s="543"/>
      <c r="SMH40" s="543"/>
      <c r="SMI40" s="543"/>
      <c r="SMJ40" s="543"/>
      <c r="SMK40" s="543"/>
      <c r="SML40" s="543"/>
      <c r="SMM40" s="543"/>
      <c r="SMN40" s="543"/>
      <c r="SMO40" s="543"/>
      <c r="SMP40" s="543"/>
      <c r="SMQ40" s="543"/>
      <c r="SMR40" s="543"/>
      <c r="SMS40" s="543"/>
      <c r="SMT40" s="543"/>
      <c r="SMU40" s="543"/>
      <c r="SMV40" s="543"/>
      <c r="SMW40" s="543"/>
      <c r="SMX40" s="543"/>
      <c r="SMY40" s="543"/>
      <c r="SMZ40" s="543"/>
      <c r="SNA40" s="543"/>
      <c r="SNB40" s="543"/>
      <c r="SNC40" s="543"/>
      <c r="SND40" s="543"/>
      <c r="SNE40" s="543"/>
      <c r="SNF40" s="543"/>
      <c r="SNG40" s="543"/>
      <c r="SNH40" s="543"/>
      <c r="SNI40" s="543"/>
      <c r="SNJ40" s="543"/>
      <c r="SNK40" s="543"/>
      <c r="SNL40" s="543"/>
      <c r="SNM40" s="543"/>
      <c r="SNN40" s="543"/>
      <c r="SNO40" s="543"/>
      <c r="SNP40" s="543"/>
      <c r="SNQ40" s="543"/>
      <c r="SNR40" s="543"/>
      <c r="SNS40" s="543"/>
      <c r="SNT40" s="543"/>
      <c r="SNU40" s="543"/>
      <c r="SNV40" s="543"/>
      <c r="SNW40" s="543"/>
      <c r="SNX40" s="543"/>
      <c r="SNY40" s="543"/>
      <c r="SNZ40" s="543"/>
      <c r="SOA40" s="543"/>
      <c r="SOB40" s="543"/>
      <c r="SOC40" s="543"/>
      <c r="SOD40" s="543"/>
      <c r="SOE40" s="543"/>
      <c r="SOF40" s="543"/>
      <c r="SOG40" s="543"/>
      <c r="SOH40" s="543"/>
      <c r="SOI40" s="543"/>
      <c r="SOJ40" s="543"/>
      <c r="SOK40" s="543"/>
      <c r="SOL40" s="543"/>
      <c r="SOM40" s="543"/>
      <c r="SON40" s="543"/>
      <c r="SOO40" s="543"/>
      <c r="SOP40" s="543"/>
      <c r="SOQ40" s="543"/>
      <c r="SOR40" s="543"/>
      <c r="SOS40" s="543"/>
      <c r="SOT40" s="543"/>
      <c r="SOU40" s="543"/>
      <c r="SOV40" s="543"/>
      <c r="SOW40" s="543"/>
      <c r="SOX40" s="543"/>
      <c r="SOY40" s="543"/>
      <c r="SOZ40" s="543"/>
      <c r="SPA40" s="543"/>
      <c r="SPB40" s="543"/>
      <c r="SPC40" s="543"/>
      <c r="SPD40" s="543"/>
      <c r="SPE40" s="543"/>
      <c r="SPF40" s="543"/>
      <c r="SPG40" s="543"/>
      <c r="SPH40" s="543"/>
      <c r="SPI40" s="543"/>
      <c r="SPJ40" s="543"/>
      <c r="SPK40" s="543"/>
      <c r="SPL40" s="543"/>
      <c r="SPM40" s="543"/>
      <c r="SPN40" s="543"/>
      <c r="SPO40" s="543"/>
      <c r="SPP40" s="543"/>
      <c r="SPQ40" s="543"/>
      <c r="SPR40" s="543"/>
      <c r="SPS40" s="543"/>
      <c r="SPT40" s="543"/>
      <c r="SPU40" s="543"/>
      <c r="SPV40" s="543"/>
      <c r="SPW40" s="543"/>
      <c r="SPX40" s="543"/>
      <c r="SPY40" s="543"/>
      <c r="SPZ40" s="543"/>
      <c r="SQA40" s="543"/>
      <c r="SQB40" s="543"/>
      <c r="SQC40" s="543"/>
      <c r="SQD40" s="543"/>
      <c r="SQE40" s="543"/>
      <c r="SQF40" s="543"/>
      <c r="SQG40" s="543"/>
      <c r="SQH40" s="543"/>
      <c r="SQI40" s="543"/>
      <c r="SQJ40" s="543"/>
      <c r="SQK40" s="543"/>
      <c r="SQL40" s="543"/>
      <c r="SQM40" s="543"/>
      <c r="SQN40" s="543"/>
      <c r="SQO40" s="543"/>
      <c r="SQP40" s="543"/>
      <c r="SQQ40" s="543"/>
      <c r="SQR40" s="543"/>
      <c r="SQS40" s="543"/>
      <c r="SQT40" s="543"/>
      <c r="SQU40" s="543"/>
      <c r="SQV40" s="543"/>
      <c r="SQW40" s="543"/>
      <c r="SQX40" s="543"/>
      <c r="SQY40" s="543"/>
      <c r="SQZ40" s="543"/>
      <c r="SRA40" s="543"/>
      <c r="SRB40" s="543"/>
      <c r="SRC40" s="543"/>
      <c r="SRD40" s="543"/>
      <c r="SRE40" s="543"/>
      <c r="SRF40" s="543"/>
      <c r="SRG40" s="543"/>
      <c r="SRH40" s="543"/>
      <c r="SRI40" s="543"/>
      <c r="SRJ40" s="543"/>
      <c r="SRK40" s="543"/>
      <c r="SRL40" s="543"/>
      <c r="SRM40" s="543"/>
      <c r="SRN40" s="543"/>
      <c r="SRO40" s="543"/>
      <c r="SRP40" s="543"/>
      <c r="SRQ40" s="543"/>
      <c r="SRR40" s="543"/>
      <c r="SRS40" s="543"/>
      <c r="SRT40" s="543"/>
      <c r="SRU40" s="543"/>
      <c r="SRV40" s="543"/>
      <c r="SRW40" s="543"/>
      <c r="SRX40" s="543"/>
      <c r="SRY40" s="543"/>
      <c r="SRZ40" s="543"/>
      <c r="SSA40" s="543"/>
      <c r="SSB40" s="543"/>
      <c r="SSC40" s="543"/>
      <c r="SSD40" s="543"/>
      <c r="SSE40" s="543"/>
      <c r="SSF40" s="543"/>
      <c r="SSG40" s="543"/>
      <c r="SSH40" s="543"/>
      <c r="SSI40" s="543"/>
      <c r="SSJ40" s="543"/>
      <c r="SSK40" s="543"/>
      <c r="SSL40" s="543"/>
      <c r="SSM40" s="543"/>
      <c r="SSN40" s="543"/>
      <c r="SSO40" s="543"/>
      <c r="SSP40" s="543"/>
      <c r="SSQ40" s="543"/>
      <c r="SSR40" s="543"/>
      <c r="SSS40" s="543"/>
      <c r="SST40" s="543"/>
      <c r="SSU40" s="543"/>
      <c r="SSV40" s="543"/>
      <c r="SSW40" s="543"/>
      <c r="SSX40" s="543"/>
      <c r="SSY40" s="543"/>
      <c r="SSZ40" s="543"/>
      <c r="STA40" s="543"/>
      <c r="STB40" s="543"/>
      <c r="STC40" s="543"/>
      <c r="STD40" s="543"/>
      <c r="STE40" s="543"/>
      <c r="STF40" s="543"/>
      <c r="STG40" s="543"/>
      <c r="STH40" s="543"/>
      <c r="STI40" s="543"/>
      <c r="STJ40" s="543"/>
      <c r="STK40" s="543"/>
      <c r="STL40" s="543"/>
      <c r="STM40" s="543"/>
      <c r="STN40" s="543"/>
      <c r="STO40" s="543"/>
      <c r="STP40" s="543"/>
      <c r="STQ40" s="543"/>
      <c r="STR40" s="543"/>
      <c r="STS40" s="543"/>
      <c r="STT40" s="543"/>
      <c r="STU40" s="543"/>
      <c r="STV40" s="543"/>
      <c r="STW40" s="543"/>
      <c r="STX40" s="543"/>
      <c r="STY40" s="543"/>
      <c r="STZ40" s="543"/>
      <c r="SUA40" s="543"/>
      <c r="SUB40" s="543"/>
      <c r="SUC40" s="543"/>
      <c r="SUD40" s="543"/>
      <c r="SUE40" s="543"/>
      <c r="SUF40" s="543"/>
      <c r="SUG40" s="543"/>
      <c r="SUH40" s="543"/>
      <c r="SUI40" s="543"/>
      <c r="SUJ40" s="543"/>
      <c r="SUK40" s="543"/>
      <c r="SUL40" s="543"/>
      <c r="SUM40" s="543"/>
      <c r="SUN40" s="543"/>
      <c r="SUO40" s="543"/>
      <c r="SUP40" s="543"/>
      <c r="SUQ40" s="543"/>
      <c r="SUR40" s="543"/>
      <c r="SUS40" s="543"/>
      <c r="SUT40" s="543"/>
      <c r="SUU40" s="543"/>
      <c r="SUV40" s="543"/>
      <c r="SUW40" s="543"/>
      <c r="SUX40" s="543"/>
      <c r="SUY40" s="543"/>
      <c r="SUZ40" s="543"/>
      <c r="SVA40" s="543"/>
      <c r="SVB40" s="543"/>
      <c r="SVC40" s="543"/>
      <c r="SVD40" s="543"/>
      <c r="SVE40" s="543"/>
      <c r="SVF40" s="543"/>
      <c r="SVG40" s="543"/>
      <c r="SVH40" s="543"/>
      <c r="SVI40" s="543"/>
      <c r="SVJ40" s="543"/>
      <c r="SVK40" s="543"/>
      <c r="SVL40" s="543"/>
      <c r="SVM40" s="543"/>
      <c r="SVN40" s="543"/>
      <c r="SVO40" s="543"/>
      <c r="SVP40" s="543"/>
      <c r="SVQ40" s="543"/>
      <c r="SVR40" s="543"/>
      <c r="SVS40" s="543"/>
      <c r="SVT40" s="543"/>
      <c r="SVU40" s="543"/>
      <c r="SVV40" s="543"/>
      <c r="SVW40" s="543"/>
      <c r="SVX40" s="543"/>
      <c r="SVY40" s="543"/>
      <c r="SVZ40" s="543"/>
      <c r="SWA40" s="543"/>
      <c r="SWB40" s="543"/>
      <c r="SWC40" s="543"/>
      <c r="SWD40" s="543"/>
      <c r="SWE40" s="543"/>
      <c r="SWF40" s="543"/>
      <c r="SWG40" s="543"/>
      <c r="SWH40" s="543"/>
      <c r="SWI40" s="543"/>
      <c r="SWJ40" s="543"/>
      <c r="SWK40" s="543"/>
      <c r="SWL40" s="543"/>
      <c r="SWM40" s="543"/>
      <c r="SWN40" s="543"/>
      <c r="SWO40" s="543"/>
      <c r="SWP40" s="543"/>
      <c r="SWQ40" s="543"/>
      <c r="SWR40" s="543"/>
      <c r="SWS40" s="543"/>
      <c r="SWT40" s="543"/>
      <c r="SWU40" s="543"/>
      <c r="SWV40" s="543"/>
      <c r="SWW40" s="543"/>
      <c r="SWX40" s="543"/>
      <c r="SWY40" s="543"/>
      <c r="SWZ40" s="543"/>
      <c r="SXA40" s="543"/>
      <c r="SXB40" s="543"/>
      <c r="SXC40" s="543"/>
      <c r="SXD40" s="543"/>
      <c r="SXE40" s="543"/>
      <c r="SXF40" s="543"/>
      <c r="SXG40" s="543"/>
      <c r="SXH40" s="543"/>
      <c r="SXI40" s="543"/>
      <c r="SXJ40" s="543"/>
      <c r="SXK40" s="543"/>
      <c r="SXL40" s="543"/>
      <c r="SXM40" s="543"/>
      <c r="SXN40" s="543"/>
      <c r="SXO40" s="543"/>
      <c r="SXP40" s="543"/>
      <c r="SXQ40" s="543"/>
      <c r="SXR40" s="543"/>
      <c r="SXS40" s="543"/>
      <c r="SXT40" s="543"/>
      <c r="SXU40" s="543"/>
      <c r="SXV40" s="543"/>
      <c r="SXW40" s="543"/>
      <c r="SXX40" s="543"/>
      <c r="SXY40" s="543"/>
      <c r="SXZ40" s="543"/>
      <c r="SYA40" s="543"/>
      <c r="SYB40" s="543"/>
      <c r="SYC40" s="543"/>
      <c r="SYD40" s="543"/>
      <c r="SYE40" s="543"/>
      <c r="SYF40" s="543"/>
      <c r="SYG40" s="543"/>
      <c r="SYH40" s="543"/>
      <c r="SYI40" s="543"/>
      <c r="SYJ40" s="543"/>
      <c r="SYK40" s="543"/>
      <c r="SYL40" s="543"/>
      <c r="SYM40" s="543"/>
      <c r="SYN40" s="543"/>
      <c r="SYO40" s="543"/>
      <c r="SYP40" s="543"/>
      <c r="SYQ40" s="543"/>
      <c r="SYR40" s="543"/>
      <c r="SYS40" s="543"/>
      <c r="SYT40" s="543"/>
      <c r="SYU40" s="543"/>
      <c r="SYV40" s="543"/>
      <c r="SYW40" s="543"/>
      <c r="SYX40" s="543"/>
      <c r="SYY40" s="543"/>
      <c r="SYZ40" s="543"/>
      <c r="SZA40" s="543"/>
      <c r="SZB40" s="543"/>
      <c r="SZC40" s="543"/>
      <c r="SZD40" s="543"/>
      <c r="SZE40" s="543"/>
      <c r="SZF40" s="543"/>
      <c r="SZG40" s="543"/>
      <c r="SZH40" s="543"/>
      <c r="SZI40" s="543"/>
      <c r="SZJ40" s="543"/>
      <c r="SZK40" s="543"/>
      <c r="SZL40" s="543"/>
      <c r="SZM40" s="543"/>
      <c r="SZN40" s="543"/>
      <c r="SZO40" s="543"/>
      <c r="SZP40" s="543"/>
      <c r="SZQ40" s="543"/>
      <c r="SZR40" s="543"/>
      <c r="SZS40" s="543"/>
      <c r="SZT40" s="543"/>
      <c r="SZU40" s="543"/>
      <c r="SZV40" s="543"/>
      <c r="SZW40" s="543"/>
      <c r="SZX40" s="543"/>
      <c r="SZY40" s="543"/>
      <c r="SZZ40" s="543"/>
      <c r="TAA40" s="543"/>
      <c r="TAB40" s="543"/>
      <c r="TAC40" s="543"/>
      <c r="TAD40" s="543"/>
      <c r="TAE40" s="543"/>
      <c r="TAF40" s="543"/>
      <c r="TAG40" s="543"/>
      <c r="TAH40" s="543"/>
      <c r="TAI40" s="543"/>
      <c r="TAJ40" s="543"/>
      <c r="TAK40" s="543"/>
      <c r="TAL40" s="543"/>
      <c r="TAM40" s="543"/>
      <c r="TAN40" s="543"/>
      <c r="TAO40" s="543"/>
      <c r="TAP40" s="543"/>
      <c r="TAQ40" s="543"/>
      <c r="TAR40" s="543"/>
      <c r="TAS40" s="543"/>
      <c r="TAT40" s="543"/>
      <c r="TAU40" s="543"/>
      <c r="TAV40" s="543"/>
      <c r="TAW40" s="543"/>
      <c r="TAX40" s="543"/>
      <c r="TAY40" s="543"/>
      <c r="TAZ40" s="543"/>
      <c r="TBA40" s="543"/>
      <c r="TBB40" s="543"/>
      <c r="TBC40" s="543"/>
      <c r="TBD40" s="543"/>
      <c r="TBE40" s="543"/>
      <c r="TBF40" s="543"/>
      <c r="TBG40" s="543"/>
      <c r="TBH40" s="543"/>
      <c r="TBI40" s="543"/>
      <c r="TBJ40" s="543"/>
      <c r="TBK40" s="543"/>
      <c r="TBL40" s="543"/>
      <c r="TBM40" s="543"/>
      <c r="TBN40" s="543"/>
      <c r="TBO40" s="543"/>
      <c r="TBP40" s="543"/>
      <c r="TBQ40" s="543"/>
      <c r="TBR40" s="543"/>
      <c r="TBS40" s="543"/>
      <c r="TBT40" s="543"/>
      <c r="TBU40" s="543"/>
      <c r="TBV40" s="543"/>
      <c r="TBW40" s="543"/>
      <c r="TBX40" s="543"/>
      <c r="TBY40" s="543"/>
      <c r="TBZ40" s="543"/>
      <c r="TCA40" s="543"/>
      <c r="TCB40" s="543"/>
      <c r="TCC40" s="543"/>
      <c r="TCD40" s="543"/>
      <c r="TCE40" s="543"/>
      <c r="TCF40" s="543"/>
      <c r="TCG40" s="543"/>
      <c r="TCH40" s="543"/>
      <c r="TCI40" s="543"/>
      <c r="TCJ40" s="543"/>
      <c r="TCK40" s="543"/>
      <c r="TCL40" s="543"/>
      <c r="TCM40" s="543"/>
      <c r="TCN40" s="543"/>
      <c r="TCO40" s="543"/>
      <c r="TCP40" s="543"/>
      <c r="TCQ40" s="543"/>
      <c r="TCR40" s="543"/>
      <c r="TCS40" s="543"/>
      <c r="TCT40" s="543"/>
      <c r="TCU40" s="543"/>
      <c r="TCV40" s="543"/>
      <c r="TCW40" s="543"/>
      <c r="TCX40" s="543"/>
      <c r="TCY40" s="543"/>
      <c r="TCZ40" s="543"/>
      <c r="TDA40" s="543"/>
      <c r="TDB40" s="543"/>
      <c r="TDC40" s="543"/>
      <c r="TDD40" s="543"/>
      <c r="TDE40" s="543"/>
      <c r="TDF40" s="543"/>
      <c r="TDG40" s="543"/>
      <c r="TDH40" s="543"/>
      <c r="TDI40" s="543"/>
      <c r="TDJ40" s="543"/>
      <c r="TDK40" s="543"/>
      <c r="TDL40" s="543"/>
      <c r="TDM40" s="543"/>
      <c r="TDN40" s="543"/>
      <c r="TDO40" s="543"/>
      <c r="TDP40" s="543"/>
      <c r="TDQ40" s="543"/>
      <c r="TDR40" s="543"/>
      <c r="TDS40" s="543"/>
      <c r="TDT40" s="543"/>
      <c r="TDU40" s="543"/>
      <c r="TDV40" s="543"/>
      <c r="TDW40" s="543"/>
      <c r="TDX40" s="543"/>
      <c r="TDY40" s="543"/>
      <c r="TDZ40" s="543"/>
      <c r="TEA40" s="543"/>
      <c r="TEB40" s="543"/>
      <c r="TEC40" s="543"/>
      <c r="TED40" s="543"/>
      <c r="TEE40" s="543"/>
      <c r="TEF40" s="543"/>
      <c r="TEG40" s="543"/>
      <c r="TEH40" s="543"/>
      <c r="TEI40" s="543"/>
      <c r="TEJ40" s="543"/>
      <c r="TEK40" s="543"/>
      <c r="TEL40" s="543"/>
      <c r="TEM40" s="543"/>
      <c r="TEN40" s="543"/>
      <c r="TEO40" s="543"/>
      <c r="TEP40" s="543"/>
      <c r="TEQ40" s="543"/>
      <c r="TER40" s="543"/>
      <c r="TES40" s="543"/>
      <c r="TET40" s="543"/>
      <c r="TEU40" s="543"/>
      <c r="TEV40" s="543"/>
      <c r="TEW40" s="543"/>
      <c r="TEX40" s="543"/>
      <c r="TEY40" s="543"/>
      <c r="TEZ40" s="543"/>
      <c r="TFA40" s="543"/>
      <c r="TFB40" s="543"/>
      <c r="TFC40" s="543"/>
      <c r="TFD40" s="543"/>
      <c r="TFE40" s="543"/>
      <c r="TFF40" s="543"/>
      <c r="TFG40" s="543"/>
      <c r="TFH40" s="543"/>
      <c r="TFI40" s="543"/>
      <c r="TFJ40" s="543"/>
      <c r="TFK40" s="543"/>
      <c r="TFL40" s="543"/>
      <c r="TFM40" s="543"/>
      <c r="TFN40" s="543"/>
      <c r="TFO40" s="543"/>
      <c r="TFP40" s="543"/>
      <c r="TFQ40" s="543"/>
      <c r="TFR40" s="543"/>
      <c r="TFS40" s="543"/>
      <c r="TFT40" s="543"/>
      <c r="TFU40" s="543"/>
      <c r="TFV40" s="543"/>
      <c r="TFW40" s="543"/>
      <c r="TFX40" s="543"/>
      <c r="TFY40" s="543"/>
      <c r="TFZ40" s="543"/>
      <c r="TGA40" s="543"/>
      <c r="TGB40" s="543"/>
      <c r="TGC40" s="543"/>
      <c r="TGD40" s="543"/>
      <c r="TGE40" s="543"/>
      <c r="TGF40" s="543"/>
      <c r="TGG40" s="543"/>
      <c r="TGH40" s="543"/>
      <c r="TGI40" s="543"/>
      <c r="TGJ40" s="543"/>
      <c r="TGK40" s="543"/>
      <c r="TGL40" s="543"/>
      <c r="TGM40" s="543"/>
      <c r="TGN40" s="543"/>
      <c r="TGO40" s="543"/>
      <c r="TGP40" s="543"/>
      <c r="TGQ40" s="543"/>
      <c r="TGR40" s="543"/>
      <c r="TGS40" s="543"/>
      <c r="TGT40" s="543"/>
      <c r="TGU40" s="543"/>
      <c r="TGV40" s="543"/>
      <c r="TGW40" s="543"/>
      <c r="TGX40" s="543"/>
      <c r="TGY40" s="543"/>
      <c r="TGZ40" s="543"/>
      <c r="THA40" s="543"/>
      <c r="THB40" s="543"/>
      <c r="THC40" s="543"/>
      <c r="THD40" s="543"/>
      <c r="THE40" s="543"/>
      <c r="THF40" s="543"/>
      <c r="THG40" s="543"/>
      <c r="THH40" s="543"/>
      <c r="THI40" s="543"/>
      <c r="THJ40" s="543"/>
      <c r="THK40" s="543"/>
      <c r="THL40" s="543"/>
      <c r="THM40" s="543"/>
      <c r="THN40" s="543"/>
      <c r="THO40" s="543"/>
      <c r="THP40" s="543"/>
      <c r="THQ40" s="543"/>
      <c r="THR40" s="543"/>
      <c r="THS40" s="543"/>
      <c r="THT40" s="543"/>
      <c r="THU40" s="543"/>
      <c r="THV40" s="543"/>
      <c r="THW40" s="543"/>
      <c r="THX40" s="543"/>
      <c r="THY40" s="543"/>
      <c r="THZ40" s="543"/>
      <c r="TIA40" s="543"/>
      <c r="TIB40" s="543"/>
      <c r="TIC40" s="543"/>
      <c r="TID40" s="543"/>
      <c r="TIE40" s="543"/>
      <c r="TIF40" s="543"/>
      <c r="TIG40" s="543"/>
      <c r="TIH40" s="543"/>
      <c r="TII40" s="543"/>
      <c r="TIJ40" s="543"/>
      <c r="TIK40" s="543"/>
      <c r="TIL40" s="543"/>
      <c r="TIM40" s="543"/>
      <c r="TIN40" s="543"/>
      <c r="TIO40" s="543"/>
      <c r="TIP40" s="543"/>
      <c r="TIQ40" s="543"/>
      <c r="TIR40" s="543"/>
      <c r="TIS40" s="543"/>
      <c r="TIT40" s="543"/>
      <c r="TIU40" s="543"/>
      <c r="TIV40" s="543"/>
      <c r="TIW40" s="543"/>
      <c r="TIX40" s="543"/>
      <c r="TIY40" s="543"/>
      <c r="TIZ40" s="543"/>
      <c r="TJA40" s="543"/>
      <c r="TJB40" s="543"/>
      <c r="TJC40" s="543"/>
      <c r="TJD40" s="543"/>
      <c r="TJE40" s="543"/>
      <c r="TJF40" s="543"/>
      <c r="TJG40" s="543"/>
      <c r="TJH40" s="543"/>
      <c r="TJI40" s="543"/>
      <c r="TJJ40" s="543"/>
      <c r="TJK40" s="543"/>
      <c r="TJL40" s="543"/>
      <c r="TJM40" s="543"/>
      <c r="TJN40" s="543"/>
      <c r="TJO40" s="543"/>
      <c r="TJP40" s="543"/>
      <c r="TJQ40" s="543"/>
      <c r="TJR40" s="543"/>
      <c r="TJS40" s="543"/>
      <c r="TJT40" s="543"/>
      <c r="TJU40" s="543"/>
      <c r="TJV40" s="543"/>
      <c r="TJW40" s="543"/>
      <c r="TJX40" s="543"/>
      <c r="TJY40" s="543"/>
      <c r="TJZ40" s="543"/>
      <c r="TKA40" s="543"/>
      <c r="TKB40" s="543"/>
      <c r="TKC40" s="543"/>
      <c r="TKD40" s="543"/>
      <c r="TKE40" s="543"/>
      <c r="TKF40" s="543"/>
      <c r="TKG40" s="543"/>
      <c r="TKH40" s="543"/>
      <c r="TKI40" s="543"/>
      <c r="TKJ40" s="543"/>
      <c r="TKK40" s="543"/>
      <c r="TKL40" s="543"/>
      <c r="TKM40" s="543"/>
      <c r="TKN40" s="543"/>
      <c r="TKO40" s="543"/>
      <c r="TKP40" s="543"/>
      <c r="TKQ40" s="543"/>
      <c r="TKR40" s="543"/>
      <c r="TKS40" s="543"/>
      <c r="TKT40" s="543"/>
      <c r="TKU40" s="543"/>
      <c r="TKV40" s="543"/>
      <c r="TKW40" s="543"/>
      <c r="TKX40" s="543"/>
      <c r="TKY40" s="543"/>
      <c r="TKZ40" s="543"/>
      <c r="TLA40" s="543"/>
      <c r="TLB40" s="543"/>
      <c r="TLC40" s="543"/>
      <c r="TLD40" s="543"/>
      <c r="TLE40" s="543"/>
      <c r="TLF40" s="543"/>
      <c r="TLG40" s="543"/>
      <c r="TLH40" s="543"/>
      <c r="TLI40" s="543"/>
      <c r="TLJ40" s="543"/>
      <c r="TLK40" s="543"/>
      <c r="TLL40" s="543"/>
      <c r="TLM40" s="543"/>
      <c r="TLN40" s="543"/>
      <c r="TLO40" s="543"/>
      <c r="TLP40" s="543"/>
      <c r="TLQ40" s="543"/>
      <c r="TLR40" s="543"/>
      <c r="TLS40" s="543"/>
      <c r="TLT40" s="543"/>
      <c r="TLU40" s="543"/>
      <c r="TLV40" s="543"/>
      <c r="TLW40" s="543"/>
      <c r="TLX40" s="543"/>
      <c r="TLY40" s="543"/>
      <c r="TLZ40" s="543"/>
      <c r="TMA40" s="543"/>
      <c r="TMB40" s="543"/>
      <c r="TMC40" s="543"/>
      <c r="TMD40" s="543"/>
      <c r="TME40" s="543"/>
      <c r="TMF40" s="543"/>
      <c r="TMG40" s="543"/>
      <c r="TMH40" s="543"/>
      <c r="TMI40" s="543"/>
      <c r="TMJ40" s="543"/>
      <c r="TMK40" s="543"/>
      <c r="TML40" s="543"/>
      <c r="TMM40" s="543"/>
      <c r="TMN40" s="543"/>
      <c r="TMO40" s="543"/>
      <c r="TMP40" s="543"/>
      <c r="TMQ40" s="543"/>
      <c r="TMR40" s="543"/>
      <c r="TMS40" s="543"/>
      <c r="TMT40" s="543"/>
      <c r="TMU40" s="543"/>
      <c r="TMV40" s="543"/>
      <c r="TMW40" s="543"/>
      <c r="TMX40" s="543"/>
      <c r="TMY40" s="543"/>
      <c r="TMZ40" s="543"/>
      <c r="TNA40" s="543"/>
      <c r="TNB40" s="543"/>
      <c r="TNC40" s="543"/>
      <c r="TND40" s="543"/>
      <c r="TNE40" s="543"/>
      <c r="TNF40" s="543"/>
      <c r="TNG40" s="543"/>
      <c r="TNH40" s="543"/>
      <c r="TNI40" s="543"/>
      <c r="TNJ40" s="543"/>
      <c r="TNK40" s="543"/>
      <c r="TNL40" s="543"/>
      <c r="TNM40" s="543"/>
      <c r="TNN40" s="543"/>
      <c r="TNO40" s="543"/>
      <c r="TNP40" s="543"/>
      <c r="TNQ40" s="543"/>
      <c r="TNR40" s="543"/>
      <c r="TNS40" s="543"/>
      <c r="TNT40" s="543"/>
      <c r="TNU40" s="543"/>
      <c r="TNV40" s="543"/>
      <c r="TNW40" s="543"/>
      <c r="TNX40" s="543"/>
      <c r="TNY40" s="543"/>
      <c r="TNZ40" s="543"/>
      <c r="TOA40" s="543"/>
      <c r="TOB40" s="543"/>
      <c r="TOC40" s="543"/>
      <c r="TOD40" s="543"/>
      <c r="TOE40" s="543"/>
      <c r="TOF40" s="543"/>
      <c r="TOG40" s="543"/>
      <c r="TOH40" s="543"/>
      <c r="TOI40" s="543"/>
      <c r="TOJ40" s="543"/>
      <c r="TOK40" s="543"/>
      <c r="TOL40" s="543"/>
      <c r="TOM40" s="543"/>
      <c r="TON40" s="543"/>
      <c r="TOO40" s="543"/>
      <c r="TOP40" s="543"/>
      <c r="TOQ40" s="543"/>
      <c r="TOR40" s="543"/>
      <c r="TOS40" s="543"/>
      <c r="TOT40" s="543"/>
      <c r="TOU40" s="543"/>
      <c r="TOV40" s="543"/>
      <c r="TOW40" s="543"/>
      <c r="TOX40" s="543"/>
      <c r="TOY40" s="543"/>
      <c r="TOZ40" s="543"/>
      <c r="TPA40" s="543"/>
      <c r="TPB40" s="543"/>
      <c r="TPC40" s="543"/>
      <c r="TPD40" s="543"/>
      <c r="TPE40" s="543"/>
      <c r="TPF40" s="543"/>
      <c r="TPG40" s="543"/>
      <c r="TPH40" s="543"/>
      <c r="TPI40" s="543"/>
      <c r="TPJ40" s="543"/>
      <c r="TPK40" s="543"/>
      <c r="TPL40" s="543"/>
      <c r="TPM40" s="543"/>
      <c r="TPN40" s="543"/>
      <c r="TPO40" s="543"/>
      <c r="TPP40" s="543"/>
      <c r="TPQ40" s="543"/>
      <c r="TPR40" s="543"/>
      <c r="TPS40" s="543"/>
      <c r="TPT40" s="543"/>
      <c r="TPU40" s="543"/>
      <c r="TPV40" s="543"/>
      <c r="TPW40" s="543"/>
      <c r="TPX40" s="543"/>
      <c r="TPY40" s="543"/>
      <c r="TPZ40" s="543"/>
      <c r="TQA40" s="543"/>
      <c r="TQB40" s="543"/>
      <c r="TQC40" s="543"/>
      <c r="TQD40" s="543"/>
      <c r="TQE40" s="543"/>
      <c r="TQF40" s="543"/>
      <c r="TQG40" s="543"/>
      <c r="TQH40" s="543"/>
      <c r="TQI40" s="543"/>
      <c r="TQJ40" s="543"/>
      <c r="TQK40" s="543"/>
      <c r="TQL40" s="543"/>
      <c r="TQM40" s="543"/>
      <c r="TQN40" s="543"/>
      <c r="TQO40" s="543"/>
      <c r="TQP40" s="543"/>
      <c r="TQQ40" s="543"/>
      <c r="TQR40" s="543"/>
      <c r="TQS40" s="543"/>
      <c r="TQT40" s="543"/>
      <c r="TQU40" s="543"/>
      <c r="TQV40" s="543"/>
      <c r="TQW40" s="543"/>
      <c r="TQX40" s="543"/>
      <c r="TQY40" s="543"/>
      <c r="TQZ40" s="543"/>
      <c r="TRA40" s="543"/>
      <c r="TRB40" s="543"/>
      <c r="TRC40" s="543"/>
      <c r="TRD40" s="543"/>
      <c r="TRE40" s="543"/>
      <c r="TRF40" s="543"/>
      <c r="TRG40" s="543"/>
      <c r="TRH40" s="543"/>
      <c r="TRI40" s="543"/>
      <c r="TRJ40" s="543"/>
      <c r="TRK40" s="543"/>
      <c r="TRL40" s="543"/>
      <c r="TRM40" s="543"/>
      <c r="TRN40" s="543"/>
      <c r="TRO40" s="543"/>
      <c r="TRP40" s="543"/>
      <c r="TRQ40" s="543"/>
      <c r="TRR40" s="543"/>
      <c r="TRS40" s="543"/>
      <c r="TRT40" s="543"/>
      <c r="TRU40" s="543"/>
      <c r="TRV40" s="543"/>
      <c r="TRW40" s="543"/>
      <c r="TRX40" s="543"/>
      <c r="TRY40" s="543"/>
      <c r="TRZ40" s="543"/>
      <c r="TSA40" s="543"/>
      <c r="TSB40" s="543"/>
      <c r="TSC40" s="543"/>
      <c r="TSD40" s="543"/>
      <c r="TSE40" s="543"/>
      <c r="TSF40" s="543"/>
      <c r="TSG40" s="543"/>
      <c r="TSH40" s="543"/>
      <c r="TSI40" s="543"/>
      <c r="TSJ40" s="543"/>
      <c r="TSK40" s="543"/>
      <c r="TSL40" s="543"/>
      <c r="TSM40" s="543"/>
      <c r="TSN40" s="543"/>
      <c r="TSO40" s="543"/>
      <c r="TSP40" s="543"/>
      <c r="TSQ40" s="543"/>
      <c r="TSR40" s="543"/>
      <c r="TSS40" s="543"/>
      <c r="TST40" s="543"/>
      <c r="TSU40" s="543"/>
      <c r="TSV40" s="543"/>
      <c r="TSW40" s="543"/>
      <c r="TSX40" s="543"/>
      <c r="TSY40" s="543"/>
      <c r="TSZ40" s="543"/>
      <c r="TTA40" s="543"/>
      <c r="TTB40" s="543"/>
      <c r="TTC40" s="543"/>
      <c r="TTD40" s="543"/>
      <c r="TTE40" s="543"/>
      <c r="TTF40" s="543"/>
      <c r="TTG40" s="543"/>
      <c r="TTH40" s="543"/>
      <c r="TTI40" s="543"/>
      <c r="TTJ40" s="543"/>
      <c r="TTK40" s="543"/>
      <c r="TTL40" s="543"/>
      <c r="TTM40" s="543"/>
      <c r="TTN40" s="543"/>
      <c r="TTO40" s="543"/>
      <c r="TTP40" s="543"/>
      <c r="TTQ40" s="543"/>
      <c r="TTR40" s="543"/>
      <c r="TTS40" s="543"/>
      <c r="TTT40" s="543"/>
      <c r="TTU40" s="543"/>
      <c r="TTV40" s="543"/>
      <c r="TTW40" s="543"/>
      <c r="TTX40" s="543"/>
      <c r="TTY40" s="543"/>
      <c r="TTZ40" s="543"/>
      <c r="TUA40" s="543"/>
      <c r="TUB40" s="543"/>
      <c r="TUC40" s="543"/>
      <c r="TUD40" s="543"/>
      <c r="TUE40" s="543"/>
      <c r="TUF40" s="543"/>
      <c r="TUG40" s="543"/>
      <c r="TUH40" s="543"/>
      <c r="TUI40" s="543"/>
      <c r="TUJ40" s="543"/>
      <c r="TUK40" s="543"/>
      <c r="TUL40" s="543"/>
      <c r="TUM40" s="543"/>
      <c r="TUN40" s="543"/>
      <c r="TUO40" s="543"/>
      <c r="TUP40" s="543"/>
      <c r="TUQ40" s="543"/>
      <c r="TUR40" s="543"/>
      <c r="TUS40" s="543"/>
      <c r="TUT40" s="543"/>
      <c r="TUU40" s="543"/>
      <c r="TUV40" s="543"/>
      <c r="TUW40" s="543"/>
      <c r="TUX40" s="543"/>
      <c r="TUY40" s="543"/>
      <c r="TUZ40" s="543"/>
      <c r="TVA40" s="543"/>
      <c r="TVB40" s="543"/>
      <c r="TVC40" s="543"/>
      <c r="TVD40" s="543"/>
      <c r="TVE40" s="543"/>
      <c r="TVF40" s="543"/>
      <c r="TVG40" s="543"/>
      <c r="TVH40" s="543"/>
      <c r="TVI40" s="543"/>
      <c r="TVJ40" s="543"/>
      <c r="TVK40" s="543"/>
      <c r="TVL40" s="543"/>
      <c r="TVM40" s="543"/>
      <c r="TVN40" s="543"/>
      <c r="TVO40" s="543"/>
      <c r="TVP40" s="543"/>
      <c r="TVQ40" s="543"/>
      <c r="TVR40" s="543"/>
      <c r="TVS40" s="543"/>
      <c r="TVT40" s="543"/>
      <c r="TVU40" s="543"/>
      <c r="TVV40" s="543"/>
      <c r="TVW40" s="543"/>
      <c r="TVX40" s="543"/>
      <c r="TVY40" s="543"/>
      <c r="TVZ40" s="543"/>
      <c r="TWA40" s="543"/>
      <c r="TWB40" s="543"/>
      <c r="TWC40" s="543"/>
      <c r="TWD40" s="543"/>
      <c r="TWE40" s="543"/>
      <c r="TWF40" s="543"/>
      <c r="TWG40" s="543"/>
      <c r="TWH40" s="543"/>
      <c r="TWI40" s="543"/>
      <c r="TWJ40" s="543"/>
      <c r="TWK40" s="543"/>
      <c r="TWL40" s="543"/>
      <c r="TWM40" s="543"/>
      <c r="TWN40" s="543"/>
      <c r="TWO40" s="543"/>
      <c r="TWP40" s="543"/>
      <c r="TWQ40" s="543"/>
      <c r="TWR40" s="543"/>
      <c r="TWS40" s="543"/>
      <c r="TWT40" s="543"/>
      <c r="TWU40" s="543"/>
      <c r="TWV40" s="543"/>
      <c r="TWW40" s="543"/>
      <c r="TWX40" s="543"/>
      <c r="TWY40" s="543"/>
      <c r="TWZ40" s="543"/>
      <c r="TXA40" s="543"/>
      <c r="TXB40" s="543"/>
      <c r="TXC40" s="543"/>
      <c r="TXD40" s="543"/>
      <c r="TXE40" s="543"/>
      <c r="TXF40" s="543"/>
      <c r="TXG40" s="543"/>
      <c r="TXH40" s="543"/>
      <c r="TXI40" s="543"/>
      <c r="TXJ40" s="543"/>
      <c r="TXK40" s="543"/>
      <c r="TXL40" s="543"/>
      <c r="TXM40" s="543"/>
      <c r="TXN40" s="543"/>
      <c r="TXO40" s="543"/>
      <c r="TXP40" s="543"/>
      <c r="TXQ40" s="543"/>
      <c r="TXR40" s="543"/>
      <c r="TXS40" s="543"/>
      <c r="TXT40" s="543"/>
      <c r="TXU40" s="543"/>
      <c r="TXV40" s="543"/>
      <c r="TXW40" s="543"/>
      <c r="TXX40" s="543"/>
      <c r="TXY40" s="543"/>
      <c r="TXZ40" s="543"/>
      <c r="TYA40" s="543"/>
      <c r="TYB40" s="543"/>
      <c r="TYC40" s="543"/>
      <c r="TYD40" s="543"/>
      <c r="TYE40" s="543"/>
      <c r="TYF40" s="543"/>
      <c r="TYG40" s="543"/>
      <c r="TYH40" s="543"/>
      <c r="TYI40" s="543"/>
      <c r="TYJ40" s="543"/>
      <c r="TYK40" s="543"/>
      <c r="TYL40" s="543"/>
      <c r="TYM40" s="543"/>
      <c r="TYN40" s="543"/>
      <c r="TYO40" s="543"/>
      <c r="TYP40" s="543"/>
      <c r="TYQ40" s="543"/>
      <c r="TYR40" s="543"/>
      <c r="TYS40" s="543"/>
      <c r="TYT40" s="543"/>
      <c r="TYU40" s="543"/>
      <c r="TYV40" s="543"/>
      <c r="TYW40" s="543"/>
      <c r="TYX40" s="543"/>
      <c r="TYY40" s="543"/>
      <c r="TYZ40" s="543"/>
      <c r="TZA40" s="543"/>
      <c r="TZB40" s="543"/>
      <c r="TZC40" s="543"/>
      <c r="TZD40" s="543"/>
      <c r="TZE40" s="543"/>
      <c r="TZF40" s="543"/>
      <c r="TZG40" s="543"/>
      <c r="TZH40" s="543"/>
      <c r="TZI40" s="543"/>
      <c r="TZJ40" s="543"/>
      <c r="TZK40" s="543"/>
      <c r="TZL40" s="543"/>
      <c r="TZM40" s="543"/>
      <c r="TZN40" s="543"/>
      <c r="TZO40" s="543"/>
      <c r="TZP40" s="543"/>
      <c r="TZQ40" s="543"/>
      <c r="TZR40" s="543"/>
      <c r="TZS40" s="543"/>
      <c r="TZT40" s="543"/>
      <c r="TZU40" s="543"/>
      <c r="TZV40" s="543"/>
      <c r="TZW40" s="543"/>
      <c r="TZX40" s="543"/>
      <c r="TZY40" s="543"/>
      <c r="TZZ40" s="543"/>
      <c r="UAA40" s="543"/>
      <c r="UAB40" s="543"/>
      <c r="UAC40" s="543"/>
      <c r="UAD40" s="543"/>
      <c r="UAE40" s="543"/>
      <c r="UAF40" s="543"/>
      <c r="UAG40" s="543"/>
      <c r="UAH40" s="543"/>
      <c r="UAI40" s="543"/>
      <c r="UAJ40" s="543"/>
      <c r="UAK40" s="543"/>
      <c r="UAL40" s="543"/>
      <c r="UAM40" s="543"/>
      <c r="UAN40" s="543"/>
      <c r="UAO40" s="543"/>
      <c r="UAP40" s="543"/>
      <c r="UAQ40" s="543"/>
      <c r="UAR40" s="543"/>
      <c r="UAS40" s="543"/>
      <c r="UAT40" s="543"/>
      <c r="UAU40" s="543"/>
      <c r="UAV40" s="543"/>
      <c r="UAW40" s="543"/>
      <c r="UAX40" s="543"/>
      <c r="UAY40" s="543"/>
      <c r="UAZ40" s="543"/>
      <c r="UBA40" s="543"/>
      <c r="UBB40" s="543"/>
      <c r="UBC40" s="543"/>
      <c r="UBD40" s="543"/>
      <c r="UBE40" s="543"/>
      <c r="UBF40" s="543"/>
      <c r="UBG40" s="543"/>
      <c r="UBH40" s="543"/>
      <c r="UBI40" s="543"/>
      <c r="UBJ40" s="543"/>
      <c r="UBK40" s="543"/>
      <c r="UBL40" s="543"/>
      <c r="UBM40" s="543"/>
      <c r="UBN40" s="543"/>
      <c r="UBO40" s="543"/>
      <c r="UBP40" s="543"/>
      <c r="UBQ40" s="543"/>
      <c r="UBR40" s="543"/>
      <c r="UBS40" s="543"/>
      <c r="UBT40" s="543"/>
      <c r="UBU40" s="543"/>
      <c r="UBV40" s="543"/>
      <c r="UBW40" s="543"/>
      <c r="UBX40" s="543"/>
      <c r="UBY40" s="543"/>
      <c r="UBZ40" s="543"/>
      <c r="UCA40" s="543"/>
      <c r="UCB40" s="543"/>
      <c r="UCC40" s="543"/>
      <c r="UCD40" s="543"/>
      <c r="UCE40" s="543"/>
      <c r="UCF40" s="543"/>
      <c r="UCG40" s="543"/>
      <c r="UCH40" s="543"/>
      <c r="UCI40" s="543"/>
      <c r="UCJ40" s="543"/>
      <c r="UCK40" s="543"/>
      <c r="UCL40" s="543"/>
      <c r="UCM40" s="543"/>
      <c r="UCN40" s="543"/>
      <c r="UCO40" s="543"/>
      <c r="UCP40" s="543"/>
      <c r="UCQ40" s="543"/>
      <c r="UCR40" s="543"/>
      <c r="UCS40" s="543"/>
      <c r="UCT40" s="543"/>
      <c r="UCU40" s="543"/>
      <c r="UCV40" s="543"/>
      <c r="UCW40" s="543"/>
      <c r="UCX40" s="543"/>
      <c r="UCY40" s="543"/>
      <c r="UCZ40" s="543"/>
      <c r="UDA40" s="543"/>
      <c r="UDB40" s="543"/>
      <c r="UDC40" s="543"/>
      <c r="UDD40" s="543"/>
      <c r="UDE40" s="543"/>
      <c r="UDF40" s="543"/>
      <c r="UDG40" s="543"/>
      <c r="UDH40" s="543"/>
      <c r="UDI40" s="543"/>
      <c r="UDJ40" s="543"/>
      <c r="UDK40" s="543"/>
      <c r="UDL40" s="543"/>
      <c r="UDM40" s="543"/>
      <c r="UDN40" s="543"/>
      <c r="UDO40" s="543"/>
      <c r="UDP40" s="543"/>
      <c r="UDQ40" s="543"/>
      <c r="UDR40" s="543"/>
      <c r="UDS40" s="543"/>
      <c r="UDT40" s="543"/>
      <c r="UDU40" s="543"/>
      <c r="UDV40" s="543"/>
      <c r="UDW40" s="543"/>
      <c r="UDX40" s="543"/>
      <c r="UDY40" s="543"/>
      <c r="UDZ40" s="543"/>
      <c r="UEA40" s="543"/>
      <c r="UEB40" s="543"/>
      <c r="UEC40" s="543"/>
      <c r="UED40" s="543"/>
      <c r="UEE40" s="543"/>
      <c r="UEF40" s="543"/>
      <c r="UEG40" s="543"/>
      <c r="UEH40" s="543"/>
      <c r="UEI40" s="543"/>
      <c r="UEJ40" s="543"/>
      <c r="UEK40" s="543"/>
      <c r="UEL40" s="543"/>
      <c r="UEM40" s="543"/>
      <c r="UEN40" s="543"/>
      <c r="UEO40" s="543"/>
      <c r="UEP40" s="543"/>
      <c r="UEQ40" s="543"/>
      <c r="UER40" s="543"/>
      <c r="UES40" s="543"/>
      <c r="UET40" s="543"/>
      <c r="UEU40" s="543"/>
      <c r="UEV40" s="543"/>
      <c r="UEW40" s="543"/>
      <c r="UEX40" s="543"/>
      <c r="UEY40" s="543"/>
      <c r="UEZ40" s="543"/>
      <c r="UFA40" s="543"/>
      <c r="UFB40" s="543"/>
      <c r="UFC40" s="543"/>
      <c r="UFD40" s="543"/>
      <c r="UFE40" s="543"/>
      <c r="UFF40" s="543"/>
      <c r="UFG40" s="543"/>
      <c r="UFH40" s="543"/>
      <c r="UFI40" s="543"/>
      <c r="UFJ40" s="543"/>
      <c r="UFK40" s="543"/>
      <c r="UFL40" s="543"/>
      <c r="UFM40" s="543"/>
      <c r="UFN40" s="543"/>
      <c r="UFO40" s="543"/>
      <c r="UFP40" s="543"/>
      <c r="UFQ40" s="543"/>
      <c r="UFR40" s="543"/>
      <c r="UFS40" s="543"/>
      <c r="UFT40" s="543"/>
      <c r="UFU40" s="543"/>
      <c r="UFV40" s="543"/>
      <c r="UFW40" s="543"/>
      <c r="UFX40" s="543"/>
      <c r="UFY40" s="543"/>
      <c r="UFZ40" s="543"/>
      <c r="UGA40" s="543"/>
      <c r="UGB40" s="543"/>
      <c r="UGC40" s="543"/>
      <c r="UGD40" s="543"/>
      <c r="UGE40" s="543"/>
      <c r="UGF40" s="543"/>
      <c r="UGG40" s="543"/>
      <c r="UGH40" s="543"/>
      <c r="UGI40" s="543"/>
      <c r="UGJ40" s="543"/>
      <c r="UGK40" s="543"/>
      <c r="UGL40" s="543"/>
      <c r="UGM40" s="543"/>
      <c r="UGN40" s="543"/>
      <c r="UGO40" s="543"/>
      <c r="UGP40" s="543"/>
      <c r="UGQ40" s="543"/>
      <c r="UGR40" s="543"/>
      <c r="UGS40" s="543"/>
      <c r="UGT40" s="543"/>
      <c r="UGU40" s="543"/>
      <c r="UGV40" s="543"/>
      <c r="UGW40" s="543"/>
      <c r="UGX40" s="543"/>
      <c r="UGY40" s="543"/>
      <c r="UGZ40" s="543"/>
      <c r="UHA40" s="543"/>
      <c r="UHB40" s="543"/>
      <c r="UHC40" s="543"/>
      <c r="UHD40" s="543"/>
      <c r="UHE40" s="543"/>
      <c r="UHF40" s="543"/>
      <c r="UHG40" s="543"/>
      <c r="UHH40" s="543"/>
      <c r="UHI40" s="543"/>
      <c r="UHJ40" s="543"/>
      <c r="UHK40" s="543"/>
      <c r="UHL40" s="543"/>
      <c r="UHM40" s="543"/>
      <c r="UHN40" s="543"/>
      <c r="UHO40" s="543"/>
      <c r="UHP40" s="543"/>
      <c r="UHQ40" s="543"/>
      <c r="UHR40" s="543"/>
      <c r="UHS40" s="543"/>
      <c r="UHT40" s="543"/>
      <c r="UHU40" s="543"/>
      <c r="UHV40" s="543"/>
      <c r="UHW40" s="543"/>
      <c r="UHX40" s="543"/>
      <c r="UHY40" s="543"/>
      <c r="UHZ40" s="543"/>
      <c r="UIA40" s="543"/>
      <c r="UIB40" s="543"/>
      <c r="UIC40" s="543"/>
      <c r="UID40" s="543"/>
      <c r="UIE40" s="543"/>
      <c r="UIF40" s="543"/>
      <c r="UIG40" s="543"/>
      <c r="UIH40" s="543"/>
      <c r="UII40" s="543"/>
      <c r="UIJ40" s="543"/>
      <c r="UIK40" s="543"/>
      <c r="UIL40" s="543"/>
      <c r="UIM40" s="543"/>
      <c r="UIN40" s="543"/>
      <c r="UIO40" s="543"/>
      <c r="UIP40" s="543"/>
      <c r="UIQ40" s="543"/>
      <c r="UIR40" s="543"/>
      <c r="UIS40" s="543"/>
      <c r="UIT40" s="543"/>
      <c r="UIU40" s="543"/>
      <c r="UIV40" s="543"/>
      <c r="UIW40" s="543"/>
      <c r="UIX40" s="543"/>
      <c r="UIY40" s="543"/>
      <c r="UIZ40" s="543"/>
      <c r="UJA40" s="543"/>
      <c r="UJB40" s="543"/>
      <c r="UJC40" s="543"/>
      <c r="UJD40" s="543"/>
      <c r="UJE40" s="543"/>
      <c r="UJF40" s="543"/>
      <c r="UJG40" s="543"/>
      <c r="UJH40" s="543"/>
      <c r="UJI40" s="543"/>
      <c r="UJJ40" s="543"/>
      <c r="UJK40" s="543"/>
      <c r="UJL40" s="543"/>
      <c r="UJM40" s="543"/>
      <c r="UJN40" s="543"/>
      <c r="UJO40" s="543"/>
      <c r="UJP40" s="543"/>
      <c r="UJQ40" s="543"/>
      <c r="UJR40" s="543"/>
      <c r="UJS40" s="543"/>
      <c r="UJT40" s="543"/>
      <c r="UJU40" s="543"/>
      <c r="UJV40" s="543"/>
      <c r="UJW40" s="543"/>
      <c r="UJX40" s="543"/>
      <c r="UJY40" s="543"/>
      <c r="UJZ40" s="543"/>
      <c r="UKA40" s="543"/>
      <c r="UKB40" s="543"/>
      <c r="UKC40" s="543"/>
      <c r="UKD40" s="543"/>
      <c r="UKE40" s="543"/>
      <c r="UKF40" s="543"/>
      <c r="UKG40" s="543"/>
      <c r="UKH40" s="543"/>
      <c r="UKI40" s="543"/>
      <c r="UKJ40" s="543"/>
      <c r="UKK40" s="543"/>
      <c r="UKL40" s="543"/>
      <c r="UKM40" s="543"/>
      <c r="UKN40" s="543"/>
      <c r="UKO40" s="543"/>
      <c r="UKP40" s="543"/>
      <c r="UKQ40" s="543"/>
      <c r="UKR40" s="543"/>
      <c r="UKS40" s="543"/>
      <c r="UKT40" s="543"/>
      <c r="UKU40" s="543"/>
      <c r="UKV40" s="543"/>
      <c r="UKW40" s="543"/>
      <c r="UKX40" s="543"/>
      <c r="UKY40" s="543"/>
      <c r="UKZ40" s="543"/>
      <c r="ULA40" s="543"/>
      <c r="ULB40" s="543"/>
      <c r="ULC40" s="543"/>
      <c r="ULD40" s="543"/>
      <c r="ULE40" s="543"/>
      <c r="ULF40" s="543"/>
      <c r="ULG40" s="543"/>
      <c r="ULH40" s="543"/>
      <c r="ULI40" s="543"/>
      <c r="ULJ40" s="543"/>
      <c r="ULK40" s="543"/>
      <c r="ULL40" s="543"/>
      <c r="ULM40" s="543"/>
      <c r="ULN40" s="543"/>
      <c r="ULO40" s="543"/>
      <c r="ULP40" s="543"/>
      <c r="ULQ40" s="543"/>
      <c r="ULR40" s="543"/>
      <c r="ULS40" s="543"/>
      <c r="ULT40" s="543"/>
      <c r="ULU40" s="543"/>
      <c r="ULV40" s="543"/>
      <c r="ULW40" s="543"/>
      <c r="ULX40" s="543"/>
      <c r="ULY40" s="543"/>
      <c r="ULZ40" s="543"/>
      <c r="UMA40" s="543"/>
      <c r="UMB40" s="543"/>
      <c r="UMC40" s="543"/>
      <c r="UMD40" s="543"/>
      <c r="UME40" s="543"/>
      <c r="UMF40" s="543"/>
      <c r="UMG40" s="543"/>
      <c r="UMH40" s="543"/>
      <c r="UMI40" s="543"/>
      <c r="UMJ40" s="543"/>
      <c r="UMK40" s="543"/>
      <c r="UML40" s="543"/>
      <c r="UMM40" s="543"/>
      <c r="UMN40" s="543"/>
      <c r="UMO40" s="543"/>
      <c r="UMP40" s="543"/>
      <c r="UMQ40" s="543"/>
      <c r="UMR40" s="543"/>
      <c r="UMS40" s="543"/>
      <c r="UMT40" s="543"/>
      <c r="UMU40" s="543"/>
      <c r="UMV40" s="543"/>
      <c r="UMW40" s="543"/>
      <c r="UMX40" s="543"/>
      <c r="UMY40" s="543"/>
      <c r="UMZ40" s="543"/>
      <c r="UNA40" s="543"/>
      <c r="UNB40" s="543"/>
      <c r="UNC40" s="543"/>
      <c r="UND40" s="543"/>
      <c r="UNE40" s="543"/>
      <c r="UNF40" s="543"/>
      <c r="UNG40" s="543"/>
      <c r="UNH40" s="543"/>
      <c r="UNI40" s="543"/>
      <c r="UNJ40" s="543"/>
      <c r="UNK40" s="543"/>
      <c r="UNL40" s="543"/>
      <c r="UNM40" s="543"/>
      <c r="UNN40" s="543"/>
      <c r="UNO40" s="543"/>
      <c r="UNP40" s="543"/>
      <c r="UNQ40" s="543"/>
      <c r="UNR40" s="543"/>
      <c r="UNS40" s="543"/>
      <c r="UNT40" s="543"/>
      <c r="UNU40" s="543"/>
      <c r="UNV40" s="543"/>
      <c r="UNW40" s="543"/>
      <c r="UNX40" s="543"/>
      <c r="UNY40" s="543"/>
      <c r="UNZ40" s="543"/>
      <c r="UOA40" s="543"/>
      <c r="UOB40" s="543"/>
      <c r="UOC40" s="543"/>
      <c r="UOD40" s="543"/>
      <c r="UOE40" s="543"/>
      <c r="UOF40" s="543"/>
      <c r="UOG40" s="543"/>
      <c r="UOH40" s="543"/>
      <c r="UOI40" s="543"/>
      <c r="UOJ40" s="543"/>
      <c r="UOK40" s="543"/>
      <c r="UOL40" s="543"/>
      <c r="UOM40" s="543"/>
      <c r="UON40" s="543"/>
      <c r="UOO40" s="543"/>
      <c r="UOP40" s="543"/>
      <c r="UOQ40" s="543"/>
      <c r="UOR40" s="543"/>
      <c r="UOS40" s="543"/>
      <c r="UOT40" s="543"/>
      <c r="UOU40" s="543"/>
      <c r="UOV40" s="543"/>
      <c r="UOW40" s="543"/>
      <c r="UOX40" s="543"/>
      <c r="UOY40" s="543"/>
      <c r="UOZ40" s="543"/>
      <c r="UPA40" s="543"/>
      <c r="UPB40" s="543"/>
      <c r="UPC40" s="543"/>
      <c r="UPD40" s="543"/>
      <c r="UPE40" s="543"/>
      <c r="UPF40" s="543"/>
      <c r="UPG40" s="543"/>
      <c r="UPH40" s="543"/>
      <c r="UPI40" s="543"/>
      <c r="UPJ40" s="543"/>
      <c r="UPK40" s="543"/>
      <c r="UPL40" s="543"/>
      <c r="UPM40" s="543"/>
      <c r="UPN40" s="543"/>
      <c r="UPO40" s="543"/>
      <c r="UPP40" s="543"/>
      <c r="UPQ40" s="543"/>
      <c r="UPR40" s="543"/>
      <c r="UPS40" s="543"/>
      <c r="UPT40" s="543"/>
      <c r="UPU40" s="543"/>
      <c r="UPV40" s="543"/>
      <c r="UPW40" s="543"/>
      <c r="UPX40" s="543"/>
      <c r="UPY40" s="543"/>
      <c r="UPZ40" s="543"/>
      <c r="UQA40" s="543"/>
      <c r="UQB40" s="543"/>
      <c r="UQC40" s="543"/>
      <c r="UQD40" s="543"/>
      <c r="UQE40" s="543"/>
      <c r="UQF40" s="543"/>
      <c r="UQG40" s="543"/>
      <c r="UQH40" s="543"/>
      <c r="UQI40" s="543"/>
      <c r="UQJ40" s="543"/>
      <c r="UQK40" s="543"/>
      <c r="UQL40" s="543"/>
      <c r="UQM40" s="543"/>
      <c r="UQN40" s="543"/>
      <c r="UQO40" s="543"/>
      <c r="UQP40" s="543"/>
      <c r="UQQ40" s="543"/>
      <c r="UQR40" s="543"/>
      <c r="UQS40" s="543"/>
      <c r="UQT40" s="543"/>
      <c r="UQU40" s="543"/>
      <c r="UQV40" s="543"/>
      <c r="UQW40" s="543"/>
      <c r="UQX40" s="543"/>
      <c r="UQY40" s="543"/>
      <c r="UQZ40" s="543"/>
      <c r="URA40" s="543"/>
      <c r="URB40" s="543"/>
      <c r="URC40" s="543"/>
      <c r="URD40" s="543"/>
      <c r="URE40" s="543"/>
      <c r="URF40" s="543"/>
      <c r="URG40" s="543"/>
      <c r="URH40" s="543"/>
      <c r="URI40" s="543"/>
      <c r="URJ40" s="543"/>
      <c r="URK40" s="543"/>
      <c r="URL40" s="543"/>
      <c r="URM40" s="543"/>
      <c r="URN40" s="543"/>
      <c r="URO40" s="543"/>
      <c r="URP40" s="543"/>
      <c r="URQ40" s="543"/>
      <c r="URR40" s="543"/>
      <c r="URS40" s="543"/>
      <c r="URT40" s="543"/>
      <c r="URU40" s="543"/>
      <c r="URV40" s="543"/>
      <c r="URW40" s="543"/>
      <c r="URX40" s="543"/>
      <c r="URY40" s="543"/>
      <c r="URZ40" s="543"/>
      <c r="USA40" s="543"/>
      <c r="USB40" s="543"/>
      <c r="USC40" s="543"/>
      <c r="USD40" s="543"/>
      <c r="USE40" s="543"/>
      <c r="USF40" s="543"/>
      <c r="USG40" s="543"/>
      <c r="USH40" s="543"/>
      <c r="USI40" s="543"/>
      <c r="USJ40" s="543"/>
      <c r="USK40" s="543"/>
      <c r="USL40" s="543"/>
      <c r="USM40" s="543"/>
      <c r="USN40" s="543"/>
      <c r="USO40" s="543"/>
      <c r="USP40" s="543"/>
      <c r="USQ40" s="543"/>
      <c r="USR40" s="543"/>
      <c r="USS40" s="543"/>
      <c r="UST40" s="543"/>
      <c r="USU40" s="543"/>
      <c r="USV40" s="543"/>
      <c r="USW40" s="543"/>
      <c r="USX40" s="543"/>
      <c r="USY40" s="543"/>
      <c r="USZ40" s="543"/>
      <c r="UTA40" s="543"/>
      <c r="UTB40" s="543"/>
      <c r="UTC40" s="543"/>
      <c r="UTD40" s="543"/>
      <c r="UTE40" s="543"/>
      <c r="UTF40" s="543"/>
      <c r="UTG40" s="543"/>
      <c r="UTH40" s="543"/>
      <c r="UTI40" s="543"/>
      <c r="UTJ40" s="543"/>
      <c r="UTK40" s="543"/>
      <c r="UTL40" s="543"/>
      <c r="UTM40" s="543"/>
      <c r="UTN40" s="543"/>
      <c r="UTO40" s="543"/>
      <c r="UTP40" s="543"/>
      <c r="UTQ40" s="543"/>
      <c r="UTR40" s="543"/>
      <c r="UTS40" s="543"/>
      <c r="UTT40" s="543"/>
      <c r="UTU40" s="543"/>
      <c r="UTV40" s="543"/>
      <c r="UTW40" s="543"/>
      <c r="UTX40" s="543"/>
      <c r="UTY40" s="543"/>
      <c r="UTZ40" s="543"/>
      <c r="UUA40" s="543"/>
      <c r="UUB40" s="543"/>
      <c r="UUC40" s="543"/>
      <c r="UUD40" s="543"/>
      <c r="UUE40" s="543"/>
      <c r="UUF40" s="543"/>
      <c r="UUG40" s="543"/>
      <c r="UUH40" s="543"/>
      <c r="UUI40" s="543"/>
      <c r="UUJ40" s="543"/>
      <c r="UUK40" s="543"/>
      <c r="UUL40" s="543"/>
      <c r="UUM40" s="543"/>
      <c r="UUN40" s="543"/>
      <c r="UUO40" s="543"/>
      <c r="UUP40" s="543"/>
      <c r="UUQ40" s="543"/>
      <c r="UUR40" s="543"/>
      <c r="UUS40" s="543"/>
      <c r="UUT40" s="543"/>
      <c r="UUU40" s="543"/>
      <c r="UUV40" s="543"/>
      <c r="UUW40" s="543"/>
      <c r="UUX40" s="543"/>
      <c r="UUY40" s="543"/>
      <c r="UUZ40" s="543"/>
      <c r="UVA40" s="543"/>
      <c r="UVB40" s="543"/>
      <c r="UVC40" s="543"/>
      <c r="UVD40" s="543"/>
      <c r="UVE40" s="543"/>
      <c r="UVF40" s="543"/>
      <c r="UVG40" s="543"/>
      <c r="UVH40" s="543"/>
      <c r="UVI40" s="543"/>
      <c r="UVJ40" s="543"/>
      <c r="UVK40" s="543"/>
      <c r="UVL40" s="543"/>
      <c r="UVM40" s="543"/>
      <c r="UVN40" s="543"/>
      <c r="UVO40" s="543"/>
      <c r="UVP40" s="543"/>
      <c r="UVQ40" s="543"/>
      <c r="UVR40" s="543"/>
      <c r="UVS40" s="543"/>
      <c r="UVT40" s="543"/>
      <c r="UVU40" s="543"/>
      <c r="UVV40" s="543"/>
      <c r="UVW40" s="543"/>
      <c r="UVX40" s="543"/>
      <c r="UVY40" s="543"/>
      <c r="UVZ40" s="543"/>
      <c r="UWA40" s="543"/>
      <c r="UWB40" s="543"/>
      <c r="UWC40" s="543"/>
      <c r="UWD40" s="543"/>
      <c r="UWE40" s="543"/>
      <c r="UWF40" s="543"/>
      <c r="UWG40" s="543"/>
      <c r="UWH40" s="543"/>
      <c r="UWI40" s="543"/>
      <c r="UWJ40" s="543"/>
      <c r="UWK40" s="543"/>
      <c r="UWL40" s="543"/>
      <c r="UWM40" s="543"/>
      <c r="UWN40" s="543"/>
      <c r="UWO40" s="543"/>
      <c r="UWP40" s="543"/>
      <c r="UWQ40" s="543"/>
      <c r="UWR40" s="543"/>
      <c r="UWS40" s="543"/>
      <c r="UWT40" s="543"/>
      <c r="UWU40" s="543"/>
      <c r="UWV40" s="543"/>
      <c r="UWW40" s="543"/>
      <c r="UWX40" s="543"/>
      <c r="UWY40" s="543"/>
      <c r="UWZ40" s="543"/>
      <c r="UXA40" s="543"/>
      <c r="UXB40" s="543"/>
      <c r="UXC40" s="543"/>
      <c r="UXD40" s="543"/>
      <c r="UXE40" s="543"/>
      <c r="UXF40" s="543"/>
      <c r="UXG40" s="543"/>
      <c r="UXH40" s="543"/>
      <c r="UXI40" s="543"/>
      <c r="UXJ40" s="543"/>
      <c r="UXK40" s="543"/>
      <c r="UXL40" s="543"/>
      <c r="UXM40" s="543"/>
      <c r="UXN40" s="543"/>
      <c r="UXO40" s="543"/>
      <c r="UXP40" s="543"/>
      <c r="UXQ40" s="543"/>
      <c r="UXR40" s="543"/>
      <c r="UXS40" s="543"/>
      <c r="UXT40" s="543"/>
      <c r="UXU40" s="543"/>
      <c r="UXV40" s="543"/>
      <c r="UXW40" s="543"/>
      <c r="UXX40" s="543"/>
      <c r="UXY40" s="543"/>
      <c r="UXZ40" s="543"/>
      <c r="UYA40" s="543"/>
      <c r="UYB40" s="543"/>
      <c r="UYC40" s="543"/>
      <c r="UYD40" s="543"/>
      <c r="UYE40" s="543"/>
      <c r="UYF40" s="543"/>
      <c r="UYG40" s="543"/>
      <c r="UYH40" s="543"/>
      <c r="UYI40" s="543"/>
      <c r="UYJ40" s="543"/>
      <c r="UYK40" s="543"/>
      <c r="UYL40" s="543"/>
      <c r="UYM40" s="543"/>
      <c r="UYN40" s="543"/>
      <c r="UYO40" s="543"/>
      <c r="UYP40" s="543"/>
      <c r="UYQ40" s="543"/>
      <c r="UYR40" s="543"/>
      <c r="UYS40" s="543"/>
      <c r="UYT40" s="543"/>
      <c r="UYU40" s="543"/>
      <c r="UYV40" s="543"/>
      <c r="UYW40" s="543"/>
      <c r="UYX40" s="543"/>
      <c r="UYY40" s="543"/>
      <c r="UYZ40" s="543"/>
      <c r="UZA40" s="543"/>
      <c r="UZB40" s="543"/>
      <c r="UZC40" s="543"/>
      <c r="UZD40" s="543"/>
      <c r="UZE40" s="543"/>
      <c r="UZF40" s="543"/>
      <c r="UZG40" s="543"/>
      <c r="UZH40" s="543"/>
      <c r="UZI40" s="543"/>
      <c r="UZJ40" s="543"/>
      <c r="UZK40" s="543"/>
      <c r="UZL40" s="543"/>
      <c r="UZM40" s="543"/>
      <c r="UZN40" s="543"/>
      <c r="UZO40" s="543"/>
      <c r="UZP40" s="543"/>
      <c r="UZQ40" s="543"/>
      <c r="UZR40" s="543"/>
      <c r="UZS40" s="543"/>
      <c r="UZT40" s="543"/>
      <c r="UZU40" s="543"/>
      <c r="UZV40" s="543"/>
      <c r="UZW40" s="543"/>
      <c r="UZX40" s="543"/>
      <c r="UZY40" s="543"/>
      <c r="UZZ40" s="543"/>
      <c r="VAA40" s="543"/>
      <c r="VAB40" s="543"/>
      <c r="VAC40" s="543"/>
      <c r="VAD40" s="543"/>
      <c r="VAE40" s="543"/>
      <c r="VAF40" s="543"/>
      <c r="VAG40" s="543"/>
      <c r="VAH40" s="543"/>
      <c r="VAI40" s="543"/>
      <c r="VAJ40" s="543"/>
      <c r="VAK40" s="543"/>
      <c r="VAL40" s="543"/>
      <c r="VAM40" s="543"/>
      <c r="VAN40" s="543"/>
      <c r="VAO40" s="543"/>
      <c r="VAP40" s="543"/>
      <c r="VAQ40" s="543"/>
      <c r="VAR40" s="543"/>
      <c r="VAS40" s="543"/>
      <c r="VAT40" s="543"/>
      <c r="VAU40" s="543"/>
      <c r="VAV40" s="543"/>
      <c r="VAW40" s="543"/>
      <c r="VAX40" s="543"/>
      <c r="VAY40" s="543"/>
      <c r="VAZ40" s="543"/>
      <c r="VBA40" s="543"/>
      <c r="VBB40" s="543"/>
      <c r="VBC40" s="543"/>
      <c r="VBD40" s="543"/>
      <c r="VBE40" s="543"/>
      <c r="VBF40" s="543"/>
      <c r="VBG40" s="543"/>
      <c r="VBH40" s="543"/>
      <c r="VBI40" s="543"/>
      <c r="VBJ40" s="543"/>
      <c r="VBK40" s="543"/>
      <c r="VBL40" s="543"/>
      <c r="VBM40" s="543"/>
      <c r="VBN40" s="543"/>
      <c r="VBO40" s="543"/>
      <c r="VBP40" s="543"/>
      <c r="VBQ40" s="543"/>
      <c r="VBR40" s="543"/>
      <c r="VBS40" s="543"/>
      <c r="VBT40" s="543"/>
      <c r="VBU40" s="543"/>
      <c r="VBV40" s="543"/>
      <c r="VBW40" s="543"/>
      <c r="VBX40" s="543"/>
      <c r="VBY40" s="543"/>
      <c r="VBZ40" s="543"/>
      <c r="VCA40" s="543"/>
      <c r="VCB40" s="543"/>
      <c r="VCC40" s="543"/>
      <c r="VCD40" s="543"/>
      <c r="VCE40" s="543"/>
      <c r="VCF40" s="543"/>
      <c r="VCG40" s="543"/>
      <c r="VCH40" s="543"/>
      <c r="VCI40" s="543"/>
      <c r="VCJ40" s="543"/>
      <c r="VCK40" s="543"/>
      <c r="VCL40" s="543"/>
      <c r="VCM40" s="543"/>
      <c r="VCN40" s="543"/>
      <c r="VCO40" s="543"/>
      <c r="VCP40" s="543"/>
      <c r="VCQ40" s="543"/>
      <c r="VCR40" s="543"/>
      <c r="VCS40" s="543"/>
      <c r="VCT40" s="543"/>
      <c r="VCU40" s="543"/>
      <c r="VCV40" s="543"/>
      <c r="VCW40" s="543"/>
      <c r="VCX40" s="543"/>
      <c r="VCY40" s="543"/>
      <c r="VCZ40" s="543"/>
      <c r="VDA40" s="543"/>
      <c r="VDB40" s="543"/>
      <c r="VDC40" s="543"/>
      <c r="VDD40" s="543"/>
      <c r="VDE40" s="543"/>
      <c r="VDF40" s="543"/>
      <c r="VDG40" s="543"/>
      <c r="VDH40" s="543"/>
      <c r="VDI40" s="543"/>
      <c r="VDJ40" s="543"/>
      <c r="VDK40" s="543"/>
      <c r="VDL40" s="543"/>
      <c r="VDM40" s="543"/>
      <c r="VDN40" s="543"/>
      <c r="VDO40" s="543"/>
      <c r="VDP40" s="543"/>
      <c r="VDQ40" s="543"/>
      <c r="VDR40" s="543"/>
      <c r="VDS40" s="543"/>
      <c r="VDT40" s="543"/>
      <c r="VDU40" s="543"/>
      <c r="VDV40" s="543"/>
      <c r="VDW40" s="543"/>
      <c r="VDX40" s="543"/>
      <c r="VDY40" s="543"/>
      <c r="VDZ40" s="543"/>
      <c r="VEA40" s="543"/>
      <c r="VEB40" s="543"/>
      <c r="VEC40" s="543"/>
      <c r="VED40" s="543"/>
      <c r="VEE40" s="543"/>
      <c r="VEF40" s="543"/>
      <c r="VEG40" s="543"/>
      <c r="VEH40" s="543"/>
      <c r="VEI40" s="543"/>
      <c r="VEJ40" s="543"/>
      <c r="VEK40" s="543"/>
      <c r="VEL40" s="543"/>
      <c r="VEM40" s="543"/>
      <c r="VEN40" s="543"/>
      <c r="VEO40" s="543"/>
      <c r="VEP40" s="543"/>
      <c r="VEQ40" s="543"/>
      <c r="VER40" s="543"/>
      <c r="VES40" s="543"/>
      <c r="VET40" s="543"/>
      <c r="VEU40" s="543"/>
      <c r="VEV40" s="543"/>
      <c r="VEW40" s="543"/>
      <c r="VEX40" s="543"/>
      <c r="VEY40" s="543"/>
      <c r="VEZ40" s="543"/>
      <c r="VFA40" s="543"/>
      <c r="VFB40" s="543"/>
      <c r="VFC40" s="543"/>
      <c r="VFD40" s="543"/>
      <c r="VFE40" s="543"/>
      <c r="VFF40" s="543"/>
      <c r="VFG40" s="543"/>
      <c r="VFH40" s="543"/>
      <c r="VFI40" s="543"/>
      <c r="VFJ40" s="543"/>
      <c r="VFK40" s="543"/>
      <c r="VFL40" s="543"/>
      <c r="VFM40" s="543"/>
      <c r="VFN40" s="543"/>
      <c r="VFO40" s="543"/>
      <c r="VFP40" s="543"/>
      <c r="VFQ40" s="543"/>
      <c r="VFR40" s="543"/>
      <c r="VFS40" s="543"/>
      <c r="VFT40" s="543"/>
      <c r="VFU40" s="543"/>
      <c r="VFV40" s="543"/>
      <c r="VFW40" s="543"/>
      <c r="VFX40" s="543"/>
      <c r="VFY40" s="543"/>
      <c r="VFZ40" s="543"/>
      <c r="VGA40" s="543"/>
      <c r="VGB40" s="543"/>
      <c r="VGC40" s="543"/>
      <c r="VGD40" s="543"/>
      <c r="VGE40" s="543"/>
      <c r="VGF40" s="543"/>
      <c r="VGG40" s="543"/>
      <c r="VGH40" s="543"/>
      <c r="VGI40" s="543"/>
      <c r="VGJ40" s="543"/>
      <c r="VGK40" s="543"/>
      <c r="VGL40" s="543"/>
      <c r="VGM40" s="543"/>
      <c r="VGN40" s="543"/>
      <c r="VGO40" s="543"/>
      <c r="VGP40" s="543"/>
      <c r="VGQ40" s="543"/>
      <c r="VGR40" s="543"/>
      <c r="VGS40" s="543"/>
      <c r="VGT40" s="543"/>
      <c r="VGU40" s="543"/>
      <c r="VGV40" s="543"/>
      <c r="VGW40" s="543"/>
      <c r="VGX40" s="543"/>
      <c r="VGY40" s="543"/>
      <c r="VGZ40" s="543"/>
      <c r="VHA40" s="543"/>
      <c r="VHB40" s="543"/>
      <c r="VHC40" s="543"/>
      <c r="VHD40" s="543"/>
      <c r="VHE40" s="543"/>
      <c r="VHF40" s="543"/>
      <c r="VHG40" s="543"/>
      <c r="VHH40" s="543"/>
      <c r="VHI40" s="543"/>
      <c r="VHJ40" s="543"/>
      <c r="VHK40" s="543"/>
      <c r="VHL40" s="543"/>
      <c r="VHM40" s="543"/>
      <c r="VHN40" s="543"/>
      <c r="VHO40" s="543"/>
      <c r="VHP40" s="543"/>
      <c r="VHQ40" s="543"/>
      <c r="VHR40" s="543"/>
      <c r="VHS40" s="543"/>
      <c r="VHT40" s="543"/>
      <c r="VHU40" s="543"/>
      <c r="VHV40" s="543"/>
      <c r="VHW40" s="543"/>
      <c r="VHX40" s="543"/>
      <c r="VHY40" s="543"/>
      <c r="VHZ40" s="543"/>
      <c r="VIA40" s="543"/>
      <c r="VIB40" s="543"/>
      <c r="VIC40" s="543"/>
      <c r="VID40" s="543"/>
      <c r="VIE40" s="543"/>
      <c r="VIF40" s="543"/>
      <c r="VIG40" s="543"/>
      <c r="VIH40" s="543"/>
      <c r="VII40" s="543"/>
      <c r="VIJ40" s="543"/>
      <c r="VIK40" s="543"/>
      <c r="VIL40" s="543"/>
      <c r="VIM40" s="543"/>
      <c r="VIN40" s="543"/>
      <c r="VIO40" s="543"/>
      <c r="VIP40" s="543"/>
      <c r="VIQ40" s="543"/>
      <c r="VIR40" s="543"/>
      <c r="VIS40" s="543"/>
      <c r="VIT40" s="543"/>
      <c r="VIU40" s="543"/>
      <c r="VIV40" s="543"/>
      <c r="VIW40" s="543"/>
      <c r="VIX40" s="543"/>
      <c r="VIY40" s="543"/>
      <c r="VIZ40" s="543"/>
      <c r="VJA40" s="543"/>
      <c r="VJB40" s="543"/>
      <c r="VJC40" s="543"/>
      <c r="VJD40" s="543"/>
      <c r="VJE40" s="543"/>
      <c r="VJF40" s="543"/>
      <c r="VJG40" s="543"/>
      <c r="VJH40" s="543"/>
      <c r="VJI40" s="543"/>
      <c r="VJJ40" s="543"/>
      <c r="VJK40" s="543"/>
      <c r="VJL40" s="543"/>
      <c r="VJM40" s="543"/>
      <c r="VJN40" s="543"/>
      <c r="VJO40" s="543"/>
      <c r="VJP40" s="543"/>
      <c r="VJQ40" s="543"/>
      <c r="VJR40" s="543"/>
      <c r="VJS40" s="543"/>
      <c r="VJT40" s="543"/>
      <c r="VJU40" s="543"/>
      <c r="VJV40" s="543"/>
      <c r="VJW40" s="543"/>
      <c r="VJX40" s="543"/>
      <c r="VJY40" s="543"/>
      <c r="VJZ40" s="543"/>
      <c r="VKA40" s="543"/>
      <c r="VKB40" s="543"/>
      <c r="VKC40" s="543"/>
      <c r="VKD40" s="543"/>
      <c r="VKE40" s="543"/>
      <c r="VKF40" s="543"/>
      <c r="VKG40" s="543"/>
      <c r="VKH40" s="543"/>
      <c r="VKI40" s="543"/>
      <c r="VKJ40" s="543"/>
      <c r="VKK40" s="543"/>
      <c r="VKL40" s="543"/>
      <c r="VKM40" s="543"/>
      <c r="VKN40" s="543"/>
      <c r="VKO40" s="543"/>
      <c r="VKP40" s="543"/>
      <c r="VKQ40" s="543"/>
      <c r="VKR40" s="543"/>
      <c r="VKS40" s="543"/>
      <c r="VKT40" s="543"/>
      <c r="VKU40" s="543"/>
      <c r="VKV40" s="543"/>
      <c r="VKW40" s="543"/>
      <c r="VKX40" s="543"/>
      <c r="VKY40" s="543"/>
      <c r="VKZ40" s="543"/>
      <c r="VLA40" s="543"/>
      <c r="VLB40" s="543"/>
      <c r="VLC40" s="543"/>
      <c r="VLD40" s="543"/>
      <c r="VLE40" s="543"/>
      <c r="VLF40" s="543"/>
      <c r="VLG40" s="543"/>
      <c r="VLH40" s="543"/>
      <c r="VLI40" s="543"/>
      <c r="VLJ40" s="543"/>
      <c r="VLK40" s="543"/>
      <c r="VLL40" s="543"/>
      <c r="VLM40" s="543"/>
      <c r="VLN40" s="543"/>
      <c r="VLO40" s="543"/>
      <c r="VLP40" s="543"/>
      <c r="VLQ40" s="543"/>
      <c r="VLR40" s="543"/>
      <c r="VLS40" s="543"/>
      <c r="VLT40" s="543"/>
      <c r="VLU40" s="543"/>
      <c r="VLV40" s="543"/>
      <c r="VLW40" s="543"/>
      <c r="VLX40" s="543"/>
      <c r="VLY40" s="543"/>
      <c r="VLZ40" s="543"/>
      <c r="VMA40" s="543"/>
      <c r="VMB40" s="543"/>
      <c r="VMC40" s="543"/>
      <c r="VMD40" s="543"/>
      <c r="VME40" s="543"/>
      <c r="VMF40" s="543"/>
      <c r="VMG40" s="543"/>
      <c r="VMH40" s="543"/>
      <c r="VMI40" s="543"/>
      <c r="VMJ40" s="543"/>
      <c r="VMK40" s="543"/>
      <c r="VML40" s="543"/>
      <c r="VMM40" s="543"/>
      <c r="VMN40" s="543"/>
      <c r="VMO40" s="543"/>
      <c r="VMP40" s="543"/>
      <c r="VMQ40" s="543"/>
      <c r="VMR40" s="543"/>
      <c r="VMS40" s="543"/>
      <c r="VMT40" s="543"/>
      <c r="VMU40" s="543"/>
      <c r="VMV40" s="543"/>
      <c r="VMW40" s="543"/>
      <c r="VMX40" s="543"/>
      <c r="VMY40" s="543"/>
      <c r="VMZ40" s="543"/>
      <c r="VNA40" s="543"/>
      <c r="VNB40" s="543"/>
      <c r="VNC40" s="543"/>
      <c r="VND40" s="543"/>
      <c r="VNE40" s="543"/>
      <c r="VNF40" s="543"/>
      <c r="VNG40" s="543"/>
      <c r="VNH40" s="543"/>
      <c r="VNI40" s="543"/>
      <c r="VNJ40" s="543"/>
      <c r="VNK40" s="543"/>
      <c r="VNL40" s="543"/>
      <c r="VNM40" s="543"/>
      <c r="VNN40" s="543"/>
      <c r="VNO40" s="543"/>
      <c r="VNP40" s="543"/>
      <c r="VNQ40" s="543"/>
      <c r="VNR40" s="543"/>
      <c r="VNS40" s="543"/>
      <c r="VNT40" s="543"/>
      <c r="VNU40" s="543"/>
      <c r="VNV40" s="543"/>
      <c r="VNW40" s="543"/>
      <c r="VNX40" s="543"/>
      <c r="VNY40" s="543"/>
      <c r="VNZ40" s="543"/>
      <c r="VOA40" s="543"/>
      <c r="VOB40" s="543"/>
      <c r="VOC40" s="543"/>
      <c r="VOD40" s="543"/>
      <c r="VOE40" s="543"/>
      <c r="VOF40" s="543"/>
      <c r="VOG40" s="543"/>
      <c r="VOH40" s="543"/>
      <c r="VOI40" s="543"/>
      <c r="VOJ40" s="543"/>
      <c r="VOK40" s="543"/>
      <c r="VOL40" s="543"/>
      <c r="VOM40" s="543"/>
      <c r="VON40" s="543"/>
      <c r="VOO40" s="543"/>
      <c r="VOP40" s="543"/>
      <c r="VOQ40" s="543"/>
      <c r="VOR40" s="543"/>
      <c r="VOS40" s="543"/>
      <c r="VOT40" s="543"/>
      <c r="VOU40" s="543"/>
      <c r="VOV40" s="543"/>
      <c r="VOW40" s="543"/>
      <c r="VOX40" s="543"/>
      <c r="VOY40" s="543"/>
      <c r="VOZ40" s="543"/>
      <c r="VPA40" s="543"/>
      <c r="VPB40" s="543"/>
      <c r="VPC40" s="543"/>
      <c r="VPD40" s="543"/>
      <c r="VPE40" s="543"/>
      <c r="VPF40" s="543"/>
      <c r="VPG40" s="543"/>
      <c r="VPH40" s="543"/>
      <c r="VPI40" s="543"/>
      <c r="VPJ40" s="543"/>
      <c r="VPK40" s="543"/>
      <c r="VPL40" s="543"/>
      <c r="VPM40" s="543"/>
      <c r="VPN40" s="543"/>
      <c r="VPO40" s="543"/>
      <c r="VPP40" s="543"/>
      <c r="VPQ40" s="543"/>
      <c r="VPR40" s="543"/>
      <c r="VPS40" s="543"/>
      <c r="VPT40" s="543"/>
      <c r="VPU40" s="543"/>
      <c r="VPV40" s="543"/>
      <c r="VPW40" s="543"/>
      <c r="VPX40" s="543"/>
      <c r="VPY40" s="543"/>
      <c r="VPZ40" s="543"/>
      <c r="VQA40" s="543"/>
      <c r="VQB40" s="543"/>
      <c r="VQC40" s="543"/>
      <c r="VQD40" s="543"/>
      <c r="VQE40" s="543"/>
      <c r="VQF40" s="543"/>
      <c r="VQG40" s="543"/>
      <c r="VQH40" s="543"/>
      <c r="VQI40" s="543"/>
      <c r="VQJ40" s="543"/>
      <c r="VQK40" s="543"/>
      <c r="VQL40" s="543"/>
      <c r="VQM40" s="543"/>
      <c r="VQN40" s="543"/>
      <c r="VQO40" s="543"/>
      <c r="VQP40" s="543"/>
      <c r="VQQ40" s="543"/>
      <c r="VQR40" s="543"/>
      <c r="VQS40" s="543"/>
      <c r="VQT40" s="543"/>
      <c r="VQU40" s="543"/>
      <c r="VQV40" s="543"/>
      <c r="VQW40" s="543"/>
      <c r="VQX40" s="543"/>
      <c r="VQY40" s="543"/>
      <c r="VQZ40" s="543"/>
      <c r="VRA40" s="543"/>
      <c r="VRB40" s="543"/>
      <c r="VRC40" s="543"/>
      <c r="VRD40" s="543"/>
      <c r="VRE40" s="543"/>
      <c r="VRF40" s="543"/>
      <c r="VRG40" s="543"/>
      <c r="VRH40" s="543"/>
      <c r="VRI40" s="543"/>
      <c r="VRJ40" s="543"/>
      <c r="VRK40" s="543"/>
      <c r="VRL40" s="543"/>
      <c r="VRM40" s="543"/>
      <c r="VRN40" s="543"/>
      <c r="VRO40" s="543"/>
      <c r="VRP40" s="543"/>
      <c r="VRQ40" s="543"/>
      <c r="VRR40" s="543"/>
      <c r="VRS40" s="543"/>
      <c r="VRT40" s="543"/>
      <c r="VRU40" s="543"/>
      <c r="VRV40" s="543"/>
      <c r="VRW40" s="543"/>
      <c r="VRX40" s="543"/>
      <c r="VRY40" s="543"/>
      <c r="VRZ40" s="543"/>
      <c r="VSA40" s="543"/>
      <c r="VSB40" s="543"/>
      <c r="VSC40" s="543"/>
      <c r="VSD40" s="543"/>
      <c r="VSE40" s="543"/>
      <c r="VSF40" s="543"/>
      <c r="VSG40" s="543"/>
      <c r="VSH40" s="543"/>
      <c r="VSI40" s="543"/>
      <c r="VSJ40" s="543"/>
      <c r="VSK40" s="543"/>
      <c r="VSL40" s="543"/>
      <c r="VSM40" s="543"/>
      <c r="VSN40" s="543"/>
      <c r="VSO40" s="543"/>
      <c r="VSP40" s="543"/>
      <c r="VSQ40" s="543"/>
      <c r="VSR40" s="543"/>
      <c r="VSS40" s="543"/>
      <c r="VST40" s="543"/>
      <c r="VSU40" s="543"/>
      <c r="VSV40" s="543"/>
      <c r="VSW40" s="543"/>
      <c r="VSX40" s="543"/>
      <c r="VSY40" s="543"/>
      <c r="VSZ40" s="543"/>
      <c r="VTA40" s="543"/>
      <c r="VTB40" s="543"/>
      <c r="VTC40" s="543"/>
      <c r="VTD40" s="543"/>
      <c r="VTE40" s="543"/>
      <c r="VTF40" s="543"/>
      <c r="VTG40" s="543"/>
      <c r="VTH40" s="543"/>
      <c r="VTI40" s="543"/>
      <c r="VTJ40" s="543"/>
      <c r="VTK40" s="543"/>
      <c r="VTL40" s="543"/>
      <c r="VTM40" s="543"/>
      <c r="VTN40" s="543"/>
      <c r="VTO40" s="543"/>
      <c r="VTP40" s="543"/>
      <c r="VTQ40" s="543"/>
      <c r="VTR40" s="543"/>
      <c r="VTS40" s="543"/>
      <c r="VTT40" s="543"/>
      <c r="VTU40" s="543"/>
      <c r="VTV40" s="543"/>
      <c r="VTW40" s="543"/>
      <c r="VTX40" s="543"/>
      <c r="VTY40" s="543"/>
      <c r="VTZ40" s="543"/>
      <c r="VUA40" s="543"/>
      <c r="VUB40" s="543"/>
      <c r="VUC40" s="543"/>
      <c r="VUD40" s="543"/>
      <c r="VUE40" s="543"/>
      <c r="VUF40" s="543"/>
      <c r="VUG40" s="543"/>
      <c r="VUH40" s="543"/>
      <c r="VUI40" s="543"/>
      <c r="VUJ40" s="543"/>
      <c r="VUK40" s="543"/>
      <c r="VUL40" s="543"/>
      <c r="VUM40" s="543"/>
      <c r="VUN40" s="543"/>
      <c r="VUO40" s="543"/>
      <c r="VUP40" s="543"/>
      <c r="VUQ40" s="543"/>
      <c r="VUR40" s="543"/>
      <c r="VUS40" s="543"/>
      <c r="VUT40" s="543"/>
      <c r="VUU40" s="543"/>
      <c r="VUV40" s="543"/>
      <c r="VUW40" s="543"/>
      <c r="VUX40" s="543"/>
      <c r="VUY40" s="543"/>
      <c r="VUZ40" s="543"/>
      <c r="VVA40" s="543"/>
      <c r="VVB40" s="543"/>
      <c r="VVC40" s="543"/>
      <c r="VVD40" s="543"/>
      <c r="VVE40" s="543"/>
      <c r="VVF40" s="543"/>
      <c r="VVG40" s="543"/>
      <c r="VVH40" s="543"/>
      <c r="VVI40" s="543"/>
      <c r="VVJ40" s="543"/>
      <c r="VVK40" s="543"/>
      <c r="VVL40" s="543"/>
      <c r="VVM40" s="543"/>
      <c r="VVN40" s="543"/>
      <c r="VVO40" s="543"/>
      <c r="VVP40" s="543"/>
      <c r="VVQ40" s="543"/>
      <c r="VVR40" s="543"/>
      <c r="VVS40" s="543"/>
      <c r="VVT40" s="543"/>
      <c r="VVU40" s="543"/>
      <c r="VVV40" s="543"/>
      <c r="VVW40" s="543"/>
      <c r="VVX40" s="543"/>
      <c r="VVY40" s="543"/>
      <c r="VVZ40" s="543"/>
      <c r="VWA40" s="543"/>
      <c r="VWB40" s="543"/>
      <c r="VWC40" s="543"/>
      <c r="VWD40" s="543"/>
      <c r="VWE40" s="543"/>
      <c r="VWF40" s="543"/>
      <c r="VWG40" s="543"/>
      <c r="VWH40" s="543"/>
      <c r="VWI40" s="543"/>
      <c r="VWJ40" s="543"/>
      <c r="VWK40" s="543"/>
      <c r="VWL40" s="543"/>
      <c r="VWM40" s="543"/>
      <c r="VWN40" s="543"/>
      <c r="VWO40" s="543"/>
      <c r="VWP40" s="543"/>
      <c r="VWQ40" s="543"/>
      <c r="VWR40" s="543"/>
      <c r="VWS40" s="543"/>
      <c r="VWT40" s="543"/>
      <c r="VWU40" s="543"/>
      <c r="VWV40" s="543"/>
      <c r="VWW40" s="543"/>
      <c r="VWX40" s="543"/>
      <c r="VWY40" s="543"/>
      <c r="VWZ40" s="543"/>
      <c r="VXA40" s="543"/>
      <c r="VXB40" s="543"/>
      <c r="VXC40" s="543"/>
      <c r="VXD40" s="543"/>
      <c r="VXE40" s="543"/>
      <c r="VXF40" s="543"/>
      <c r="VXG40" s="543"/>
      <c r="VXH40" s="543"/>
      <c r="VXI40" s="543"/>
      <c r="VXJ40" s="543"/>
      <c r="VXK40" s="543"/>
      <c r="VXL40" s="543"/>
      <c r="VXM40" s="543"/>
      <c r="VXN40" s="543"/>
      <c r="VXO40" s="543"/>
      <c r="VXP40" s="543"/>
      <c r="VXQ40" s="543"/>
      <c r="VXR40" s="543"/>
      <c r="VXS40" s="543"/>
      <c r="VXT40" s="543"/>
      <c r="VXU40" s="543"/>
      <c r="VXV40" s="543"/>
      <c r="VXW40" s="543"/>
      <c r="VXX40" s="543"/>
      <c r="VXY40" s="543"/>
      <c r="VXZ40" s="543"/>
      <c r="VYA40" s="543"/>
      <c r="VYB40" s="543"/>
      <c r="VYC40" s="543"/>
      <c r="VYD40" s="543"/>
      <c r="VYE40" s="543"/>
      <c r="VYF40" s="543"/>
      <c r="VYG40" s="543"/>
      <c r="VYH40" s="543"/>
      <c r="VYI40" s="543"/>
      <c r="VYJ40" s="543"/>
      <c r="VYK40" s="543"/>
      <c r="VYL40" s="543"/>
      <c r="VYM40" s="543"/>
      <c r="VYN40" s="543"/>
      <c r="VYO40" s="543"/>
      <c r="VYP40" s="543"/>
      <c r="VYQ40" s="543"/>
      <c r="VYR40" s="543"/>
      <c r="VYS40" s="543"/>
      <c r="VYT40" s="543"/>
      <c r="VYU40" s="543"/>
      <c r="VYV40" s="543"/>
      <c r="VYW40" s="543"/>
      <c r="VYX40" s="543"/>
      <c r="VYY40" s="543"/>
      <c r="VYZ40" s="543"/>
      <c r="VZA40" s="543"/>
      <c r="VZB40" s="543"/>
      <c r="VZC40" s="543"/>
      <c r="VZD40" s="543"/>
      <c r="VZE40" s="543"/>
      <c r="VZF40" s="543"/>
      <c r="VZG40" s="543"/>
      <c r="VZH40" s="543"/>
      <c r="VZI40" s="543"/>
      <c r="VZJ40" s="543"/>
      <c r="VZK40" s="543"/>
      <c r="VZL40" s="543"/>
      <c r="VZM40" s="543"/>
      <c r="VZN40" s="543"/>
      <c r="VZO40" s="543"/>
      <c r="VZP40" s="543"/>
      <c r="VZQ40" s="543"/>
      <c r="VZR40" s="543"/>
      <c r="VZS40" s="543"/>
      <c r="VZT40" s="543"/>
      <c r="VZU40" s="543"/>
      <c r="VZV40" s="543"/>
      <c r="VZW40" s="543"/>
      <c r="VZX40" s="543"/>
      <c r="VZY40" s="543"/>
      <c r="VZZ40" s="543"/>
      <c r="WAA40" s="543"/>
      <c r="WAB40" s="543"/>
      <c r="WAC40" s="543"/>
      <c r="WAD40" s="543"/>
      <c r="WAE40" s="543"/>
      <c r="WAF40" s="543"/>
      <c r="WAG40" s="543"/>
      <c r="WAH40" s="543"/>
      <c r="WAI40" s="543"/>
      <c r="WAJ40" s="543"/>
      <c r="WAK40" s="543"/>
      <c r="WAL40" s="543"/>
      <c r="WAM40" s="543"/>
      <c r="WAN40" s="543"/>
      <c r="WAO40" s="543"/>
      <c r="WAP40" s="543"/>
      <c r="WAQ40" s="543"/>
      <c r="WAR40" s="543"/>
      <c r="WAS40" s="543"/>
      <c r="WAT40" s="543"/>
      <c r="WAU40" s="543"/>
      <c r="WAV40" s="543"/>
      <c r="WAW40" s="543"/>
      <c r="WAX40" s="543"/>
      <c r="WAY40" s="543"/>
      <c r="WAZ40" s="543"/>
      <c r="WBA40" s="543"/>
      <c r="WBB40" s="543"/>
      <c r="WBC40" s="543"/>
      <c r="WBD40" s="543"/>
      <c r="WBE40" s="543"/>
      <c r="WBF40" s="543"/>
      <c r="WBG40" s="543"/>
      <c r="WBH40" s="543"/>
      <c r="WBI40" s="543"/>
      <c r="WBJ40" s="543"/>
      <c r="WBK40" s="543"/>
      <c r="WBL40" s="543"/>
      <c r="WBM40" s="543"/>
      <c r="WBN40" s="543"/>
      <c r="WBO40" s="543"/>
      <c r="WBP40" s="543"/>
      <c r="WBQ40" s="543"/>
      <c r="WBR40" s="543"/>
      <c r="WBS40" s="543"/>
      <c r="WBT40" s="543"/>
      <c r="WBU40" s="543"/>
      <c r="WBV40" s="543"/>
      <c r="WBW40" s="543"/>
      <c r="WBX40" s="543"/>
      <c r="WBY40" s="543"/>
      <c r="WBZ40" s="543"/>
      <c r="WCA40" s="543"/>
      <c r="WCB40" s="543"/>
      <c r="WCC40" s="543"/>
      <c r="WCD40" s="543"/>
      <c r="WCE40" s="543"/>
      <c r="WCF40" s="543"/>
      <c r="WCG40" s="543"/>
      <c r="WCH40" s="543"/>
      <c r="WCI40" s="543"/>
      <c r="WCJ40" s="543"/>
      <c r="WCK40" s="543"/>
      <c r="WCL40" s="543"/>
      <c r="WCM40" s="543"/>
      <c r="WCN40" s="543"/>
      <c r="WCO40" s="543"/>
      <c r="WCP40" s="543"/>
      <c r="WCQ40" s="543"/>
      <c r="WCR40" s="543"/>
      <c r="WCS40" s="543"/>
      <c r="WCT40" s="543"/>
      <c r="WCU40" s="543"/>
      <c r="WCV40" s="543"/>
      <c r="WCW40" s="543"/>
      <c r="WCX40" s="543"/>
      <c r="WCY40" s="543"/>
      <c r="WCZ40" s="543"/>
      <c r="WDA40" s="543"/>
      <c r="WDB40" s="543"/>
      <c r="WDC40" s="543"/>
      <c r="WDD40" s="543"/>
      <c r="WDE40" s="543"/>
      <c r="WDF40" s="543"/>
      <c r="WDG40" s="543"/>
      <c r="WDH40" s="543"/>
      <c r="WDI40" s="543"/>
      <c r="WDJ40" s="543"/>
      <c r="WDK40" s="543"/>
      <c r="WDL40" s="543"/>
      <c r="WDM40" s="543"/>
      <c r="WDN40" s="543"/>
      <c r="WDO40" s="543"/>
      <c r="WDP40" s="543"/>
      <c r="WDQ40" s="543"/>
      <c r="WDR40" s="543"/>
      <c r="WDS40" s="543"/>
      <c r="WDT40" s="543"/>
      <c r="WDU40" s="543"/>
      <c r="WDV40" s="543"/>
      <c r="WDW40" s="543"/>
      <c r="WDX40" s="543"/>
      <c r="WDY40" s="543"/>
      <c r="WDZ40" s="543"/>
      <c r="WEA40" s="543"/>
      <c r="WEB40" s="543"/>
      <c r="WEC40" s="543"/>
      <c r="WED40" s="543"/>
      <c r="WEE40" s="543"/>
      <c r="WEF40" s="543"/>
      <c r="WEG40" s="543"/>
      <c r="WEH40" s="543"/>
      <c r="WEI40" s="543"/>
      <c r="WEJ40" s="543"/>
      <c r="WEK40" s="543"/>
      <c r="WEL40" s="543"/>
      <c r="WEM40" s="543"/>
      <c r="WEN40" s="543"/>
      <c r="WEO40" s="543"/>
      <c r="WEP40" s="543"/>
      <c r="WEQ40" s="543"/>
      <c r="WER40" s="543"/>
      <c r="WES40" s="543"/>
      <c r="WET40" s="543"/>
      <c r="WEU40" s="543"/>
      <c r="WEV40" s="543"/>
      <c r="WEW40" s="543"/>
      <c r="WEX40" s="543"/>
      <c r="WEY40" s="543"/>
      <c r="WEZ40" s="543"/>
      <c r="WFA40" s="543"/>
      <c r="WFB40" s="543"/>
      <c r="WFC40" s="543"/>
      <c r="WFD40" s="543"/>
      <c r="WFE40" s="543"/>
      <c r="WFF40" s="543"/>
      <c r="WFG40" s="543"/>
      <c r="WFH40" s="543"/>
      <c r="WFI40" s="543"/>
      <c r="WFJ40" s="543"/>
      <c r="WFK40" s="543"/>
      <c r="WFL40" s="543"/>
      <c r="WFM40" s="543"/>
      <c r="WFN40" s="543"/>
      <c r="WFO40" s="543"/>
      <c r="WFP40" s="543"/>
      <c r="WFQ40" s="543"/>
      <c r="WFR40" s="543"/>
      <c r="WFS40" s="543"/>
      <c r="WFT40" s="543"/>
      <c r="WFU40" s="543"/>
      <c r="WFV40" s="543"/>
      <c r="WFW40" s="543"/>
      <c r="WFX40" s="543"/>
      <c r="WFY40" s="543"/>
      <c r="WFZ40" s="543"/>
      <c r="WGA40" s="543"/>
      <c r="WGB40" s="543"/>
      <c r="WGC40" s="543"/>
      <c r="WGD40" s="543"/>
      <c r="WGE40" s="543"/>
      <c r="WGF40" s="543"/>
      <c r="WGG40" s="543"/>
      <c r="WGH40" s="543"/>
      <c r="WGI40" s="543"/>
      <c r="WGJ40" s="543"/>
      <c r="WGK40" s="543"/>
      <c r="WGL40" s="543"/>
      <c r="WGM40" s="543"/>
      <c r="WGN40" s="543"/>
      <c r="WGO40" s="543"/>
      <c r="WGP40" s="543"/>
      <c r="WGQ40" s="543"/>
      <c r="WGR40" s="543"/>
      <c r="WGS40" s="543"/>
      <c r="WGT40" s="543"/>
      <c r="WGU40" s="543"/>
      <c r="WGV40" s="543"/>
      <c r="WGW40" s="543"/>
      <c r="WGX40" s="543"/>
      <c r="WGY40" s="543"/>
      <c r="WGZ40" s="543"/>
      <c r="WHA40" s="543"/>
      <c r="WHB40" s="543"/>
      <c r="WHC40" s="543"/>
      <c r="WHD40" s="543"/>
      <c r="WHE40" s="543"/>
      <c r="WHF40" s="543"/>
      <c r="WHG40" s="543"/>
      <c r="WHH40" s="543"/>
      <c r="WHI40" s="543"/>
      <c r="WHJ40" s="543"/>
      <c r="WHK40" s="543"/>
      <c r="WHL40" s="543"/>
      <c r="WHM40" s="543"/>
      <c r="WHN40" s="543"/>
      <c r="WHO40" s="543"/>
      <c r="WHP40" s="543"/>
      <c r="WHQ40" s="543"/>
      <c r="WHR40" s="543"/>
      <c r="WHS40" s="543"/>
      <c r="WHT40" s="543"/>
      <c r="WHU40" s="543"/>
      <c r="WHV40" s="543"/>
      <c r="WHW40" s="543"/>
      <c r="WHX40" s="543"/>
      <c r="WHY40" s="543"/>
      <c r="WHZ40" s="543"/>
      <c r="WIA40" s="543"/>
      <c r="WIB40" s="543"/>
      <c r="WIC40" s="543"/>
      <c r="WID40" s="543"/>
      <c r="WIE40" s="543"/>
      <c r="WIF40" s="543"/>
      <c r="WIG40" s="543"/>
      <c r="WIH40" s="543"/>
      <c r="WII40" s="543"/>
      <c r="WIJ40" s="543"/>
      <c r="WIK40" s="543"/>
      <c r="WIL40" s="543"/>
      <c r="WIM40" s="543"/>
      <c r="WIN40" s="543"/>
      <c r="WIO40" s="543"/>
      <c r="WIP40" s="543"/>
      <c r="WIQ40" s="543"/>
      <c r="WIR40" s="543"/>
      <c r="WIS40" s="543"/>
      <c r="WIT40" s="543"/>
      <c r="WIU40" s="543"/>
      <c r="WIV40" s="543"/>
      <c r="WIW40" s="543"/>
      <c r="WIX40" s="543"/>
      <c r="WIY40" s="543"/>
      <c r="WIZ40" s="543"/>
      <c r="WJA40" s="543"/>
      <c r="WJB40" s="543"/>
      <c r="WJC40" s="543"/>
      <c r="WJD40" s="543"/>
      <c r="WJE40" s="543"/>
      <c r="WJF40" s="543"/>
      <c r="WJG40" s="543"/>
      <c r="WJH40" s="543"/>
      <c r="WJI40" s="543"/>
      <c r="WJJ40" s="543"/>
      <c r="WJK40" s="543"/>
      <c r="WJL40" s="543"/>
      <c r="WJM40" s="543"/>
      <c r="WJN40" s="543"/>
      <c r="WJO40" s="543"/>
      <c r="WJP40" s="543"/>
      <c r="WJQ40" s="543"/>
      <c r="WJR40" s="543"/>
      <c r="WJS40" s="543"/>
      <c r="WJT40" s="543"/>
      <c r="WJU40" s="543"/>
      <c r="WJV40" s="543"/>
      <c r="WJW40" s="543"/>
      <c r="WJX40" s="543"/>
      <c r="WJY40" s="543"/>
      <c r="WJZ40" s="543"/>
      <c r="WKA40" s="543"/>
      <c r="WKB40" s="543"/>
      <c r="WKC40" s="543"/>
      <c r="WKD40" s="543"/>
      <c r="WKE40" s="543"/>
      <c r="WKF40" s="543"/>
      <c r="WKG40" s="543"/>
      <c r="WKH40" s="543"/>
      <c r="WKI40" s="543"/>
      <c r="WKJ40" s="543"/>
      <c r="WKK40" s="543"/>
      <c r="WKL40" s="543"/>
      <c r="WKM40" s="543"/>
      <c r="WKN40" s="543"/>
      <c r="WKO40" s="543"/>
      <c r="WKP40" s="543"/>
      <c r="WKQ40" s="543"/>
      <c r="WKR40" s="543"/>
      <c r="WKS40" s="543"/>
      <c r="WKT40" s="543"/>
      <c r="WKU40" s="543"/>
      <c r="WKV40" s="543"/>
      <c r="WKW40" s="543"/>
      <c r="WKX40" s="543"/>
      <c r="WKY40" s="543"/>
      <c r="WKZ40" s="543"/>
      <c r="WLA40" s="543"/>
      <c r="WLB40" s="543"/>
      <c r="WLC40" s="543"/>
      <c r="WLD40" s="543"/>
      <c r="WLE40" s="543"/>
      <c r="WLF40" s="543"/>
      <c r="WLG40" s="543"/>
      <c r="WLH40" s="543"/>
      <c r="WLI40" s="543"/>
      <c r="WLJ40" s="543"/>
      <c r="WLK40" s="543"/>
      <c r="WLL40" s="543"/>
      <c r="WLM40" s="543"/>
      <c r="WLN40" s="543"/>
      <c r="WLO40" s="543"/>
      <c r="WLP40" s="543"/>
      <c r="WLQ40" s="543"/>
      <c r="WLR40" s="543"/>
      <c r="WLS40" s="543"/>
      <c r="WLT40" s="543"/>
      <c r="WLU40" s="543"/>
      <c r="WLV40" s="543"/>
      <c r="WLW40" s="543"/>
      <c r="WLX40" s="543"/>
      <c r="WLY40" s="543"/>
      <c r="WLZ40" s="543"/>
      <c r="WMA40" s="543"/>
      <c r="WMB40" s="543"/>
      <c r="WMC40" s="543"/>
      <c r="WMD40" s="543"/>
      <c r="WME40" s="543"/>
      <c r="WMF40" s="543"/>
      <c r="WMG40" s="543"/>
      <c r="WMH40" s="543"/>
      <c r="WMI40" s="543"/>
      <c r="WMJ40" s="543"/>
      <c r="WMK40" s="543"/>
      <c r="WML40" s="543"/>
      <c r="WMM40" s="543"/>
      <c r="WMN40" s="543"/>
      <c r="WMO40" s="543"/>
      <c r="WMP40" s="543"/>
      <c r="WMQ40" s="543"/>
      <c r="WMR40" s="543"/>
      <c r="WMS40" s="543"/>
      <c r="WMT40" s="543"/>
      <c r="WMU40" s="543"/>
      <c r="WMV40" s="543"/>
      <c r="WMW40" s="543"/>
      <c r="WMX40" s="543"/>
      <c r="WMY40" s="543"/>
      <c r="WMZ40" s="543"/>
      <c r="WNA40" s="543"/>
      <c r="WNB40" s="543"/>
      <c r="WNC40" s="543"/>
      <c r="WND40" s="543"/>
      <c r="WNE40" s="543"/>
      <c r="WNF40" s="543"/>
      <c r="WNG40" s="543"/>
      <c r="WNH40" s="543"/>
      <c r="WNI40" s="543"/>
      <c r="WNJ40" s="543"/>
      <c r="WNK40" s="543"/>
      <c r="WNL40" s="543"/>
      <c r="WNM40" s="543"/>
      <c r="WNN40" s="543"/>
      <c r="WNO40" s="543"/>
      <c r="WNP40" s="543"/>
      <c r="WNQ40" s="543"/>
      <c r="WNR40" s="543"/>
      <c r="WNS40" s="543"/>
      <c r="WNT40" s="543"/>
      <c r="WNU40" s="543"/>
      <c r="WNV40" s="543"/>
      <c r="WNW40" s="543"/>
      <c r="WNX40" s="543"/>
      <c r="WNY40" s="543"/>
      <c r="WNZ40" s="543"/>
      <c r="WOA40" s="543"/>
      <c r="WOB40" s="543"/>
      <c r="WOC40" s="543"/>
      <c r="WOD40" s="543"/>
      <c r="WOE40" s="543"/>
      <c r="WOF40" s="543"/>
      <c r="WOG40" s="543"/>
      <c r="WOH40" s="543"/>
      <c r="WOI40" s="543"/>
      <c r="WOJ40" s="543"/>
      <c r="WOK40" s="543"/>
      <c r="WOL40" s="543"/>
      <c r="WOM40" s="543"/>
      <c r="WON40" s="543"/>
      <c r="WOO40" s="543"/>
      <c r="WOP40" s="543"/>
      <c r="WOQ40" s="543"/>
      <c r="WOR40" s="543"/>
      <c r="WOS40" s="543"/>
      <c r="WOT40" s="543"/>
      <c r="WOU40" s="543"/>
      <c r="WOV40" s="543"/>
      <c r="WOW40" s="543"/>
      <c r="WOX40" s="543"/>
      <c r="WOY40" s="543"/>
      <c r="WOZ40" s="543"/>
      <c r="WPA40" s="543"/>
      <c r="WPB40" s="543"/>
      <c r="WPC40" s="543"/>
      <c r="WPD40" s="543"/>
      <c r="WPE40" s="543"/>
      <c r="WPF40" s="543"/>
      <c r="WPG40" s="543"/>
      <c r="WPH40" s="543"/>
      <c r="WPI40" s="543"/>
      <c r="WPJ40" s="543"/>
      <c r="WPK40" s="543"/>
      <c r="WPL40" s="543"/>
      <c r="WPM40" s="543"/>
      <c r="WPN40" s="543"/>
      <c r="WPO40" s="543"/>
      <c r="WPP40" s="543"/>
      <c r="WPQ40" s="543"/>
      <c r="WPR40" s="543"/>
      <c r="WPS40" s="543"/>
      <c r="WPT40" s="543"/>
      <c r="WPU40" s="543"/>
      <c r="WPV40" s="543"/>
      <c r="WPW40" s="543"/>
      <c r="WPX40" s="543"/>
      <c r="WPY40" s="543"/>
      <c r="WPZ40" s="543"/>
      <c r="WQA40" s="543"/>
      <c r="WQB40" s="543"/>
      <c r="WQC40" s="543"/>
      <c r="WQD40" s="543"/>
      <c r="WQE40" s="543"/>
      <c r="WQF40" s="543"/>
      <c r="WQG40" s="543"/>
      <c r="WQH40" s="543"/>
      <c r="WQI40" s="543"/>
      <c r="WQJ40" s="543"/>
      <c r="WQK40" s="543"/>
      <c r="WQL40" s="543"/>
      <c r="WQM40" s="543"/>
      <c r="WQN40" s="543"/>
      <c r="WQO40" s="543"/>
      <c r="WQP40" s="543"/>
      <c r="WQQ40" s="543"/>
      <c r="WQR40" s="543"/>
      <c r="WQS40" s="543"/>
      <c r="WQT40" s="543"/>
      <c r="WQU40" s="543"/>
      <c r="WQV40" s="543"/>
      <c r="WQW40" s="543"/>
      <c r="WQX40" s="543"/>
      <c r="WQY40" s="543"/>
      <c r="WQZ40" s="543"/>
      <c r="WRA40" s="543"/>
      <c r="WRB40" s="543"/>
      <c r="WRC40" s="543"/>
      <c r="WRD40" s="543"/>
      <c r="WRE40" s="543"/>
      <c r="WRF40" s="543"/>
      <c r="WRG40" s="543"/>
      <c r="WRH40" s="543"/>
      <c r="WRI40" s="543"/>
      <c r="WRJ40" s="543"/>
      <c r="WRK40" s="543"/>
      <c r="WRL40" s="543"/>
      <c r="WRM40" s="543"/>
      <c r="WRN40" s="543"/>
      <c r="WRO40" s="543"/>
      <c r="WRP40" s="543"/>
      <c r="WRQ40" s="543"/>
      <c r="WRR40" s="543"/>
      <c r="WRS40" s="543"/>
      <c r="WRT40" s="543"/>
      <c r="WRU40" s="543"/>
      <c r="WRV40" s="543"/>
      <c r="WRW40" s="543"/>
      <c r="WRX40" s="543"/>
      <c r="WRY40" s="543"/>
      <c r="WRZ40" s="543"/>
      <c r="WSA40" s="543"/>
      <c r="WSB40" s="543"/>
      <c r="WSC40" s="543"/>
      <c r="WSD40" s="543"/>
      <c r="WSE40" s="543"/>
      <c r="WSF40" s="543"/>
      <c r="WSG40" s="543"/>
      <c r="WSH40" s="543"/>
      <c r="WSI40" s="543"/>
      <c r="WSJ40" s="543"/>
      <c r="WSK40" s="543"/>
      <c r="WSL40" s="543"/>
      <c r="WSM40" s="543"/>
      <c r="WSN40" s="543"/>
      <c r="WSO40" s="543"/>
      <c r="WSP40" s="543"/>
      <c r="WSQ40" s="543"/>
      <c r="WSR40" s="543"/>
      <c r="WSS40" s="543"/>
      <c r="WST40" s="543"/>
      <c r="WSU40" s="543"/>
      <c r="WSV40" s="543"/>
      <c r="WSW40" s="543"/>
      <c r="WSX40" s="543"/>
      <c r="WSY40" s="543"/>
      <c r="WSZ40" s="543"/>
      <c r="WTA40" s="543"/>
      <c r="WTB40" s="543"/>
      <c r="WTC40" s="543"/>
      <c r="WTD40" s="543"/>
      <c r="WTE40" s="543"/>
      <c r="WTF40" s="543"/>
      <c r="WTG40" s="543"/>
      <c r="WTH40" s="543"/>
      <c r="WTI40" s="543"/>
      <c r="WTJ40" s="543"/>
      <c r="WTK40" s="543"/>
      <c r="WTL40" s="543"/>
      <c r="WTM40" s="543"/>
      <c r="WTN40" s="543"/>
      <c r="WTO40" s="543"/>
      <c r="WTP40" s="543"/>
      <c r="WTQ40" s="543"/>
      <c r="WTR40" s="543"/>
      <c r="WTS40" s="543"/>
      <c r="WTT40" s="543"/>
      <c r="WTU40" s="543"/>
      <c r="WTV40" s="543"/>
      <c r="WTW40" s="543"/>
      <c r="WTX40" s="543"/>
      <c r="WTY40" s="543"/>
      <c r="WTZ40" s="543"/>
      <c r="WUA40" s="543"/>
      <c r="WUB40" s="543"/>
      <c r="WUC40" s="543"/>
      <c r="WUD40" s="543"/>
      <c r="WUE40" s="543"/>
      <c r="WUF40" s="543"/>
      <c r="WUG40" s="543"/>
      <c r="WUH40" s="543"/>
      <c r="WUI40" s="543"/>
      <c r="WUJ40" s="543"/>
      <c r="WUK40" s="543"/>
      <c r="WUL40" s="543"/>
      <c r="WUM40" s="543"/>
      <c r="WUN40" s="543"/>
      <c r="WUO40" s="543"/>
      <c r="WUP40" s="543"/>
      <c r="WUQ40" s="543"/>
      <c r="WUR40" s="543"/>
      <c r="WUS40" s="543"/>
      <c r="WUT40" s="543"/>
      <c r="WUU40" s="543"/>
      <c r="WUV40" s="543"/>
      <c r="WUW40" s="543"/>
      <c r="WUX40" s="543"/>
      <c r="WUY40" s="543"/>
      <c r="WUZ40" s="543"/>
      <c r="WVA40" s="543"/>
      <c r="WVB40" s="543"/>
      <c r="WVC40" s="543"/>
      <c r="WVD40" s="543"/>
      <c r="WVE40" s="543"/>
      <c r="WVF40" s="543"/>
      <c r="WVG40" s="543"/>
      <c r="WVH40" s="543"/>
      <c r="WVI40" s="543"/>
      <c r="WVJ40" s="543"/>
      <c r="WVK40" s="543"/>
      <c r="WVL40" s="543"/>
      <c r="WVM40" s="543"/>
      <c r="WVN40" s="543"/>
      <c r="WVO40" s="543"/>
      <c r="WVP40" s="543"/>
      <c r="WVQ40" s="543"/>
      <c r="WVR40" s="543"/>
      <c r="WVS40" s="543"/>
      <c r="WVT40" s="543"/>
      <c r="WVU40" s="543"/>
      <c r="WVV40" s="543"/>
      <c r="WVW40" s="543"/>
      <c r="WVX40" s="543"/>
      <c r="WVY40" s="543"/>
      <c r="WVZ40" s="543"/>
      <c r="WWA40" s="543"/>
      <c r="WWB40" s="543"/>
      <c r="WWC40" s="543"/>
      <c r="WWD40" s="543"/>
      <c r="WWE40" s="543"/>
      <c r="WWF40" s="543"/>
      <c r="WWG40" s="543"/>
      <c r="WWH40" s="543"/>
      <c r="WWI40" s="543"/>
      <c r="WWJ40" s="543"/>
      <c r="WWK40" s="543"/>
      <c r="WWL40" s="543"/>
      <c r="WWM40" s="543"/>
      <c r="WWN40" s="543"/>
      <c r="WWO40" s="543"/>
      <c r="WWP40" s="543"/>
      <c r="WWQ40" s="543"/>
      <c r="WWR40" s="543"/>
      <c r="WWS40" s="543"/>
      <c r="WWT40" s="543"/>
      <c r="WWU40" s="543"/>
      <c r="WWV40" s="543"/>
      <c r="WWW40" s="543"/>
      <c r="WWX40" s="543"/>
      <c r="WWY40" s="543"/>
      <c r="WWZ40" s="543"/>
      <c r="WXA40" s="543"/>
      <c r="WXB40" s="543"/>
      <c r="WXC40" s="543"/>
      <c r="WXD40" s="543"/>
      <c r="WXE40" s="543"/>
      <c r="WXF40" s="543"/>
      <c r="WXG40" s="543"/>
      <c r="WXH40" s="543"/>
      <c r="WXI40" s="543"/>
      <c r="WXJ40" s="543"/>
      <c r="WXK40" s="543"/>
      <c r="WXL40" s="543"/>
      <c r="WXM40" s="543"/>
      <c r="WXN40" s="543"/>
      <c r="WXO40" s="543"/>
      <c r="WXP40" s="543"/>
      <c r="WXQ40" s="543"/>
      <c r="WXR40" s="543"/>
      <c r="WXS40" s="543"/>
      <c r="WXT40" s="543"/>
      <c r="WXU40" s="543"/>
      <c r="WXV40" s="543"/>
      <c r="WXW40" s="543"/>
      <c r="WXX40" s="543"/>
      <c r="WXY40" s="543"/>
      <c r="WXZ40" s="543"/>
      <c r="WYA40" s="543"/>
      <c r="WYB40" s="543"/>
      <c r="WYC40" s="543"/>
      <c r="WYD40" s="543"/>
      <c r="WYE40" s="543"/>
      <c r="WYF40" s="543"/>
      <c r="WYG40" s="543"/>
      <c r="WYH40" s="543"/>
      <c r="WYI40" s="543"/>
      <c r="WYJ40" s="543"/>
      <c r="WYK40" s="543"/>
      <c r="WYL40" s="543"/>
      <c r="WYM40" s="543"/>
      <c r="WYN40" s="543"/>
      <c r="WYO40" s="543"/>
      <c r="WYP40" s="543"/>
      <c r="WYQ40" s="543"/>
      <c r="WYR40" s="543"/>
      <c r="WYS40" s="543"/>
      <c r="WYT40" s="543"/>
      <c r="WYU40" s="543"/>
      <c r="WYV40" s="543"/>
      <c r="WYW40" s="543"/>
      <c r="WYX40" s="543"/>
      <c r="WYY40" s="543"/>
      <c r="WYZ40" s="543"/>
      <c r="WZA40" s="543"/>
      <c r="WZB40" s="543"/>
      <c r="WZC40" s="543"/>
      <c r="WZD40" s="543"/>
      <c r="WZE40" s="543"/>
      <c r="WZF40" s="543"/>
      <c r="WZG40" s="543"/>
      <c r="WZH40" s="543"/>
      <c r="WZI40" s="543"/>
      <c r="WZJ40" s="543"/>
      <c r="WZK40" s="543"/>
      <c r="WZL40" s="543"/>
      <c r="WZM40" s="543"/>
      <c r="WZN40" s="543"/>
      <c r="WZO40" s="543"/>
      <c r="WZP40" s="543"/>
      <c r="WZQ40" s="543"/>
      <c r="WZR40" s="543"/>
      <c r="WZS40" s="543"/>
      <c r="WZT40" s="543"/>
      <c r="WZU40" s="543"/>
      <c r="WZV40" s="543"/>
      <c r="WZW40" s="543"/>
      <c r="WZX40" s="543"/>
      <c r="WZY40" s="543"/>
      <c r="WZZ40" s="543"/>
      <c r="XAA40" s="543"/>
      <c r="XAB40" s="543"/>
      <c r="XAC40" s="543"/>
      <c r="XAD40" s="543"/>
      <c r="XAE40" s="543"/>
      <c r="XAF40" s="543"/>
      <c r="XAG40" s="543"/>
      <c r="XAH40" s="543"/>
      <c r="XAI40" s="543"/>
      <c r="XAJ40" s="543"/>
      <c r="XAK40" s="543"/>
      <c r="XAL40" s="543"/>
      <c r="XAM40" s="543"/>
      <c r="XAN40" s="543"/>
      <c r="XAO40" s="543"/>
      <c r="XAP40" s="543"/>
      <c r="XAQ40" s="543"/>
      <c r="XAR40" s="543"/>
      <c r="XAS40" s="543"/>
      <c r="XAT40" s="543"/>
      <c r="XAU40" s="543"/>
      <c r="XAV40" s="543"/>
      <c r="XAW40" s="543"/>
      <c r="XAX40" s="543"/>
      <c r="XAY40" s="543"/>
      <c r="XAZ40" s="543"/>
      <c r="XBA40" s="543"/>
      <c r="XBB40" s="543"/>
      <c r="XBC40" s="543"/>
      <c r="XBD40" s="543"/>
      <c r="XBE40" s="543"/>
      <c r="XBF40" s="543"/>
      <c r="XBG40" s="543"/>
      <c r="XBH40" s="543"/>
      <c r="XBI40" s="543"/>
      <c r="XBJ40" s="543"/>
      <c r="XBK40" s="543"/>
      <c r="XBL40" s="543"/>
      <c r="XBM40" s="543"/>
      <c r="XBN40" s="543"/>
      <c r="XBO40" s="543"/>
      <c r="XBP40" s="543"/>
      <c r="XBQ40" s="543"/>
      <c r="XBR40" s="543"/>
      <c r="XBS40" s="543"/>
      <c r="XBT40" s="543"/>
      <c r="XBU40" s="543"/>
      <c r="XBV40" s="543"/>
      <c r="XBW40" s="543"/>
      <c r="XBX40" s="543"/>
      <c r="XBY40" s="543"/>
      <c r="XBZ40" s="543"/>
      <c r="XCA40" s="543"/>
      <c r="XCB40" s="543"/>
      <c r="XCC40" s="543"/>
      <c r="XCD40" s="543"/>
      <c r="XCE40" s="543"/>
      <c r="XCF40" s="543"/>
      <c r="XCG40" s="543"/>
      <c r="XCH40" s="543"/>
      <c r="XCI40" s="543"/>
      <c r="XCJ40" s="543"/>
      <c r="XCK40" s="543"/>
      <c r="XCL40" s="543"/>
      <c r="XCM40" s="543"/>
      <c r="XCN40" s="543"/>
      <c r="XCO40" s="543"/>
      <c r="XCP40" s="543"/>
      <c r="XCQ40" s="543"/>
      <c r="XCR40" s="543"/>
      <c r="XCS40" s="543"/>
      <c r="XCT40" s="543"/>
      <c r="XCU40" s="543"/>
      <c r="XCV40" s="543"/>
      <c r="XCW40" s="543"/>
      <c r="XCX40" s="543"/>
      <c r="XCY40" s="543"/>
      <c r="XCZ40" s="543"/>
      <c r="XDA40" s="543"/>
      <c r="XDB40" s="543"/>
      <c r="XDC40" s="543"/>
      <c r="XDD40" s="543"/>
      <c r="XDE40" s="543"/>
      <c r="XDF40" s="543"/>
      <c r="XDG40" s="543"/>
      <c r="XDH40" s="543"/>
      <c r="XDI40" s="543"/>
      <c r="XDJ40" s="543"/>
      <c r="XDK40" s="543"/>
      <c r="XDL40" s="543"/>
      <c r="XDM40" s="543"/>
      <c r="XDN40" s="543"/>
      <c r="XDO40" s="543"/>
      <c r="XDP40" s="543"/>
      <c r="XDQ40" s="543"/>
      <c r="XDR40" s="543"/>
      <c r="XDS40" s="543"/>
      <c r="XDT40" s="543"/>
      <c r="XDU40" s="543"/>
      <c r="XDV40" s="543"/>
      <c r="XDW40" s="543"/>
      <c r="XDX40" s="543"/>
      <c r="XDY40" s="543"/>
      <c r="XDZ40" s="543"/>
      <c r="XEA40" s="543"/>
      <c r="XEB40" s="543"/>
      <c r="XEC40" s="543"/>
      <c r="XED40" s="543"/>
      <c r="XEE40" s="543"/>
      <c r="XEF40" s="543"/>
      <c r="XEG40" s="543"/>
      <c r="XEH40" s="543"/>
      <c r="XEI40" s="543"/>
      <c r="XEJ40" s="543"/>
      <c r="XEK40" s="543"/>
      <c r="XEL40" s="543"/>
      <c r="XEM40" s="543"/>
      <c r="XEN40" s="543"/>
    </row>
    <row r="41" spans="1:16368" x14ac:dyDescent="0.2">
      <c r="A41" s="331">
        <v>33</v>
      </c>
      <c r="B41" s="334" t="s">
        <v>2432</v>
      </c>
      <c r="C41" s="11">
        <f>F41*C5</f>
        <v>407464.70399999997</v>
      </c>
      <c r="D41" s="11">
        <f>F41*D5</f>
        <v>185815.29599999997</v>
      </c>
      <c r="E41" s="11"/>
      <c r="F41" s="11">
        <v>593280</v>
      </c>
      <c r="G41" s="13">
        <f>J41*G5</f>
        <v>213501.3952</v>
      </c>
      <c r="H41" s="13">
        <f>J41*H5</f>
        <v>97362.604799999986</v>
      </c>
      <c r="I41" s="13"/>
      <c r="J41" s="13">
        <v>310864</v>
      </c>
      <c r="K41" s="11">
        <f>N41*K5</f>
        <v>213501.3952</v>
      </c>
      <c r="L41" s="11">
        <f>N41*L5</f>
        <v>97362.604799999986</v>
      </c>
      <c r="M41" s="11"/>
      <c r="N41" s="11">
        <f>J41</f>
        <v>310864</v>
      </c>
      <c r="O41" s="13">
        <f>R41*O5</f>
        <v>213501.3952</v>
      </c>
      <c r="P41" s="13">
        <f>R41*P5</f>
        <v>97362.604799999986</v>
      </c>
      <c r="Q41" s="13"/>
      <c r="R41" s="13">
        <f>N41</f>
        <v>310864</v>
      </c>
      <c r="S41" s="11">
        <f>V41*S5</f>
        <v>213501.3952</v>
      </c>
      <c r="T41" s="11">
        <f>V41*T5</f>
        <v>97362.604799999986</v>
      </c>
      <c r="U41" s="11"/>
      <c r="V41" s="11">
        <f>R41</f>
        <v>310864</v>
      </c>
      <c r="W41" s="13">
        <f>Z41*W5</f>
        <v>213501.3952</v>
      </c>
      <c r="X41" s="13">
        <f>Z41*X5</f>
        <v>97362.604799999986</v>
      </c>
      <c r="Y41" s="13"/>
      <c r="Z41" s="13">
        <f>V41</f>
        <v>310864</v>
      </c>
    </row>
    <row r="42" spans="1:16368" x14ac:dyDescent="0.2">
      <c r="A42" s="331">
        <v>34</v>
      </c>
      <c r="B42" s="334" t="s">
        <v>2433</v>
      </c>
      <c r="C42" s="11">
        <f>F42*C5</f>
        <v>466874.9644</v>
      </c>
      <c r="D42" s="11">
        <f>F42*D5</f>
        <v>212908.03559999997</v>
      </c>
      <c r="E42" s="11"/>
      <c r="F42" s="11">
        <v>679783</v>
      </c>
      <c r="G42" s="13">
        <f>J42*G5</f>
        <v>466874.9644</v>
      </c>
      <c r="H42" s="13">
        <f>J42*H5</f>
        <v>212908.03559999997</v>
      </c>
      <c r="I42" s="13"/>
      <c r="J42" s="13">
        <f>F42</f>
        <v>679783</v>
      </c>
      <c r="K42" s="11">
        <f>N42*K5</f>
        <v>466874.9644</v>
      </c>
      <c r="L42" s="11">
        <f>N42*L5</f>
        <v>212908.03559999997</v>
      </c>
      <c r="M42" s="11"/>
      <c r="N42" s="11">
        <f t="shared" ref="N42:N46" si="11">J42</f>
        <v>679783</v>
      </c>
      <c r="O42" s="13">
        <f>R42*O5</f>
        <v>466874.9644</v>
      </c>
      <c r="P42" s="13">
        <f>R42*P5</f>
        <v>212908.03559999997</v>
      </c>
      <c r="Q42" s="13"/>
      <c r="R42" s="13">
        <f t="shared" ref="R42:R45" si="12">N42</f>
        <v>679783</v>
      </c>
      <c r="S42" s="11">
        <f>V42*S5</f>
        <v>466874.9644</v>
      </c>
      <c r="T42" s="11">
        <f>V42*T5</f>
        <v>212908.03559999997</v>
      </c>
      <c r="U42" s="11"/>
      <c r="V42" s="11">
        <f t="shared" ref="V42:V45" si="13">R42</f>
        <v>679783</v>
      </c>
      <c r="W42" s="13">
        <f>Z42*W5</f>
        <v>466874.9644</v>
      </c>
      <c r="X42" s="13">
        <f>Z42*X5</f>
        <v>212908.03559999997</v>
      </c>
      <c r="Y42" s="13"/>
      <c r="Z42" s="13">
        <f t="shared" ref="Z42:Z45" si="14">V42</f>
        <v>679783</v>
      </c>
    </row>
    <row r="43" spans="1:16368" x14ac:dyDescent="0.2">
      <c r="A43" s="331">
        <v>35</v>
      </c>
      <c r="B43" s="334" t="s">
        <v>2434</v>
      </c>
      <c r="C43" s="11">
        <f>F43*C5</f>
        <v>1607973.9339999999</v>
      </c>
      <c r="D43" s="11">
        <f>F43*D5</f>
        <v>733281.06599999999</v>
      </c>
      <c r="E43" s="11"/>
      <c r="F43" s="11">
        <v>2341255</v>
      </c>
      <c r="G43" s="13">
        <f>J43*G5</f>
        <v>1552219.51</v>
      </c>
      <c r="H43" s="13">
        <f>J43*H5</f>
        <v>707855.49</v>
      </c>
      <c r="I43" s="13"/>
      <c r="J43" s="13">
        <v>2260075</v>
      </c>
      <c r="K43" s="11">
        <f>N43*K5</f>
        <v>1552219.51</v>
      </c>
      <c r="L43" s="11">
        <f>N43*L5</f>
        <v>707855.49</v>
      </c>
      <c r="M43" s="11"/>
      <c r="N43" s="11">
        <v>2260075</v>
      </c>
      <c r="O43" s="13">
        <f>R43*O5</f>
        <v>1552219.51</v>
      </c>
      <c r="P43" s="13">
        <f>R43*P5</f>
        <v>707855.49</v>
      </c>
      <c r="Q43" s="13"/>
      <c r="R43" s="13">
        <f t="shared" si="12"/>
        <v>2260075</v>
      </c>
      <c r="S43" s="11">
        <f>V43*S5</f>
        <v>1552219.51</v>
      </c>
      <c r="T43" s="11">
        <f>V43*T5</f>
        <v>707855.49</v>
      </c>
      <c r="U43" s="11"/>
      <c r="V43" s="11">
        <f t="shared" si="13"/>
        <v>2260075</v>
      </c>
      <c r="W43" s="13">
        <f>Z43*W5</f>
        <v>1552219.51</v>
      </c>
      <c r="X43" s="13">
        <f>Z43*X5</f>
        <v>707855.49</v>
      </c>
      <c r="Y43" s="13"/>
      <c r="Z43" s="13">
        <f t="shared" si="14"/>
        <v>2260075</v>
      </c>
    </row>
    <row r="44" spans="1:16368" x14ac:dyDescent="0.2">
      <c r="A44" s="331">
        <v>36</v>
      </c>
      <c r="B44" s="334" t="s">
        <v>2431</v>
      </c>
      <c r="C44" s="11">
        <f>F44*C5</f>
        <v>235038.75639999998</v>
      </c>
      <c r="D44" s="11">
        <f>F44*D5</f>
        <v>107184.24359999999</v>
      </c>
      <c r="E44" s="11"/>
      <c r="F44" s="11">
        <v>342223</v>
      </c>
      <c r="G44" s="13">
        <f>J44*G5</f>
        <v>204685.08095999996</v>
      </c>
      <c r="H44" s="13">
        <f>J44*H5</f>
        <v>93342.119039999976</v>
      </c>
      <c r="I44" s="13"/>
      <c r="J44" s="13">
        <v>298027.19999999995</v>
      </c>
      <c r="K44" s="11">
        <f>N44*K5</f>
        <v>204685.08095999996</v>
      </c>
      <c r="L44" s="11">
        <f>N44*L5</f>
        <v>93342.119039999976</v>
      </c>
      <c r="M44" s="11"/>
      <c r="N44" s="11">
        <f t="shared" si="11"/>
        <v>298027.19999999995</v>
      </c>
      <c r="O44" s="13">
        <f>R44*O5</f>
        <v>204685.08095999996</v>
      </c>
      <c r="P44" s="13">
        <f>R44*P5</f>
        <v>93342.119039999976</v>
      </c>
      <c r="Q44" s="13"/>
      <c r="R44" s="13">
        <f t="shared" si="12"/>
        <v>298027.19999999995</v>
      </c>
      <c r="S44" s="11">
        <f>V44*S5</f>
        <v>204685.08095999996</v>
      </c>
      <c r="T44" s="11">
        <f>V44*T5</f>
        <v>93342.119039999976</v>
      </c>
      <c r="U44" s="11"/>
      <c r="V44" s="11">
        <f t="shared" si="13"/>
        <v>298027.19999999995</v>
      </c>
      <c r="W44" s="13">
        <f>Z44*W5</f>
        <v>204685.08095999996</v>
      </c>
      <c r="X44" s="13">
        <f>Z44*X5</f>
        <v>93342.119039999976</v>
      </c>
      <c r="Y44" s="13"/>
      <c r="Z44" s="13">
        <f t="shared" si="14"/>
        <v>298027.19999999995</v>
      </c>
    </row>
    <row r="45" spans="1:16368" x14ac:dyDescent="0.2">
      <c r="A45" s="331">
        <v>37</v>
      </c>
      <c r="B45" s="334" t="s">
        <v>12</v>
      </c>
      <c r="C45" s="11">
        <f>F45*C5</f>
        <v>1015913.1864</v>
      </c>
      <c r="D45" s="11">
        <f>F45*D5</f>
        <v>463284.81359999999</v>
      </c>
      <c r="E45" s="11"/>
      <c r="F45" s="11">
        <f>3136175-1656977</f>
        <v>1479198</v>
      </c>
      <c r="G45" s="13">
        <f>J45*G5</f>
        <v>929742.45079999999</v>
      </c>
      <c r="H45" s="13">
        <f>J45*H5</f>
        <v>423988.54919999995</v>
      </c>
      <c r="I45" s="13"/>
      <c r="J45" s="13">
        <v>1353731</v>
      </c>
      <c r="K45" s="11">
        <f>N45*K5</f>
        <v>929742.45079999999</v>
      </c>
      <c r="L45" s="11">
        <f>N45*L5</f>
        <v>423988.54919999995</v>
      </c>
      <c r="M45" s="11"/>
      <c r="N45" s="11">
        <f t="shared" si="11"/>
        <v>1353731</v>
      </c>
      <c r="O45" s="13">
        <f>R45*O5</f>
        <v>929742.45079999999</v>
      </c>
      <c r="P45" s="13">
        <f>R45*P5</f>
        <v>423988.54919999995</v>
      </c>
      <c r="Q45" s="13"/>
      <c r="R45" s="13">
        <f t="shared" si="12"/>
        <v>1353731</v>
      </c>
      <c r="S45" s="11">
        <f>V45*S5</f>
        <v>929742.45079999999</v>
      </c>
      <c r="T45" s="11">
        <f>V45*T5</f>
        <v>423988.54919999995</v>
      </c>
      <c r="U45" s="11"/>
      <c r="V45" s="11">
        <f t="shared" si="13"/>
        <v>1353731</v>
      </c>
      <c r="W45" s="13">
        <f>Z45*W5</f>
        <v>929742.45079999999</v>
      </c>
      <c r="X45" s="13">
        <f>Z45*X5</f>
        <v>423988.54919999995</v>
      </c>
      <c r="Y45" s="13"/>
      <c r="Z45" s="13">
        <f t="shared" si="14"/>
        <v>1353731</v>
      </c>
    </row>
    <row r="46" spans="1:16368" ht="12.75" customHeight="1" x14ac:dyDescent="0.2">
      <c r="A46" s="331">
        <v>38</v>
      </c>
      <c r="B46" s="334" t="s">
        <v>2453</v>
      </c>
      <c r="C46" s="11">
        <v>0</v>
      </c>
      <c r="D46" s="11">
        <v>0</v>
      </c>
      <c r="E46" s="11"/>
      <c r="F46" s="11">
        <v>0</v>
      </c>
      <c r="G46" s="13">
        <v>1441560</v>
      </c>
      <c r="H46" s="13">
        <v>608440</v>
      </c>
      <c r="I46" s="13"/>
      <c r="J46" s="13">
        <f>SUM(G46:H46)</f>
        <v>2050000</v>
      </c>
      <c r="K46" s="11">
        <f>G46</f>
        <v>1441560</v>
      </c>
      <c r="L46" s="11">
        <f>H46</f>
        <v>608440</v>
      </c>
      <c r="M46" s="11"/>
      <c r="N46" s="11">
        <f t="shared" si="11"/>
        <v>2050000</v>
      </c>
      <c r="O46" s="13">
        <f>K46</f>
        <v>1441560</v>
      </c>
      <c r="P46" s="13">
        <f>L46</f>
        <v>608440</v>
      </c>
      <c r="Q46" s="13"/>
      <c r="R46" s="13">
        <v>2050000</v>
      </c>
      <c r="S46" s="11">
        <f>O46</f>
        <v>1441560</v>
      </c>
      <c r="T46" s="11">
        <f>P46</f>
        <v>608440</v>
      </c>
      <c r="U46" s="11"/>
      <c r="V46" s="11">
        <v>2050000</v>
      </c>
      <c r="W46" s="13">
        <f>S46</f>
        <v>1441560</v>
      </c>
      <c r="X46" s="13">
        <f>T46</f>
        <v>608440</v>
      </c>
      <c r="Y46" s="13"/>
      <c r="Z46" s="13">
        <v>2050000</v>
      </c>
    </row>
    <row r="47" spans="1:16368" ht="12.75" hidden="1" customHeight="1" x14ac:dyDescent="0.2">
      <c r="A47" s="331">
        <v>39</v>
      </c>
      <c r="B47" s="334" t="s">
        <v>81</v>
      </c>
      <c r="C47" s="11">
        <v>0</v>
      </c>
      <c r="D47" s="11">
        <v>0</v>
      </c>
      <c r="E47" s="11"/>
      <c r="F47" s="11">
        <v>0</v>
      </c>
      <c r="G47" s="13">
        <v>0</v>
      </c>
      <c r="H47" s="13">
        <v>0</v>
      </c>
      <c r="I47" s="13"/>
      <c r="J47" s="13">
        <v>0</v>
      </c>
      <c r="K47" s="11">
        <v>0</v>
      </c>
      <c r="L47" s="11">
        <v>0</v>
      </c>
      <c r="M47" s="11"/>
      <c r="N47" s="11">
        <v>0</v>
      </c>
      <c r="O47" s="13">
        <v>0</v>
      </c>
      <c r="P47" s="13">
        <v>0</v>
      </c>
      <c r="Q47" s="13"/>
      <c r="R47" s="13">
        <v>0</v>
      </c>
      <c r="S47" s="11">
        <v>0</v>
      </c>
      <c r="T47" s="11">
        <v>0</v>
      </c>
      <c r="U47" s="11"/>
      <c r="V47" s="11">
        <v>0</v>
      </c>
      <c r="W47" s="13">
        <v>0</v>
      </c>
      <c r="X47" s="13">
        <v>0</v>
      </c>
      <c r="Y47" s="13"/>
      <c r="Z47" s="13">
        <v>0</v>
      </c>
    </row>
    <row r="48" spans="1:16368" x14ac:dyDescent="0.2">
      <c r="A48" s="331">
        <v>40</v>
      </c>
      <c r="B48" s="334" t="s">
        <v>4</v>
      </c>
      <c r="C48" s="11">
        <f>F48*C52</f>
        <v>1031375.7048000001</v>
      </c>
      <c r="D48" s="11">
        <f>F48*D52</f>
        <v>435313.29519999993</v>
      </c>
      <c r="E48" s="11"/>
      <c r="F48" s="11">
        <v>1466689</v>
      </c>
      <c r="G48" s="13">
        <v>313779</v>
      </c>
      <c r="H48" s="13">
        <v>132437</v>
      </c>
      <c r="I48" s="13">
        <v>1000000</v>
      </c>
      <c r="J48" s="13">
        <v>1446216</v>
      </c>
      <c r="K48" s="11">
        <f>N48*K5</f>
        <v>306461.14879999997</v>
      </c>
      <c r="L48" s="11">
        <f>N48*L5</f>
        <v>139754.8512</v>
      </c>
      <c r="M48" s="11"/>
      <c r="N48" s="11">
        <v>446216</v>
      </c>
      <c r="O48" s="13">
        <f>R48*O5</f>
        <v>306461.14879999997</v>
      </c>
      <c r="P48" s="13">
        <f>R48*P5</f>
        <v>139754.8512</v>
      </c>
      <c r="Q48" s="13"/>
      <c r="R48" s="13">
        <f>N48</f>
        <v>446216</v>
      </c>
      <c r="S48" s="11">
        <f>V48*S5</f>
        <v>306461.14879999997</v>
      </c>
      <c r="T48" s="11">
        <f>V48*T5</f>
        <v>139754.8512</v>
      </c>
      <c r="U48" s="11"/>
      <c r="V48" s="11">
        <f>R48</f>
        <v>446216</v>
      </c>
      <c r="W48" s="13">
        <f>Z48*W5</f>
        <v>306461.14879999997</v>
      </c>
      <c r="X48" s="13">
        <f>Z48*X5</f>
        <v>139754.8512</v>
      </c>
      <c r="Y48" s="13"/>
      <c r="Z48" s="13">
        <f>V48</f>
        <v>446216</v>
      </c>
    </row>
    <row r="49" spans="1:16368" x14ac:dyDescent="0.2">
      <c r="A49" s="344">
        <v>41</v>
      </c>
      <c r="B49" s="351" t="s">
        <v>2450</v>
      </c>
      <c r="C49" s="343"/>
      <c r="D49" s="343"/>
      <c r="E49" s="343"/>
      <c r="F49" s="343">
        <f t="shared" ref="F49:J49" si="15">SUM(F41:F48)+F38</f>
        <v>104613957.52620001</v>
      </c>
      <c r="G49" s="343"/>
      <c r="H49" s="343"/>
      <c r="I49" s="343"/>
      <c r="J49" s="343">
        <f t="shared" si="15"/>
        <v>110363499.80281444</v>
      </c>
      <c r="K49" s="343"/>
      <c r="L49" s="343"/>
      <c r="M49" s="343">
        <f t="shared" ref="M49:N49" si="16">SUM(M41:M48)+M38</f>
        <v>0</v>
      </c>
      <c r="N49" s="343">
        <f t="shared" si="16"/>
        <v>112810321.50252691</v>
      </c>
      <c r="O49" s="343"/>
      <c r="P49" s="343"/>
      <c r="Q49" s="343">
        <f t="shared" ref="Q49:Z49" si="17">SUM(Q41:Q48)+Q38</f>
        <v>0</v>
      </c>
      <c r="R49" s="343">
        <f t="shared" si="17"/>
        <v>116166997.66064346</v>
      </c>
      <c r="S49" s="343"/>
      <c r="T49" s="343"/>
      <c r="U49" s="343">
        <f t="shared" si="17"/>
        <v>0</v>
      </c>
      <c r="V49" s="343">
        <f t="shared" si="17"/>
        <v>120017211.98915376</v>
      </c>
      <c r="W49" s="343"/>
      <c r="X49" s="343"/>
      <c r="Y49" s="343">
        <f t="shared" si="17"/>
        <v>0</v>
      </c>
      <c r="Z49" s="343">
        <f t="shared" si="17"/>
        <v>124004774.76478103</v>
      </c>
    </row>
    <row r="50" spans="1:16368" s="6" customFormat="1" ht="12.75" hidden="1" customHeight="1" x14ac:dyDescent="0.2">
      <c r="A50" s="544" t="s">
        <v>2425</v>
      </c>
      <c r="B50" s="544"/>
      <c r="C50" s="541"/>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c r="IT50" s="543"/>
      <c r="IU50" s="543"/>
      <c r="IV50" s="543"/>
      <c r="IW50" s="543"/>
      <c r="IX50" s="543"/>
      <c r="IY50" s="543"/>
      <c r="IZ50" s="543"/>
      <c r="JA50" s="543"/>
      <c r="JB50" s="543"/>
      <c r="JC50" s="543"/>
      <c r="JD50" s="543"/>
      <c r="JE50" s="543"/>
      <c r="JF50" s="543"/>
      <c r="JG50" s="543"/>
      <c r="JH50" s="543"/>
      <c r="JI50" s="543"/>
      <c r="JJ50" s="543"/>
      <c r="JK50" s="543"/>
      <c r="JL50" s="543"/>
      <c r="JM50" s="543"/>
      <c r="JN50" s="543"/>
      <c r="JO50" s="543"/>
      <c r="JP50" s="543"/>
      <c r="JQ50" s="543"/>
      <c r="JR50" s="543"/>
      <c r="JS50" s="543"/>
      <c r="JT50" s="543"/>
      <c r="JU50" s="543"/>
      <c r="JV50" s="543"/>
      <c r="JW50" s="543"/>
      <c r="JX50" s="543"/>
      <c r="JY50" s="543"/>
      <c r="JZ50" s="543"/>
      <c r="KA50" s="543"/>
      <c r="KB50" s="543"/>
      <c r="KC50" s="543"/>
      <c r="KD50" s="543"/>
      <c r="KE50" s="543"/>
      <c r="KF50" s="543"/>
      <c r="KG50" s="543"/>
      <c r="KH50" s="543"/>
      <c r="KI50" s="543"/>
      <c r="KJ50" s="543"/>
      <c r="KK50" s="543"/>
      <c r="KL50" s="543"/>
      <c r="KM50" s="543"/>
      <c r="KN50" s="543"/>
      <c r="KO50" s="543"/>
      <c r="KP50" s="543"/>
      <c r="KQ50" s="543"/>
      <c r="KR50" s="543"/>
      <c r="KS50" s="543"/>
      <c r="KT50" s="543"/>
      <c r="KU50" s="543"/>
      <c r="KV50" s="543"/>
      <c r="KW50" s="543"/>
      <c r="KX50" s="543"/>
      <c r="KY50" s="543"/>
      <c r="KZ50" s="543"/>
      <c r="LA50" s="543"/>
      <c r="LB50" s="543"/>
      <c r="LC50" s="543"/>
      <c r="LD50" s="543"/>
      <c r="LE50" s="543"/>
      <c r="LF50" s="543"/>
      <c r="LG50" s="543"/>
      <c r="LH50" s="543"/>
      <c r="LI50" s="543"/>
      <c r="LJ50" s="543"/>
      <c r="LK50" s="543"/>
      <c r="LL50" s="543"/>
      <c r="LM50" s="543"/>
      <c r="LN50" s="543"/>
      <c r="LO50" s="543"/>
      <c r="LP50" s="543"/>
      <c r="LQ50" s="543"/>
      <c r="LR50" s="543"/>
      <c r="LS50" s="543"/>
      <c r="LT50" s="543"/>
      <c r="LU50" s="543"/>
      <c r="LV50" s="543"/>
      <c r="LW50" s="543"/>
      <c r="LX50" s="543"/>
      <c r="LY50" s="543"/>
      <c r="LZ50" s="543"/>
      <c r="MA50" s="543"/>
      <c r="MB50" s="543"/>
      <c r="MC50" s="543"/>
      <c r="MD50" s="543"/>
      <c r="ME50" s="543"/>
      <c r="MF50" s="543"/>
      <c r="MG50" s="543"/>
      <c r="MH50" s="543"/>
      <c r="MI50" s="543"/>
      <c r="MJ50" s="543"/>
      <c r="MK50" s="543"/>
      <c r="ML50" s="543"/>
      <c r="MM50" s="543"/>
      <c r="MN50" s="543"/>
      <c r="MO50" s="543"/>
      <c r="MP50" s="543"/>
      <c r="MQ50" s="543"/>
      <c r="MR50" s="543"/>
      <c r="MS50" s="543"/>
      <c r="MT50" s="543"/>
      <c r="MU50" s="543"/>
      <c r="MV50" s="543"/>
      <c r="MW50" s="543"/>
      <c r="MX50" s="543"/>
      <c r="MY50" s="543"/>
      <c r="MZ50" s="543"/>
      <c r="NA50" s="543"/>
      <c r="NB50" s="543"/>
      <c r="NC50" s="543"/>
      <c r="ND50" s="543"/>
      <c r="NE50" s="543"/>
      <c r="NF50" s="543"/>
      <c r="NG50" s="543"/>
      <c r="NH50" s="543"/>
      <c r="NI50" s="543"/>
      <c r="NJ50" s="543"/>
      <c r="NK50" s="543"/>
      <c r="NL50" s="543"/>
      <c r="NM50" s="543"/>
      <c r="NN50" s="543"/>
      <c r="NO50" s="543"/>
      <c r="NP50" s="543"/>
      <c r="NQ50" s="543"/>
      <c r="NR50" s="543"/>
      <c r="NS50" s="543"/>
      <c r="NT50" s="543"/>
      <c r="NU50" s="543"/>
      <c r="NV50" s="543"/>
      <c r="NW50" s="543"/>
      <c r="NX50" s="543"/>
      <c r="NY50" s="543"/>
      <c r="NZ50" s="543"/>
      <c r="OA50" s="543"/>
      <c r="OB50" s="543"/>
      <c r="OC50" s="543"/>
      <c r="OD50" s="543"/>
      <c r="OE50" s="543"/>
      <c r="OF50" s="543"/>
      <c r="OG50" s="543"/>
      <c r="OH50" s="543"/>
      <c r="OI50" s="543"/>
      <c r="OJ50" s="543"/>
      <c r="OK50" s="543"/>
      <c r="OL50" s="543"/>
      <c r="OM50" s="543"/>
      <c r="ON50" s="543"/>
      <c r="OO50" s="543"/>
      <c r="OP50" s="543"/>
      <c r="OQ50" s="543"/>
      <c r="OR50" s="543"/>
      <c r="OS50" s="543"/>
      <c r="OT50" s="543"/>
      <c r="OU50" s="543"/>
      <c r="OV50" s="543"/>
      <c r="OW50" s="543"/>
      <c r="OX50" s="543"/>
      <c r="OY50" s="543"/>
      <c r="OZ50" s="543"/>
      <c r="PA50" s="543"/>
      <c r="PB50" s="543"/>
      <c r="PC50" s="543"/>
      <c r="PD50" s="543"/>
      <c r="PE50" s="543"/>
      <c r="PF50" s="543"/>
      <c r="PG50" s="543"/>
      <c r="PH50" s="543"/>
      <c r="PI50" s="543"/>
      <c r="PJ50" s="543"/>
      <c r="PK50" s="543"/>
      <c r="PL50" s="543"/>
      <c r="PM50" s="543"/>
      <c r="PN50" s="543"/>
      <c r="PO50" s="543"/>
      <c r="PP50" s="543"/>
      <c r="PQ50" s="543"/>
      <c r="PR50" s="543"/>
      <c r="PS50" s="543"/>
      <c r="PT50" s="543"/>
      <c r="PU50" s="543"/>
      <c r="PV50" s="543"/>
      <c r="PW50" s="543"/>
      <c r="PX50" s="543"/>
      <c r="PY50" s="543"/>
      <c r="PZ50" s="543"/>
      <c r="QA50" s="543"/>
      <c r="QB50" s="543"/>
      <c r="QC50" s="543"/>
      <c r="QD50" s="543"/>
      <c r="QE50" s="543"/>
      <c r="QF50" s="543"/>
      <c r="QG50" s="543"/>
      <c r="QH50" s="543"/>
      <c r="QI50" s="543"/>
      <c r="QJ50" s="543"/>
      <c r="QK50" s="543"/>
      <c r="QL50" s="543"/>
      <c r="QM50" s="543"/>
      <c r="QN50" s="543"/>
      <c r="QO50" s="543"/>
      <c r="QP50" s="543"/>
      <c r="QQ50" s="543"/>
      <c r="QR50" s="543"/>
      <c r="QS50" s="543"/>
      <c r="QT50" s="543"/>
      <c r="QU50" s="543"/>
      <c r="QV50" s="543"/>
      <c r="QW50" s="543"/>
      <c r="QX50" s="543"/>
      <c r="QY50" s="543"/>
      <c r="QZ50" s="543"/>
      <c r="RA50" s="543"/>
      <c r="RB50" s="543"/>
      <c r="RC50" s="543"/>
      <c r="RD50" s="543"/>
      <c r="RE50" s="543"/>
      <c r="RF50" s="543"/>
      <c r="RG50" s="543"/>
      <c r="RH50" s="543"/>
      <c r="RI50" s="543"/>
      <c r="RJ50" s="543"/>
      <c r="RK50" s="543"/>
      <c r="RL50" s="543"/>
      <c r="RM50" s="543"/>
      <c r="RN50" s="543"/>
      <c r="RO50" s="543"/>
      <c r="RP50" s="543"/>
      <c r="RQ50" s="543"/>
      <c r="RR50" s="543"/>
      <c r="RS50" s="543"/>
      <c r="RT50" s="543"/>
      <c r="RU50" s="543"/>
      <c r="RV50" s="543"/>
      <c r="RW50" s="543"/>
      <c r="RX50" s="543"/>
      <c r="RY50" s="543"/>
      <c r="RZ50" s="543"/>
      <c r="SA50" s="543"/>
      <c r="SB50" s="543"/>
      <c r="SC50" s="543"/>
      <c r="SD50" s="543"/>
      <c r="SE50" s="543"/>
      <c r="SF50" s="543"/>
      <c r="SG50" s="543"/>
      <c r="SH50" s="543"/>
      <c r="SI50" s="543"/>
      <c r="SJ50" s="543"/>
      <c r="SK50" s="543"/>
      <c r="SL50" s="543"/>
      <c r="SM50" s="543"/>
      <c r="SN50" s="543"/>
      <c r="SO50" s="543"/>
      <c r="SP50" s="543"/>
      <c r="SQ50" s="543"/>
      <c r="SR50" s="543"/>
      <c r="SS50" s="543"/>
      <c r="ST50" s="543"/>
      <c r="SU50" s="543"/>
      <c r="SV50" s="543"/>
      <c r="SW50" s="543"/>
      <c r="SX50" s="543"/>
      <c r="SY50" s="543"/>
      <c r="SZ50" s="543"/>
      <c r="TA50" s="543"/>
      <c r="TB50" s="543"/>
      <c r="TC50" s="543"/>
      <c r="TD50" s="543"/>
      <c r="TE50" s="543"/>
      <c r="TF50" s="543"/>
      <c r="TG50" s="543"/>
      <c r="TH50" s="543"/>
      <c r="TI50" s="543"/>
      <c r="TJ50" s="543"/>
      <c r="TK50" s="543"/>
      <c r="TL50" s="543"/>
      <c r="TM50" s="543"/>
      <c r="TN50" s="543"/>
      <c r="TO50" s="543"/>
      <c r="TP50" s="543"/>
      <c r="TQ50" s="543"/>
      <c r="TR50" s="543"/>
      <c r="TS50" s="543"/>
      <c r="TT50" s="543"/>
      <c r="TU50" s="543"/>
      <c r="TV50" s="543"/>
      <c r="TW50" s="543"/>
      <c r="TX50" s="543"/>
      <c r="TY50" s="543"/>
      <c r="TZ50" s="543"/>
      <c r="UA50" s="543"/>
      <c r="UB50" s="543"/>
      <c r="UC50" s="543"/>
      <c r="UD50" s="543"/>
      <c r="UE50" s="543"/>
      <c r="UF50" s="543"/>
      <c r="UG50" s="543"/>
      <c r="UH50" s="543"/>
      <c r="UI50" s="543"/>
      <c r="UJ50" s="543"/>
      <c r="UK50" s="543"/>
      <c r="UL50" s="543"/>
      <c r="UM50" s="543"/>
      <c r="UN50" s="543"/>
      <c r="UO50" s="543"/>
      <c r="UP50" s="543"/>
      <c r="UQ50" s="543"/>
      <c r="UR50" s="543"/>
      <c r="US50" s="543"/>
      <c r="UT50" s="543"/>
      <c r="UU50" s="543"/>
      <c r="UV50" s="543"/>
      <c r="UW50" s="543"/>
      <c r="UX50" s="543"/>
      <c r="UY50" s="543"/>
      <c r="UZ50" s="543"/>
      <c r="VA50" s="543"/>
      <c r="VB50" s="543"/>
      <c r="VC50" s="543"/>
      <c r="VD50" s="543"/>
      <c r="VE50" s="543"/>
      <c r="VF50" s="543"/>
      <c r="VG50" s="543"/>
      <c r="VH50" s="543"/>
      <c r="VI50" s="543"/>
      <c r="VJ50" s="543"/>
      <c r="VK50" s="543"/>
      <c r="VL50" s="543"/>
      <c r="VM50" s="543"/>
      <c r="VN50" s="543"/>
      <c r="VO50" s="543"/>
      <c r="VP50" s="543"/>
      <c r="VQ50" s="543"/>
      <c r="VR50" s="543"/>
      <c r="VS50" s="543"/>
      <c r="VT50" s="543"/>
      <c r="VU50" s="543"/>
      <c r="VV50" s="543"/>
      <c r="VW50" s="543"/>
      <c r="VX50" s="543"/>
      <c r="VY50" s="543"/>
      <c r="VZ50" s="543"/>
      <c r="WA50" s="543"/>
      <c r="WB50" s="543"/>
      <c r="WC50" s="543"/>
      <c r="WD50" s="543"/>
      <c r="WE50" s="543"/>
      <c r="WF50" s="543"/>
      <c r="WG50" s="543"/>
      <c r="WH50" s="543"/>
      <c r="WI50" s="543"/>
      <c r="WJ50" s="543"/>
      <c r="WK50" s="543"/>
      <c r="WL50" s="543"/>
      <c r="WM50" s="543"/>
      <c r="WN50" s="543"/>
      <c r="WO50" s="543"/>
      <c r="WP50" s="543"/>
      <c r="WQ50" s="543"/>
      <c r="WR50" s="543"/>
      <c r="WS50" s="543"/>
      <c r="WT50" s="543"/>
      <c r="WU50" s="543"/>
      <c r="WV50" s="543"/>
      <c r="WW50" s="543"/>
      <c r="WX50" s="543"/>
      <c r="WY50" s="543"/>
      <c r="WZ50" s="543"/>
      <c r="XA50" s="543"/>
      <c r="XB50" s="543"/>
      <c r="XC50" s="543"/>
      <c r="XD50" s="543"/>
      <c r="XE50" s="543"/>
      <c r="XF50" s="543"/>
      <c r="XG50" s="543"/>
      <c r="XH50" s="543"/>
      <c r="XI50" s="543"/>
      <c r="XJ50" s="543"/>
      <c r="XK50" s="543"/>
      <c r="XL50" s="543"/>
      <c r="XM50" s="543"/>
      <c r="XN50" s="543"/>
      <c r="XO50" s="543"/>
      <c r="XP50" s="543"/>
      <c r="XQ50" s="543"/>
      <c r="XR50" s="543"/>
      <c r="XS50" s="543"/>
      <c r="XT50" s="543"/>
      <c r="XU50" s="543"/>
      <c r="XV50" s="543"/>
      <c r="XW50" s="543"/>
      <c r="XX50" s="543"/>
      <c r="XY50" s="543"/>
      <c r="XZ50" s="543"/>
      <c r="YA50" s="543"/>
      <c r="YB50" s="543"/>
      <c r="YC50" s="543"/>
      <c r="YD50" s="543"/>
      <c r="YE50" s="543"/>
      <c r="YF50" s="543"/>
      <c r="YG50" s="543"/>
      <c r="YH50" s="543"/>
      <c r="YI50" s="543"/>
      <c r="YJ50" s="543"/>
      <c r="YK50" s="543"/>
      <c r="YL50" s="543"/>
      <c r="YM50" s="543"/>
      <c r="YN50" s="543"/>
      <c r="YO50" s="543"/>
      <c r="YP50" s="543"/>
      <c r="YQ50" s="543"/>
      <c r="YR50" s="543"/>
      <c r="YS50" s="543"/>
      <c r="YT50" s="543"/>
      <c r="YU50" s="543"/>
      <c r="YV50" s="543"/>
      <c r="YW50" s="543"/>
      <c r="YX50" s="543"/>
      <c r="YY50" s="543"/>
      <c r="YZ50" s="543"/>
      <c r="ZA50" s="543"/>
      <c r="ZB50" s="543"/>
      <c r="ZC50" s="543"/>
      <c r="ZD50" s="543"/>
      <c r="ZE50" s="543"/>
      <c r="ZF50" s="543"/>
      <c r="ZG50" s="543"/>
      <c r="ZH50" s="543"/>
      <c r="ZI50" s="543"/>
      <c r="ZJ50" s="543"/>
      <c r="ZK50" s="543"/>
      <c r="ZL50" s="543"/>
      <c r="ZM50" s="543"/>
      <c r="ZN50" s="543"/>
      <c r="ZO50" s="543"/>
      <c r="ZP50" s="543"/>
      <c r="ZQ50" s="543"/>
      <c r="ZR50" s="543"/>
      <c r="ZS50" s="543"/>
      <c r="ZT50" s="543"/>
      <c r="ZU50" s="543"/>
      <c r="ZV50" s="543"/>
      <c r="ZW50" s="543"/>
      <c r="ZX50" s="543"/>
      <c r="ZY50" s="543"/>
      <c r="ZZ50" s="543"/>
      <c r="AAA50" s="543"/>
      <c r="AAB50" s="543"/>
      <c r="AAC50" s="543"/>
      <c r="AAD50" s="543"/>
      <c r="AAE50" s="543"/>
      <c r="AAF50" s="543"/>
      <c r="AAG50" s="543"/>
      <c r="AAH50" s="543"/>
      <c r="AAI50" s="543"/>
      <c r="AAJ50" s="543"/>
      <c r="AAK50" s="543"/>
      <c r="AAL50" s="543"/>
      <c r="AAM50" s="543"/>
      <c r="AAN50" s="543"/>
      <c r="AAO50" s="543"/>
      <c r="AAP50" s="543"/>
      <c r="AAQ50" s="543"/>
      <c r="AAR50" s="543"/>
      <c r="AAS50" s="543"/>
      <c r="AAT50" s="543"/>
      <c r="AAU50" s="543"/>
      <c r="AAV50" s="543"/>
      <c r="AAW50" s="543"/>
      <c r="AAX50" s="543"/>
      <c r="AAY50" s="543"/>
      <c r="AAZ50" s="543"/>
      <c r="ABA50" s="543"/>
      <c r="ABB50" s="543"/>
      <c r="ABC50" s="543"/>
      <c r="ABD50" s="543"/>
      <c r="ABE50" s="543"/>
      <c r="ABF50" s="543"/>
      <c r="ABG50" s="543"/>
      <c r="ABH50" s="543"/>
      <c r="ABI50" s="543"/>
      <c r="ABJ50" s="543"/>
      <c r="ABK50" s="543"/>
      <c r="ABL50" s="543"/>
      <c r="ABM50" s="543"/>
      <c r="ABN50" s="543"/>
      <c r="ABO50" s="543"/>
      <c r="ABP50" s="543"/>
      <c r="ABQ50" s="543"/>
      <c r="ABR50" s="543"/>
      <c r="ABS50" s="543"/>
      <c r="ABT50" s="543"/>
      <c r="ABU50" s="543"/>
      <c r="ABV50" s="543"/>
      <c r="ABW50" s="543"/>
      <c r="ABX50" s="543"/>
      <c r="ABY50" s="543"/>
      <c r="ABZ50" s="543"/>
      <c r="ACA50" s="543"/>
      <c r="ACB50" s="543"/>
      <c r="ACC50" s="543"/>
      <c r="ACD50" s="543"/>
      <c r="ACE50" s="543"/>
      <c r="ACF50" s="543"/>
      <c r="ACG50" s="543"/>
      <c r="ACH50" s="543"/>
      <c r="ACI50" s="543"/>
      <c r="ACJ50" s="543"/>
      <c r="ACK50" s="543"/>
      <c r="ACL50" s="543"/>
      <c r="ACM50" s="543"/>
      <c r="ACN50" s="543"/>
      <c r="ACO50" s="543"/>
      <c r="ACP50" s="543"/>
      <c r="ACQ50" s="543"/>
      <c r="ACR50" s="543"/>
      <c r="ACS50" s="543"/>
      <c r="ACT50" s="543"/>
      <c r="ACU50" s="543"/>
      <c r="ACV50" s="543"/>
      <c r="ACW50" s="543"/>
      <c r="ACX50" s="543"/>
      <c r="ACY50" s="543"/>
      <c r="ACZ50" s="543"/>
      <c r="ADA50" s="543"/>
      <c r="ADB50" s="543"/>
      <c r="ADC50" s="543"/>
      <c r="ADD50" s="543"/>
      <c r="ADE50" s="543"/>
      <c r="ADF50" s="543"/>
      <c r="ADG50" s="543"/>
      <c r="ADH50" s="543"/>
      <c r="ADI50" s="543"/>
      <c r="ADJ50" s="543"/>
      <c r="ADK50" s="543"/>
      <c r="ADL50" s="543"/>
      <c r="ADM50" s="543"/>
      <c r="ADN50" s="543"/>
      <c r="ADO50" s="543"/>
      <c r="ADP50" s="543"/>
      <c r="ADQ50" s="543"/>
      <c r="ADR50" s="543"/>
      <c r="ADS50" s="543"/>
      <c r="ADT50" s="543"/>
      <c r="ADU50" s="543"/>
      <c r="ADV50" s="543"/>
      <c r="ADW50" s="543"/>
      <c r="ADX50" s="543"/>
      <c r="ADY50" s="543"/>
      <c r="ADZ50" s="543"/>
      <c r="AEA50" s="543"/>
      <c r="AEB50" s="543"/>
      <c r="AEC50" s="543"/>
      <c r="AED50" s="543"/>
      <c r="AEE50" s="543"/>
      <c r="AEF50" s="543"/>
      <c r="AEG50" s="543"/>
      <c r="AEH50" s="543"/>
      <c r="AEI50" s="543"/>
      <c r="AEJ50" s="543"/>
      <c r="AEK50" s="543"/>
      <c r="AEL50" s="543"/>
      <c r="AEM50" s="543"/>
      <c r="AEN50" s="543"/>
      <c r="AEO50" s="543"/>
      <c r="AEP50" s="543"/>
      <c r="AEQ50" s="543"/>
      <c r="AER50" s="543"/>
      <c r="AES50" s="543"/>
      <c r="AET50" s="543"/>
      <c r="AEU50" s="543"/>
      <c r="AEV50" s="543"/>
      <c r="AEW50" s="543"/>
      <c r="AEX50" s="543"/>
      <c r="AEY50" s="543"/>
      <c r="AEZ50" s="543"/>
      <c r="AFA50" s="543"/>
      <c r="AFB50" s="543"/>
      <c r="AFC50" s="543"/>
      <c r="AFD50" s="543"/>
      <c r="AFE50" s="543"/>
      <c r="AFF50" s="543"/>
      <c r="AFG50" s="543"/>
      <c r="AFH50" s="543"/>
      <c r="AFI50" s="543"/>
      <c r="AFJ50" s="543"/>
      <c r="AFK50" s="543"/>
      <c r="AFL50" s="543"/>
      <c r="AFM50" s="543"/>
      <c r="AFN50" s="543"/>
      <c r="AFO50" s="543"/>
      <c r="AFP50" s="543"/>
      <c r="AFQ50" s="543"/>
      <c r="AFR50" s="543"/>
      <c r="AFS50" s="543"/>
      <c r="AFT50" s="543"/>
      <c r="AFU50" s="543"/>
      <c r="AFV50" s="543"/>
      <c r="AFW50" s="543"/>
      <c r="AFX50" s="543"/>
      <c r="AFY50" s="543"/>
      <c r="AFZ50" s="543"/>
      <c r="AGA50" s="543"/>
      <c r="AGB50" s="543"/>
      <c r="AGC50" s="543"/>
      <c r="AGD50" s="543"/>
      <c r="AGE50" s="543"/>
      <c r="AGF50" s="543"/>
      <c r="AGG50" s="543"/>
      <c r="AGH50" s="543"/>
      <c r="AGI50" s="543"/>
      <c r="AGJ50" s="543"/>
      <c r="AGK50" s="543"/>
      <c r="AGL50" s="543"/>
      <c r="AGM50" s="543"/>
      <c r="AGN50" s="543"/>
      <c r="AGO50" s="543"/>
      <c r="AGP50" s="543"/>
      <c r="AGQ50" s="543"/>
      <c r="AGR50" s="543"/>
      <c r="AGS50" s="543"/>
      <c r="AGT50" s="543"/>
      <c r="AGU50" s="543"/>
      <c r="AGV50" s="543"/>
      <c r="AGW50" s="543"/>
      <c r="AGX50" s="543"/>
      <c r="AGY50" s="543"/>
      <c r="AGZ50" s="543"/>
      <c r="AHA50" s="543"/>
      <c r="AHB50" s="543"/>
      <c r="AHC50" s="543"/>
      <c r="AHD50" s="543"/>
      <c r="AHE50" s="543"/>
      <c r="AHF50" s="543"/>
      <c r="AHG50" s="543"/>
      <c r="AHH50" s="543"/>
      <c r="AHI50" s="543"/>
      <c r="AHJ50" s="543"/>
      <c r="AHK50" s="543"/>
      <c r="AHL50" s="543"/>
      <c r="AHM50" s="543"/>
      <c r="AHN50" s="543"/>
      <c r="AHO50" s="543"/>
      <c r="AHP50" s="543"/>
      <c r="AHQ50" s="543"/>
      <c r="AHR50" s="543"/>
      <c r="AHS50" s="543"/>
      <c r="AHT50" s="543"/>
      <c r="AHU50" s="543"/>
      <c r="AHV50" s="543"/>
      <c r="AHW50" s="543"/>
      <c r="AHX50" s="543"/>
      <c r="AHY50" s="543"/>
      <c r="AHZ50" s="543"/>
      <c r="AIA50" s="543"/>
      <c r="AIB50" s="543"/>
      <c r="AIC50" s="543"/>
      <c r="AID50" s="543"/>
      <c r="AIE50" s="543"/>
      <c r="AIF50" s="543"/>
      <c r="AIG50" s="543"/>
      <c r="AIH50" s="543"/>
      <c r="AII50" s="543"/>
      <c r="AIJ50" s="543"/>
      <c r="AIK50" s="543"/>
      <c r="AIL50" s="543"/>
      <c r="AIM50" s="543"/>
      <c r="AIN50" s="543"/>
      <c r="AIO50" s="543"/>
      <c r="AIP50" s="543"/>
      <c r="AIQ50" s="543"/>
      <c r="AIR50" s="543"/>
      <c r="AIS50" s="543"/>
      <c r="AIT50" s="543"/>
      <c r="AIU50" s="543"/>
      <c r="AIV50" s="543"/>
      <c r="AIW50" s="543"/>
      <c r="AIX50" s="543"/>
      <c r="AIY50" s="543"/>
      <c r="AIZ50" s="543"/>
      <c r="AJA50" s="543"/>
      <c r="AJB50" s="543"/>
      <c r="AJC50" s="543"/>
      <c r="AJD50" s="543"/>
      <c r="AJE50" s="543"/>
      <c r="AJF50" s="543"/>
      <c r="AJG50" s="543"/>
      <c r="AJH50" s="543"/>
      <c r="AJI50" s="543"/>
      <c r="AJJ50" s="543"/>
      <c r="AJK50" s="543"/>
      <c r="AJL50" s="543"/>
      <c r="AJM50" s="543"/>
      <c r="AJN50" s="543"/>
      <c r="AJO50" s="543"/>
      <c r="AJP50" s="543"/>
      <c r="AJQ50" s="543"/>
      <c r="AJR50" s="543"/>
      <c r="AJS50" s="543"/>
      <c r="AJT50" s="543"/>
      <c r="AJU50" s="543"/>
      <c r="AJV50" s="543"/>
      <c r="AJW50" s="543"/>
      <c r="AJX50" s="543"/>
      <c r="AJY50" s="543"/>
      <c r="AJZ50" s="543"/>
      <c r="AKA50" s="543"/>
      <c r="AKB50" s="543"/>
      <c r="AKC50" s="543"/>
      <c r="AKD50" s="543"/>
      <c r="AKE50" s="543"/>
      <c r="AKF50" s="543"/>
      <c r="AKG50" s="543"/>
      <c r="AKH50" s="543"/>
      <c r="AKI50" s="543"/>
      <c r="AKJ50" s="543"/>
      <c r="AKK50" s="543"/>
      <c r="AKL50" s="543"/>
      <c r="AKM50" s="543"/>
      <c r="AKN50" s="543"/>
      <c r="AKO50" s="543"/>
      <c r="AKP50" s="543"/>
      <c r="AKQ50" s="543"/>
      <c r="AKR50" s="543"/>
      <c r="AKS50" s="543"/>
      <c r="AKT50" s="543"/>
      <c r="AKU50" s="543"/>
      <c r="AKV50" s="543"/>
      <c r="AKW50" s="543"/>
      <c r="AKX50" s="543"/>
      <c r="AKY50" s="543"/>
      <c r="AKZ50" s="543"/>
      <c r="ALA50" s="543"/>
      <c r="ALB50" s="543"/>
      <c r="ALC50" s="543"/>
      <c r="ALD50" s="543"/>
      <c r="ALE50" s="543"/>
      <c r="ALF50" s="543"/>
      <c r="ALG50" s="543"/>
      <c r="ALH50" s="543"/>
      <c r="ALI50" s="543"/>
      <c r="ALJ50" s="543"/>
      <c r="ALK50" s="543"/>
      <c r="ALL50" s="543"/>
      <c r="ALM50" s="543"/>
      <c r="ALN50" s="543"/>
      <c r="ALO50" s="543"/>
      <c r="ALP50" s="543"/>
      <c r="ALQ50" s="543"/>
      <c r="ALR50" s="543"/>
      <c r="ALS50" s="543"/>
      <c r="ALT50" s="543"/>
      <c r="ALU50" s="543"/>
      <c r="ALV50" s="543"/>
      <c r="ALW50" s="543"/>
      <c r="ALX50" s="543"/>
      <c r="ALY50" s="543"/>
      <c r="ALZ50" s="543"/>
      <c r="AMA50" s="543"/>
      <c r="AMB50" s="543"/>
      <c r="AMC50" s="543"/>
      <c r="AMD50" s="543"/>
      <c r="AME50" s="543"/>
      <c r="AMF50" s="543"/>
      <c r="AMG50" s="543"/>
      <c r="AMH50" s="543"/>
      <c r="AMI50" s="543"/>
      <c r="AMJ50" s="543"/>
      <c r="AMK50" s="543"/>
      <c r="AML50" s="543"/>
      <c r="AMM50" s="543"/>
      <c r="AMN50" s="543"/>
      <c r="AMO50" s="543"/>
      <c r="AMP50" s="543"/>
      <c r="AMQ50" s="543"/>
      <c r="AMR50" s="543"/>
      <c r="AMS50" s="543"/>
      <c r="AMT50" s="543"/>
      <c r="AMU50" s="543"/>
      <c r="AMV50" s="543"/>
      <c r="AMW50" s="543"/>
      <c r="AMX50" s="543"/>
      <c r="AMY50" s="543"/>
      <c r="AMZ50" s="543"/>
      <c r="ANA50" s="543"/>
      <c r="ANB50" s="543"/>
      <c r="ANC50" s="543"/>
      <c r="AND50" s="543"/>
      <c r="ANE50" s="543"/>
      <c r="ANF50" s="543"/>
      <c r="ANG50" s="543"/>
      <c r="ANH50" s="543"/>
      <c r="ANI50" s="543"/>
      <c r="ANJ50" s="543"/>
      <c r="ANK50" s="543"/>
      <c r="ANL50" s="543"/>
      <c r="ANM50" s="543"/>
      <c r="ANN50" s="543"/>
      <c r="ANO50" s="543"/>
      <c r="ANP50" s="543"/>
      <c r="ANQ50" s="543"/>
      <c r="ANR50" s="543"/>
      <c r="ANS50" s="543"/>
      <c r="ANT50" s="543"/>
      <c r="ANU50" s="543"/>
      <c r="ANV50" s="543"/>
      <c r="ANW50" s="543"/>
      <c r="ANX50" s="543"/>
      <c r="ANY50" s="543"/>
      <c r="ANZ50" s="543"/>
      <c r="AOA50" s="543"/>
      <c r="AOB50" s="543"/>
      <c r="AOC50" s="543"/>
      <c r="AOD50" s="543"/>
      <c r="AOE50" s="543"/>
      <c r="AOF50" s="543"/>
      <c r="AOG50" s="543"/>
      <c r="AOH50" s="543"/>
      <c r="AOI50" s="543"/>
      <c r="AOJ50" s="543"/>
      <c r="AOK50" s="543"/>
      <c r="AOL50" s="543"/>
      <c r="AOM50" s="543"/>
      <c r="AON50" s="543"/>
      <c r="AOO50" s="543"/>
      <c r="AOP50" s="543"/>
      <c r="AOQ50" s="543"/>
      <c r="AOR50" s="543"/>
      <c r="AOS50" s="543"/>
      <c r="AOT50" s="543"/>
      <c r="AOU50" s="543"/>
      <c r="AOV50" s="543"/>
      <c r="AOW50" s="543"/>
      <c r="AOX50" s="543"/>
      <c r="AOY50" s="543"/>
      <c r="AOZ50" s="543"/>
      <c r="APA50" s="543"/>
      <c r="APB50" s="543"/>
      <c r="APC50" s="543"/>
      <c r="APD50" s="543"/>
      <c r="APE50" s="543"/>
      <c r="APF50" s="543"/>
      <c r="APG50" s="543"/>
      <c r="APH50" s="543"/>
      <c r="API50" s="543"/>
      <c r="APJ50" s="543"/>
      <c r="APK50" s="543"/>
      <c r="APL50" s="543"/>
      <c r="APM50" s="543"/>
      <c r="APN50" s="543"/>
      <c r="APO50" s="543"/>
      <c r="APP50" s="543"/>
      <c r="APQ50" s="543"/>
      <c r="APR50" s="543"/>
      <c r="APS50" s="543"/>
      <c r="APT50" s="543"/>
      <c r="APU50" s="543"/>
      <c r="APV50" s="543"/>
      <c r="APW50" s="543"/>
      <c r="APX50" s="543"/>
      <c r="APY50" s="543"/>
      <c r="APZ50" s="543"/>
      <c r="AQA50" s="543"/>
      <c r="AQB50" s="543"/>
      <c r="AQC50" s="543"/>
      <c r="AQD50" s="543"/>
      <c r="AQE50" s="543"/>
      <c r="AQF50" s="543"/>
      <c r="AQG50" s="543"/>
      <c r="AQH50" s="543"/>
      <c r="AQI50" s="543"/>
      <c r="AQJ50" s="543"/>
      <c r="AQK50" s="543"/>
      <c r="AQL50" s="543"/>
      <c r="AQM50" s="543"/>
      <c r="AQN50" s="543"/>
      <c r="AQO50" s="543"/>
      <c r="AQP50" s="543"/>
      <c r="AQQ50" s="543"/>
      <c r="AQR50" s="543"/>
      <c r="AQS50" s="543"/>
      <c r="AQT50" s="543"/>
      <c r="AQU50" s="543"/>
      <c r="AQV50" s="543"/>
      <c r="AQW50" s="543"/>
      <c r="AQX50" s="543"/>
      <c r="AQY50" s="543"/>
      <c r="AQZ50" s="543"/>
      <c r="ARA50" s="543"/>
      <c r="ARB50" s="543"/>
      <c r="ARC50" s="543"/>
      <c r="ARD50" s="543"/>
      <c r="ARE50" s="543"/>
      <c r="ARF50" s="543"/>
      <c r="ARG50" s="543"/>
      <c r="ARH50" s="543"/>
      <c r="ARI50" s="543"/>
      <c r="ARJ50" s="543"/>
      <c r="ARK50" s="543"/>
      <c r="ARL50" s="543"/>
      <c r="ARM50" s="543"/>
      <c r="ARN50" s="543"/>
      <c r="ARO50" s="543"/>
      <c r="ARP50" s="543"/>
      <c r="ARQ50" s="543"/>
      <c r="ARR50" s="543"/>
      <c r="ARS50" s="543"/>
      <c r="ART50" s="543"/>
      <c r="ARU50" s="543"/>
      <c r="ARV50" s="543"/>
      <c r="ARW50" s="543"/>
      <c r="ARX50" s="543"/>
      <c r="ARY50" s="543"/>
      <c r="ARZ50" s="543"/>
      <c r="ASA50" s="543"/>
      <c r="ASB50" s="543"/>
      <c r="ASC50" s="543"/>
      <c r="ASD50" s="543"/>
      <c r="ASE50" s="543"/>
      <c r="ASF50" s="543"/>
      <c r="ASG50" s="543"/>
      <c r="ASH50" s="543"/>
      <c r="ASI50" s="543"/>
      <c r="ASJ50" s="543"/>
      <c r="ASK50" s="543"/>
      <c r="ASL50" s="543"/>
      <c r="ASM50" s="543"/>
      <c r="ASN50" s="543"/>
      <c r="ASO50" s="543"/>
      <c r="ASP50" s="543"/>
      <c r="ASQ50" s="543"/>
      <c r="ASR50" s="543"/>
      <c r="ASS50" s="543"/>
      <c r="AST50" s="543"/>
      <c r="ASU50" s="543"/>
      <c r="ASV50" s="543"/>
      <c r="ASW50" s="543"/>
      <c r="ASX50" s="543"/>
      <c r="ASY50" s="543"/>
      <c r="ASZ50" s="543"/>
      <c r="ATA50" s="543"/>
      <c r="ATB50" s="543"/>
      <c r="ATC50" s="543"/>
      <c r="ATD50" s="543"/>
      <c r="ATE50" s="543"/>
      <c r="ATF50" s="543"/>
      <c r="ATG50" s="543"/>
      <c r="ATH50" s="543"/>
      <c r="ATI50" s="543"/>
      <c r="ATJ50" s="543"/>
      <c r="ATK50" s="543"/>
      <c r="ATL50" s="543"/>
      <c r="ATM50" s="543"/>
      <c r="ATN50" s="543"/>
      <c r="ATO50" s="543"/>
      <c r="ATP50" s="543"/>
      <c r="ATQ50" s="543"/>
      <c r="ATR50" s="543"/>
      <c r="ATS50" s="543"/>
      <c r="ATT50" s="543"/>
      <c r="ATU50" s="543"/>
      <c r="ATV50" s="543"/>
      <c r="ATW50" s="543"/>
      <c r="ATX50" s="543"/>
      <c r="ATY50" s="543"/>
      <c r="ATZ50" s="543"/>
      <c r="AUA50" s="543"/>
      <c r="AUB50" s="543"/>
      <c r="AUC50" s="543"/>
      <c r="AUD50" s="543"/>
      <c r="AUE50" s="543"/>
      <c r="AUF50" s="543"/>
      <c r="AUG50" s="543"/>
      <c r="AUH50" s="543"/>
      <c r="AUI50" s="543"/>
      <c r="AUJ50" s="543"/>
      <c r="AUK50" s="543"/>
      <c r="AUL50" s="543"/>
      <c r="AUM50" s="543"/>
      <c r="AUN50" s="543"/>
      <c r="AUO50" s="543"/>
      <c r="AUP50" s="543"/>
      <c r="AUQ50" s="543"/>
      <c r="AUR50" s="543"/>
      <c r="AUS50" s="543"/>
      <c r="AUT50" s="543"/>
      <c r="AUU50" s="543"/>
      <c r="AUV50" s="543"/>
      <c r="AUW50" s="543"/>
      <c r="AUX50" s="543"/>
      <c r="AUY50" s="543"/>
      <c r="AUZ50" s="543"/>
      <c r="AVA50" s="543"/>
      <c r="AVB50" s="543"/>
      <c r="AVC50" s="543"/>
      <c r="AVD50" s="543"/>
      <c r="AVE50" s="543"/>
      <c r="AVF50" s="543"/>
      <c r="AVG50" s="543"/>
      <c r="AVH50" s="543"/>
      <c r="AVI50" s="543"/>
      <c r="AVJ50" s="543"/>
      <c r="AVK50" s="543"/>
      <c r="AVL50" s="543"/>
      <c r="AVM50" s="543"/>
      <c r="AVN50" s="543"/>
      <c r="AVO50" s="543"/>
      <c r="AVP50" s="543"/>
      <c r="AVQ50" s="543"/>
      <c r="AVR50" s="543"/>
      <c r="AVS50" s="543"/>
      <c r="AVT50" s="543"/>
      <c r="AVU50" s="543"/>
      <c r="AVV50" s="543"/>
      <c r="AVW50" s="543"/>
      <c r="AVX50" s="543"/>
      <c r="AVY50" s="543"/>
      <c r="AVZ50" s="543"/>
      <c r="AWA50" s="543"/>
      <c r="AWB50" s="543"/>
      <c r="AWC50" s="543"/>
      <c r="AWD50" s="543"/>
      <c r="AWE50" s="543"/>
      <c r="AWF50" s="543"/>
      <c r="AWG50" s="543"/>
      <c r="AWH50" s="543"/>
      <c r="AWI50" s="543"/>
      <c r="AWJ50" s="543"/>
      <c r="AWK50" s="543"/>
      <c r="AWL50" s="543"/>
      <c r="AWM50" s="543"/>
      <c r="AWN50" s="543"/>
      <c r="AWO50" s="543"/>
      <c r="AWP50" s="543"/>
      <c r="AWQ50" s="543"/>
      <c r="AWR50" s="543"/>
      <c r="AWS50" s="543"/>
      <c r="AWT50" s="543"/>
      <c r="AWU50" s="543"/>
      <c r="AWV50" s="543"/>
      <c r="AWW50" s="543"/>
      <c r="AWX50" s="543"/>
      <c r="AWY50" s="543"/>
      <c r="AWZ50" s="543"/>
      <c r="AXA50" s="543"/>
      <c r="AXB50" s="543"/>
      <c r="AXC50" s="543"/>
      <c r="AXD50" s="543"/>
      <c r="AXE50" s="543"/>
      <c r="AXF50" s="543"/>
      <c r="AXG50" s="543"/>
      <c r="AXH50" s="543"/>
      <c r="AXI50" s="543"/>
      <c r="AXJ50" s="543"/>
      <c r="AXK50" s="543"/>
      <c r="AXL50" s="543"/>
      <c r="AXM50" s="543"/>
      <c r="AXN50" s="543"/>
      <c r="AXO50" s="543"/>
      <c r="AXP50" s="543"/>
      <c r="AXQ50" s="543"/>
      <c r="AXR50" s="543"/>
      <c r="AXS50" s="543"/>
      <c r="AXT50" s="543"/>
      <c r="AXU50" s="543"/>
      <c r="AXV50" s="543"/>
      <c r="AXW50" s="543"/>
      <c r="AXX50" s="543"/>
      <c r="AXY50" s="543"/>
      <c r="AXZ50" s="543"/>
      <c r="AYA50" s="543"/>
      <c r="AYB50" s="543"/>
      <c r="AYC50" s="543"/>
      <c r="AYD50" s="543"/>
      <c r="AYE50" s="543"/>
      <c r="AYF50" s="543"/>
      <c r="AYG50" s="543"/>
      <c r="AYH50" s="543"/>
      <c r="AYI50" s="543"/>
      <c r="AYJ50" s="543"/>
      <c r="AYK50" s="543"/>
      <c r="AYL50" s="543"/>
      <c r="AYM50" s="543"/>
      <c r="AYN50" s="543"/>
      <c r="AYO50" s="543"/>
      <c r="AYP50" s="543"/>
      <c r="AYQ50" s="543"/>
      <c r="AYR50" s="543"/>
      <c r="AYS50" s="543"/>
      <c r="AYT50" s="543"/>
      <c r="AYU50" s="543"/>
      <c r="AYV50" s="543"/>
      <c r="AYW50" s="543"/>
      <c r="AYX50" s="543"/>
      <c r="AYY50" s="543"/>
      <c r="AYZ50" s="543"/>
      <c r="AZA50" s="543"/>
      <c r="AZB50" s="543"/>
      <c r="AZC50" s="543"/>
      <c r="AZD50" s="543"/>
      <c r="AZE50" s="543"/>
      <c r="AZF50" s="543"/>
      <c r="AZG50" s="543"/>
      <c r="AZH50" s="543"/>
      <c r="AZI50" s="543"/>
      <c r="AZJ50" s="543"/>
      <c r="AZK50" s="543"/>
      <c r="AZL50" s="543"/>
      <c r="AZM50" s="543"/>
      <c r="AZN50" s="543"/>
      <c r="AZO50" s="543"/>
      <c r="AZP50" s="543"/>
      <c r="AZQ50" s="543"/>
      <c r="AZR50" s="543"/>
      <c r="AZS50" s="543"/>
      <c r="AZT50" s="543"/>
      <c r="AZU50" s="543"/>
      <c r="AZV50" s="543"/>
      <c r="AZW50" s="543"/>
      <c r="AZX50" s="543"/>
      <c r="AZY50" s="543"/>
      <c r="AZZ50" s="543"/>
      <c r="BAA50" s="543"/>
      <c r="BAB50" s="543"/>
      <c r="BAC50" s="543"/>
      <c r="BAD50" s="543"/>
      <c r="BAE50" s="543"/>
      <c r="BAF50" s="543"/>
      <c r="BAG50" s="543"/>
      <c r="BAH50" s="543"/>
      <c r="BAI50" s="543"/>
      <c r="BAJ50" s="543"/>
      <c r="BAK50" s="543"/>
      <c r="BAL50" s="543"/>
      <c r="BAM50" s="543"/>
      <c r="BAN50" s="543"/>
      <c r="BAO50" s="543"/>
      <c r="BAP50" s="543"/>
      <c r="BAQ50" s="543"/>
      <c r="BAR50" s="543"/>
      <c r="BAS50" s="543"/>
      <c r="BAT50" s="543"/>
      <c r="BAU50" s="543"/>
      <c r="BAV50" s="543"/>
      <c r="BAW50" s="543"/>
      <c r="BAX50" s="543"/>
      <c r="BAY50" s="543"/>
      <c r="BAZ50" s="543"/>
      <c r="BBA50" s="543"/>
      <c r="BBB50" s="543"/>
      <c r="BBC50" s="543"/>
      <c r="BBD50" s="543"/>
      <c r="BBE50" s="543"/>
      <c r="BBF50" s="543"/>
      <c r="BBG50" s="543"/>
      <c r="BBH50" s="543"/>
      <c r="BBI50" s="543"/>
      <c r="BBJ50" s="543"/>
      <c r="BBK50" s="543"/>
      <c r="BBL50" s="543"/>
      <c r="BBM50" s="543"/>
      <c r="BBN50" s="543"/>
      <c r="BBO50" s="543"/>
      <c r="BBP50" s="543"/>
      <c r="BBQ50" s="543"/>
      <c r="BBR50" s="543"/>
      <c r="BBS50" s="543"/>
      <c r="BBT50" s="543"/>
      <c r="BBU50" s="543"/>
      <c r="BBV50" s="543"/>
      <c r="BBW50" s="543"/>
      <c r="BBX50" s="543"/>
      <c r="BBY50" s="543"/>
      <c r="BBZ50" s="543"/>
      <c r="BCA50" s="543"/>
      <c r="BCB50" s="543"/>
      <c r="BCC50" s="543"/>
      <c r="BCD50" s="543"/>
      <c r="BCE50" s="543"/>
      <c r="BCF50" s="543"/>
      <c r="BCG50" s="543"/>
      <c r="BCH50" s="543"/>
      <c r="BCI50" s="543"/>
      <c r="BCJ50" s="543"/>
      <c r="BCK50" s="543"/>
      <c r="BCL50" s="543"/>
      <c r="BCM50" s="543"/>
      <c r="BCN50" s="543"/>
      <c r="BCO50" s="543"/>
      <c r="BCP50" s="543"/>
      <c r="BCQ50" s="543"/>
      <c r="BCR50" s="543"/>
      <c r="BCS50" s="543"/>
      <c r="BCT50" s="543"/>
      <c r="BCU50" s="543"/>
      <c r="BCV50" s="543"/>
      <c r="BCW50" s="543"/>
      <c r="BCX50" s="543"/>
      <c r="BCY50" s="543"/>
      <c r="BCZ50" s="543"/>
      <c r="BDA50" s="543"/>
      <c r="BDB50" s="543"/>
      <c r="BDC50" s="543"/>
      <c r="BDD50" s="543"/>
      <c r="BDE50" s="543"/>
      <c r="BDF50" s="543"/>
      <c r="BDG50" s="543"/>
      <c r="BDH50" s="543"/>
      <c r="BDI50" s="543"/>
      <c r="BDJ50" s="543"/>
      <c r="BDK50" s="543"/>
      <c r="BDL50" s="543"/>
      <c r="BDM50" s="543"/>
      <c r="BDN50" s="543"/>
      <c r="BDO50" s="543"/>
      <c r="BDP50" s="543"/>
      <c r="BDQ50" s="543"/>
      <c r="BDR50" s="543"/>
      <c r="BDS50" s="543"/>
      <c r="BDT50" s="543"/>
      <c r="BDU50" s="543"/>
      <c r="BDV50" s="543"/>
      <c r="BDW50" s="543"/>
      <c r="BDX50" s="543"/>
      <c r="BDY50" s="543"/>
      <c r="BDZ50" s="543"/>
      <c r="BEA50" s="543"/>
      <c r="BEB50" s="543"/>
      <c r="BEC50" s="543"/>
      <c r="BED50" s="543"/>
      <c r="BEE50" s="543"/>
      <c r="BEF50" s="543"/>
      <c r="BEG50" s="543"/>
      <c r="BEH50" s="543"/>
      <c r="BEI50" s="543"/>
      <c r="BEJ50" s="543"/>
      <c r="BEK50" s="543"/>
      <c r="BEL50" s="543"/>
      <c r="BEM50" s="543"/>
      <c r="BEN50" s="543"/>
      <c r="BEO50" s="543"/>
      <c r="BEP50" s="543"/>
      <c r="BEQ50" s="543"/>
      <c r="BER50" s="543"/>
      <c r="BES50" s="543"/>
      <c r="BET50" s="543"/>
      <c r="BEU50" s="543"/>
      <c r="BEV50" s="543"/>
      <c r="BEW50" s="543"/>
      <c r="BEX50" s="543"/>
      <c r="BEY50" s="543"/>
      <c r="BEZ50" s="543"/>
      <c r="BFA50" s="543"/>
      <c r="BFB50" s="543"/>
      <c r="BFC50" s="543"/>
      <c r="BFD50" s="543"/>
      <c r="BFE50" s="543"/>
      <c r="BFF50" s="543"/>
      <c r="BFG50" s="543"/>
      <c r="BFH50" s="543"/>
      <c r="BFI50" s="543"/>
      <c r="BFJ50" s="543"/>
      <c r="BFK50" s="543"/>
      <c r="BFL50" s="543"/>
      <c r="BFM50" s="543"/>
      <c r="BFN50" s="543"/>
      <c r="BFO50" s="543"/>
      <c r="BFP50" s="543"/>
      <c r="BFQ50" s="543"/>
      <c r="BFR50" s="543"/>
      <c r="BFS50" s="543"/>
      <c r="BFT50" s="543"/>
      <c r="BFU50" s="543"/>
      <c r="BFV50" s="543"/>
      <c r="BFW50" s="543"/>
      <c r="BFX50" s="543"/>
      <c r="BFY50" s="543"/>
      <c r="BFZ50" s="543"/>
      <c r="BGA50" s="543"/>
      <c r="BGB50" s="543"/>
      <c r="BGC50" s="543"/>
      <c r="BGD50" s="543"/>
      <c r="BGE50" s="543"/>
      <c r="BGF50" s="543"/>
      <c r="BGG50" s="543"/>
      <c r="BGH50" s="543"/>
      <c r="BGI50" s="543"/>
      <c r="BGJ50" s="543"/>
      <c r="BGK50" s="543"/>
      <c r="BGL50" s="543"/>
      <c r="BGM50" s="543"/>
      <c r="BGN50" s="543"/>
      <c r="BGO50" s="543"/>
      <c r="BGP50" s="543"/>
      <c r="BGQ50" s="543"/>
      <c r="BGR50" s="543"/>
      <c r="BGS50" s="543"/>
      <c r="BGT50" s="543"/>
      <c r="BGU50" s="543"/>
      <c r="BGV50" s="543"/>
      <c r="BGW50" s="543"/>
      <c r="BGX50" s="543"/>
      <c r="BGY50" s="543"/>
      <c r="BGZ50" s="543"/>
      <c r="BHA50" s="543"/>
      <c r="BHB50" s="543"/>
      <c r="BHC50" s="543"/>
      <c r="BHD50" s="543"/>
      <c r="BHE50" s="543"/>
      <c r="BHF50" s="543"/>
      <c r="BHG50" s="543"/>
      <c r="BHH50" s="543"/>
      <c r="BHI50" s="543"/>
      <c r="BHJ50" s="543"/>
      <c r="BHK50" s="543"/>
      <c r="BHL50" s="543"/>
      <c r="BHM50" s="543"/>
      <c r="BHN50" s="543"/>
      <c r="BHO50" s="543"/>
      <c r="BHP50" s="543"/>
      <c r="BHQ50" s="543"/>
      <c r="BHR50" s="543"/>
      <c r="BHS50" s="543"/>
      <c r="BHT50" s="543"/>
      <c r="BHU50" s="543"/>
      <c r="BHV50" s="543"/>
      <c r="BHW50" s="543"/>
      <c r="BHX50" s="543"/>
      <c r="BHY50" s="543"/>
      <c r="BHZ50" s="543"/>
      <c r="BIA50" s="543"/>
      <c r="BIB50" s="543"/>
      <c r="BIC50" s="543"/>
      <c r="BID50" s="543"/>
      <c r="BIE50" s="543"/>
      <c r="BIF50" s="543"/>
      <c r="BIG50" s="543"/>
      <c r="BIH50" s="543"/>
      <c r="BII50" s="543"/>
      <c r="BIJ50" s="543"/>
      <c r="BIK50" s="543"/>
      <c r="BIL50" s="543"/>
      <c r="BIM50" s="543"/>
      <c r="BIN50" s="543"/>
      <c r="BIO50" s="543"/>
      <c r="BIP50" s="543"/>
      <c r="BIQ50" s="543"/>
      <c r="BIR50" s="543"/>
      <c r="BIS50" s="543"/>
      <c r="BIT50" s="543"/>
      <c r="BIU50" s="543"/>
      <c r="BIV50" s="543"/>
      <c r="BIW50" s="543"/>
      <c r="BIX50" s="543"/>
      <c r="BIY50" s="543"/>
      <c r="BIZ50" s="543"/>
      <c r="BJA50" s="543"/>
      <c r="BJB50" s="543"/>
      <c r="BJC50" s="543"/>
      <c r="BJD50" s="543"/>
      <c r="BJE50" s="543"/>
      <c r="BJF50" s="543"/>
      <c r="BJG50" s="543"/>
      <c r="BJH50" s="543"/>
      <c r="BJI50" s="543"/>
      <c r="BJJ50" s="543"/>
      <c r="BJK50" s="543"/>
      <c r="BJL50" s="543"/>
      <c r="BJM50" s="543"/>
      <c r="BJN50" s="543"/>
      <c r="BJO50" s="543"/>
      <c r="BJP50" s="543"/>
      <c r="BJQ50" s="543"/>
      <c r="BJR50" s="543"/>
      <c r="BJS50" s="543"/>
      <c r="BJT50" s="543"/>
      <c r="BJU50" s="543"/>
      <c r="BJV50" s="543"/>
      <c r="BJW50" s="543"/>
      <c r="BJX50" s="543"/>
      <c r="BJY50" s="543"/>
      <c r="BJZ50" s="543"/>
      <c r="BKA50" s="543"/>
      <c r="BKB50" s="543"/>
      <c r="BKC50" s="543"/>
      <c r="BKD50" s="543"/>
      <c r="BKE50" s="543"/>
      <c r="BKF50" s="543"/>
      <c r="BKG50" s="543"/>
      <c r="BKH50" s="543"/>
      <c r="BKI50" s="543"/>
      <c r="BKJ50" s="543"/>
      <c r="BKK50" s="543"/>
      <c r="BKL50" s="543"/>
      <c r="BKM50" s="543"/>
      <c r="BKN50" s="543"/>
      <c r="BKO50" s="543"/>
      <c r="BKP50" s="543"/>
      <c r="BKQ50" s="543"/>
      <c r="BKR50" s="543"/>
      <c r="BKS50" s="543"/>
      <c r="BKT50" s="543"/>
      <c r="BKU50" s="543"/>
      <c r="BKV50" s="543"/>
      <c r="BKW50" s="543"/>
      <c r="BKX50" s="543"/>
      <c r="BKY50" s="543"/>
      <c r="BKZ50" s="543"/>
      <c r="BLA50" s="543"/>
      <c r="BLB50" s="543"/>
      <c r="BLC50" s="543"/>
      <c r="BLD50" s="543"/>
      <c r="BLE50" s="543"/>
      <c r="BLF50" s="543"/>
      <c r="BLG50" s="543"/>
      <c r="BLH50" s="543"/>
      <c r="BLI50" s="543"/>
      <c r="BLJ50" s="543"/>
      <c r="BLK50" s="543"/>
      <c r="BLL50" s="543"/>
      <c r="BLM50" s="543"/>
      <c r="BLN50" s="543"/>
      <c r="BLO50" s="543"/>
      <c r="BLP50" s="543"/>
      <c r="BLQ50" s="543"/>
      <c r="BLR50" s="543"/>
      <c r="BLS50" s="543"/>
      <c r="BLT50" s="543"/>
      <c r="BLU50" s="543"/>
      <c r="BLV50" s="543"/>
      <c r="BLW50" s="543"/>
      <c r="BLX50" s="543"/>
      <c r="BLY50" s="543"/>
      <c r="BLZ50" s="543"/>
      <c r="BMA50" s="543"/>
      <c r="BMB50" s="543"/>
      <c r="BMC50" s="543"/>
      <c r="BMD50" s="543"/>
      <c r="BME50" s="543"/>
      <c r="BMF50" s="543"/>
      <c r="BMG50" s="543"/>
      <c r="BMH50" s="543"/>
      <c r="BMI50" s="543"/>
      <c r="BMJ50" s="543"/>
      <c r="BMK50" s="543"/>
      <c r="BML50" s="543"/>
      <c r="BMM50" s="543"/>
      <c r="BMN50" s="543"/>
      <c r="BMO50" s="543"/>
      <c r="BMP50" s="543"/>
      <c r="BMQ50" s="543"/>
      <c r="BMR50" s="543"/>
      <c r="BMS50" s="543"/>
      <c r="BMT50" s="543"/>
      <c r="BMU50" s="543"/>
      <c r="BMV50" s="543"/>
      <c r="BMW50" s="543"/>
      <c r="BMX50" s="543"/>
      <c r="BMY50" s="543"/>
      <c r="BMZ50" s="543"/>
      <c r="BNA50" s="543"/>
      <c r="BNB50" s="543"/>
      <c r="BNC50" s="543"/>
      <c r="BND50" s="543"/>
      <c r="BNE50" s="543"/>
      <c r="BNF50" s="543"/>
      <c r="BNG50" s="543"/>
      <c r="BNH50" s="543"/>
      <c r="BNI50" s="543"/>
      <c r="BNJ50" s="543"/>
      <c r="BNK50" s="543"/>
      <c r="BNL50" s="543"/>
      <c r="BNM50" s="543"/>
      <c r="BNN50" s="543"/>
      <c r="BNO50" s="543"/>
      <c r="BNP50" s="543"/>
      <c r="BNQ50" s="543"/>
      <c r="BNR50" s="543"/>
      <c r="BNS50" s="543"/>
      <c r="BNT50" s="543"/>
      <c r="BNU50" s="543"/>
      <c r="BNV50" s="543"/>
      <c r="BNW50" s="543"/>
      <c r="BNX50" s="543"/>
      <c r="BNY50" s="543"/>
      <c r="BNZ50" s="543"/>
      <c r="BOA50" s="543"/>
      <c r="BOB50" s="543"/>
      <c r="BOC50" s="543"/>
      <c r="BOD50" s="543"/>
      <c r="BOE50" s="543"/>
      <c r="BOF50" s="543"/>
      <c r="BOG50" s="543"/>
      <c r="BOH50" s="543"/>
      <c r="BOI50" s="543"/>
      <c r="BOJ50" s="543"/>
      <c r="BOK50" s="543"/>
      <c r="BOL50" s="543"/>
      <c r="BOM50" s="543"/>
      <c r="BON50" s="543"/>
      <c r="BOO50" s="543"/>
      <c r="BOP50" s="543"/>
      <c r="BOQ50" s="543"/>
      <c r="BOR50" s="543"/>
      <c r="BOS50" s="543"/>
      <c r="BOT50" s="543"/>
      <c r="BOU50" s="543"/>
      <c r="BOV50" s="543"/>
      <c r="BOW50" s="543"/>
      <c r="BOX50" s="543"/>
      <c r="BOY50" s="543"/>
      <c r="BOZ50" s="543"/>
      <c r="BPA50" s="543"/>
      <c r="BPB50" s="543"/>
      <c r="BPC50" s="543"/>
      <c r="BPD50" s="543"/>
      <c r="BPE50" s="543"/>
      <c r="BPF50" s="543"/>
      <c r="BPG50" s="543"/>
      <c r="BPH50" s="543"/>
      <c r="BPI50" s="543"/>
      <c r="BPJ50" s="543"/>
      <c r="BPK50" s="543"/>
      <c r="BPL50" s="543"/>
      <c r="BPM50" s="543"/>
      <c r="BPN50" s="543"/>
      <c r="BPO50" s="543"/>
      <c r="BPP50" s="543"/>
      <c r="BPQ50" s="543"/>
      <c r="BPR50" s="543"/>
      <c r="BPS50" s="543"/>
      <c r="BPT50" s="543"/>
      <c r="BPU50" s="543"/>
      <c r="BPV50" s="543"/>
      <c r="BPW50" s="543"/>
      <c r="BPX50" s="543"/>
      <c r="BPY50" s="543"/>
      <c r="BPZ50" s="543"/>
      <c r="BQA50" s="543"/>
      <c r="BQB50" s="543"/>
      <c r="BQC50" s="543"/>
      <c r="BQD50" s="543"/>
      <c r="BQE50" s="543"/>
      <c r="BQF50" s="543"/>
      <c r="BQG50" s="543"/>
      <c r="BQH50" s="543"/>
      <c r="BQI50" s="543"/>
      <c r="BQJ50" s="543"/>
      <c r="BQK50" s="543"/>
      <c r="BQL50" s="543"/>
      <c r="BQM50" s="543"/>
      <c r="BQN50" s="543"/>
      <c r="BQO50" s="543"/>
      <c r="BQP50" s="543"/>
      <c r="BQQ50" s="543"/>
      <c r="BQR50" s="543"/>
      <c r="BQS50" s="543"/>
      <c r="BQT50" s="543"/>
      <c r="BQU50" s="543"/>
      <c r="BQV50" s="543"/>
      <c r="BQW50" s="543"/>
      <c r="BQX50" s="543"/>
      <c r="BQY50" s="543"/>
      <c r="BQZ50" s="543"/>
      <c r="BRA50" s="543"/>
      <c r="BRB50" s="543"/>
      <c r="BRC50" s="543"/>
      <c r="BRD50" s="543"/>
      <c r="BRE50" s="543"/>
      <c r="BRF50" s="543"/>
      <c r="BRG50" s="543"/>
      <c r="BRH50" s="543"/>
      <c r="BRI50" s="543"/>
      <c r="BRJ50" s="543"/>
      <c r="BRK50" s="543"/>
      <c r="BRL50" s="543"/>
      <c r="BRM50" s="543"/>
      <c r="BRN50" s="543"/>
      <c r="BRO50" s="543"/>
      <c r="BRP50" s="543"/>
      <c r="BRQ50" s="543"/>
      <c r="BRR50" s="543"/>
      <c r="BRS50" s="543"/>
      <c r="BRT50" s="543"/>
      <c r="BRU50" s="543"/>
      <c r="BRV50" s="543"/>
      <c r="BRW50" s="543"/>
      <c r="BRX50" s="543"/>
      <c r="BRY50" s="543"/>
      <c r="BRZ50" s="543"/>
      <c r="BSA50" s="543"/>
      <c r="BSB50" s="543"/>
      <c r="BSC50" s="543"/>
      <c r="BSD50" s="543"/>
      <c r="BSE50" s="543"/>
      <c r="BSF50" s="543"/>
      <c r="BSG50" s="543"/>
      <c r="BSH50" s="543"/>
      <c r="BSI50" s="543"/>
      <c r="BSJ50" s="543"/>
      <c r="BSK50" s="543"/>
      <c r="BSL50" s="543"/>
      <c r="BSM50" s="543"/>
      <c r="BSN50" s="543"/>
      <c r="BSO50" s="543"/>
      <c r="BSP50" s="543"/>
      <c r="BSQ50" s="543"/>
      <c r="BSR50" s="543"/>
      <c r="BSS50" s="543"/>
      <c r="BST50" s="543"/>
      <c r="BSU50" s="543"/>
      <c r="BSV50" s="543"/>
      <c r="BSW50" s="543"/>
      <c r="BSX50" s="543"/>
      <c r="BSY50" s="543"/>
      <c r="BSZ50" s="543"/>
      <c r="BTA50" s="543"/>
      <c r="BTB50" s="543"/>
      <c r="BTC50" s="543"/>
      <c r="BTD50" s="543"/>
      <c r="BTE50" s="543"/>
      <c r="BTF50" s="543"/>
      <c r="BTG50" s="543"/>
      <c r="BTH50" s="543"/>
      <c r="BTI50" s="543"/>
      <c r="BTJ50" s="543"/>
      <c r="BTK50" s="543"/>
      <c r="BTL50" s="543"/>
      <c r="BTM50" s="543"/>
      <c r="BTN50" s="543"/>
      <c r="BTO50" s="543"/>
      <c r="BTP50" s="543"/>
      <c r="BTQ50" s="543"/>
      <c r="BTR50" s="543"/>
      <c r="BTS50" s="543"/>
      <c r="BTT50" s="543"/>
      <c r="BTU50" s="543"/>
      <c r="BTV50" s="543"/>
      <c r="BTW50" s="543"/>
      <c r="BTX50" s="543"/>
      <c r="BTY50" s="543"/>
      <c r="BTZ50" s="543"/>
      <c r="BUA50" s="543"/>
      <c r="BUB50" s="543"/>
      <c r="BUC50" s="543"/>
      <c r="BUD50" s="543"/>
      <c r="BUE50" s="543"/>
      <c r="BUF50" s="543"/>
      <c r="BUG50" s="543"/>
      <c r="BUH50" s="543"/>
      <c r="BUI50" s="543"/>
      <c r="BUJ50" s="543"/>
      <c r="BUK50" s="543"/>
      <c r="BUL50" s="543"/>
      <c r="BUM50" s="543"/>
      <c r="BUN50" s="543"/>
      <c r="BUO50" s="543"/>
      <c r="BUP50" s="543"/>
      <c r="BUQ50" s="543"/>
      <c r="BUR50" s="543"/>
      <c r="BUS50" s="543"/>
      <c r="BUT50" s="543"/>
      <c r="BUU50" s="543"/>
      <c r="BUV50" s="543"/>
      <c r="BUW50" s="543"/>
      <c r="BUX50" s="543"/>
      <c r="BUY50" s="543"/>
      <c r="BUZ50" s="543"/>
      <c r="BVA50" s="543"/>
      <c r="BVB50" s="543"/>
      <c r="BVC50" s="543"/>
      <c r="BVD50" s="543"/>
      <c r="BVE50" s="543"/>
      <c r="BVF50" s="543"/>
      <c r="BVG50" s="543"/>
      <c r="BVH50" s="543"/>
      <c r="BVI50" s="543"/>
      <c r="BVJ50" s="543"/>
      <c r="BVK50" s="543"/>
      <c r="BVL50" s="543"/>
      <c r="BVM50" s="543"/>
      <c r="BVN50" s="543"/>
      <c r="BVO50" s="543"/>
      <c r="BVP50" s="543"/>
      <c r="BVQ50" s="543"/>
      <c r="BVR50" s="543"/>
      <c r="BVS50" s="543"/>
      <c r="BVT50" s="543"/>
      <c r="BVU50" s="543"/>
      <c r="BVV50" s="543"/>
      <c r="BVW50" s="543"/>
      <c r="BVX50" s="543"/>
      <c r="BVY50" s="543"/>
      <c r="BVZ50" s="543"/>
      <c r="BWA50" s="543"/>
      <c r="BWB50" s="543"/>
      <c r="BWC50" s="543"/>
      <c r="BWD50" s="543"/>
      <c r="BWE50" s="543"/>
      <c r="BWF50" s="543"/>
      <c r="BWG50" s="543"/>
      <c r="BWH50" s="543"/>
      <c r="BWI50" s="543"/>
      <c r="BWJ50" s="543"/>
      <c r="BWK50" s="543"/>
      <c r="BWL50" s="543"/>
      <c r="BWM50" s="543"/>
      <c r="BWN50" s="543"/>
      <c r="BWO50" s="543"/>
      <c r="BWP50" s="543"/>
      <c r="BWQ50" s="543"/>
      <c r="BWR50" s="543"/>
      <c r="BWS50" s="543"/>
      <c r="BWT50" s="543"/>
      <c r="BWU50" s="543"/>
      <c r="BWV50" s="543"/>
      <c r="BWW50" s="543"/>
      <c r="BWX50" s="543"/>
      <c r="BWY50" s="543"/>
      <c r="BWZ50" s="543"/>
      <c r="BXA50" s="543"/>
      <c r="BXB50" s="543"/>
      <c r="BXC50" s="543"/>
      <c r="BXD50" s="543"/>
      <c r="BXE50" s="543"/>
      <c r="BXF50" s="543"/>
      <c r="BXG50" s="543"/>
      <c r="BXH50" s="543"/>
      <c r="BXI50" s="543"/>
      <c r="BXJ50" s="543"/>
      <c r="BXK50" s="543"/>
      <c r="BXL50" s="543"/>
      <c r="BXM50" s="543"/>
      <c r="BXN50" s="543"/>
      <c r="BXO50" s="543"/>
      <c r="BXP50" s="543"/>
      <c r="BXQ50" s="543"/>
      <c r="BXR50" s="543"/>
      <c r="BXS50" s="543"/>
      <c r="BXT50" s="543"/>
      <c r="BXU50" s="543"/>
      <c r="BXV50" s="543"/>
      <c r="BXW50" s="543"/>
      <c r="BXX50" s="543"/>
      <c r="BXY50" s="543"/>
      <c r="BXZ50" s="543"/>
      <c r="BYA50" s="543"/>
      <c r="BYB50" s="543"/>
      <c r="BYC50" s="543"/>
      <c r="BYD50" s="543"/>
      <c r="BYE50" s="543"/>
      <c r="BYF50" s="543"/>
      <c r="BYG50" s="543"/>
      <c r="BYH50" s="543"/>
      <c r="BYI50" s="543"/>
      <c r="BYJ50" s="543"/>
      <c r="BYK50" s="543"/>
      <c r="BYL50" s="543"/>
      <c r="BYM50" s="543"/>
      <c r="BYN50" s="543"/>
      <c r="BYO50" s="543"/>
      <c r="BYP50" s="543"/>
      <c r="BYQ50" s="543"/>
      <c r="BYR50" s="543"/>
      <c r="BYS50" s="543"/>
      <c r="BYT50" s="543"/>
      <c r="BYU50" s="543"/>
      <c r="BYV50" s="543"/>
      <c r="BYW50" s="543"/>
      <c r="BYX50" s="543"/>
      <c r="BYY50" s="543"/>
      <c r="BYZ50" s="543"/>
      <c r="BZA50" s="543"/>
      <c r="BZB50" s="543"/>
      <c r="BZC50" s="543"/>
      <c r="BZD50" s="543"/>
      <c r="BZE50" s="543"/>
      <c r="BZF50" s="543"/>
      <c r="BZG50" s="543"/>
      <c r="BZH50" s="543"/>
      <c r="BZI50" s="543"/>
      <c r="BZJ50" s="543"/>
      <c r="BZK50" s="543"/>
      <c r="BZL50" s="543"/>
      <c r="BZM50" s="543"/>
      <c r="BZN50" s="543"/>
      <c r="BZO50" s="543"/>
      <c r="BZP50" s="543"/>
      <c r="BZQ50" s="543"/>
      <c r="BZR50" s="543"/>
      <c r="BZS50" s="543"/>
      <c r="BZT50" s="543"/>
      <c r="BZU50" s="543"/>
      <c r="BZV50" s="543"/>
      <c r="BZW50" s="543"/>
      <c r="BZX50" s="543"/>
      <c r="BZY50" s="543"/>
      <c r="BZZ50" s="543"/>
      <c r="CAA50" s="543"/>
      <c r="CAB50" s="543"/>
      <c r="CAC50" s="543"/>
      <c r="CAD50" s="543"/>
      <c r="CAE50" s="543"/>
      <c r="CAF50" s="543"/>
      <c r="CAG50" s="543"/>
      <c r="CAH50" s="543"/>
      <c r="CAI50" s="543"/>
      <c r="CAJ50" s="543"/>
      <c r="CAK50" s="543"/>
      <c r="CAL50" s="543"/>
      <c r="CAM50" s="543"/>
      <c r="CAN50" s="543"/>
      <c r="CAO50" s="543"/>
      <c r="CAP50" s="543"/>
      <c r="CAQ50" s="543"/>
      <c r="CAR50" s="543"/>
      <c r="CAS50" s="543"/>
      <c r="CAT50" s="543"/>
      <c r="CAU50" s="543"/>
      <c r="CAV50" s="543"/>
      <c r="CAW50" s="543"/>
      <c r="CAX50" s="543"/>
      <c r="CAY50" s="543"/>
      <c r="CAZ50" s="543"/>
      <c r="CBA50" s="543"/>
      <c r="CBB50" s="543"/>
      <c r="CBC50" s="543"/>
      <c r="CBD50" s="543"/>
      <c r="CBE50" s="543"/>
      <c r="CBF50" s="543"/>
      <c r="CBG50" s="543"/>
      <c r="CBH50" s="543"/>
      <c r="CBI50" s="543"/>
      <c r="CBJ50" s="543"/>
      <c r="CBK50" s="543"/>
      <c r="CBL50" s="543"/>
      <c r="CBM50" s="543"/>
      <c r="CBN50" s="543"/>
      <c r="CBO50" s="543"/>
      <c r="CBP50" s="543"/>
      <c r="CBQ50" s="543"/>
      <c r="CBR50" s="543"/>
      <c r="CBS50" s="543"/>
      <c r="CBT50" s="543"/>
      <c r="CBU50" s="543"/>
      <c r="CBV50" s="543"/>
      <c r="CBW50" s="543"/>
      <c r="CBX50" s="543"/>
      <c r="CBY50" s="543"/>
      <c r="CBZ50" s="543"/>
      <c r="CCA50" s="543"/>
      <c r="CCB50" s="543"/>
      <c r="CCC50" s="543"/>
      <c r="CCD50" s="543"/>
      <c r="CCE50" s="543"/>
      <c r="CCF50" s="543"/>
      <c r="CCG50" s="543"/>
      <c r="CCH50" s="543"/>
      <c r="CCI50" s="543"/>
      <c r="CCJ50" s="543"/>
      <c r="CCK50" s="543"/>
      <c r="CCL50" s="543"/>
      <c r="CCM50" s="543"/>
      <c r="CCN50" s="543"/>
      <c r="CCO50" s="543"/>
      <c r="CCP50" s="543"/>
      <c r="CCQ50" s="543"/>
      <c r="CCR50" s="543"/>
      <c r="CCS50" s="543"/>
      <c r="CCT50" s="543"/>
      <c r="CCU50" s="543"/>
      <c r="CCV50" s="543"/>
      <c r="CCW50" s="543"/>
      <c r="CCX50" s="543"/>
      <c r="CCY50" s="543"/>
      <c r="CCZ50" s="543"/>
      <c r="CDA50" s="543"/>
      <c r="CDB50" s="543"/>
      <c r="CDC50" s="543"/>
      <c r="CDD50" s="543"/>
      <c r="CDE50" s="543"/>
      <c r="CDF50" s="543"/>
      <c r="CDG50" s="543"/>
      <c r="CDH50" s="543"/>
      <c r="CDI50" s="543"/>
      <c r="CDJ50" s="543"/>
      <c r="CDK50" s="543"/>
      <c r="CDL50" s="543"/>
      <c r="CDM50" s="543"/>
      <c r="CDN50" s="543"/>
      <c r="CDO50" s="543"/>
      <c r="CDP50" s="543"/>
      <c r="CDQ50" s="543"/>
      <c r="CDR50" s="543"/>
      <c r="CDS50" s="543"/>
      <c r="CDT50" s="543"/>
      <c r="CDU50" s="543"/>
      <c r="CDV50" s="543"/>
      <c r="CDW50" s="543"/>
      <c r="CDX50" s="543"/>
      <c r="CDY50" s="543"/>
      <c r="CDZ50" s="543"/>
      <c r="CEA50" s="543"/>
      <c r="CEB50" s="543"/>
      <c r="CEC50" s="543"/>
      <c r="CED50" s="543"/>
      <c r="CEE50" s="543"/>
      <c r="CEF50" s="543"/>
      <c r="CEG50" s="543"/>
      <c r="CEH50" s="543"/>
      <c r="CEI50" s="543"/>
      <c r="CEJ50" s="543"/>
      <c r="CEK50" s="543"/>
      <c r="CEL50" s="543"/>
      <c r="CEM50" s="543"/>
      <c r="CEN50" s="543"/>
      <c r="CEO50" s="543"/>
      <c r="CEP50" s="543"/>
      <c r="CEQ50" s="543"/>
      <c r="CER50" s="543"/>
      <c r="CES50" s="543"/>
      <c r="CET50" s="543"/>
      <c r="CEU50" s="543"/>
      <c r="CEV50" s="543"/>
      <c r="CEW50" s="543"/>
      <c r="CEX50" s="543"/>
      <c r="CEY50" s="543"/>
      <c r="CEZ50" s="543"/>
      <c r="CFA50" s="543"/>
      <c r="CFB50" s="543"/>
      <c r="CFC50" s="543"/>
      <c r="CFD50" s="543"/>
      <c r="CFE50" s="543"/>
      <c r="CFF50" s="543"/>
      <c r="CFG50" s="543"/>
      <c r="CFH50" s="543"/>
      <c r="CFI50" s="543"/>
      <c r="CFJ50" s="543"/>
      <c r="CFK50" s="543"/>
      <c r="CFL50" s="543"/>
      <c r="CFM50" s="543"/>
      <c r="CFN50" s="543"/>
      <c r="CFO50" s="543"/>
      <c r="CFP50" s="543"/>
      <c r="CFQ50" s="543"/>
      <c r="CFR50" s="543"/>
      <c r="CFS50" s="543"/>
      <c r="CFT50" s="543"/>
      <c r="CFU50" s="543"/>
      <c r="CFV50" s="543"/>
      <c r="CFW50" s="543"/>
      <c r="CFX50" s="543"/>
      <c r="CFY50" s="543"/>
      <c r="CFZ50" s="543"/>
      <c r="CGA50" s="543"/>
      <c r="CGB50" s="543"/>
      <c r="CGC50" s="543"/>
      <c r="CGD50" s="543"/>
      <c r="CGE50" s="543"/>
      <c r="CGF50" s="543"/>
      <c r="CGG50" s="543"/>
      <c r="CGH50" s="543"/>
      <c r="CGI50" s="543"/>
      <c r="CGJ50" s="543"/>
      <c r="CGK50" s="543"/>
      <c r="CGL50" s="543"/>
      <c r="CGM50" s="543"/>
      <c r="CGN50" s="543"/>
      <c r="CGO50" s="543"/>
      <c r="CGP50" s="543"/>
      <c r="CGQ50" s="543"/>
      <c r="CGR50" s="543"/>
      <c r="CGS50" s="543"/>
      <c r="CGT50" s="543"/>
      <c r="CGU50" s="543"/>
      <c r="CGV50" s="543"/>
      <c r="CGW50" s="543"/>
      <c r="CGX50" s="543"/>
      <c r="CGY50" s="543"/>
      <c r="CGZ50" s="543"/>
      <c r="CHA50" s="543"/>
      <c r="CHB50" s="543"/>
      <c r="CHC50" s="543"/>
      <c r="CHD50" s="543"/>
      <c r="CHE50" s="543"/>
      <c r="CHF50" s="543"/>
      <c r="CHG50" s="543"/>
      <c r="CHH50" s="543"/>
      <c r="CHI50" s="543"/>
      <c r="CHJ50" s="543"/>
      <c r="CHK50" s="543"/>
      <c r="CHL50" s="543"/>
      <c r="CHM50" s="543"/>
      <c r="CHN50" s="543"/>
      <c r="CHO50" s="543"/>
      <c r="CHP50" s="543"/>
      <c r="CHQ50" s="543"/>
      <c r="CHR50" s="543"/>
      <c r="CHS50" s="543"/>
      <c r="CHT50" s="543"/>
      <c r="CHU50" s="543"/>
      <c r="CHV50" s="543"/>
      <c r="CHW50" s="543"/>
      <c r="CHX50" s="543"/>
      <c r="CHY50" s="543"/>
      <c r="CHZ50" s="543"/>
      <c r="CIA50" s="543"/>
      <c r="CIB50" s="543"/>
      <c r="CIC50" s="543"/>
      <c r="CID50" s="543"/>
      <c r="CIE50" s="543"/>
      <c r="CIF50" s="543"/>
      <c r="CIG50" s="543"/>
      <c r="CIH50" s="543"/>
      <c r="CII50" s="543"/>
      <c r="CIJ50" s="543"/>
      <c r="CIK50" s="543"/>
      <c r="CIL50" s="543"/>
      <c r="CIM50" s="543"/>
      <c r="CIN50" s="543"/>
      <c r="CIO50" s="543"/>
      <c r="CIP50" s="543"/>
      <c r="CIQ50" s="543"/>
      <c r="CIR50" s="543"/>
      <c r="CIS50" s="543"/>
      <c r="CIT50" s="543"/>
      <c r="CIU50" s="543"/>
      <c r="CIV50" s="543"/>
      <c r="CIW50" s="543"/>
      <c r="CIX50" s="543"/>
      <c r="CIY50" s="543"/>
      <c r="CIZ50" s="543"/>
      <c r="CJA50" s="543"/>
      <c r="CJB50" s="543"/>
      <c r="CJC50" s="543"/>
      <c r="CJD50" s="543"/>
      <c r="CJE50" s="543"/>
      <c r="CJF50" s="543"/>
      <c r="CJG50" s="543"/>
      <c r="CJH50" s="543"/>
      <c r="CJI50" s="543"/>
      <c r="CJJ50" s="543"/>
      <c r="CJK50" s="543"/>
      <c r="CJL50" s="543"/>
      <c r="CJM50" s="543"/>
      <c r="CJN50" s="543"/>
      <c r="CJO50" s="543"/>
      <c r="CJP50" s="543"/>
      <c r="CJQ50" s="543"/>
      <c r="CJR50" s="543"/>
      <c r="CJS50" s="543"/>
      <c r="CJT50" s="543"/>
      <c r="CJU50" s="543"/>
      <c r="CJV50" s="543"/>
      <c r="CJW50" s="543"/>
      <c r="CJX50" s="543"/>
      <c r="CJY50" s="543"/>
      <c r="CJZ50" s="543"/>
      <c r="CKA50" s="543"/>
      <c r="CKB50" s="543"/>
      <c r="CKC50" s="543"/>
      <c r="CKD50" s="543"/>
      <c r="CKE50" s="543"/>
      <c r="CKF50" s="543"/>
      <c r="CKG50" s="543"/>
      <c r="CKH50" s="543"/>
      <c r="CKI50" s="543"/>
      <c r="CKJ50" s="543"/>
      <c r="CKK50" s="543"/>
      <c r="CKL50" s="543"/>
      <c r="CKM50" s="543"/>
      <c r="CKN50" s="543"/>
      <c r="CKO50" s="543"/>
      <c r="CKP50" s="543"/>
      <c r="CKQ50" s="543"/>
      <c r="CKR50" s="543"/>
      <c r="CKS50" s="543"/>
      <c r="CKT50" s="543"/>
      <c r="CKU50" s="543"/>
      <c r="CKV50" s="543"/>
      <c r="CKW50" s="543"/>
      <c r="CKX50" s="543"/>
      <c r="CKY50" s="543"/>
      <c r="CKZ50" s="543"/>
      <c r="CLA50" s="543"/>
      <c r="CLB50" s="543"/>
      <c r="CLC50" s="543"/>
      <c r="CLD50" s="543"/>
      <c r="CLE50" s="543"/>
      <c r="CLF50" s="543"/>
      <c r="CLG50" s="543"/>
      <c r="CLH50" s="543"/>
      <c r="CLI50" s="543"/>
      <c r="CLJ50" s="543"/>
      <c r="CLK50" s="543"/>
      <c r="CLL50" s="543"/>
      <c r="CLM50" s="543"/>
      <c r="CLN50" s="543"/>
      <c r="CLO50" s="543"/>
      <c r="CLP50" s="543"/>
      <c r="CLQ50" s="543"/>
      <c r="CLR50" s="543"/>
      <c r="CLS50" s="543"/>
      <c r="CLT50" s="543"/>
      <c r="CLU50" s="543"/>
      <c r="CLV50" s="543"/>
      <c r="CLW50" s="543"/>
      <c r="CLX50" s="543"/>
      <c r="CLY50" s="543"/>
      <c r="CLZ50" s="543"/>
      <c r="CMA50" s="543"/>
      <c r="CMB50" s="543"/>
      <c r="CMC50" s="543"/>
      <c r="CMD50" s="543"/>
      <c r="CME50" s="543"/>
      <c r="CMF50" s="543"/>
      <c r="CMG50" s="543"/>
      <c r="CMH50" s="543"/>
      <c r="CMI50" s="543"/>
      <c r="CMJ50" s="543"/>
      <c r="CMK50" s="543"/>
      <c r="CML50" s="543"/>
      <c r="CMM50" s="543"/>
      <c r="CMN50" s="543"/>
      <c r="CMO50" s="543"/>
      <c r="CMP50" s="543"/>
      <c r="CMQ50" s="543"/>
      <c r="CMR50" s="543"/>
      <c r="CMS50" s="543"/>
      <c r="CMT50" s="543"/>
      <c r="CMU50" s="543"/>
      <c r="CMV50" s="543"/>
      <c r="CMW50" s="543"/>
      <c r="CMX50" s="543"/>
      <c r="CMY50" s="543"/>
      <c r="CMZ50" s="543"/>
      <c r="CNA50" s="543"/>
      <c r="CNB50" s="543"/>
      <c r="CNC50" s="543"/>
      <c r="CND50" s="543"/>
      <c r="CNE50" s="543"/>
      <c r="CNF50" s="543"/>
      <c r="CNG50" s="543"/>
      <c r="CNH50" s="543"/>
      <c r="CNI50" s="543"/>
      <c r="CNJ50" s="543"/>
      <c r="CNK50" s="543"/>
      <c r="CNL50" s="543"/>
      <c r="CNM50" s="543"/>
      <c r="CNN50" s="543"/>
      <c r="CNO50" s="543"/>
      <c r="CNP50" s="543"/>
      <c r="CNQ50" s="543"/>
      <c r="CNR50" s="543"/>
      <c r="CNS50" s="543"/>
      <c r="CNT50" s="543"/>
      <c r="CNU50" s="543"/>
      <c r="CNV50" s="543"/>
      <c r="CNW50" s="543"/>
      <c r="CNX50" s="543"/>
      <c r="CNY50" s="543"/>
      <c r="CNZ50" s="543"/>
      <c r="COA50" s="543"/>
      <c r="COB50" s="543"/>
      <c r="COC50" s="543"/>
      <c r="COD50" s="543"/>
      <c r="COE50" s="543"/>
      <c r="COF50" s="543"/>
      <c r="COG50" s="543"/>
      <c r="COH50" s="543"/>
      <c r="COI50" s="543"/>
      <c r="COJ50" s="543"/>
      <c r="COK50" s="543"/>
      <c r="COL50" s="543"/>
      <c r="COM50" s="543"/>
      <c r="CON50" s="543"/>
      <c r="COO50" s="543"/>
      <c r="COP50" s="543"/>
      <c r="COQ50" s="543"/>
      <c r="COR50" s="543"/>
      <c r="COS50" s="543"/>
      <c r="COT50" s="543"/>
      <c r="COU50" s="543"/>
      <c r="COV50" s="543"/>
      <c r="COW50" s="543"/>
      <c r="COX50" s="543"/>
      <c r="COY50" s="543"/>
      <c r="COZ50" s="543"/>
      <c r="CPA50" s="543"/>
      <c r="CPB50" s="543"/>
      <c r="CPC50" s="543"/>
      <c r="CPD50" s="543"/>
      <c r="CPE50" s="543"/>
      <c r="CPF50" s="543"/>
      <c r="CPG50" s="543"/>
      <c r="CPH50" s="543"/>
      <c r="CPI50" s="543"/>
      <c r="CPJ50" s="543"/>
      <c r="CPK50" s="543"/>
      <c r="CPL50" s="543"/>
      <c r="CPM50" s="543"/>
      <c r="CPN50" s="543"/>
      <c r="CPO50" s="543"/>
      <c r="CPP50" s="543"/>
      <c r="CPQ50" s="543"/>
      <c r="CPR50" s="543"/>
      <c r="CPS50" s="543"/>
      <c r="CPT50" s="543"/>
      <c r="CPU50" s="543"/>
      <c r="CPV50" s="543"/>
      <c r="CPW50" s="543"/>
      <c r="CPX50" s="543"/>
      <c r="CPY50" s="543"/>
      <c r="CPZ50" s="543"/>
      <c r="CQA50" s="543"/>
      <c r="CQB50" s="543"/>
      <c r="CQC50" s="543"/>
      <c r="CQD50" s="543"/>
      <c r="CQE50" s="543"/>
      <c r="CQF50" s="543"/>
      <c r="CQG50" s="543"/>
      <c r="CQH50" s="543"/>
      <c r="CQI50" s="543"/>
      <c r="CQJ50" s="543"/>
      <c r="CQK50" s="543"/>
      <c r="CQL50" s="543"/>
      <c r="CQM50" s="543"/>
      <c r="CQN50" s="543"/>
      <c r="CQO50" s="543"/>
      <c r="CQP50" s="543"/>
      <c r="CQQ50" s="543"/>
      <c r="CQR50" s="543"/>
      <c r="CQS50" s="543"/>
      <c r="CQT50" s="543"/>
      <c r="CQU50" s="543"/>
      <c r="CQV50" s="543"/>
      <c r="CQW50" s="543"/>
      <c r="CQX50" s="543"/>
      <c r="CQY50" s="543"/>
      <c r="CQZ50" s="543"/>
      <c r="CRA50" s="543"/>
      <c r="CRB50" s="543"/>
      <c r="CRC50" s="543"/>
      <c r="CRD50" s="543"/>
      <c r="CRE50" s="543"/>
      <c r="CRF50" s="543"/>
      <c r="CRG50" s="543"/>
      <c r="CRH50" s="543"/>
      <c r="CRI50" s="543"/>
      <c r="CRJ50" s="543"/>
      <c r="CRK50" s="543"/>
      <c r="CRL50" s="543"/>
      <c r="CRM50" s="543"/>
      <c r="CRN50" s="543"/>
      <c r="CRO50" s="543"/>
      <c r="CRP50" s="543"/>
      <c r="CRQ50" s="543"/>
      <c r="CRR50" s="543"/>
      <c r="CRS50" s="543"/>
      <c r="CRT50" s="543"/>
      <c r="CRU50" s="543"/>
      <c r="CRV50" s="543"/>
      <c r="CRW50" s="543"/>
      <c r="CRX50" s="543"/>
      <c r="CRY50" s="543"/>
      <c r="CRZ50" s="543"/>
      <c r="CSA50" s="543"/>
      <c r="CSB50" s="543"/>
      <c r="CSC50" s="543"/>
      <c r="CSD50" s="543"/>
      <c r="CSE50" s="543"/>
      <c r="CSF50" s="543"/>
      <c r="CSG50" s="543"/>
      <c r="CSH50" s="543"/>
      <c r="CSI50" s="543"/>
      <c r="CSJ50" s="543"/>
      <c r="CSK50" s="543"/>
      <c r="CSL50" s="543"/>
      <c r="CSM50" s="543"/>
      <c r="CSN50" s="543"/>
      <c r="CSO50" s="543"/>
      <c r="CSP50" s="543"/>
      <c r="CSQ50" s="543"/>
      <c r="CSR50" s="543"/>
      <c r="CSS50" s="543"/>
      <c r="CST50" s="543"/>
      <c r="CSU50" s="543"/>
      <c r="CSV50" s="543"/>
      <c r="CSW50" s="543"/>
      <c r="CSX50" s="543"/>
      <c r="CSY50" s="543"/>
      <c r="CSZ50" s="543"/>
      <c r="CTA50" s="543"/>
      <c r="CTB50" s="543"/>
      <c r="CTC50" s="543"/>
      <c r="CTD50" s="543"/>
      <c r="CTE50" s="543"/>
      <c r="CTF50" s="543"/>
      <c r="CTG50" s="543"/>
      <c r="CTH50" s="543"/>
      <c r="CTI50" s="543"/>
      <c r="CTJ50" s="543"/>
      <c r="CTK50" s="543"/>
      <c r="CTL50" s="543"/>
      <c r="CTM50" s="543"/>
      <c r="CTN50" s="543"/>
      <c r="CTO50" s="543"/>
      <c r="CTP50" s="543"/>
      <c r="CTQ50" s="543"/>
      <c r="CTR50" s="543"/>
      <c r="CTS50" s="543"/>
      <c r="CTT50" s="543"/>
      <c r="CTU50" s="543"/>
      <c r="CTV50" s="543"/>
      <c r="CTW50" s="543"/>
      <c r="CTX50" s="543"/>
      <c r="CTY50" s="543"/>
      <c r="CTZ50" s="543"/>
      <c r="CUA50" s="543"/>
      <c r="CUB50" s="543"/>
      <c r="CUC50" s="543"/>
      <c r="CUD50" s="543"/>
      <c r="CUE50" s="543"/>
      <c r="CUF50" s="543"/>
      <c r="CUG50" s="543"/>
      <c r="CUH50" s="543"/>
      <c r="CUI50" s="543"/>
      <c r="CUJ50" s="543"/>
      <c r="CUK50" s="543"/>
      <c r="CUL50" s="543"/>
      <c r="CUM50" s="543"/>
      <c r="CUN50" s="543"/>
      <c r="CUO50" s="543"/>
      <c r="CUP50" s="543"/>
      <c r="CUQ50" s="543"/>
      <c r="CUR50" s="543"/>
      <c r="CUS50" s="543"/>
      <c r="CUT50" s="543"/>
      <c r="CUU50" s="543"/>
      <c r="CUV50" s="543"/>
      <c r="CUW50" s="543"/>
      <c r="CUX50" s="543"/>
      <c r="CUY50" s="543"/>
      <c r="CUZ50" s="543"/>
      <c r="CVA50" s="543"/>
      <c r="CVB50" s="543"/>
      <c r="CVC50" s="543"/>
      <c r="CVD50" s="543"/>
      <c r="CVE50" s="543"/>
      <c r="CVF50" s="543"/>
      <c r="CVG50" s="543"/>
      <c r="CVH50" s="543"/>
      <c r="CVI50" s="543"/>
      <c r="CVJ50" s="543"/>
      <c r="CVK50" s="543"/>
      <c r="CVL50" s="543"/>
      <c r="CVM50" s="543"/>
      <c r="CVN50" s="543"/>
      <c r="CVO50" s="543"/>
      <c r="CVP50" s="543"/>
      <c r="CVQ50" s="543"/>
      <c r="CVR50" s="543"/>
      <c r="CVS50" s="543"/>
      <c r="CVT50" s="543"/>
      <c r="CVU50" s="543"/>
      <c r="CVV50" s="543"/>
      <c r="CVW50" s="543"/>
      <c r="CVX50" s="543"/>
      <c r="CVY50" s="543"/>
      <c r="CVZ50" s="543"/>
      <c r="CWA50" s="543"/>
      <c r="CWB50" s="543"/>
      <c r="CWC50" s="543"/>
      <c r="CWD50" s="543"/>
      <c r="CWE50" s="543"/>
      <c r="CWF50" s="543"/>
      <c r="CWG50" s="543"/>
      <c r="CWH50" s="543"/>
      <c r="CWI50" s="543"/>
      <c r="CWJ50" s="543"/>
      <c r="CWK50" s="543"/>
      <c r="CWL50" s="543"/>
      <c r="CWM50" s="543"/>
      <c r="CWN50" s="543"/>
      <c r="CWO50" s="543"/>
      <c r="CWP50" s="543"/>
      <c r="CWQ50" s="543"/>
      <c r="CWR50" s="543"/>
      <c r="CWS50" s="543"/>
      <c r="CWT50" s="543"/>
      <c r="CWU50" s="543"/>
      <c r="CWV50" s="543"/>
      <c r="CWW50" s="543"/>
      <c r="CWX50" s="543"/>
      <c r="CWY50" s="543"/>
      <c r="CWZ50" s="543"/>
      <c r="CXA50" s="543"/>
      <c r="CXB50" s="543"/>
      <c r="CXC50" s="543"/>
      <c r="CXD50" s="543"/>
      <c r="CXE50" s="543"/>
      <c r="CXF50" s="543"/>
      <c r="CXG50" s="543"/>
      <c r="CXH50" s="543"/>
      <c r="CXI50" s="543"/>
      <c r="CXJ50" s="543"/>
      <c r="CXK50" s="543"/>
      <c r="CXL50" s="543"/>
      <c r="CXM50" s="543"/>
      <c r="CXN50" s="543"/>
      <c r="CXO50" s="543"/>
      <c r="CXP50" s="543"/>
      <c r="CXQ50" s="543"/>
      <c r="CXR50" s="543"/>
      <c r="CXS50" s="543"/>
      <c r="CXT50" s="543"/>
      <c r="CXU50" s="543"/>
      <c r="CXV50" s="543"/>
      <c r="CXW50" s="543"/>
      <c r="CXX50" s="543"/>
      <c r="CXY50" s="543"/>
      <c r="CXZ50" s="543"/>
      <c r="CYA50" s="543"/>
      <c r="CYB50" s="543"/>
      <c r="CYC50" s="543"/>
      <c r="CYD50" s="543"/>
      <c r="CYE50" s="543"/>
      <c r="CYF50" s="543"/>
      <c r="CYG50" s="543"/>
      <c r="CYH50" s="543"/>
      <c r="CYI50" s="543"/>
      <c r="CYJ50" s="543"/>
      <c r="CYK50" s="543"/>
      <c r="CYL50" s="543"/>
      <c r="CYM50" s="543"/>
      <c r="CYN50" s="543"/>
      <c r="CYO50" s="543"/>
      <c r="CYP50" s="543"/>
      <c r="CYQ50" s="543"/>
      <c r="CYR50" s="543"/>
      <c r="CYS50" s="543"/>
      <c r="CYT50" s="543"/>
      <c r="CYU50" s="543"/>
      <c r="CYV50" s="543"/>
      <c r="CYW50" s="543"/>
      <c r="CYX50" s="543"/>
      <c r="CYY50" s="543"/>
      <c r="CYZ50" s="543"/>
      <c r="CZA50" s="543"/>
      <c r="CZB50" s="543"/>
      <c r="CZC50" s="543"/>
      <c r="CZD50" s="543"/>
      <c r="CZE50" s="543"/>
      <c r="CZF50" s="543"/>
      <c r="CZG50" s="543"/>
      <c r="CZH50" s="543"/>
      <c r="CZI50" s="543"/>
      <c r="CZJ50" s="543"/>
      <c r="CZK50" s="543"/>
      <c r="CZL50" s="543"/>
      <c r="CZM50" s="543"/>
      <c r="CZN50" s="543"/>
      <c r="CZO50" s="543"/>
      <c r="CZP50" s="543"/>
      <c r="CZQ50" s="543"/>
      <c r="CZR50" s="543"/>
      <c r="CZS50" s="543"/>
      <c r="CZT50" s="543"/>
      <c r="CZU50" s="543"/>
      <c r="CZV50" s="543"/>
      <c r="CZW50" s="543"/>
      <c r="CZX50" s="543"/>
      <c r="CZY50" s="543"/>
      <c r="CZZ50" s="543"/>
      <c r="DAA50" s="543"/>
      <c r="DAB50" s="543"/>
      <c r="DAC50" s="543"/>
      <c r="DAD50" s="543"/>
      <c r="DAE50" s="543"/>
      <c r="DAF50" s="543"/>
      <c r="DAG50" s="543"/>
      <c r="DAH50" s="543"/>
      <c r="DAI50" s="543"/>
      <c r="DAJ50" s="543"/>
      <c r="DAK50" s="543"/>
      <c r="DAL50" s="543"/>
      <c r="DAM50" s="543"/>
      <c r="DAN50" s="543"/>
      <c r="DAO50" s="543"/>
      <c r="DAP50" s="543"/>
      <c r="DAQ50" s="543"/>
      <c r="DAR50" s="543"/>
      <c r="DAS50" s="543"/>
      <c r="DAT50" s="543"/>
      <c r="DAU50" s="543"/>
      <c r="DAV50" s="543"/>
      <c r="DAW50" s="543"/>
      <c r="DAX50" s="543"/>
      <c r="DAY50" s="543"/>
      <c r="DAZ50" s="543"/>
      <c r="DBA50" s="543"/>
      <c r="DBB50" s="543"/>
      <c r="DBC50" s="543"/>
      <c r="DBD50" s="543"/>
      <c r="DBE50" s="543"/>
      <c r="DBF50" s="543"/>
      <c r="DBG50" s="543"/>
      <c r="DBH50" s="543"/>
      <c r="DBI50" s="543"/>
      <c r="DBJ50" s="543"/>
      <c r="DBK50" s="543"/>
      <c r="DBL50" s="543"/>
      <c r="DBM50" s="543"/>
      <c r="DBN50" s="543"/>
      <c r="DBO50" s="543"/>
      <c r="DBP50" s="543"/>
      <c r="DBQ50" s="543"/>
      <c r="DBR50" s="543"/>
      <c r="DBS50" s="543"/>
      <c r="DBT50" s="543"/>
      <c r="DBU50" s="543"/>
      <c r="DBV50" s="543"/>
      <c r="DBW50" s="543"/>
      <c r="DBX50" s="543"/>
      <c r="DBY50" s="543"/>
      <c r="DBZ50" s="543"/>
      <c r="DCA50" s="543"/>
      <c r="DCB50" s="543"/>
      <c r="DCC50" s="543"/>
      <c r="DCD50" s="543"/>
      <c r="DCE50" s="543"/>
      <c r="DCF50" s="543"/>
      <c r="DCG50" s="543"/>
      <c r="DCH50" s="543"/>
      <c r="DCI50" s="543"/>
      <c r="DCJ50" s="543"/>
      <c r="DCK50" s="543"/>
      <c r="DCL50" s="543"/>
      <c r="DCM50" s="543"/>
      <c r="DCN50" s="543"/>
      <c r="DCO50" s="543"/>
      <c r="DCP50" s="543"/>
      <c r="DCQ50" s="543"/>
      <c r="DCR50" s="543"/>
      <c r="DCS50" s="543"/>
      <c r="DCT50" s="543"/>
      <c r="DCU50" s="543"/>
      <c r="DCV50" s="543"/>
      <c r="DCW50" s="543"/>
      <c r="DCX50" s="543"/>
      <c r="DCY50" s="543"/>
      <c r="DCZ50" s="543"/>
      <c r="DDA50" s="543"/>
      <c r="DDB50" s="543"/>
      <c r="DDC50" s="543"/>
      <c r="DDD50" s="543"/>
      <c r="DDE50" s="543"/>
      <c r="DDF50" s="543"/>
      <c r="DDG50" s="543"/>
      <c r="DDH50" s="543"/>
      <c r="DDI50" s="543"/>
      <c r="DDJ50" s="543"/>
      <c r="DDK50" s="543"/>
      <c r="DDL50" s="543"/>
      <c r="DDM50" s="543"/>
      <c r="DDN50" s="543"/>
      <c r="DDO50" s="543"/>
      <c r="DDP50" s="543"/>
      <c r="DDQ50" s="543"/>
      <c r="DDR50" s="543"/>
      <c r="DDS50" s="543"/>
      <c r="DDT50" s="543"/>
      <c r="DDU50" s="543"/>
      <c r="DDV50" s="543"/>
      <c r="DDW50" s="543"/>
      <c r="DDX50" s="543"/>
      <c r="DDY50" s="543"/>
      <c r="DDZ50" s="543"/>
      <c r="DEA50" s="543"/>
      <c r="DEB50" s="543"/>
      <c r="DEC50" s="543"/>
      <c r="DED50" s="543"/>
      <c r="DEE50" s="543"/>
      <c r="DEF50" s="543"/>
      <c r="DEG50" s="543"/>
      <c r="DEH50" s="543"/>
      <c r="DEI50" s="543"/>
      <c r="DEJ50" s="543"/>
      <c r="DEK50" s="543"/>
      <c r="DEL50" s="543"/>
      <c r="DEM50" s="543"/>
      <c r="DEN50" s="543"/>
      <c r="DEO50" s="543"/>
      <c r="DEP50" s="543"/>
      <c r="DEQ50" s="543"/>
      <c r="DER50" s="543"/>
      <c r="DES50" s="543"/>
      <c r="DET50" s="543"/>
      <c r="DEU50" s="543"/>
      <c r="DEV50" s="543"/>
      <c r="DEW50" s="543"/>
      <c r="DEX50" s="543"/>
      <c r="DEY50" s="543"/>
      <c r="DEZ50" s="543"/>
      <c r="DFA50" s="543"/>
      <c r="DFB50" s="543"/>
      <c r="DFC50" s="543"/>
      <c r="DFD50" s="543"/>
      <c r="DFE50" s="543"/>
      <c r="DFF50" s="543"/>
      <c r="DFG50" s="543"/>
      <c r="DFH50" s="543"/>
      <c r="DFI50" s="543"/>
      <c r="DFJ50" s="543"/>
      <c r="DFK50" s="543"/>
      <c r="DFL50" s="543"/>
      <c r="DFM50" s="543"/>
      <c r="DFN50" s="543"/>
      <c r="DFO50" s="543"/>
      <c r="DFP50" s="543"/>
      <c r="DFQ50" s="543"/>
      <c r="DFR50" s="543"/>
      <c r="DFS50" s="543"/>
      <c r="DFT50" s="543"/>
      <c r="DFU50" s="543"/>
      <c r="DFV50" s="543"/>
      <c r="DFW50" s="543"/>
      <c r="DFX50" s="543"/>
      <c r="DFY50" s="543"/>
      <c r="DFZ50" s="543"/>
      <c r="DGA50" s="543"/>
      <c r="DGB50" s="543"/>
      <c r="DGC50" s="543"/>
      <c r="DGD50" s="543"/>
      <c r="DGE50" s="543"/>
      <c r="DGF50" s="543"/>
      <c r="DGG50" s="543"/>
      <c r="DGH50" s="543"/>
      <c r="DGI50" s="543"/>
      <c r="DGJ50" s="543"/>
      <c r="DGK50" s="543"/>
      <c r="DGL50" s="543"/>
      <c r="DGM50" s="543"/>
      <c r="DGN50" s="543"/>
      <c r="DGO50" s="543"/>
      <c r="DGP50" s="543"/>
      <c r="DGQ50" s="543"/>
      <c r="DGR50" s="543"/>
      <c r="DGS50" s="543"/>
      <c r="DGT50" s="543"/>
      <c r="DGU50" s="543"/>
      <c r="DGV50" s="543"/>
      <c r="DGW50" s="543"/>
      <c r="DGX50" s="543"/>
      <c r="DGY50" s="543"/>
      <c r="DGZ50" s="543"/>
      <c r="DHA50" s="543"/>
      <c r="DHB50" s="543"/>
      <c r="DHC50" s="543"/>
      <c r="DHD50" s="543"/>
      <c r="DHE50" s="543"/>
      <c r="DHF50" s="543"/>
      <c r="DHG50" s="543"/>
      <c r="DHH50" s="543"/>
      <c r="DHI50" s="543"/>
      <c r="DHJ50" s="543"/>
      <c r="DHK50" s="543"/>
      <c r="DHL50" s="543"/>
      <c r="DHM50" s="543"/>
      <c r="DHN50" s="543"/>
      <c r="DHO50" s="543"/>
      <c r="DHP50" s="543"/>
      <c r="DHQ50" s="543"/>
      <c r="DHR50" s="543"/>
      <c r="DHS50" s="543"/>
      <c r="DHT50" s="543"/>
      <c r="DHU50" s="543"/>
      <c r="DHV50" s="543"/>
      <c r="DHW50" s="543"/>
      <c r="DHX50" s="543"/>
      <c r="DHY50" s="543"/>
      <c r="DHZ50" s="543"/>
      <c r="DIA50" s="543"/>
      <c r="DIB50" s="543"/>
      <c r="DIC50" s="543"/>
      <c r="DID50" s="543"/>
      <c r="DIE50" s="543"/>
      <c r="DIF50" s="543"/>
      <c r="DIG50" s="543"/>
      <c r="DIH50" s="543"/>
      <c r="DII50" s="543"/>
      <c r="DIJ50" s="543"/>
      <c r="DIK50" s="543"/>
      <c r="DIL50" s="543"/>
      <c r="DIM50" s="543"/>
      <c r="DIN50" s="543"/>
      <c r="DIO50" s="543"/>
      <c r="DIP50" s="543"/>
      <c r="DIQ50" s="543"/>
      <c r="DIR50" s="543"/>
      <c r="DIS50" s="543"/>
      <c r="DIT50" s="543"/>
      <c r="DIU50" s="543"/>
      <c r="DIV50" s="543"/>
      <c r="DIW50" s="543"/>
      <c r="DIX50" s="543"/>
      <c r="DIY50" s="543"/>
      <c r="DIZ50" s="543"/>
      <c r="DJA50" s="543"/>
      <c r="DJB50" s="543"/>
      <c r="DJC50" s="543"/>
      <c r="DJD50" s="543"/>
      <c r="DJE50" s="543"/>
      <c r="DJF50" s="543"/>
      <c r="DJG50" s="543"/>
      <c r="DJH50" s="543"/>
      <c r="DJI50" s="543"/>
      <c r="DJJ50" s="543"/>
      <c r="DJK50" s="543"/>
      <c r="DJL50" s="543"/>
      <c r="DJM50" s="543"/>
      <c r="DJN50" s="543"/>
      <c r="DJO50" s="543"/>
      <c r="DJP50" s="543"/>
      <c r="DJQ50" s="543"/>
      <c r="DJR50" s="543"/>
      <c r="DJS50" s="543"/>
      <c r="DJT50" s="543"/>
      <c r="DJU50" s="543"/>
      <c r="DJV50" s="543"/>
      <c r="DJW50" s="543"/>
      <c r="DJX50" s="543"/>
      <c r="DJY50" s="543"/>
      <c r="DJZ50" s="543"/>
      <c r="DKA50" s="543"/>
      <c r="DKB50" s="543"/>
      <c r="DKC50" s="543"/>
      <c r="DKD50" s="543"/>
      <c r="DKE50" s="543"/>
      <c r="DKF50" s="543"/>
      <c r="DKG50" s="543"/>
      <c r="DKH50" s="543"/>
      <c r="DKI50" s="543"/>
      <c r="DKJ50" s="543"/>
      <c r="DKK50" s="543"/>
      <c r="DKL50" s="543"/>
      <c r="DKM50" s="543"/>
      <c r="DKN50" s="543"/>
      <c r="DKO50" s="543"/>
      <c r="DKP50" s="543"/>
      <c r="DKQ50" s="543"/>
      <c r="DKR50" s="543"/>
      <c r="DKS50" s="543"/>
      <c r="DKT50" s="543"/>
      <c r="DKU50" s="543"/>
      <c r="DKV50" s="543"/>
      <c r="DKW50" s="543"/>
      <c r="DKX50" s="543"/>
      <c r="DKY50" s="543"/>
      <c r="DKZ50" s="543"/>
      <c r="DLA50" s="543"/>
      <c r="DLB50" s="543"/>
      <c r="DLC50" s="543"/>
      <c r="DLD50" s="543"/>
      <c r="DLE50" s="543"/>
      <c r="DLF50" s="543"/>
      <c r="DLG50" s="543"/>
      <c r="DLH50" s="543"/>
      <c r="DLI50" s="543"/>
      <c r="DLJ50" s="543"/>
      <c r="DLK50" s="543"/>
      <c r="DLL50" s="543"/>
      <c r="DLM50" s="543"/>
      <c r="DLN50" s="543"/>
      <c r="DLO50" s="543"/>
      <c r="DLP50" s="543"/>
      <c r="DLQ50" s="543"/>
      <c r="DLR50" s="543"/>
      <c r="DLS50" s="543"/>
      <c r="DLT50" s="543"/>
      <c r="DLU50" s="543"/>
      <c r="DLV50" s="543"/>
      <c r="DLW50" s="543"/>
      <c r="DLX50" s="543"/>
      <c r="DLY50" s="543"/>
      <c r="DLZ50" s="543"/>
      <c r="DMA50" s="543"/>
      <c r="DMB50" s="543"/>
      <c r="DMC50" s="543"/>
      <c r="DMD50" s="543"/>
      <c r="DME50" s="543"/>
      <c r="DMF50" s="543"/>
      <c r="DMG50" s="543"/>
      <c r="DMH50" s="543"/>
      <c r="DMI50" s="543"/>
      <c r="DMJ50" s="543"/>
      <c r="DMK50" s="543"/>
      <c r="DML50" s="543"/>
      <c r="DMM50" s="543"/>
      <c r="DMN50" s="543"/>
      <c r="DMO50" s="543"/>
      <c r="DMP50" s="543"/>
      <c r="DMQ50" s="543"/>
      <c r="DMR50" s="543"/>
      <c r="DMS50" s="543"/>
      <c r="DMT50" s="543"/>
      <c r="DMU50" s="543"/>
      <c r="DMV50" s="543"/>
      <c r="DMW50" s="543"/>
      <c r="DMX50" s="543"/>
      <c r="DMY50" s="543"/>
      <c r="DMZ50" s="543"/>
      <c r="DNA50" s="543"/>
      <c r="DNB50" s="543"/>
      <c r="DNC50" s="543"/>
      <c r="DND50" s="543"/>
      <c r="DNE50" s="543"/>
      <c r="DNF50" s="543"/>
      <c r="DNG50" s="543"/>
      <c r="DNH50" s="543"/>
      <c r="DNI50" s="543"/>
      <c r="DNJ50" s="543"/>
      <c r="DNK50" s="543"/>
      <c r="DNL50" s="543"/>
      <c r="DNM50" s="543"/>
      <c r="DNN50" s="543"/>
      <c r="DNO50" s="543"/>
      <c r="DNP50" s="543"/>
      <c r="DNQ50" s="543"/>
      <c r="DNR50" s="543"/>
      <c r="DNS50" s="543"/>
      <c r="DNT50" s="543"/>
      <c r="DNU50" s="543"/>
      <c r="DNV50" s="543"/>
      <c r="DNW50" s="543"/>
      <c r="DNX50" s="543"/>
      <c r="DNY50" s="543"/>
      <c r="DNZ50" s="543"/>
      <c r="DOA50" s="543"/>
      <c r="DOB50" s="543"/>
      <c r="DOC50" s="543"/>
      <c r="DOD50" s="543"/>
      <c r="DOE50" s="543"/>
      <c r="DOF50" s="543"/>
      <c r="DOG50" s="543"/>
      <c r="DOH50" s="543"/>
      <c r="DOI50" s="543"/>
      <c r="DOJ50" s="543"/>
      <c r="DOK50" s="543"/>
      <c r="DOL50" s="543"/>
      <c r="DOM50" s="543"/>
      <c r="DON50" s="543"/>
      <c r="DOO50" s="543"/>
      <c r="DOP50" s="543"/>
      <c r="DOQ50" s="543"/>
      <c r="DOR50" s="543"/>
      <c r="DOS50" s="543"/>
      <c r="DOT50" s="543"/>
      <c r="DOU50" s="543"/>
      <c r="DOV50" s="543"/>
      <c r="DOW50" s="543"/>
      <c r="DOX50" s="543"/>
      <c r="DOY50" s="543"/>
      <c r="DOZ50" s="543"/>
      <c r="DPA50" s="543"/>
      <c r="DPB50" s="543"/>
      <c r="DPC50" s="543"/>
      <c r="DPD50" s="543"/>
      <c r="DPE50" s="543"/>
      <c r="DPF50" s="543"/>
      <c r="DPG50" s="543"/>
      <c r="DPH50" s="543"/>
      <c r="DPI50" s="543"/>
      <c r="DPJ50" s="543"/>
      <c r="DPK50" s="543"/>
      <c r="DPL50" s="543"/>
      <c r="DPM50" s="543"/>
      <c r="DPN50" s="543"/>
      <c r="DPO50" s="543"/>
      <c r="DPP50" s="543"/>
      <c r="DPQ50" s="543"/>
      <c r="DPR50" s="543"/>
      <c r="DPS50" s="543"/>
      <c r="DPT50" s="543"/>
      <c r="DPU50" s="543"/>
      <c r="DPV50" s="543"/>
      <c r="DPW50" s="543"/>
      <c r="DPX50" s="543"/>
      <c r="DPY50" s="543"/>
      <c r="DPZ50" s="543"/>
      <c r="DQA50" s="543"/>
      <c r="DQB50" s="543"/>
      <c r="DQC50" s="543"/>
      <c r="DQD50" s="543"/>
      <c r="DQE50" s="543"/>
      <c r="DQF50" s="543"/>
      <c r="DQG50" s="543"/>
      <c r="DQH50" s="543"/>
      <c r="DQI50" s="543"/>
      <c r="DQJ50" s="543"/>
      <c r="DQK50" s="543"/>
      <c r="DQL50" s="543"/>
      <c r="DQM50" s="543"/>
      <c r="DQN50" s="543"/>
      <c r="DQO50" s="543"/>
      <c r="DQP50" s="543"/>
      <c r="DQQ50" s="543"/>
      <c r="DQR50" s="543"/>
      <c r="DQS50" s="543"/>
      <c r="DQT50" s="543"/>
      <c r="DQU50" s="543"/>
      <c r="DQV50" s="543"/>
      <c r="DQW50" s="543"/>
      <c r="DQX50" s="543"/>
      <c r="DQY50" s="543"/>
      <c r="DQZ50" s="543"/>
      <c r="DRA50" s="543"/>
      <c r="DRB50" s="543"/>
      <c r="DRC50" s="543"/>
      <c r="DRD50" s="543"/>
      <c r="DRE50" s="543"/>
      <c r="DRF50" s="543"/>
      <c r="DRG50" s="543"/>
      <c r="DRH50" s="543"/>
      <c r="DRI50" s="543"/>
      <c r="DRJ50" s="543"/>
      <c r="DRK50" s="543"/>
      <c r="DRL50" s="543"/>
      <c r="DRM50" s="543"/>
      <c r="DRN50" s="543"/>
      <c r="DRO50" s="543"/>
      <c r="DRP50" s="543"/>
      <c r="DRQ50" s="543"/>
      <c r="DRR50" s="543"/>
      <c r="DRS50" s="543"/>
      <c r="DRT50" s="543"/>
      <c r="DRU50" s="543"/>
      <c r="DRV50" s="543"/>
      <c r="DRW50" s="543"/>
      <c r="DRX50" s="543"/>
      <c r="DRY50" s="543"/>
      <c r="DRZ50" s="543"/>
      <c r="DSA50" s="543"/>
      <c r="DSB50" s="543"/>
      <c r="DSC50" s="543"/>
      <c r="DSD50" s="543"/>
      <c r="DSE50" s="543"/>
      <c r="DSF50" s="543"/>
      <c r="DSG50" s="543"/>
      <c r="DSH50" s="543"/>
      <c r="DSI50" s="543"/>
      <c r="DSJ50" s="543"/>
      <c r="DSK50" s="543"/>
      <c r="DSL50" s="543"/>
      <c r="DSM50" s="543"/>
      <c r="DSN50" s="543"/>
      <c r="DSO50" s="543"/>
      <c r="DSP50" s="543"/>
      <c r="DSQ50" s="543"/>
      <c r="DSR50" s="543"/>
      <c r="DSS50" s="543"/>
      <c r="DST50" s="543"/>
      <c r="DSU50" s="543"/>
      <c r="DSV50" s="543"/>
      <c r="DSW50" s="543"/>
      <c r="DSX50" s="543"/>
      <c r="DSY50" s="543"/>
      <c r="DSZ50" s="543"/>
      <c r="DTA50" s="543"/>
      <c r="DTB50" s="543"/>
      <c r="DTC50" s="543"/>
      <c r="DTD50" s="543"/>
      <c r="DTE50" s="543"/>
      <c r="DTF50" s="543"/>
      <c r="DTG50" s="543"/>
      <c r="DTH50" s="543"/>
      <c r="DTI50" s="543"/>
      <c r="DTJ50" s="543"/>
      <c r="DTK50" s="543"/>
      <c r="DTL50" s="543"/>
      <c r="DTM50" s="543"/>
      <c r="DTN50" s="543"/>
      <c r="DTO50" s="543"/>
      <c r="DTP50" s="543"/>
      <c r="DTQ50" s="543"/>
      <c r="DTR50" s="543"/>
      <c r="DTS50" s="543"/>
      <c r="DTT50" s="543"/>
      <c r="DTU50" s="543"/>
      <c r="DTV50" s="543"/>
      <c r="DTW50" s="543"/>
      <c r="DTX50" s="543"/>
      <c r="DTY50" s="543"/>
      <c r="DTZ50" s="543"/>
      <c r="DUA50" s="543"/>
      <c r="DUB50" s="543"/>
      <c r="DUC50" s="543"/>
      <c r="DUD50" s="543"/>
      <c r="DUE50" s="543"/>
      <c r="DUF50" s="543"/>
      <c r="DUG50" s="543"/>
      <c r="DUH50" s="543"/>
      <c r="DUI50" s="543"/>
      <c r="DUJ50" s="543"/>
      <c r="DUK50" s="543"/>
      <c r="DUL50" s="543"/>
      <c r="DUM50" s="543"/>
      <c r="DUN50" s="543"/>
      <c r="DUO50" s="543"/>
      <c r="DUP50" s="543"/>
      <c r="DUQ50" s="543"/>
      <c r="DUR50" s="543"/>
      <c r="DUS50" s="543"/>
      <c r="DUT50" s="543"/>
      <c r="DUU50" s="543"/>
      <c r="DUV50" s="543"/>
      <c r="DUW50" s="543"/>
      <c r="DUX50" s="543"/>
      <c r="DUY50" s="543"/>
      <c r="DUZ50" s="543"/>
      <c r="DVA50" s="543"/>
      <c r="DVB50" s="543"/>
      <c r="DVC50" s="543"/>
      <c r="DVD50" s="543"/>
      <c r="DVE50" s="543"/>
      <c r="DVF50" s="543"/>
      <c r="DVG50" s="543"/>
      <c r="DVH50" s="543"/>
      <c r="DVI50" s="543"/>
      <c r="DVJ50" s="543"/>
      <c r="DVK50" s="543"/>
      <c r="DVL50" s="543"/>
      <c r="DVM50" s="543"/>
      <c r="DVN50" s="543"/>
      <c r="DVO50" s="543"/>
      <c r="DVP50" s="543"/>
      <c r="DVQ50" s="543"/>
      <c r="DVR50" s="543"/>
      <c r="DVS50" s="543"/>
      <c r="DVT50" s="543"/>
      <c r="DVU50" s="543"/>
      <c r="DVV50" s="543"/>
      <c r="DVW50" s="543"/>
      <c r="DVX50" s="543"/>
      <c r="DVY50" s="543"/>
      <c r="DVZ50" s="543"/>
      <c r="DWA50" s="543"/>
      <c r="DWB50" s="543"/>
      <c r="DWC50" s="543"/>
      <c r="DWD50" s="543"/>
      <c r="DWE50" s="543"/>
      <c r="DWF50" s="543"/>
      <c r="DWG50" s="543"/>
      <c r="DWH50" s="543"/>
      <c r="DWI50" s="543"/>
      <c r="DWJ50" s="543"/>
      <c r="DWK50" s="543"/>
      <c r="DWL50" s="543"/>
      <c r="DWM50" s="543"/>
      <c r="DWN50" s="543"/>
      <c r="DWO50" s="543"/>
      <c r="DWP50" s="543"/>
      <c r="DWQ50" s="543"/>
      <c r="DWR50" s="543"/>
      <c r="DWS50" s="543"/>
      <c r="DWT50" s="543"/>
      <c r="DWU50" s="543"/>
      <c r="DWV50" s="543"/>
      <c r="DWW50" s="543"/>
      <c r="DWX50" s="543"/>
      <c r="DWY50" s="543"/>
      <c r="DWZ50" s="543"/>
      <c r="DXA50" s="543"/>
      <c r="DXB50" s="543"/>
      <c r="DXC50" s="543"/>
      <c r="DXD50" s="543"/>
      <c r="DXE50" s="543"/>
      <c r="DXF50" s="543"/>
      <c r="DXG50" s="543"/>
      <c r="DXH50" s="543"/>
      <c r="DXI50" s="543"/>
      <c r="DXJ50" s="543"/>
      <c r="DXK50" s="543"/>
      <c r="DXL50" s="543"/>
      <c r="DXM50" s="543"/>
      <c r="DXN50" s="543"/>
      <c r="DXO50" s="543"/>
      <c r="DXP50" s="543"/>
      <c r="DXQ50" s="543"/>
      <c r="DXR50" s="543"/>
      <c r="DXS50" s="543"/>
      <c r="DXT50" s="543"/>
      <c r="DXU50" s="543"/>
      <c r="DXV50" s="543"/>
      <c r="DXW50" s="543"/>
      <c r="DXX50" s="543"/>
      <c r="DXY50" s="543"/>
      <c r="DXZ50" s="543"/>
      <c r="DYA50" s="543"/>
      <c r="DYB50" s="543"/>
      <c r="DYC50" s="543"/>
      <c r="DYD50" s="543"/>
      <c r="DYE50" s="543"/>
      <c r="DYF50" s="543"/>
      <c r="DYG50" s="543"/>
      <c r="DYH50" s="543"/>
      <c r="DYI50" s="543"/>
      <c r="DYJ50" s="543"/>
      <c r="DYK50" s="543"/>
      <c r="DYL50" s="543"/>
      <c r="DYM50" s="543"/>
      <c r="DYN50" s="543"/>
      <c r="DYO50" s="543"/>
      <c r="DYP50" s="543"/>
      <c r="DYQ50" s="543"/>
      <c r="DYR50" s="543"/>
      <c r="DYS50" s="543"/>
      <c r="DYT50" s="543"/>
      <c r="DYU50" s="543"/>
      <c r="DYV50" s="543"/>
      <c r="DYW50" s="543"/>
      <c r="DYX50" s="543"/>
      <c r="DYY50" s="543"/>
      <c r="DYZ50" s="543"/>
      <c r="DZA50" s="543"/>
      <c r="DZB50" s="543"/>
      <c r="DZC50" s="543"/>
      <c r="DZD50" s="543"/>
      <c r="DZE50" s="543"/>
      <c r="DZF50" s="543"/>
      <c r="DZG50" s="543"/>
      <c r="DZH50" s="543"/>
      <c r="DZI50" s="543"/>
      <c r="DZJ50" s="543"/>
      <c r="DZK50" s="543"/>
      <c r="DZL50" s="543"/>
      <c r="DZM50" s="543"/>
      <c r="DZN50" s="543"/>
      <c r="DZO50" s="543"/>
      <c r="DZP50" s="543"/>
      <c r="DZQ50" s="543"/>
      <c r="DZR50" s="543"/>
      <c r="DZS50" s="543"/>
      <c r="DZT50" s="543"/>
      <c r="DZU50" s="543"/>
      <c r="DZV50" s="543"/>
      <c r="DZW50" s="543"/>
      <c r="DZX50" s="543"/>
      <c r="DZY50" s="543"/>
      <c r="DZZ50" s="543"/>
      <c r="EAA50" s="543"/>
      <c r="EAB50" s="543"/>
      <c r="EAC50" s="543"/>
      <c r="EAD50" s="543"/>
      <c r="EAE50" s="543"/>
      <c r="EAF50" s="543"/>
      <c r="EAG50" s="543"/>
      <c r="EAH50" s="543"/>
      <c r="EAI50" s="543"/>
      <c r="EAJ50" s="543"/>
      <c r="EAK50" s="543"/>
      <c r="EAL50" s="543"/>
      <c r="EAM50" s="543"/>
      <c r="EAN50" s="543"/>
      <c r="EAO50" s="543"/>
      <c r="EAP50" s="543"/>
      <c r="EAQ50" s="543"/>
      <c r="EAR50" s="543"/>
      <c r="EAS50" s="543"/>
      <c r="EAT50" s="543"/>
      <c r="EAU50" s="543"/>
      <c r="EAV50" s="543"/>
      <c r="EAW50" s="543"/>
      <c r="EAX50" s="543"/>
      <c r="EAY50" s="543"/>
      <c r="EAZ50" s="543"/>
      <c r="EBA50" s="543"/>
      <c r="EBB50" s="543"/>
      <c r="EBC50" s="543"/>
      <c r="EBD50" s="543"/>
      <c r="EBE50" s="543"/>
      <c r="EBF50" s="543"/>
      <c r="EBG50" s="543"/>
      <c r="EBH50" s="543"/>
      <c r="EBI50" s="543"/>
      <c r="EBJ50" s="543"/>
      <c r="EBK50" s="543"/>
      <c r="EBL50" s="543"/>
      <c r="EBM50" s="543"/>
      <c r="EBN50" s="543"/>
      <c r="EBO50" s="543"/>
      <c r="EBP50" s="543"/>
      <c r="EBQ50" s="543"/>
      <c r="EBR50" s="543"/>
      <c r="EBS50" s="543"/>
      <c r="EBT50" s="543"/>
      <c r="EBU50" s="543"/>
      <c r="EBV50" s="543"/>
      <c r="EBW50" s="543"/>
      <c r="EBX50" s="543"/>
      <c r="EBY50" s="543"/>
      <c r="EBZ50" s="543"/>
      <c r="ECA50" s="543"/>
      <c r="ECB50" s="543"/>
      <c r="ECC50" s="543"/>
      <c r="ECD50" s="543"/>
      <c r="ECE50" s="543"/>
      <c r="ECF50" s="543"/>
      <c r="ECG50" s="543"/>
      <c r="ECH50" s="543"/>
      <c r="ECI50" s="543"/>
      <c r="ECJ50" s="543"/>
      <c r="ECK50" s="543"/>
      <c r="ECL50" s="543"/>
      <c r="ECM50" s="543"/>
      <c r="ECN50" s="543"/>
      <c r="ECO50" s="543"/>
      <c r="ECP50" s="543"/>
      <c r="ECQ50" s="543"/>
      <c r="ECR50" s="543"/>
      <c r="ECS50" s="543"/>
      <c r="ECT50" s="543"/>
      <c r="ECU50" s="543"/>
      <c r="ECV50" s="543"/>
      <c r="ECW50" s="543"/>
      <c r="ECX50" s="543"/>
      <c r="ECY50" s="543"/>
      <c r="ECZ50" s="543"/>
      <c r="EDA50" s="543"/>
      <c r="EDB50" s="543"/>
      <c r="EDC50" s="543"/>
      <c r="EDD50" s="543"/>
      <c r="EDE50" s="543"/>
      <c r="EDF50" s="543"/>
      <c r="EDG50" s="543"/>
      <c r="EDH50" s="543"/>
      <c r="EDI50" s="543"/>
      <c r="EDJ50" s="543"/>
      <c r="EDK50" s="543"/>
      <c r="EDL50" s="543"/>
      <c r="EDM50" s="543"/>
      <c r="EDN50" s="543"/>
      <c r="EDO50" s="543"/>
      <c r="EDP50" s="543"/>
      <c r="EDQ50" s="543"/>
      <c r="EDR50" s="543"/>
      <c r="EDS50" s="543"/>
      <c r="EDT50" s="543"/>
      <c r="EDU50" s="543"/>
      <c r="EDV50" s="543"/>
      <c r="EDW50" s="543"/>
      <c r="EDX50" s="543"/>
      <c r="EDY50" s="543"/>
      <c r="EDZ50" s="543"/>
      <c r="EEA50" s="543"/>
      <c r="EEB50" s="543"/>
      <c r="EEC50" s="543"/>
      <c r="EED50" s="543"/>
      <c r="EEE50" s="543"/>
      <c r="EEF50" s="543"/>
      <c r="EEG50" s="543"/>
      <c r="EEH50" s="543"/>
      <c r="EEI50" s="543"/>
      <c r="EEJ50" s="543"/>
      <c r="EEK50" s="543"/>
      <c r="EEL50" s="543"/>
      <c r="EEM50" s="543"/>
      <c r="EEN50" s="543"/>
      <c r="EEO50" s="543"/>
      <c r="EEP50" s="543"/>
      <c r="EEQ50" s="543"/>
      <c r="EER50" s="543"/>
      <c r="EES50" s="543"/>
      <c r="EET50" s="543"/>
      <c r="EEU50" s="543"/>
      <c r="EEV50" s="543"/>
      <c r="EEW50" s="543"/>
      <c r="EEX50" s="543"/>
      <c r="EEY50" s="543"/>
      <c r="EEZ50" s="543"/>
      <c r="EFA50" s="543"/>
      <c r="EFB50" s="543"/>
      <c r="EFC50" s="543"/>
      <c r="EFD50" s="543"/>
      <c r="EFE50" s="543"/>
      <c r="EFF50" s="543"/>
      <c r="EFG50" s="543"/>
      <c r="EFH50" s="543"/>
      <c r="EFI50" s="543"/>
      <c r="EFJ50" s="543"/>
      <c r="EFK50" s="543"/>
      <c r="EFL50" s="543"/>
      <c r="EFM50" s="543"/>
      <c r="EFN50" s="543"/>
      <c r="EFO50" s="543"/>
      <c r="EFP50" s="543"/>
      <c r="EFQ50" s="543"/>
      <c r="EFR50" s="543"/>
      <c r="EFS50" s="543"/>
      <c r="EFT50" s="543"/>
      <c r="EFU50" s="543"/>
      <c r="EFV50" s="543"/>
      <c r="EFW50" s="543"/>
      <c r="EFX50" s="543"/>
      <c r="EFY50" s="543"/>
      <c r="EFZ50" s="543"/>
      <c r="EGA50" s="543"/>
      <c r="EGB50" s="543"/>
      <c r="EGC50" s="543"/>
      <c r="EGD50" s="543"/>
      <c r="EGE50" s="543"/>
      <c r="EGF50" s="543"/>
      <c r="EGG50" s="543"/>
      <c r="EGH50" s="543"/>
      <c r="EGI50" s="543"/>
      <c r="EGJ50" s="543"/>
      <c r="EGK50" s="543"/>
      <c r="EGL50" s="543"/>
      <c r="EGM50" s="543"/>
      <c r="EGN50" s="543"/>
      <c r="EGO50" s="543"/>
      <c r="EGP50" s="543"/>
      <c r="EGQ50" s="543"/>
      <c r="EGR50" s="543"/>
      <c r="EGS50" s="543"/>
      <c r="EGT50" s="543"/>
      <c r="EGU50" s="543"/>
      <c r="EGV50" s="543"/>
      <c r="EGW50" s="543"/>
      <c r="EGX50" s="543"/>
      <c r="EGY50" s="543"/>
      <c r="EGZ50" s="543"/>
      <c r="EHA50" s="543"/>
      <c r="EHB50" s="543"/>
      <c r="EHC50" s="543"/>
      <c r="EHD50" s="543"/>
      <c r="EHE50" s="543"/>
      <c r="EHF50" s="543"/>
      <c r="EHG50" s="543"/>
      <c r="EHH50" s="543"/>
      <c r="EHI50" s="543"/>
      <c r="EHJ50" s="543"/>
      <c r="EHK50" s="543"/>
      <c r="EHL50" s="543"/>
      <c r="EHM50" s="543"/>
      <c r="EHN50" s="543"/>
      <c r="EHO50" s="543"/>
      <c r="EHP50" s="543"/>
      <c r="EHQ50" s="543"/>
      <c r="EHR50" s="543"/>
      <c r="EHS50" s="543"/>
      <c r="EHT50" s="543"/>
      <c r="EHU50" s="543"/>
      <c r="EHV50" s="543"/>
      <c r="EHW50" s="543"/>
      <c r="EHX50" s="543"/>
      <c r="EHY50" s="543"/>
      <c r="EHZ50" s="543"/>
      <c r="EIA50" s="543"/>
      <c r="EIB50" s="543"/>
      <c r="EIC50" s="543"/>
      <c r="EID50" s="543"/>
      <c r="EIE50" s="543"/>
      <c r="EIF50" s="543"/>
      <c r="EIG50" s="543"/>
      <c r="EIH50" s="543"/>
      <c r="EII50" s="543"/>
      <c r="EIJ50" s="543"/>
      <c r="EIK50" s="543"/>
      <c r="EIL50" s="543"/>
      <c r="EIM50" s="543"/>
      <c r="EIN50" s="543"/>
      <c r="EIO50" s="543"/>
      <c r="EIP50" s="543"/>
      <c r="EIQ50" s="543"/>
      <c r="EIR50" s="543"/>
      <c r="EIS50" s="543"/>
      <c r="EIT50" s="543"/>
      <c r="EIU50" s="543"/>
      <c r="EIV50" s="543"/>
      <c r="EIW50" s="543"/>
      <c r="EIX50" s="543"/>
      <c r="EIY50" s="543"/>
      <c r="EIZ50" s="543"/>
      <c r="EJA50" s="543"/>
      <c r="EJB50" s="543"/>
      <c r="EJC50" s="543"/>
      <c r="EJD50" s="543"/>
      <c r="EJE50" s="543"/>
      <c r="EJF50" s="543"/>
      <c r="EJG50" s="543"/>
      <c r="EJH50" s="543"/>
      <c r="EJI50" s="543"/>
      <c r="EJJ50" s="543"/>
      <c r="EJK50" s="543"/>
      <c r="EJL50" s="543"/>
      <c r="EJM50" s="543"/>
      <c r="EJN50" s="543"/>
      <c r="EJO50" s="543"/>
      <c r="EJP50" s="543"/>
      <c r="EJQ50" s="543"/>
      <c r="EJR50" s="543"/>
      <c r="EJS50" s="543"/>
      <c r="EJT50" s="543"/>
      <c r="EJU50" s="543"/>
      <c r="EJV50" s="543"/>
      <c r="EJW50" s="543"/>
      <c r="EJX50" s="543"/>
      <c r="EJY50" s="543"/>
      <c r="EJZ50" s="543"/>
      <c r="EKA50" s="543"/>
      <c r="EKB50" s="543"/>
      <c r="EKC50" s="543"/>
      <c r="EKD50" s="543"/>
      <c r="EKE50" s="543"/>
      <c r="EKF50" s="543"/>
      <c r="EKG50" s="543"/>
      <c r="EKH50" s="543"/>
      <c r="EKI50" s="543"/>
      <c r="EKJ50" s="543"/>
      <c r="EKK50" s="543"/>
      <c r="EKL50" s="543"/>
      <c r="EKM50" s="543"/>
      <c r="EKN50" s="543"/>
      <c r="EKO50" s="543"/>
      <c r="EKP50" s="543"/>
      <c r="EKQ50" s="543"/>
      <c r="EKR50" s="543"/>
      <c r="EKS50" s="543"/>
      <c r="EKT50" s="543"/>
      <c r="EKU50" s="543"/>
      <c r="EKV50" s="543"/>
      <c r="EKW50" s="543"/>
      <c r="EKX50" s="543"/>
      <c r="EKY50" s="543"/>
      <c r="EKZ50" s="543"/>
      <c r="ELA50" s="543"/>
      <c r="ELB50" s="543"/>
      <c r="ELC50" s="543"/>
      <c r="ELD50" s="543"/>
      <c r="ELE50" s="543"/>
      <c r="ELF50" s="543"/>
      <c r="ELG50" s="543"/>
      <c r="ELH50" s="543"/>
      <c r="ELI50" s="543"/>
      <c r="ELJ50" s="543"/>
      <c r="ELK50" s="543"/>
      <c r="ELL50" s="543"/>
      <c r="ELM50" s="543"/>
      <c r="ELN50" s="543"/>
      <c r="ELO50" s="543"/>
      <c r="ELP50" s="543"/>
      <c r="ELQ50" s="543"/>
      <c r="ELR50" s="543"/>
      <c r="ELS50" s="543"/>
      <c r="ELT50" s="543"/>
      <c r="ELU50" s="543"/>
      <c r="ELV50" s="543"/>
      <c r="ELW50" s="543"/>
      <c r="ELX50" s="543"/>
      <c r="ELY50" s="543"/>
      <c r="ELZ50" s="543"/>
      <c r="EMA50" s="543"/>
      <c r="EMB50" s="543"/>
      <c r="EMC50" s="543"/>
      <c r="EMD50" s="543"/>
      <c r="EME50" s="543"/>
      <c r="EMF50" s="543"/>
      <c r="EMG50" s="543"/>
      <c r="EMH50" s="543"/>
      <c r="EMI50" s="543"/>
      <c r="EMJ50" s="543"/>
      <c r="EMK50" s="543"/>
      <c r="EML50" s="543"/>
      <c r="EMM50" s="543"/>
      <c r="EMN50" s="543"/>
      <c r="EMO50" s="543"/>
      <c r="EMP50" s="543"/>
      <c r="EMQ50" s="543"/>
      <c r="EMR50" s="543"/>
      <c r="EMS50" s="543"/>
      <c r="EMT50" s="543"/>
      <c r="EMU50" s="543"/>
      <c r="EMV50" s="543"/>
      <c r="EMW50" s="543"/>
      <c r="EMX50" s="543"/>
      <c r="EMY50" s="543"/>
      <c r="EMZ50" s="543"/>
      <c r="ENA50" s="543"/>
      <c r="ENB50" s="543"/>
      <c r="ENC50" s="543"/>
      <c r="END50" s="543"/>
      <c r="ENE50" s="543"/>
      <c r="ENF50" s="543"/>
      <c r="ENG50" s="543"/>
      <c r="ENH50" s="543"/>
      <c r="ENI50" s="543"/>
      <c r="ENJ50" s="543"/>
      <c r="ENK50" s="543"/>
      <c r="ENL50" s="543"/>
      <c r="ENM50" s="543"/>
      <c r="ENN50" s="543"/>
      <c r="ENO50" s="543"/>
      <c r="ENP50" s="543"/>
      <c r="ENQ50" s="543"/>
      <c r="ENR50" s="543"/>
      <c r="ENS50" s="543"/>
      <c r="ENT50" s="543"/>
      <c r="ENU50" s="543"/>
      <c r="ENV50" s="543"/>
      <c r="ENW50" s="543"/>
      <c r="ENX50" s="543"/>
      <c r="ENY50" s="543"/>
      <c r="ENZ50" s="543"/>
      <c r="EOA50" s="543"/>
      <c r="EOB50" s="543"/>
      <c r="EOC50" s="543"/>
      <c r="EOD50" s="543"/>
      <c r="EOE50" s="543"/>
      <c r="EOF50" s="543"/>
      <c r="EOG50" s="543"/>
      <c r="EOH50" s="543"/>
      <c r="EOI50" s="543"/>
      <c r="EOJ50" s="543"/>
      <c r="EOK50" s="543"/>
      <c r="EOL50" s="543"/>
      <c r="EOM50" s="543"/>
      <c r="EON50" s="543"/>
      <c r="EOO50" s="543"/>
      <c r="EOP50" s="543"/>
      <c r="EOQ50" s="543"/>
      <c r="EOR50" s="543"/>
      <c r="EOS50" s="543"/>
      <c r="EOT50" s="543"/>
      <c r="EOU50" s="543"/>
      <c r="EOV50" s="543"/>
      <c r="EOW50" s="543"/>
      <c r="EOX50" s="543"/>
      <c r="EOY50" s="543"/>
      <c r="EOZ50" s="543"/>
      <c r="EPA50" s="543"/>
      <c r="EPB50" s="543"/>
      <c r="EPC50" s="543"/>
      <c r="EPD50" s="543"/>
      <c r="EPE50" s="543"/>
      <c r="EPF50" s="543"/>
      <c r="EPG50" s="543"/>
      <c r="EPH50" s="543"/>
      <c r="EPI50" s="543"/>
      <c r="EPJ50" s="543"/>
      <c r="EPK50" s="543"/>
      <c r="EPL50" s="543"/>
      <c r="EPM50" s="543"/>
      <c r="EPN50" s="543"/>
      <c r="EPO50" s="543"/>
      <c r="EPP50" s="543"/>
      <c r="EPQ50" s="543"/>
      <c r="EPR50" s="543"/>
      <c r="EPS50" s="543"/>
      <c r="EPT50" s="543"/>
      <c r="EPU50" s="543"/>
      <c r="EPV50" s="543"/>
      <c r="EPW50" s="543"/>
      <c r="EPX50" s="543"/>
      <c r="EPY50" s="543"/>
      <c r="EPZ50" s="543"/>
      <c r="EQA50" s="543"/>
      <c r="EQB50" s="543"/>
      <c r="EQC50" s="543"/>
      <c r="EQD50" s="543"/>
      <c r="EQE50" s="543"/>
      <c r="EQF50" s="543"/>
      <c r="EQG50" s="543"/>
      <c r="EQH50" s="543"/>
      <c r="EQI50" s="543"/>
      <c r="EQJ50" s="543"/>
      <c r="EQK50" s="543"/>
      <c r="EQL50" s="543"/>
      <c r="EQM50" s="543"/>
      <c r="EQN50" s="543"/>
      <c r="EQO50" s="543"/>
      <c r="EQP50" s="543"/>
      <c r="EQQ50" s="543"/>
      <c r="EQR50" s="543"/>
      <c r="EQS50" s="543"/>
      <c r="EQT50" s="543"/>
      <c r="EQU50" s="543"/>
      <c r="EQV50" s="543"/>
      <c r="EQW50" s="543"/>
      <c r="EQX50" s="543"/>
      <c r="EQY50" s="543"/>
      <c r="EQZ50" s="543"/>
      <c r="ERA50" s="543"/>
      <c r="ERB50" s="543"/>
      <c r="ERC50" s="543"/>
      <c r="ERD50" s="543"/>
      <c r="ERE50" s="543"/>
      <c r="ERF50" s="543"/>
      <c r="ERG50" s="543"/>
      <c r="ERH50" s="543"/>
      <c r="ERI50" s="543"/>
      <c r="ERJ50" s="543"/>
      <c r="ERK50" s="543"/>
      <c r="ERL50" s="543"/>
      <c r="ERM50" s="543"/>
      <c r="ERN50" s="543"/>
      <c r="ERO50" s="543"/>
      <c r="ERP50" s="543"/>
      <c r="ERQ50" s="543"/>
      <c r="ERR50" s="543"/>
      <c r="ERS50" s="543"/>
      <c r="ERT50" s="543"/>
      <c r="ERU50" s="543"/>
      <c r="ERV50" s="543"/>
      <c r="ERW50" s="543"/>
      <c r="ERX50" s="543"/>
      <c r="ERY50" s="543"/>
      <c r="ERZ50" s="543"/>
      <c r="ESA50" s="543"/>
      <c r="ESB50" s="543"/>
      <c r="ESC50" s="543"/>
      <c r="ESD50" s="543"/>
      <c r="ESE50" s="543"/>
      <c r="ESF50" s="543"/>
      <c r="ESG50" s="543"/>
      <c r="ESH50" s="543"/>
      <c r="ESI50" s="543"/>
      <c r="ESJ50" s="543"/>
      <c r="ESK50" s="543"/>
      <c r="ESL50" s="543"/>
      <c r="ESM50" s="543"/>
      <c r="ESN50" s="543"/>
      <c r="ESO50" s="543"/>
      <c r="ESP50" s="543"/>
      <c r="ESQ50" s="543"/>
      <c r="ESR50" s="543"/>
      <c r="ESS50" s="543"/>
      <c r="EST50" s="543"/>
      <c r="ESU50" s="543"/>
      <c r="ESV50" s="543"/>
      <c r="ESW50" s="543"/>
      <c r="ESX50" s="543"/>
      <c r="ESY50" s="543"/>
      <c r="ESZ50" s="543"/>
      <c r="ETA50" s="543"/>
      <c r="ETB50" s="543"/>
      <c r="ETC50" s="543"/>
      <c r="ETD50" s="543"/>
      <c r="ETE50" s="543"/>
      <c r="ETF50" s="543"/>
      <c r="ETG50" s="543"/>
      <c r="ETH50" s="543"/>
      <c r="ETI50" s="543"/>
      <c r="ETJ50" s="543"/>
      <c r="ETK50" s="543"/>
      <c r="ETL50" s="543"/>
      <c r="ETM50" s="543"/>
      <c r="ETN50" s="543"/>
      <c r="ETO50" s="543"/>
      <c r="ETP50" s="543"/>
      <c r="ETQ50" s="543"/>
      <c r="ETR50" s="543"/>
      <c r="ETS50" s="543"/>
      <c r="ETT50" s="543"/>
      <c r="ETU50" s="543"/>
      <c r="ETV50" s="543"/>
      <c r="ETW50" s="543"/>
      <c r="ETX50" s="543"/>
      <c r="ETY50" s="543"/>
      <c r="ETZ50" s="543"/>
      <c r="EUA50" s="543"/>
      <c r="EUB50" s="543"/>
      <c r="EUC50" s="543"/>
      <c r="EUD50" s="543"/>
      <c r="EUE50" s="543"/>
      <c r="EUF50" s="543"/>
      <c r="EUG50" s="543"/>
      <c r="EUH50" s="543"/>
      <c r="EUI50" s="543"/>
      <c r="EUJ50" s="543"/>
      <c r="EUK50" s="543"/>
      <c r="EUL50" s="543"/>
      <c r="EUM50" s="543"/>
      <c r="EUN50" s="543"/>
      <c r="EUO50" s="543"/>
      <c r="EUP50" s="543"/>
      <c r="EUQ50" s="543"/>
      <c r="EUR50" s="543"/>
      <c r="EUS50" s="543"/>
      <c r="EUT50" s="543"/>
      <c r="EUU50" s="543"/>
      <c r="EUV50" s="543"/>
      <c r="EUW50" s="543"/>
      <c r="EUX50" s="543"/>
      <c r="EUY50" s="543"/>
      <c r="EUZ50" s="543"/>
      <c r="EVA50" s="543"/>
      <c r="EVB50" s="543"/>
      <c r="EVC50" s="543"/>
      <c r="EVD50" s="543"/>
      <c r="EVE50" s="543"/>
      <c r="EVF50" s="543"/>
      <c r="EVG50" s="543"/>
      <c r="EVH50" s="543"/>
      <c r="EVI50" s="543"/>
      <c r="EVJ50" s="543"/>
      <c r="EVK50" s="543"/>
      <c r="EVL50" s="543"/>
      <c r="EVM50" s="543"/>
      <c r="EVN50" s="543"/>
      <c r="EVO50" s="543"/>
      <c r="EVP50" s="543"/>
      <c r="EVQ50" s="543"/>
      <c r="EVR50" s="543"/>
      <c r="EVS50" s="543"/>
      <c r="EVT50" s="543"/>
      <c r="EVU50" s="543"/>
      <c r="EVV50" s="543"/>
      <c r="EVW50" s="543"/>
      <c r="EVX50" s="543"/>
      <c r="EVY50" s="543"/>
      <c r="EVZ50" s="543"/>
      <c r="EWA50" s="543"/>
      <c r="EWB50" s="543"/>
      <c r="EWC50" s="543"/>
      <c r="EWD50" s="543"/>
      <c r="EWE50" s="543"/>
      <c r="EWF50" s="543"/>
      <c r="EWG50" s="543"/>
      <c r="EWH50" s="543"/>
      <c r="EWI50" s="543"/>
      <c r="EWJ50" s="543"/>
      <c r="EWK50" s="543"/>
      <c r="EWL50" s="543"/>
      <c r="EWM50" s="543"/>
      <c r="EWN50" s="543"/>
      <c r="EWO50" s="543"/>
      <c r="EWP50" s="543"/>
      <c r="EWQ50" s="543"/>
      <c r="EWR50" s="543"/>
      <c r="EWS50" s="543"/>
      <c r="EWT50" s="543"/>
      <c r="EWU50" s="543"/>
      <c r="EWV50" s="543"/>
      <c r="EWW50" s="543"/>
      <c r="EWX50" s="543"/>
      <c r="EWY50" s="543"/>
      <c r="EWZ50" s="543"/>
      <c r="EXA50" s="543"/>
      <c r="EXB50" s="543"/>
      <c r="EXC50" s="543"/>
      <c r="EXD50" s="543"/>
      <c r="EXE50" s="543"/>
      <c r="EXF50" s="543"/>
      <c r="EXG50" s="543"/>
      <c r="EXH50" s="543"/>
      <c r="EXI50" s="543"/>
      <c r="EXJ50" s="543"/>
      <c r="EXK50" s="543"/>
      <c r="EXL50" s="543"/>
      <c r="EXM50" s="543"/>
      <c r="EXN50" s="543"/>
      <c r="EXO50" s="543"/>
      <c r="EXP50" s="543"/>
      <c r="EXQ50" s="543"/>
      <c r="EXR50" s="543"/>
      <c r="EXS50" s="543"/>
      <c r="EXT50" s="543"/>
      <c r="EXU50" s="543"/>
      <c r="EXV50" s="543"/>
      <c r="EXW50" s="543"/>
      <c r="EXX50" s="543"/>
      <c r="EXY50" s="543"/>
      <c r="EXZ50" s="543"/>
      <c r="EYA50" s="543"/>
      <c r="EYB50" s="543"/>
      <c r="EYC50" s="543"/>
      <c r="EYD50" s="543"/>
      <c r="EYE50" s="543"/>
      <c r="EYF50" s="543"/>
      <c r="EYG50" s="543"/>
      <c r="EYH50" s="543"/>
      <c r="EYI50" s="543"/>
      <c r="EYJ50" s="543"/>
      <c r="EYK50" s="543"/>
      <c r="EYL50" s="543"/>
      <c r="EYM50" s="543"/>
      <c r="EYN50" s="543"/>
      <c r="EYO50" s="543"/>
      <c r="EYP50" s="543"/>
      <c r="EYQ50" s="543"/>
      <c r="EYR50" s="543"/>
      <c r="EYS50" s="543"/>
      <c r="EYT50" s="543"/>
      <c r="EYU50" s="543"/>
      <c r="EYV50" s="543"/>
      <c r="EYW50" s="543"/>
      <c r="EYX50" s="543"/>
      <c r="EYY50" s="543"/>
      <c r="EYZ50" s="543"/>
      <c r="EZA50" s="543"/>
      <c r="EZB50" s="543"/>
      <c r="EZC50" s="543"/>
      <c r="EZD50" s="543"/>
      <c r="EZE50" s="543"/>
      <c r="EZF50" s="543"/>
      <c r="EZG50" s="543"/>
      <c r="EZH50" s="543"/>
      <c r="EZI50" s="543"/>
      <c r="EZJ50" s="543"/>
      <c r="EZK50" s="543"/>
      <c r="EZL50" s="543"/>
      <c r="EZM50" s="543"/>
      <c r="EZN50" s="543"/>
      <c r="EZO50" s="543"/>
      <c r="EZP50" s="543"/>
      <c r="EZQ50" s="543"/>
      <c r="EZR50" s="543"/>
      <c r="EZS50" s="543"/>
      <c r="EZT50" s="543"/>
      <c r="EZU50" s="543"/>
      <c r="EZV50" s="543"/>
      <c r="EZW50" s="543"/>
      <c r="EZX50" s="543"/>
      <c r="EZY50" s="543"/>
      <c r="EZZ50" s="543"/>
      <c r="FAA50" s="543"/>
      <c r="FAB50" s="543"/>
      <c r="FAC50" s="543"/>
      <c r="FAD50" s="543"/>
      <c r="FAE50" s="543"/>
      <c r="FAF50" s="543"/>
      <c r="FAG50" s="543"/>
      <c r="FAH50" s="543"/>
      <c r="FAI50" s="543"/>
      <c r="FAJ50" s="543"/>
      <c r="FAK50" s="543"/>
      <c r="FAL50" s="543"/>
      <c r="FAM50" s="543"/>
      <c r="FAN50" s="543"/>
      <c r="FAO50" s="543"/>
      <c r="FAP50" s="543"/>
      <c r="FAQ50" s="543"/>
      <c r="FAR50" s="543"/>
      <c r="FAS50" s="543"/>
      <c r="FAT50" s="543"/>
      <c r="FAU50" s="543"/>
      <c r="FAV50" s="543"/>
      <c r="FAW50" s="543"/>
      <c r="FAX50" s="543"/>
      <c r="FAY50" s="543"/>
      <c r="FAZ50" s="543"/>
      <c r="FBA50" s="543"/>
      <c r="FBB50" s="543"/>
      <c r="FBC50" s="543"/>
      <c r="FBD50" s="543"/>
      <c r="FBE50" s="543"/>
      <c r="FBF50" s="543"/>
      <c r="FBG50" s="543"/>
      <c r="FBH50" s="543"/>
      <c r="FBI50" s="543"/>
      <c r="FBJ50" s="543"/>
      <c r="FBK50" s="543"/>
      <c r="FBL50" s="543"/>
      <c r="FBM50" s="543"/>
      <c r="FBN50" s="543"/>
      <c r="FBO50" s="543"/>
      <c r="FBP50" s="543"/>
      <c r="FBQ50" s="543"/>
      <c r="FBR50" s="543"/>
      <c r="FBS50" s="543"/>
      <c r="FBT50" s="543"/>
      <c r="FBU50" s="543"/>
      <c r="FBV50" s="543"/>
      <c r="FBW50" s="543"/>
      <c r="FBX50" s="543"/>
      <c r="FBY50" s="543"/>
      <c r="FBZ50" s="543"/>
      <c r="FCA50" s="543"/>
      <c r="FCB50" s="543"/>
      <c r="FCC50" s="543"/>
      <c r="FCD50" s="543"/>
      <c r="FCE50" s="543"/>
      <c r="FCF50" s="543"/>
      <c r="FCG50" s="543"/>
      <c r="FCH50" s="543"/>
      <c r="FCI50" s="543"/>
      <c r="FCJ50" s="543"/>
      <c r="FCK50" s="543"/>
      <c r="FCL50" s="543"/>
      <c r="FCM50" s="543"/>
      <c r="FCN50" s="543"/>
      <c r="FCO50" s="543"/>
      <c r="FCP50" s="543"/>
      <c r="FCQ50" s="543"/>
      <c r="FCR50" s="543"/>
      <c r="FCS50" s="543"/>
      <c r="FCT50" s="543"/>
      <c r="FCU50" s="543"/>
      <c r="FCV50" s="543"/>
      <c r="FCW50" s="543"/>
      <c r="FCX50" s="543"/>
      <c r="FCY50" s="543"/>
      <c r="FCZ50" s="543"/>
      <c r="FDA50" s="543"/>
      <c r="FDB50" s="543"/>
      <c r="FDC50" s="543"/>
      <c r="FDD50" s="543"/>
      <c r="FDE50" s="543"/>
      <c r="FDF50" s="543"/>
      <c r="FDG50" s="543"/>
      <c r="FDH50" s="543"/>
      <c r="FDI50" s="543"/>
      <c r="FDJ50" s="543"/>
      <c r="FDK50" s="543"/>
      <c r="FDL50" s="543"/>
      <c r="FDM50" s="543"/>
      <c r="FDN50" s="543"/>
      <c r="FDO50" s="543"/>
      <c r="FDP50" s="543"/>
      <c r="FDQ50" s="543"/>
      <c r="FDR50" s="543"/>
      <c r="FDS50" s="543"/>
      <c r="FDT50" s="543"/>
      <c r="FDU50" s="543"/>
      <c r="FDV50" s="543"/>
      <c r="FDW50" s="543"/>
      <c r="FDX50" s="543"/>
      <c r="FDY50" s="543"/>
      <c r="FDZ50" s="543"/>
      <c r="FEA50" s="543"/>
      <c r="FEB50" s="543"/>
      <c r="FEC50" s="543"/>
      <c r="FED50" s="543"/>
      <c r="FEE50" s="543"/>
      <c r="FEF50" s="543"/>
      <c r="FEG50" s="543"/>
      <c r="FEH50" s="543"/>
      <c r="FEI50" s="543"/>
      <c r="FEJ50" s="543"/>
      <c r="FEK50" s="543"/>
      <c r="FEL50" s="543"/>
      <c r="FEM50" s="543"/>
      <c r="FEN50" s="543"/>
      <c r="FEO50" s="543"/>
      <c r="FEP50" s="543"/>
      <c r="FEQ50" s="543"/>
      <c r="FER50" s="543"/>
      <c r="FES50" s="543"/>
      <c r="FET50" s="543"/>
      <c r="FEU50" s="543"/>
      <c r="FEV50" s="543"/>
      <c r="FEW50" s="543"/>
      <c r="FEX50" s="543"/>
      <c r="FEY50" s="543"/>
      <c r="FEZ50" s="543"/>
      <c r="FFA50" s="543"/>
      <c r="FFB50" s="543"/>
      <c r="FFC50" s="543"/>
      <c r="FFD50" s="543"/>
      <c r="FFE50" s="543"/>
      <c r="FFF50" s="543"/>
      <c r="FFG50" s="543"/>
      <c r="FFH50" s="543"/>
      <c r="FFI50" s="543"/>
      <c r="FFJ50" s="543"/>
      <c r="FFK50" s="543"/>
      <c r="FFL50" s="543"/>
      <c r="FFM50" s="543"/>
      <c r="FFN50" s="543"/>
      <c r="FFO50" s="543"/>
      <c r="FFP50" s="543"/>
      <c r="FFQ50" s="543"/>
      <c r="FFR50" s="543"/>
      <c r="FFS50" s="543"/>
      <c r="FFT50" s="543"/>
      <c r="FFU50" s="543"/>
      <c r="FFV50" s="543"/>
      <c r="FFW50" s="543"/>
      <c r="FFX50" s="543"/>
      <c r="FFY50" s="543"/>
      <c r="FFZ50" s="543"/>
      <c r="FGA50" s="543"/>
      <c r="FGB50" s="543"/>
      <c r="FGC50" s="543"/>
      <c r="FGD50" s="543"/>
      <c r="FGE50" s="543"/>
      <c r="FGF50" s="543"/>
      <c r="FGG50" s="543"/>
      <c r="FGH50" s="543"/>
      <c r="FGI50" s="543"/>
      <c r="FGJ50" s="543"/>
      <c r="FGK50" s="543"/>
      <c r="FGL50" s="543"/>
      <c r="FGM50" s="543"/>
      <c r="FGN50" s="543"/>
      <c r="FGO50" s="543"/>
      <c r="FGP50" s="543"/>
      <c r="FGQ50" s="543"/>
      <c r="FGR50" s="543"/>
      <c r="FGS50" s="543"/>
      <c r="FGT50" s="543"/>
      <c r="FGU50" s="543"/>
      <c r="FGV50" s="543"/>
      <c r="FGW50" s="543"/>
      <c r="FGX50" s="543"/>
      <c r="FGY50" s="543"/>
      <c r="FGZ50" s="543"/>
      <c r="FHA50" s="543"/>
      <c r="FHB50" s="543"/>
      <c r="FHC50" s="543"/>
      <c r="FHD50" s="543"/>
      <c r="FHE50" s="543"/>
      <c r="FHF50" s="543"/>
      <c r="FHG50" s="543"/>
      <c r="FHH50" s="543"/>
      <c r="FHI50" s="543"/>
      <c r="FHJ50" s="543"/>
      <c r="FHK50" s="543"/>
      <c r="FHL50" s="543"/>
      <c r="FHM50" s="543"/>
      <c r="FHN50" s="543"/>
      <c r="FHO50" s="543"/>
      <c r="FHP50" s="543"/>
      <c r="FHQ50" s="543"/>
      <c r="FHR50" s="543"/>
      <c r="FHS50" s="543"/>
      <c r="FHT50" s="543"/>
      <c r="FHU50" s="543"/>
      <c r="FHV50" s="543"/>
      <c r="FHW50" s="543"/>
      <c r="FHX50" s="543"/>
      <c r="FHY50" s="543"/>
      <c r="FHZ50" s="543"/>
      <c r="FIA50" s="543"/>
      <c r="FIB50" s="543"/>
      <c r="FIC50" s="543"/>
      <c r="FID50" s="543"/>
      <c r="FIE50" s="543"/>
      <c r="FIF50" s="543"/>
      <c r="FIG50" s="543"/>
      <c r="FIH50" s="543"/>
      <c r="FII50" s="543"/>
      <c r="FIJ50" s="543"/>
      <c r="FIK50" s="543"/>
      <c r="FIL50" s="543"/>
      <c r="FIM50" s="543"/>
      <c r="FIN50" s="543"/>
      <c r="FIO50" s="543"/>
      <c r="FIP50" s="543"/>
      <c r="FIQ50" s="543"/>
      <c r="FIR50" s="543"/>
      <c r="FIS50" s="543"/>
      <c r="FIT50" s="543"/>
      <c r="FIU50" s="543"/>
      <c r="FIV50" s="543"/>
      <c r="FIW50" s="543"/>
      <c r="FIX50" s="543"/>
      <c r="FIY50" s="543"/>
      <c r="FIZ50" s="543"/>
      <c r="FJA50" s="543"/>
      <c r="FJB50" s="543"/>
      <c r="FJC50" s="543"/>
      <c r="FJD50" s="543"/>
      <c r="FJE50" s="543"/>
      <c r="FJF50" s="543"/>
      <c r="FJG50" s="543"/>
      <c r="FJH50" s="543"/>
      <c r="FJI50" s="543"/>
      <c r="FJJ50" s="543"/>
      <c r="FJK50" s="543"/>
      <c r="FJL50" s="543"/>
      <c r="FJM50" s="543"/>
      <c r="FJN50" s="543"/>
      <c r="FJO50" s="543"/>
      <c r="FJP50" s="543"/>
      <c r="FJQ50" s="543"/>
      <c r="FJR50" s="543"/>
      <c r="FJS50" s="543"/>
      <c r="FJT50" s="543"/>
      <c r="FJU50" s="543"/>
      <c r="FJV50" s="543"/>
      <c r="FJW50" s="543"/>
      <c r="FJX50" s="543"/>
      <c r="FJY50" s="543"/>
      <c r="FJZ50" s="543"/>
      <c r="FKA50" s="543"/>
      <c r="FKB50" s="543"/>
      <c r="FKC50" s="543"/>
      <c r="FKD50" s="543"/>
      <c r="FKE50" s="543"/>
      <c r="FKF50" s="543"/>
      <c r="FKG50" s="543"/>
      <c r="FKH50" s="543"/>
      <c r="FKI50" s="543"/>
      <c r="FKJ50" s="543"/>
      <c r="FKK50" s="543"/>
      <c r="FKL50" s="543"/>
      <c r="FKM50" s="543"/>
      <c r="FKN50" s="543"/>
      <c r="FKO50" s="543"/>
      <c r="FKP50" s="543"/>
      <c r="FKQ50" s="543"/>
      <c r="FKR50" s="543"/>
      <c r="FKS50" s="543"/>
      <c r="FKT50" s="543"/>
      <c r="FKU50" s="543"/>
      <c r="FKV50" s="543"/>
      <c r="FKW50" s="543"/>
      <c r="FKX50" s="543"/>
      <c r="FKY50" s="543"/>
      <c r="FKZ50" s="543"/>
      <c r="FLA50" s="543"/>
      <c r="FLB50" s="543"/>
      <c r="FLC50" s="543"/>
      <c r="FLD50" s="543"/>
      <c r="FLE50" s="543"/>
      <c r="FLF50" s="543"/>
      <c r="FLG50" s="543"/>
      <c r="FLH50" s="543"/>
      <c r="FLI50" s="543"/>
      <c r="FLJ50" s="543"/>
      <c r="FLK50" s="543"/>
      <c r="FLL50" s="543"/>
      <c r="FLM50" s="543"/>
      <c r="FLN50" s="543"/>
      <c r="FLO50" s="543"/>
      <c r="FLP50" s="543"/>
      <c r="FLQ50" s="543"/>
      <c r="FLR50" s="543"/>
      <c r="FLS50" s="543"/>
      <c r="FLT50" s="543"/>
      <c r="FLU50" s="543"/>
      <c r="FLV50" s="543"/>
      <c r="FLW50" s="543"/>
      <c r="FLX50" s="543"/>
      <c r="FLY50" s="543"/>
      <c r="FLZ50" s="543"/>
      <c r="FMA50" s="543"/>
      <c r="FMB50" s="543"/>
      <c r="FMC50" s="543"/>
      <c r="FMD50" s="543"/>
      <c r="FME50" s="543"/>
      <c r="FMF50" s="543"/>
      <c r="FMG50" s="543"/>
      <c r="FMH50" s="543"/>
      <c r="FMI50" s="543"/>
      <c r="FMJ50" s="543"/>
      <c r="FMK50" s="543"/>
      <c r="FML50" s="543"/>
      <c r="FMM50" s="543"/>
      <c r="FMN50" s="543"/>
      <c r="FMO50" s="543"/>
      <c r="FMP50" s="543"/>
      <c r="FMQ50" s="543"/>
      <c r="FMR50" s="543"/>
      <c r="FMS50" s="543"/>
      <c r="FMT50" s="543"/>
      <c r="FMU50" s="543"/>
      <c r="FMV50" s="543"/>
      <c r="FMW50" s="543"/>
      <c r="FMX50" s="543"/>
      <c r="FMY50" s="543"/>
      <c r="FMZ50" s="543"/>
      <c r="FNA50" s="543"/>
      <c r="FNB50" s="543"/>
      <c r="FNC50" s="543"/>
      <c r="FND50" s="543"/>
      <c r="FNE50" s="543"/>
      <c r="FNF50" s="543"/>
      <c r="FNG50" s="543"/>
      <c r="FNH50" s="543"/>
      <c r="FNI50" s="543"/>
      <c r="FNJ50" s="543"/>
      <c r="FNK50" s="543"/>
      <c r="FNL50" s="543"/>
      <c r="FNM50" s="543"/>
      <c r="FNN50" s="543"/>
      <c r="FNO50" s="543"/>
      <c r="FNP50" s="543"/>
      <c r="FNQ50" s="543"/>
      <c r="FNR50" s="543"/>
      <c r="FNS50" s="543"/>
      <c r="FNT50" s="543"/>
      <c r="FNU50" s="543"/>
      <c r="FNV50" s="543"/>
      <c r="FNW50" s="543"/>
      <c r="FNX50" s="543"/>
      <c r="FNY50" s="543"/>
      <c r="FNZ50" s="543"/>
      <c r="FOA50" s="543"/>
      <c r="FOB50" s="543"/>
      <c r="FOC50" s="543"/>
      <c r="FOD50" s="543"/>
      <c r="FOE50" s="543"/>
      <c r="FOF50" s="543"/>
      <c r="FOG50" s="543"/>
      <c r="FOH50" s="543"/>
      <c r="FOI50" s="543"/>
      <c r="FOJ50" s="543"/>
      <c r="FOK50" s="543"/>
      <c r="FOL50" s="543"/>
      <c r="FOM50" s="543"/>
      <c r="FON50" s="543"/>
      <c r="FOO50" s="543"/>
      <c r="FOP50" s="543"/>
      <c r="FOQ50" s="543"/>
      <c r="FOR50" s="543"/>
      <c r="FOS50" s="543"/>
      <c r="FOT50" s="543"/>
      <c r="FOU50" s="543"/>
      <c r="FOV50" s="543"/>
      <c r="FOW50" s="543"/>
      <c r="FOX50" s="543"/>
      <c r="FOY50" s="543"/>
      <c r="FOZ50" s="543"/>
      <c r="FPA50" s="543"/>
      <c r="FPB50" s="543"/>
      <c r="FPC50" s="543"/>
      <c r="FPD50" s="543"/>
      <c r="FPE50" s="543"/>
      <c r="FPF50" s="543"/>
      <c r="FPG50" s="543"/>
      <c r="FPH50" s="543"/>
      <c r="FPI50" s="543"/>
      <c r="FPJ50" s="543"/>
      <c r="FPK50" s="543"/>
      <c r="FPL50" s="543"/>
      <c r="FPM50" s="543"/>
      <c r="FPN50" s="543"/>
      <c r="FPO50" s="543"/>
      <c r="FPP50" s="543"/>
      <c r="FPQ50" s="543"/>
      <c r="FPR50" s="543"/>
      <c r="FPS50" s="543"/>
      <c r="FPT50" s="543"/>
      <c r="FPU50" s="543"/>
      <c r="FPV50" s="543"/>
      <c r="FPW50" s="543"/>
      <c r="FPX50" s="543"/>
      <c r="FPY50" s="543"/>
      <c r="FPZ50" s="543"/>
      <c r="FQA50" s="543"/>
      <c r="FQB50" s="543"/>
      <c r="FQC50" s="543"/>
      <c r="FQD50" s="543"/>
      <c r="FQE50" s="543"/>
      <c r="FQF50" s="543"/>
      <c r="FQG50" s="543"/>
      <c r="FQH50" s="543"/>
      <c r="FQI50" s="543"/>
      <c r="FQJ50" s="543"/>
      <c r="FQK50" s="543"/>
      <c r="FQL50" s="543"/>
      <c r="FQM50" s="543"/>
      <c r="FQN50" s="543"/>
      <c r="FQO50" s="543"/>
      <c r="FQP50" s="543"/>
      <c r="FQQ50" s="543"/>
      <c r="FQR50" s="543"/>
      <c r="FQS50" s="543"/>
      <c r="FQT50" s="543"/>
      <c r="FQU50" s="543"/>
      <c r="FQV50" s="543"/>
      <c r="FQW50" s="543"/>
      <c r="FQX50" s="543"/>
      <c r="FQY50" s="543"/>
      <c r="FQZ50" s="543"/>
      <c r="FRA50" s="543"/>
      <c r="FRB50" s="543"/>
      <c r="FRC50" s="543"/>
      <c r="FRD50" s="543"/>
      <c r="FRE50" s="543"/>
      <c r="FRF50" s="543"/>
      <c r="FRG50" s="543"/>
      <c r="FRH50" s="543"/>
      <c r="FRI50" s="543"/>
      <c r="FRJ50" s="543"/>
      <c r="FRK50" s="543"/>
      <c r="FRL50" s="543"/>
      <c r="FRM50" s="543"/>
      <c r="FRN50" s="543"/>
      <c r="FRO50" s="543"/>
      <c r="FRP50" s="543"/>
      <c r="FRQ50" s="543"/>
      <c r="FRR50" s="543"/>
      <c r="FRS50" s="543"/>
      <c r="FRT50" s="543"/>
      <c r="FRU50" s="543"/>
      <c r="FRV50" s="543"/>
      <c r="FRW50" s="543"/>
      <c r="FRX50" s="543"/>
      <c r="FRY50" s="543"/>
      <c r="FRZ50" s="543"/>
      <c r="FSA50" s="543"/>
      <c r="FSB50" s="543"/>
      <c r="FSC50" s="543"/>
      <c r="FSD50" s="543"/>
      <c r="FSE50" s="543"/>
      <c r="FSF50" s="543"/>
      <c r="FSG50" s="543"/>
      <c r="FSH50" s="543"/>
      <c r="FSI50" s="543"/>
      <c r="FSJ50" s="543"/>
      <c r="FSK50" s="543"/>
      <c r="FSL50" s="543"/>
      <c r="FSM50" s="543"/>
      <c r="FSN50" s="543"/>
      <c r="FSO50" s="543"/>
      <c r="FSP50" s="543"/>
      <c r="FSQ50" s="543"/>
      <c r="FSR50" s="543"/>
      <c r="FSS50" s="543"/>
      <c r="FST50" s="543"/>
      <c r="FSU50" s="543"/>
      <c r="FSV50" s="543"/>
      <c r="FSW50" s="543"/>
      <c r="FSX50" s="543"/>
      <c r="FSY50" s="543"/>
      <c r="FSZ50" s="543"/>
      <c r="FTA50" s="543"/>
      <c r="FTB50" s="543"/>
      <c r="FTC50" s="543"/>
      <c r="FTD50" s="543"/>
      <c r="FTE50" s="543"/>
      <c r="FTF50" s="543"/>
      <c r="FTG50" s="543"/>
      <c r="FTH50" s="543"/>
      <c r="FTI50" s="543"/>
      <c r="FTJ50" s="543"/>
      <c r="FTK50" s="543"/>
      <c r="FTL50" s="543"/>
      <c r="FTM50" s="543"/>
      <c r="FTN50" s="543"/>
      <c r="FTO50" s="543"/>
      <c r="FTP50" s="543"/>
      <c r="FTQ50" s="543"/>
      <c r="FTR50" s="543"/>
      <c r="FTS50" s="543"/>
      <c r="FTT50" s="543"/>
      <c r="FTU50" s="543"/>
      <c r="FTV50" s="543"/>
      <c r="FTW50" s="543"/>
      <c r="FTX50" s="543"/>
      <c r="FTY50" s="543"/>
      <c r="FTZ50" s="543"/>
      <c r="FUA50" s="543"/>
      <c r="FUB50" s="543"/>
      <c r="FUC50" s="543"/>
      <c r="FUD50" s="543"/>
      <c r="FUE50" s="543"/>
      <c r="FUF50" s="543"/>
      <c r="FUG50" s="543"/>
      <c r="FUH50" s="543"/>
      <c r="FUI50" s="543"/>
      <c r="FUJ50" s="543"/>
      <c r="FUK50" s="543"/>
      <c r="FUL50" s="543"/>
      <c r="FUM50" s="543"/>
      <c r="FUN50" s="543"/>
      <c r="FUO50" s="543"/>
      <c r="FUP50" s="543"/>
      <c r="FUQ50" s="543"/>
      <c r="FUR50" s="543"/>
      <c r="FUS50" s="543"/>
      <c r="FUT50" s="543"/>
      <c r="FUU50" s="543"/>
      <c r="FUV50" s="543"/>
      <c r="FUW50" s="543"/>
      <c r="FUX50" s="543"/>
      <c r="FUY50" s="543"/>
      <c r="FUZ50" s="543"/>
      <c r="FVA50" s="543"/>
      <c r="FVB50" s="543"/>
      <c r="FVC50" s="543"/>
      <c r="FVD50" s="543"/>
      <c r="FVE50" s="543"/>
      <c r="FVF50" s="543"/>
      <c r="FVG50" s="543"/>
      <c r="FVH50" s="543"/>
      <c r="FVI50" s="543"/>
      <c r="FVJ50" s="543"/>
      <c r="FVK50" s="543"/>
      <c r="FVL50" s="543"/>
      <c r="FVM50" s="543"/>
      <c r="FVN50" s="543"/>
      <c r="FVO50" s="543"/>
      <c r="FVP50" s="543"/>
      <c r="FVQ50" s="543"/>
      <c r="FVR50" s="543"/>
      <c r="FVS50" s="543"/>
      <c r="FVT50" s="543"/>
      <c r="FVU50" s="543"/>
      <c r="FVV50" s="543"/>
      <c r="FVW50" s="543"/>
      <c r="FVX50" s="543"/>
      <c r="FVY50" s="543"/>
      <c r="FVZ50" s="543"/>
      <c r="FWA50" s="543"/>
      <c r="FWB50" s="543"/>
      <c r="FWC50" s="543"/>
      <c r="FWD50" s="543"/>
      <c r="FWE50" s="543"/>
      <c r="FWF50" s="543"/>
      <c r="FWG50" s="543"/>
      <c r="FWH50" s="543"/>
      <c r="FWI50" s="543"/>
      <c r="FWJ50" s="543"/>
      <c r="FWK50" s="543"/>
      <c r="FWL50" s="543"/>
      <c r="FWM50" s="543"/>
      <c r="FWN50" s="543"/>
      <c r="FWO50" s="543"/>
      <c r="FWP50" s="543"/>
      <c r="FWQ50" s="543"/>
      <c r="FWR50" s="543"/>
      <c r="FWS50" s="543"/>
      <c r="FWT50" s="543"/>
      <c r="FWU50" s="543"/>
      <c r="FWV50" s="543"/>
      <c r="FWW50" s="543"/>
      <c r="FWX50" s="543"/>
      <c r="FWY50" s="543"/>
      <c r="FWZ50" s="543"/>
      <c r="FXA50" s="543"/>
      <c r="FXB50" s="543"/>
      <c r="FXC50" s="543"/>
      <c r="FXD50" s="543"/>
      <c r="FXE50" s="543"/>
      <c r="FXF50" s="543"/>
      <c r="FXG50" s="543"/>
      <c r="FXH50" s="543"/>
      <c r="FXI50" s="543"/>
      <c r="FXJ50" s="543"/>
      <c r="FXK50" s="543"/>
      <c r="FXL50" s="543"/>
      <c r="FXM50" s="543"/>
      <c r="FXN50" s="543"/>
      <c r="FXO50" s="543"/>
      <c r="FXP50" s="543"/>
      <c r="FXQ50" s="543"/>
      <c r="FXR50" s="543"/>
      <c r="FXS50" s="543"/>
      <c r="FXT50" s="543"/>
      <c r="FXU50" s="543"/>
      <c r="FXV50" s="543"/>
      <c r="FXW50" s="543"/>
      <c r="FXX50" s="543"/>
      <c r="FXY50" s="543"/>
      <c r="FXZ50" s="543"/>
      <c r="FYA50" s="543"/>
      <c r="FYB50" s="543"/>
      <c r="FYC50" s="543"/>
      <c r="FYD50" s="543"/>
      <c r="FYE50" s="543"/>
      <c r="FYF50" s="543"/>
      <c r="FYG50" s="543"/>
      <c r="FYH50" s="543"/>
      <c r="FYI50" s="543"/>
      <c r="FYJ50" s="543"/>
      <c r="FYK50" s="543"/>
      <c r="FYL50" s="543"/>
      <c r="FYM50" s="543"/>
      <c r="FYN50" s="543"/>
      <c r="FYO50" s="543"/>
      <c r="FYP50" s="543"/>
      <c r="FYQ50" s="543"/>
      <c r="FYR50" s="543"/>
      <c r="FYS50" s="543"/>
      <c r="FYT50" s="543"/>
      <c r="FYU50" s="543"/>
      <c r="FYV50" s="543"/>
      <c r="FYW50" s="543"/>
      <c r="FYX50" s="543"/>
      <c r="FYY50" s="543"/>
      <c r="FYZ50" s="543"/>
      <c r="FZA50" s="543"/>
      <c r="FZB50" s="543"/>
      <c r="FZC50" s="543"/>
      <c r="FZD50" s="543"/>
      <c r="FZE50" s="543"/>
      <c r="FZF50" s="543"/>
      <c r="FZG50" s="543"/>
      <c r="FZH50" s="543"/>
      <c r="FZI50" s="543"/>
      <c r="FZJ50" s="543"/>
      <c r="FZK50" s="543"/>
      <c r="FZL50" s="543"/>
      <c r="FZM50" s="543"/>
      <c r="FZN50" s="543"/>
      <c r="FZO50" s="543"/>
      <c r="FZP50" s="543"/>
      <c r="FZQ50" s="543"/>
      <c r="FZR50" s="543"/>
      <c r="FZS50" s="543"/>
      <c r="FZT50" s="543"/>
      <c r="FZU50" s="543"/>
      <c r="FZV50" s="543"/>
      <c r="FZW50" s="543"/>
      <c r="FZX50" s="543"/>
      <c r="FZY50" s="543"/>
      <c r="FZZ50" s="543"/>
      <c r="GAA50" s="543"/>
      <c r="GAB50" s="543"/>
      <c r="GAC50" s="543"/>
      <c r="GAD50" s="543"/>
      <c r="GAE50" s="543"/>
      <c r="GAF50" s="543"/>
      <c r="GAG50" s="543"/>
      <c r="GAH50" s="543"/>
      <c r="GAI50" s="543"/>
      <c r="GAJ50" s="543"/>
      <c r="GAK50" s="543"/>
      <c r="GAL50" s="543"/>
      <c r="GAM50" s="543"/>
      <c r="GAN50" s="543"/>
      <c r="GAO50" s="543"/>
      <c r="GAP50" s="543"/>
      <c r="GAQ50" s="543"/>
      <c r="GAR50" s="543"/>
      <c r="GAS50" s="543"/>
      <c r="GAT50" s="543"/>
      <c r="GAU50" s="543"/>
      <c r="GAV50" s="543"/>
      <c r="GAW50" s="543"/>
      <c r="GAX50" s="543"/>
      <c r="GAY50" s="543"/>
      <c r="GAZ50" s="543"/>
      <c r="GBA50" s="543"/>
      <c r="GBB50" s="543"/>
      <c r="GBC50" s="543"/>
      <c r="GBD50" s="543"/>
      <c r="GBE50" s="543"/>
      <c r="GBF50" s="543"/>
      <c r="GBG50" s="543"/>
      <c r="GBH50" s="543"/>
      <c r="GBI50" s="543"/>
      <c r="GBJ50" s="543"/>
      <c r="GBK50" s="543"/>
      <c r="GBL50" s="543"/>
      <c r="GBM50" s="543"/>
      <c r="GBN50" s="543"/>
      <c r="GBO50" s="543"/>
      <c r="GBP50" s="543"/>
      <c r="GBQ50" s="543"/>
      <c r="GBR50" s="543"/>
      <c r="GBS50" s="543"/>
      <c r="GBT50" s="543"/>
      <c r="GBU50" s="543"/>
      <c r="GBV50" s="543"/>
      <c r="GBW50" s="543"/>
      <c r="GBX50" s="543"/>
      <c r="GBY50" s="543"/>
      <c r="GBZ50" s="543"/>
      <c r="GCA50" s="543"/>
      <c r="GCB50" s="543"/>
      <c r="GCC50" s="543"/>
      <c r="GCD50" s="543"/>
      <c r="GCE50" s="543"/>
      <c r="GCF50" s="543"/>
      <c r="GCG50" s="543"/>
      <c r="GCH50" s="543"/>
      <c r="GCI50" s="543"/>
      <c r="GCJ50" s="543"/>
      <c r="GCK50" s="543"/>
      <c r="GCL50" s="543"/>
      <c r="GCM50" s="543"/>
      <c r="GCN50" s="543"/>
      <c r="GCO50" s="543"/>
      <c r="GCP50" s="543"/>
      <c r="GCQ50" s="543"/>
      <c r="GCR50" s="543"/>
      <c r="GCS50" s="543"/>
      <c r="GCT50" s="543"/>
      <c r="GCU50" s="543"/>
      <c r="GCV50" s="543"/>
      <c r="GCW50" s="543"/>
      <c r="GCX50" s="543"/>
      <c r="GCY50" s="543"/>
      <c r="GCZ50" s="543"/>
      <c r="GDA50" s="543"/>
      <c r="GDB50" s="543"/>
      <c r="GDC50" s="543"/>
      <c r="GDD50" s="543"/>
      <c r="GDE50" s="543"/>
      <c r="GDF50" s="543"/>
      <c r="GDG50" s="543"/>
      <c r="GDH50" s="543"/>
      <c r="GDI50" s="543"/>
      <c r="GDJ50" s="543"/>
      <c r="GDK50" s="543"/>
      <c r="GDL50" s="543"/>
      <c r="GDM50" s="543"/>
      <c r="GDN50" s="543"/>
      <c r="GDO50" s="543"/>
      <c r="GDP50" s="543"/>
      <c r="GDQ50" s="543"/>
      <c r="GDR50" s="543"/>
      <c r="GDS50" s="543"/>
      <c r="GDT50" s="543"/>
      <c r="GDU50" s="543"/>
      <c r="GDV50" s="543"/>
      <c r="GDW50" s="543"/>
      <c r="GDX50" s="543"/>
      <c r="GDY50" s="543"/>
      <c r="GDZ50" s="543"/>
      <c r="GEA50" s="543"/>
      <c r="GEB50" s="543"/>
      <c r="GEC50" s="543"/>
      <c r="GED50" s="543"/>
      <c r="GEE50" s="543"/>
      <c r="GEF50" s="543"/>
      <c r="GEG50" s="543"/>
      <c r="GEH50" s="543"/>
      <c r="GEI50" s="543"/>
      <c r="GEJ50" s="543"/>
      <c r="GEK50" s="543"/>
      <c r="GEL50" s="543"/>
      <c r="GEM50" s="543"/>
      <c r="GEN50" s="543"/>
      <c r="GEO50" s="543"/>
      <c r="GEP50" s="543"/>
      <c r="GEQ50" s="543"/>
      <c r="GER50" s="543"/>
      <c r="GES50" s="543"/>
      <c r="GET50" s="543"/>
      <c r="GEU50" s="543"/>
      <c r="GEV50" s="543"/>
      <c r="GEW50" s="543"/>
      <c r="GEX50" s="543"/>
      <c r="GEY50" s="543"/>
      <c r="GEZ50" s="543"/>
      <c r="GFA50" s="543"/>
      <c r="GFB50" s="543"/>
      <c r="GFC50" s="543"/>
      <c r="GFD50" s="543"/>
      <c r="GFE50" s="543"/>
      <c r="GFF50" s="543"/>
      <c r="GFG50" s="543"/>
      <c r="GFH50" s="543"/>
      <c r="GFI50" s="543"/>
      <c r="GFJ50" s="543"/>
      <c r="GFK50" s="543"/>
      <c r="GFL50" s="543"/>
      <c r="GFM50" s="543"/>
      <c r="GFN50" s="543"/>
      <c r="GFO50" s="543"/>
      <c r="GFP50" s="543"/>
      <c r="GFQ50" s="543"/>
      <c r="GFR50" s="543"/>
      <c r="GFS50" s="543"/>
      <c r="GFT50" s="543"/>
      <c r="GFU50" s="543"/>
      <c r="GFV50" s="543"/>
      <c r="GFW50" s="543"/>
      <c r="GFX50" s="543"/>
      <c r="GFY50" s="543"/>
      <c r="GFZ50" s="543"/>
      <c r="GGA50" s="543"/>
      <c r="GGB50" s="543"/>
      <c r="GGC50" s="543"/>
      <c r="GGD50" s="543"/>
      <c r="GGE50" s="543"/>
      <c r="GGF50" s="543"/>
      <c r="GGG50" s="543"/>
      <c r="GGH50" s="543"/>
      <c r="GGI50" s="543"/>
      <c r="GGJ50" s="543"/>
      <c r="GGK50" s="543"/>
      <c r="GGL50" s="543"/>
      <c r="GGM50" s="543"/>
      <c r="GGN50" s="543"/>
      <c r="GGO50" s="543"/>
      <c r="GGP50" s="543"/>
      <c r="GGQ50" s="543"/>
      <c r="GGR50" s="543"/>
      <c r="GGS50" s="543"/>
      <c r="GGT50" s="543"/>
      <c r="GGU50" s="543"/>
      <c r="GGV50" s="543"/>
      <c r="GGW50" s="543"/>
      <c r="GGX50" s="543"/>
      <c r="GGY50" s="543"/>
      <c r="GGZ50" s="543"/>
      <c r="GHA50" s="543"/>
      <c r="GHB50" s="543"/>
      <c r="GHC50" s="543"/>
      <c r="GHD50" s="543"/>
      <c r="GHE50" s="543"/>
      <c r="GHF50" s="543"/>
      <c r="GHG50" s="543"/>
      <c r="GHH50" s="543"/>
      <c r="GHI50" s="543"/>
      <c r="GHJ50" s="543"/>
      <c r="GHK50" s="543"/>
      <c r="GHL50" s="543"/>
      <c r="GHM50" s="543"/>
      <c r="GHN50" s="543"/>
      <c r="GHO50" s="543"/>
      <c r="GHP50" s="543"/>
      <c r="GHQ50" s="543"/>
      <c r="GHR50" s="543"/>
      <c r="GHS50" s="543"/>
      <c r="GHT50" s="543"/>
      <c r="GHU50" s="543"/>
      <c r="GHV50" s="543"/>
      <c r="GHW50" s="543"/>
      <c r="GHX50" s="543"/>
      <c r="GHY50" s="543"/>
      <c r="GHZ50" s="543"/>
      <c r="GIA50" s="543"/>
      <c r="GIB50" s="543"/>
      <c r="GIC50" s="543"/>
      <c r="GID50" s="543"/>
      <c r="GIE50" s="543"/>
      <c r="GIF50" s="543"/>
      <c r="GIG50" s="543"/>
      <c r="GIH50" s="543"/>
      <c r="GII50" s="543"/>
      <c r="GIJ50" s="543"/>
      <c r="GIK50" s="543"/>
      <c r="GIL50" s="543"/>
      <c r="GIM50" s="543"/>
      <c r="GIN50" s="543"/>
      <c r="GIO50" s="543"/>
      <c r="GIP50" s="543"/>
      <c r="GIQ50" s="543"/>
      <c r="GIR50" s="543"/>
      <c r="GIS50" s="543"/>
      <c r="GIT50" s="543"/>
      <c r="GIU50" s="543"/>
      <c r="GIV50" s="543"/>
      <c r="GIW50" s="543"/>
      <c r="GIX50" s="543"/>
      <c r="GIY50" s="543"/>
      <c r="GIZ50" s="543"/>
      <c r="GJA50" s="543"/>
      <c r="GJB50" s="543"/>
      <c r="GJC50" s="543"/>
      <c r="GJD50" s="543"/>
      <c r="GJE50" s="543"/>
      <c r="GJF50" s="543"/>
      <c r="GJG50" s="543"/>
      <c r="GJH50" s="543"/>
      <c r="GJI50" s="543"/>
      <c r="GJJ50" s="543"/>
      <c r="GJK50" s="543"/>
      <c r="GJL50" s="543"/>
      <c r="GJM50" s="543"/>
      <c r="GJN50" s="543"/>
      <c r="GJO50" s="543"/>
      <c r="GJP50" s="543"/>
      <c r="GJQ50" s="543"/>
      <c r="GJR50" s="543"/>
      <c r="GJS50" s="543"/>
      <c r="GJT50" s="543"/>
      <c r="GJU50" s="543"/>
      <c r="GJV50" s="543"/>
      <c r="GJW50" s="543"/>
      <c r="GJX50" s="543"/>
      <c r="GJY50" s="543"/>
      <c r="GJZ50" s="543"/>
      <c r="GKA50" s="543"/>
      <c r="GKB50" s="543"/>
      <c r="GKC50" s="543"/>
      <c r="GKD50" s="543"/>
      <c r="GKE50" s="543"/>
      <c r="GKF50" s="543"/>
      <c r="GKG50" s="543"/>
      <c r="GKH50" s="543"/>
      <c r="GKI50" s="543"/>
      <c r="GKJ50" s="543"/>
      <c r="GKK50" s="543"/>
      <c r="GKL50" s="543"/>
      <c r="GKM50" s="543"/>
      <c r="GKN50" s="543"/>
      <c r="GKO50" s="543"/>
      <c r="GKP50" s="543"/>
      <c r="GKQ50" s="543"/>
      <c r="GKR50" s="543"/>
      <c r="GKS50" s="543"/>
      <c r="GKT50" s="543"/>
      <c r="GKU50" s="543"/>
      <c r="GKV50" s="543"/>
      <c r="GKW50" s="543"/>
      <c r="GKX50" s="543"/>
      <c r="GKY50" s="543"/>
      <c r="GKZ50" s="543"/>
      <c r="GLA50" s="543"/>
      <c r="GLB50" s="543"/>
      <c r="GLC50" s="543"/>
      <c r="GLD50" s="543"/>
      <c r="GLE50" s="543"/>
      <c r="GLF50" s="543"/>
      <c r="GLG50" s="543"/>
      <c r="GLH50" s="543"/>
      <c r="GLI50" s="543"/>
      <c r="GLJ50" s="543"/>
      <c r="GLK50" s="543"/>
      <c r="GLL50" s="543"/>
      <c r="GLM50" s="543"/>
      <c r="GLN50" s="543"/>
      <c r="GLO50" s="543"/>
      <c r="GLP50" s="543"/>
      <c r="GLQ50" s="543"/>
      <c r="GLR50" s="543"/>
      <c r="GLS50" s="543"/>
      <c r="GLT50" s="543"/>
      <c r="GLU50" s="543"/>
      <c r="GLV50" s="543"/>
      <c r="GLW50" s="543"/>
      <c r="GLX50" s="543"/>
      <c r="GLY50" s="543"/>
      <c r="GLZ50" s="543"/>
      <c r="GMA50" s="543"/>
      <c r="GMB50" s="543"/>
      <c r="GMC50" s="543"/>
      <c r="GMD50" s="543"/>
      <c r="GME50" s="543"/>
      <c r="GMF50" s="543"/>
      <c r="GMG50" s="543"/>
      <c r="GMH50" s="543"/>
      <c r="GMI50" s="543"/>
      <c r="GMJ50" s="543"/>
      <c r="GMK50" s="543"/>
      <c r="GML50" s="543"/>
      <c r="GMM50" s="543"/>
      <c r="GMN50" s="543"/>
      <c r="GMO50" s="543"/>
      <c r="GMP50" s="543"/>
      <c r="GMQ50" s="543"/>
      <c r="GMR50" s="543"/>
      <c r="GMS50" s="543"/>
      <c r="GMT50" s="543"/>
      <c r="GMU50" s="543"/>
      <c r="GMV50" s="543"/>
      <c r="GMW50" s="543"/>
      <c r="GMX50" s="543"/>
      <c r="GMY50" s="543"/>
      <c r="GMZ50" s="543"/>
      <c r="GNA50" s="543"/>
      <c r="GNB50" s="543"/>
      <c r="GNC50" s="543"/>
      <c r="GND50" s="543"/>
      <c r="GNE50" s="543"/>
      <c r="GNF50" s="543"/>
      <c r="GNG50" s="543"/>
      <c r="GNH50" s="543"/>
      <c r="GNI50" s="543"/>
      <c r="GNJ50" s="543"/>
      <c r="GNK50" s="543"/>
      <c r="GNL50" s="543"/>
      <c r="GNM50" s="543"/>
      <c r="GNN50" s="543"/>
      <c r="GNO50" s="543"/>
      <c r="GNP50" s="543"/>
      <c r="GNQ50" s="543"/>
      <c r="GNR50" s="543"/>
      <c r="GNS50" s="543"/>
      <c r="GNT50" s="543"/>
      <c r="GNU50" s="543"/>
      <c r="GNV50" s="543"/>
      <c r="GNW50" s="543"/>
      <c r="GNX50" s="543"/>
      <c r="GNY50" s="543"/>
      <c r="GNZ50" s="543"/>
      <c r="GOA50" s="543"/>
      <c r="GOB50" s="543"/>
      <c r="GOC50" s="543"/>
      <c r="GOD50" s="543"/>
      <c r="GOE50" s="543"/>
      <c r="GOF50" s="543"/>
      <c r="GOG50" s="543"/>
      <c r="GOH50" s="543"/>
      <c r="GOI50" s="543"/>
      <c r="GOJ50" s="543"/>
      <c r="GOK50" s="543"/>
      <c r="GOL50" s="543"/>
      <c r="GOM50" s="543"/>
      <c r="GON50" s="543"/>
      <c r="GOO50" s="543"/>
      <c r="GOP50" s="543"/>
      <c r="GOQ50" s="543"/>
      <c r="GOR50" s="543"/>
      <c r="GOS50" s="543"/>
      <c r="GOT50" s="543"/>
      <c r="GOU50" s="543"/>
      <c r="GOV50" s="543"/>
      <c r="GOW50" s="543"/>
      <c r="GOX50" s="543"/>
      <c r="GOY50" s="543"/>
      <c r="GOZ50" s="543"/>
      <c r="GPA50" s="543"/>
      <c r="GPB50" s="543"/>
      <c r="GPC50" s="543"/>
      <c r="GPD50" s="543"/>
      <c r="GPE50" s="543"/>
      <c r="GPF50" s="543"/>
      <c r="GPG50" s="543"/>
      <c r="GPH50" s="543"/>
      <c r="GPI50" s="543"/>
      <c r="GPJ50" s="543"/>
      <c r="GPK50" s="543"/>
      <c r="GPL50" s="543"/>
      <c r="GPM50" s="543"/>
      <c r="GPN50" s="543"/>
      <c r="GPO50" s="543"/>
      <c r="GPP50" s="543"/>
      <c r="GPQ50" s="543"/>
      <c r="GPR50" s="543"/>
      <c r="GPS50" s="543"/>
      <c r="GPT50" s="543"/>
      <c r="GPU50" s="543"/>
      <c r="GPV50" s="543"/>
      <c r="GPW50" s="543"/>
      <c r="GPX50" s="543"/>
      <c r="GPY50" s="543"/>
      <c r="GPZ50" s="543"/>
      <c r="GQA50" s="543"/>
      <c r="GQB50" s="543"/>
      <c r="GQC50" s="543"/>
      <c r="GQD50" s="543"/>
      <c r="GQE50" s="543"/>
      <c r="GQF50" s="543"/>
      <c r="GQG50" s="543"/>
      <c r="GQH50" s="543"/>
      <c r="GQI50" s="543"/>
      <c r="GQJ50" s="543"/>
      <c r="GQK50" s="543"/>
      <c r="GQL50" s="543"/>
      <c r="GQM50" s="543"/>
      <c r="GQN50" s="543"/>
      <c r="GQO50" s="543"/>
      <c r="GQP50" s="543"/>
      <c r="GQQ50" s="543"/>
      <c r="GQR50" s="543"/>
      <c r="GQS50" s="543"/>
      <c r="GQT50" s="543"/>
      <c r="GQU50" s="543"/>
      <c r="GQV50" s="543"/>
      <c r="GQW50" s="543"/>
      <c r="GQX50" s="543"/>
      <c r="GQY50" s="543"/>
      <c r="GQZ50" s="543"/>
      <c r="GRA50" s="543"/>
      <c r="GRB50" s="543"/>
      <c r="GRC50" s="543"/>
      <c r="GRD50" s="543"/>
      <c r="GRE50" s="543"/>
      <c r="GRF50" s="543"/>
      <c r="GRG50" s="543"/>
      <c r="GRH50" s="543"/>
      <c r="GRI50" s="543"/>
      <c r="GRJ50" s="543"/>
      <c r="GRK50" s="543"/>
      <c r="GRL50" s="543"/>
      <c r="GRM50" s="543"/>
      <c r="GRN50" s="543"/>
      <c r="GRO50" s="543"/>
      <c r="GRP50" s="543"/>
      <c r="GRQ50" s="543"/>
      <c r="GRR50" s="543"/>
      <c r="GRS50" s="543"/>
      <c r="GRT50" s="543"/>
      <c r="GRU50" s="543"/>
      <c r="GRV50" s="543"/>
      <c r="GRW50" s="543"/>
      <c r="GRX50" s="543"/>
      <c r="GRY50" s="543"/>
      <c r="GRZ50" s="543"/>
      <c r="GSA50" s="543"/>
      <c r="GSB50" s="543"/>
      <c r="GSC50" s="543"/>
      <c r="GSD50" s="543"/>
      <c r="GSE50" s="543"/>
      <c r="GSF50" s="543"/>
      <c r="GSG50" s="543"/>
      <c r="GSH50" s="543"/>
      <c r="GSI50" s="543"/>
      <c r="GSJ50" s="543"/>
      <c r="GSK50" s="543"/>
      <c r="GSL50" s="543"/>
      <c r="GSM50" s="543"/>
      <c r="GSN50" s="543"/>
      <c r="GSO50" s="543"/>
      <c r="GSP50" s="543"/>
      <c r="GSQ50" s="543"/>
      <c r="GSR50" s="543"/>
      <c r="GSS50" s="543"/>
      <c r="GST50" s="543"/>
      <c r="GSU50" s="543"/>
      <c r="GSV50" s="543"/>
      <c r="GSW50" s="543"/>
      <c r="GSX50" s="543"/>
      <c r="GSY50" s="543"/>
      <c r="GSZ50" s="543"/>
      <c r="GTA50" s="543"/>
      <c r="GTB50" s="543"/>
      <c r="GTC50" s="543"/>
      <c r="GTD50" s="543"/>
      <c r="GTE50" s="543"/>
      <c r="GTF50" s="543"/>
      <c r="GTG50" s="543"/>
      <c r="GTH50" s="543"/>
      <c r="GTI50" s="543"/>
      <c r="GTJ50" s="543"/>
      <c r="GTK50" s="543"/>
      <c r="GTL50" s="543"/>
      <c r="GTM50" s="543"/>
      <c r="GTN50" s="543"/>
      <c r="GTO50" s="543"/>
      <c r="GTP50" s="543"/>
      <c r="GTQ50" s="543"/>
      <c r="GTR50" s="543"/>
      <c r="GTS50" s="543"/>
      <c r="GTT50" s="543"/>
      <c r="GTU50" s="543"/>
      <c r="GTV50" s="543"/>
      <c r="GTW50" s="543"/>
      <c r="GTX50" s="543"/>
      <c r="GTY50" s="543"/>
      <c r="GTZ50" s="543"/>
      <c r="GUA50" s="543"/>
      <c r="GUB50" s="543"/>
      <c r="GUC50" s="543"/>
      <c r="GUD50" s="543"/>
      <c r="GUE50" s="543"/>
      <c r="GUF50" s="543"/>
      <c r="GUG50" s="543"/>
      <c r="GUH50" s="543"/>
      <c r="GUI50" s="543"/>
      <c r="GUJ50" s="543"/>
      <c r="GUK50" s="543"/>
      <c r="GUL50" s="543"/>
      <c r="GUM50" s="543"/>
      <c r="GUN50" s="543"/>
      <c r="GUO50" s="543"/>
      <c r="GUP50" s="543"/>
      <c r="GUQ50" s="543"/>
      <c r="GUR50" s="543"/>
      <c r="GUS50" s="543"/>
      <c r="GUT50" s="543"/>
      <c r="GUU50" s="543"/>
      <c r="GUV50" s="543"/>
      <c r="GUW50" s="543"/>
      <c r="GUX50" s="543"/>
      <c r="GUY50" s="543"/>
      <c r="GUZ50" s="543"/>
      <c r="GVA50" s="543"/>
      <c r="GVB50" s="543"/>
      <c r="GVC50" s="543"/>
      <c r="GVD50" s="543"/>
      <c r="GVE50" s="543"/>
      <c r="GVF50" s="543"/>
      <c r="GVG50" s="543"/>
      <c r="GVH50" s="543"/>
      <c r="GVI50" s="543"/>
      <c r="GVJ50" s="543"/>
      <c r="GVK50" s="543"/>
      <c r="GVL50" s="543"/>
      <c r="GVM50" s="543"/>
      <c r="GVN50" s="543"/>
      <c r="GVO50" s="543"/>
      <c r="GVP50" s="543"/>
      <c r="GVQ50" s="543"/>
      <c r="GVR50" s="543"/>
      <c r="GVS50" s="543"/>
      <c r="GVT50" s="543"/>
      <c r="GVU50" s="543"/>
      <c r="GVV50" s="543"/>
      <c r="GVW50" s="543"/>
      <c r="GVX50" s="543"/>
      <c r="GVY50" s="543"/>
      <c r="GVZ50" s="543"/>
      <c r="GWA50" s="543"/>
      <c r="GWB50" s="543"/>
      <c r="GWC50" s="543"/>
      <c r="GWD50" s="543"/>
      <c r="GWE50" s="543"/>
      <c r="GWF50" s="543"/>
      <c r="GWG50" s="543"/>
      <c r="GWH50" s="543"/>
      <c r="GWI50" s="543"/>
      <c r="GWJ50" s="543"/>
      <c r="GWK50" s="543"/>
      <c r="GWL50" s="543"/>
      <c r="GWM50" s="543"/>
      <c r="GWN50" s="543"/>
      <c r="GWO50" s="543"/>
      <c r="GWP50" s="543"/>
      <c r="GWQ50" s="543"/>
      <c r="GWR50" s="543"/>
      <c r="GWS50" s="543"/>
      <c r="GWT50" s="543"/>
      <c r="GWU50" s="543"/>
      <c r="GWV50" s="543"/>
      <c r="GWW50" s="543"/>
      <c r="GWX50" s="543"/>
      <c r="GWY50" s="543"/>
      <c r="GWZ50" s="543"/>
      <c r="GXA50" s="543"/>
      <c r="GXB50" s="543"/>
      <c r="GXC50" s="543"/>
      <c r="GXD50" s="543"/>
      <c r="GXE50" s="543"/>
      <c r="GXF50" s="543"/>
      <c r="GXG50" s="543"/>
      <c r="GXH50" s="543"/>
      <c r="GXI50" s="543"/>
      <c r="GXJ50" s="543"/>
      <c r="GXK50" s="543"/>
      <c r="GXL50" s="543"/>
      <c r="GXM50" s="543"/>
      <c r="GXN50" s="543"/>
      <c r="GXO50" s="543"/>
      <c r="GXP50" s="543"/>
      <c r="GXQ50" s="543"/>
      <c r="GXR50" s="543"/>
      <c r="GXS50" s="543"/>
      <c r="GXT50" s="543"/>
      <c r="GXU50" s="543"/>
      <c r="GXV50" s="543"/>
      <c r="GXW50" s="543"/>
      <c r="GXX50" s="543"/>
      <c r="GXY50" s="543"/>
      <c r="GXZ50" s="543"/>
      <c r="GYA50" s="543"/>
      <c r="GYB50" s="543"/>
      <c r="GYC50" s="543"/>
      <c r="GYD50" s="543"/>
      <c r="GYE50" s="543"/>
      <c r="GYF50" s="543"/>
      <c r="GYG50" s="543"/>
      <c r="GYH50" s="543"/>
      <c r="GYI50" s="543"/>
      <c r="GYJ50" s="543"/>
      <c r="GYK50" s="543"/>
      <c r="GYL50" s="543"/>
      <c r="GYM50" s="543"/>
      <c r="GYN50" s="543"/>
      <c r="GYO50" s="543"/>
      <c r="GYP50" s="543"/>
      <c r="GYQ50" s="543"/>
      <c r="GYR50" s="543"/>
      <c r="GYS50" s="543"/>
      <c r="GYT50" s="543"/>
      <c r="GYU50" s="543"/>
      <c r="GYV50" s="543"/>
      <c r="GYW50" s="543"/>
      <c r="GYX50" s="543"/>
      <c r="GYY50" s="543"/>
      <c r="GYZ50" s="543"/>
      <c r="GZA50" s="543"/>
      <c r="GZB50" s="543"/>
      <c r="GZC50" s="543"/>
      <c r="GZD50" s="543"/>
      <c r="GZE50" s="543"/>
      <c r="GZF50" s="543"/>
      <c r="GZG50" s="543"/>
      <c r="GZH50" s="543"/>
      <c r="GZI50" s="543"/>
      <c r="GZJ50" s="543"/>
      <c r="GZK50" s="543"/>
      <c r="GZL50" s="543"/>
      <c r="GZM50" s="543"/>
      <c r="GZN50" s="543"/>
      <c r="GZO50" s="543"/>
      <c r="GZP50" s="543"/>
      <c r="GZQ50" s="543"/>
      <c r="GZR50" s="543"/>
      <c r="GZS50" s="543"/>
      <c r="GZT50" s="543"/>
      <c r="GZU50" s="543"/>
      <c r="GZV50" s="543"/>
      <c r="GZW50" s="543"/>
      <c r="GZX50" s="543"/>
      <c r="GZY50" s="543"/>
      <c r="GZZ50" s="543"/>
      <c r="HAA50" s="543"/>
      <c r="HAB50" s="543"/>
      <c r="HAC50" s="543"/>
      <c r="HAD50" s="543"/>
      <c r="HAE50" s="543"/>
      <c r="HAF50" s="543"/>
      <c r="HAG50" s="543"/>
      <c r="HAH50" s="543"/>
      <c r="HAI50" s="543"/>
      <c r="HAJ50" s="543"/>
      <c r="HAK50" s="543"/>
      <c r="HAL50" s="543"/>
      <c r="HAM50" s="543"/>
      <c r="HAN50" s="543"/>
      <c r="HAO50" s="543"/>
      <c r="HAP50" s="543"/>
      <c r="HAQ50" s="543"/>
      <c r="HAR50" s="543"/>
      <c r="HAS50" s="543"/>
      <c r="HAT50" s="543"/>
      <c r="HAU50" s="543"/>
      <c r="HAV50" s="543"/>
      <c r="HAW50" s="543"/>
      <c r="HAX50" s="543"/>
      <c r="HAY50" s="543"/>
      <c r="HAZ50" s="543"/>
      <c r="HBA50" s="543"/>
      <c r="HBB50" s="543"/>
      <c r="HBC50" s="543"/>
      <c r="HBD50" s="543"/>
      <c r="HBE50" s="543"/>
      <c r="HBF50" s="543"/>
      <c r="HBG50" s="543"/>
      <c r="HBH50" s="543"/>
      <c r="HBI50" s="543"/>
      <c r="HBJ50" s="543"/>
      <c r="HBK50" s="543"/>
      <c r="HBL50" s="543"/>
      <c r="HBM50" s="543"/>
      <c r="HBN50" s="543"/>
      <c r="HBO50" s="543"/>
      <c r="HBP50" s="543"/>
      <c r="HBQ50" s="543"/>
      <c r="HBR50" s="543"/>
      <c r="HBS50" s="543"/>
      <c r="HBT50" s="543"/>
      <c r="HBU50" s="543"/>
      <c r="HBV50" s="543"/>
      <c r="HBW50" s="543"/>
      <c r="HBX50" s="543"/>
      <c r="HBY50" s="543"/>
      <c r="HBZ50" s="543"/>
      <c r="HCA50" s="543"/>
      <c r="HCB50" s="543"/>
      <c r="HCC50" s="543"/>
      <c r="HCD50" s="543"/>
      <c r="HCE50" s="543"/>
      <c r="HCF50" s="543"/>
      <c r="HCG50" s="543"/>
      <c r="HCH50" s="543"/>
      <c r="HCI50" s="543"/>
      <c r="HCJ50" s="543"/>
      <c r="HCK50" s="543"/>
      <c r="HCL50" s="543"/>
      <c r="HCM50" s="543"/>
      <c r="HCN50" s="543"/>
      <c r="HCO50" s="543"/>
      <c r="HCP50" s="543"/>
      <c r="HCQ50" s="543"/>
      <c r="HCR50" s="543"/>
      <c r="HCS50" s="543"/>
      <c r="HCT50" s="543"/>
      <c r="HCU50" s="543"/>
      <c r="HCV50" s="543"/>
      <c r="HCW50" s="543"/>
      <c r="HCX50" s="543"/>
      <c r="HCY50" s="543"/>
      <c r="HCZ50" s="543"/>
      <c r="HDA50" s="543"/>
      <c r="HDB50" s="543"/>
      <c r="HDC50" s="543"/>
      <c r="HDD50" s="543"/>
      <c r="HDE50" s="543"/>
      <c r="HDF50" s="543"/>
      <c r="HDG50" s="543"/>
      <c r="HDH50" s="543"/>
      <c r="HDI50" s="543"/>
      <c r="HDJ50" s="543"/>
      <c r="HDK50" s="543"/>
      <c r="HDL50" s="543"/>
      <c r="HDM50" s="543"/>
      <c r="HDN50" s="543"/>
      <c r="HDO50" s="543"/>
      <c r="HDP50" s="543"/>
      <c r="HDQ50" s="543"/>
      <c r="HDR50" s="543"/>
      <c r="HDS50" s="543"/>
      <c r="HDT50" s="543"/>
      <c r="HDU50" s="543"/>
      <c r="HDV50" s="543"/>
      <c r="HDW50" s="543"/>
      <c r="HDX50" s="543"/>
      <c r="HDY50" s="543"/>
      <c r="HDZ50" s="543"/>
      <c r="HEA50" s="543"/>
      <c r="HEB50" s="543"/>
      <c r="HEC50" s="543"/>
      <c r="HED50" s="543"/>
      <c r="HEE50" s="543"/>
      <c r="HEF50" s="543"/>
      <c r="HEG50" s="543"/>
      <c r="HEH50" s="543"/>
      <c r="HEI50" s="543"/>
      <c r="HEJ50" s="543"/>
      <c r="HEK50" s="543"/>
      <c r="HEL50" s="543"/>
      <c r="HEM50" s="543"/>
      <c r="HEN50" s="543"/>
      <c r="HEO50" s="543"/>
      <c r="HEP50" s="543"/>
      <c r="HEQ50" s="543"/>
      <c r="HER50" s="543"/>
      <c r="HES50" s="543"/>
      <c r="HET50" s="543"/>
      <c r="HEU50" s="543"/>
      <c r="HEV50" s="543"/>
      <c r="HEW50" s="543"/>
      <c r="HEX50" s="543"/>
      <c r="HEY50" s="543"/>
      <c r="HEZ50" s="543"/>
      <c r="HFA50" s="543"/>
      <c r="HFB50" s="543"/>
      <c r="HFC50" s="543"/>
      <c r="HFD50" s="543"/>
      <c r="HFE50" s="543"/>
      <c r="HFF50" s="543"/>
      <c r="HFG50" s="543"/>
      <c r="HFH50" s="543"/>
      <c r="HFI50" s="543"/>
      <c r="HFJ50" s="543"/>
      <c r="HFK50" s="543"/>
      <c r="HFL50" s="543"/>
      <c r="HFM50" s="543"/>
      <c r="HFN50" s="543"/>
      <c r="HFO50" s="543"/>
      <c r="HFP50" s="543"/>
      <c r="HFQ50" s="543"/>
      <c r="HFR50" s="543"/>
      <c r="HFS50" s="543"/>
      <c r="HFT50" s="543"/>
      <c r="HFU50" s="543"/>
      <c r="HFV50" s="543"/>
      <c r="HFW50" s="543"/>
      <c r="HFX50" s="543"/>
      <c r="HFY50" s="543"/>
      <c r="HFZ50" s="543"/>
      <c r="HGA50" s="543"/>
      <c r="HGB50" s="543"/>
      <c r="HGC50" s="543"/>
      <c r="HGD50" s="543"/>
      <c r="HGE50" s="543"/>
      <c r="HGF50" s="543"/>
      <c r="HGG50" s="543"/>
      <c r="HGH50" s="543"/>
      <c r="HGI50" s="543"/>
      <c r="HGJ50" s="543"/>
      <c r="HGK50" s="543"/>
      <c r="HGL50" s="543"/>
      <c r="HGM50" s="543"/>
      <c r="HGN50" s="543"/>
      <c r="HGO50" s="543"/>
      <c r="HGP50" s="543"/>
      <c r="HGQ50" s="543"/>
      <c r="HGR50" s="543"/>
      <c r="HGS50" s="543"/>
      <c r="HGT50" s="543"/>
      <c r="HGU50" s="543"/>
      <c r="HGV50" s="543"/>
      <c r="HGW50" s="543"/>
      <c r="HGX50" s="543"/>
      <c r="HGY50" s="543"/>
      <c r="HGZ50" s="543"/>
      <c r="HHA50" s="543"/>
      <c r="HHB50" s="543"/>
      <c r="HHC50" s="543"/>
      <c r="HHD50" s="543"/>
      <c r="HHE50" s="543"/>
      <c r="HHF50" s="543"/>
      <c r="HHG50" s="543"/>
      <c r="HHH50" s="543"/>
      <c r="HHI50" s="543"/>
      <c r="HHJ50" s="543"/>
      <c r="HHK50" s="543"/>
      <c r="HHL50" s="543"/>
      <c r="HHM50" s="543"/>
      <c r="HHN50" s="543"/>
      <c r="HHO50" s="543"/>
      <c r="HHP50" s="543"/>
      <c r="HHQ50" s="543"/>
      <c r="HHR50" s="543"/>
      <c r="HHS50" s="543"/>
      <c r="HHT50" s="543"/>
      <c r="HHU50" s="543"/>
      <c r="HHV50" s="543"/>
      <c r="HHW50" s="543"/>
      <c r="HHX50" s="543"/>
      <c r="HHY50" s="543"/>
      <c r="HHZ50" s="543"/>
      <c r="HIA50" s="543"/>
      <c r="HIB50" s="543"/>
      <c r="HIC50" s="543"/>
      <c r="HID50" s="543"/>
      <c r="HIE50" s="543"/>
      <c r="HIF50" s="543"/>
      <c r="HIG50" s="543"/>
      <c r="HIH50" s="543"/>
      <c r="HII50" s="543"/>
      <c r="HIJ50" s="543"/>
      <c r="HIK50" s="543"/>
      <c r="HIL50" s="543"/>
      <c r="HIM50" s="543"/>
      <c r="HIN50" s="543"/>
      <c r="HIO50" s="543"/>
      <c r="HIP50" s="543"/>
      <c r="HIQ50" s="543"/>
      <c r="HIR50" s="543"/>
      <c r="HIS50" s="543"/>
      <c r="HIT50" s="543"/>
      <c r="HIU50" s="543"/>
      <c r="HIV50" s="543"/>
      <c r="HIW50" s="543"/>
      <c r="HIX50" s="543"/>
      <c r="HIY50" s="543"/>
      <c r="HIZ50" s="543"/>
      <c r="HJA50" s="543"/>
      <c r="HJB50" s="543"/>
      <c r="HJC50" s="543"/>
      <c r="HJD50" s="543"/>
      <c r="HJE50" s="543"/>
      <c r="HJF50" s="543"/>
      <c r="HJG50" s="543"/>
      <c r="HJH50" s="543"/>
      <c r="HJI50" s="543"/>
      <c r="HJJ50" s="543"/>
      <c r="HJK50" s="543"/>
      <c r="HJL50" s="543"/>
      <c r="HJM50" s="543"/>
      <c r="HJN50" s="543"/>
      <c r="HJO50" s="543"/>
      <c r="HJP50" s="543"/>
      <c r="HJQ50" s="543"/>
      <c r="HJR50" s="543"/>
      <c r="HJS50" s="543"/>
      <c r="HJT50" s="543"/>
      <c r="HJU50" s="543"/>
      <c r="HJV50" s="543"/>
      <c r="HJW50" s="543"/>
      <c r="HJX50" s="543"/>
      <c r="HJY50" s="543"/>
      <c r="HJZ50" s="543"/>
      <c r="HKA50" s="543"/>
      <c r="HKB50" s="543"/>
      <c r="HKC50" s="543"/>
      <c r="HKD50" s="543"/>
      <c r="HKE50" s="543"/>
      <c r="HKF50" s="543"/>
      <c r="HKG50" s="543"/>
      <c r="HKH50" s="543"/>
      <c r="HKI50" s="543"/>
      <c r="HKJ50" s="543"/>
      <c r="HKK50" s="543"/>
      <c r="HKL50" s="543"/>
      <c r="HKM50" s="543"/>
      <c r="HKN50" s="543"/>
      <c r="HKO50" s="543"/>
      <c r="HKP50" s="543"/>
      <c r="HKQ50" s="543"/>
      <c r="HKR50" s="543"/>
      <c r="HKS50" s="543"/>
      <c r="HKT50" s="543"/>
      <c r="HKU50" s="543"/>
      <c r="HKV50" s="543"/>
      <c r="HKW50" s="543"/>
      <c r="HKX50" s="543"/>
      <c r="HKY50" s="543"/>
      <c r="HKZ50" s="543"/>
      <c r="HLA50" s="543"/>
      <c r="HLB50" s="543"/>
      <c r="HLC50" s="543"/>
      <c r="HLD50" s="543"/>
      <c r="HLE50" s="543"/>
      <c r="HLF50" s="543"/>
      <c r="HLG50" s="543"/>
      <c r="HLH50" s="543"/>
      <c r="HLI50" s="543"/>
      <c r="HLJ50" s="543"/>
      <c r="HLK50" s="543"/>
      <c r="HLL50" s="543"/>
      <c r="HLM50" s="543"/>
      <c r="HLN50" s="543"/>
      <c r="HLO50" s="543"/>
      <c r="HLP50" s="543"/>
      <c r="HLQ50" s="543"/>
      <c r="HLR50" s="543"/>
      <c r="HLS50" s="543"/>
      <c r="HLT50" s="543"/>
      <c r="HLU50" s="543"/>
      <c r="HLV50" s="543"/>
      <c r="HLW50" s="543"/>
      <c r="HLX50" s="543"/>
      <c r="HLY50" s="543"/>
      <c r="HLZ50" s="543"/>
      <c r="HMA50" s="543"/>
      <c r="HMB50" s="543"/>
      <c r="HMC50" s="543"/>
      <c r="HMD50" s="543"/>
      <c r="HME50" s="543"/>
      <c r="HMF50" s="543"/>
      <c r="HMG50" s="543"/>
      <c r="HMH50" s="543"/>
      <c r="HMI50" s="543"/>
      <c r="HMJ50" s="543"/>
      <c r="HMK50" s="543"/>
      <c r="HML50" s="543"/>
      <c r="HMM50" s="543"/>
      <c r="HMN50" s="543"/>
      <c r="HMO50" s="543"/>
      <c r="HMP50" s="543"/>
      <c r="HMQ50" s="543"/>
      <c r="HMR50" s="543"/>
      <c r="HMS50" s="543"/>
      <c r="HMT50" s="543"/>
      <c r="HMU50" s="543"/>
      <c r="HMV50" s="543"/>
      <c r="HMW50" s="543"/>
      <c r="HMX50" s="543"/>
      <c r="HMY50" s="543"/>
      <c r="HMZ50" s="543"/>
      <c r="HNA50" s="543"/>
      <c r="HNB50" s="543"/>
      <c r="HNC50" s="543"/>
      <c r="HND50" s="543"/>
      <c r="HNE50" s="543"/>
      <c r="HNF50" s="543"/>
      <c r="HNG50" s="543"/>
      <c r="HNH50" s="543"/>
      <c r="HNI50" s="543"/>
      <c r="HNJ50" s="543"/>
      <c r="HNK50" s="543"/>
      <c r="HNL50" s="543"/>
      <c r="HNM50" s="543"/>
      <c r="HNN50" s="543"/>
      <c r="HNO50" s="543"/>
      <c r="HNP50" s="543"/>
      <c r="HNQ50" s="543"/>
      <c r="HNR50" s="543"/>
      <c r="HNS50" s="543"/>
      <c r="HNT50" s="543"/>
      <c r="HNU50" s="543"/>
      <c r="HNV50" s="543"/>
      <c r="HNW50" s="543"/>
      <c r="HNX50" s="543"/>
      <c r="HNY50" s="543"/>
      <c r="HNZ50" s="543"/>
      <c r="HOA50" s="543"/>
      <c r="HOB50" s="543"/>
      <c r="HOC50" s="543"/>
      <c r="HOD50" s="543"/>
      <c r="HOE50" s="543"/>
      <c r="HOF50" s="543"/>
      <c r="HOG50" s="543"/>
      <c r="HOH50" s="543"/>
      <c r="HOI50" s="543"/>
      <c r="HOJ50" s="543"/>
      <c r="HOK50" s="543"/>
      <c r="HOL50" s="543"/>
      <c r="HOM50" s="543"/>
      <c r="HON50" s="543"/>
      <c r="HOO50" s="543"/>
      <c r="HOP50" s="543"/>
      <c r="HOQ50" s="543"/>
      <c r="HOR50" s="543"/>
      <c r="HOS50" s="543"/>
      <c r="HOT50" s="543"/>
      <c r="HOU50" s="543"/>
      <c r="HOV50" s="543"/>
      <c r="HOW50" s="543"/>
      <c r="HOX50" s="543"/>
      <c r="HOY50" s="543"/>
      <c r="HOZ50" s="543"/>
      <c r="HPA50" s="543"/>
      <c r="HPB50" s="543"/>
      <c r="HPC50" s="543"/>
      <c r="HPD50" s="543"/>
      <c r="HPE50" s="543"/>
      <c r="HPF50" s="543"/>
      <c r="HPG50" s="543"/>
      <c r="HPH50" s="543"/>
      <c r="HPI50" s="543"/>
      <c r="HPJ50" s="543"/>
      <c r="HPK50" s="543"/>
      <c r="HPL50" s="543"/>
      <c r="HPM50" s="543"/>
      <c r="HPN50" s="543"/>
      <c r="HPO50" s="543"/>
      <c r="HPP50" s="543"/>
      <c r="HPQ50" s="543"/>
      <c r="HPR50" s="543"/>
      <c r="HPS50" s="543"/>
      <c r="HPT50" s="543"/>
      <c r="HPU50" s="543"/>
      <c r="HPV50" s="543"/>
      <c r="HPW50" s="543"/>
      <c r="HPX50" s="543"/>
      <c r="HPY50" s="543"/>
      <c r="HPZ50" s="543"/>
      <c r="HQA50" s="543"/>
      <c r="HQB50" s="543"/>
      <c r="HQC50" s="543"/>
      <c r="HQD50" s="543"/>
      <c r="HQE50" s="543"/>
      <c r="HQF50" s="543"/>
      <c r="HQG50" s="543"/>
      <c r="HQH50" s="543"/>
      <c r="HQI50" s="543"/>
      <c r="HQJ50" s="543"/>
      <c r="HQK50" s="543"/>
      <c r="HQL50" s="543"/>
      <c r="HQM50" s="543"/>
      <c r="HQN50" s="543"/>
      <c r="HQO50" s="543"/>
      <c r="HQP50" s="543"/>
      <c r="HQQ50" s="543"/>
      <c r="HQR50" s="543"/>
      <c r="HQS50" s="543"/>
      <c r="HQT50" s="543"/>
      <c r="HQU50" s="543"/>
      <c r="HQV50" s="543"/>
      <c r="HQW50" s="543"/>
      <c r="HQX50" s="543"/>
      <c r="HQY50" s="543"/>
      <c r="HQZ50" s="543"/>
      <c r="HRA50" s="543"/>
      <c r="HRB50" s="543"/>
      <c r="HRC50" s="543"/>
      <c r="HRD50" s="543"/>
      <c r="HRE50" s="543"/>
      <c r="HRF50" s="543"/>
      <c r="HRG50" s="543"/>
      <c r="HRH50" s="543"/>
      <c r="HRI50" s="543"/>
      <c r="HRJ50" s="543"/>
      <c r="HRK50" s="543"/>
      <c r="HRL50" s="543"/>
      <c r="HRM50" s="543"/>
      <c r="HRN50" s="543"/>
      <c r="HRO50" s="543"/>
      <c r="HRP50" s="543"/>
      <c r="HRQ50" s="543"/>
      <c r="HRR50" s="543"/>
      <c r="HRS50" s="543"/>
      <c r="HRT50" s="543"/>
      <c r="HRU50" s="543"/>
      <c r="HRV50" s="543"/>
      <c r="HRW50" s="543"/>
      <c r="HRX50" s="543"/>
      <c r="HRY50" s="543"/>
      <c r="HRZ50" s="543"/>
      <c r="HSA50" s="543"/>
      <c r="HSB50" s="543"/>
      <c r="HSC50" s="543"/>
      <c r="HSD50" s="543"/>
      <c r="HSE50" s="543"/>
      <c r="HSF50" s="543"/>
      <c r="HSG50" s="543"/>
      <c r="HSH50" s="543"/>
      <c r="HSI50" s="543"/>
      <c r="HSJ50" s="543"/>
      <c r="HSK50" s="543"/>
      <c r="HSL50" s="543"/>
      <c r="HSM50" s="543"/>
      <c r="HSN50" s="543"/>
      <c r="HSO50" s="543"/>
      <c r="HSP50" s="543"/>
      <c r="HSQ50" s="543"/>
      <c r="HSR50" s="543"/>
      <c r="HSS50" s="543"/>
      <c r="HST50" s="543"/>
      <c r="HSU50" s="543"/>
      <c r="HSV50" s="543"/>
      <c r="HSW50" s="543"/>
      <c r="HSX50" s="543"/>
      <c r="HSY50" s="543"/>
      <c r="HSZ50" s="543"/>
      <c r="HTA50" s="543"/>
      <c r="HTB50" s="543"/>
      <c r="HTC50" s="543"/>
      <c r="HTD50" s="543"/>
      <c r="HTE50" s="543"/>
      <c r="HTF50" s="543"/>
      <c r="HTG50" s="543"/>
      <c r="HTH50" s="543"/>
      <c r="HTI50" s="543"/>
      <c r="HTJ50" s="543"/>
      <c r="HTK50" s="543"/>
      <c r="HTL50" s="543"/>
      <c r="HTM50" s="543"/>
      <c r="HTN50" s="543"/>
      <c r="HTO50" s="543"/>
      <c r="HTP50" s="543"/>
      <c r="HTQ50" s="543"/>
      <c r="HTR50" s="543"/>
      <c r="HTS50" s="543"/>
      <c r="HTT50" s="543"/>
      <c r="HTU50" s="543"/>
      <c r="HTV50" s="543"/>
      <c r="HTW50" s="543"/>
      <c r="HTX50" s="543"/>
      <c r="HTY50" s="543"/>
      <c r="HTZ50" s="543"/>
      <c r="HUA50" s="543"/>
      <c r="HUB50" s="543"/>
      <c r="HUC50" s="543"/>
      <c r="HUD50" s="543"/>
      <c r="HUE50" s="543"/>
      <c r="HUF50" s="543"/>
      <c r="HUG50" s="543"/>
      <c r="HUH50" s="543"/>
      <c r="HUI50" s="543"/>
      <c r="HUJ50" s="543"/>
      <c r="HUK50" s="543"/>
      <c r="HUL50" s="543"/>
      <c r="HUM50" s="543"/>
      <c r="HUN50" s="543"/>
      <c r="HUO50" s="543"/>
      <c r="HUP50" s="543"/>
      <c r="HUQ50" s="543"/>
      <c r="HUR50" s="543"/>
      <c r="HUS50" s="543"/>
      <c r="HUT50" s="543"/>
      <c r="HUU50" s="543"/>
      <c r="HUV50" s="543"/>
      <c r="HUW50" s="543"/>
      <c r="HUX50" s="543"/>
      <c r="HUY50" s="543"/>
      <c r="HUZ50" s="543"/>
      <c r="HVA50" s="543"/>
      <c r="HVB50" s="543"/>
      <c r="HVC50" s="543"/>
      <c r="HVD50" s="543"/>
      <c r="HVE50" s="543"/>
      <c r="HVF50" s="543"/>
      <c r="HVG50" s="543"/>
      <c r="HVH50" s="543"/>
      <c r="HVI50" s="543"/>
      <c r="HVJ50" s="543"/>
      <c r="HVK50" s="543"/>
      <c r="HVL50" s="543"/>
      <c r="HVM50" s="543"/>
      <c r="HVN50" s="543"/>
      <c r="HVO50" s="543"/>
      <c r="HVP50" s="543"/>
      <c r="HVQ50" s="543"/>
      <c r="HVR50" s="543"/>
      <c r="HVS50" s="543"/>
      <c r="HVT50" s="543"/>
      <c r="HVU50" s="543"/>
      <c r="HVV50" s="543"/>
      <c r="HVW50" s="543"/>
      <c r="HVX50" s="543"/>
      <c r="HVY50" s="543"/>
      <c r="HVZ50" s="543"/>
      <c r="HWA50" s="543"/>
      <c r="HWB50" s="543"/>
      <c r="HWC50" s="543"/>
      <c r="HWD50" s="543"/>
      <c r="HWE50" s="543"/>
      <c r="HWF50" s="543"/>
      <c r="HWG50" s="543"/>
      <c r="HWH50" s="543"/>
      <c r="HWI50" s="543"/>
      <c r="HWJ50" s="543"/>
      <c r="HWK50" s="543"/>
      <c r="HWL50" s="543"/>
      <c r="HWM50" s="543"/>
      <c r="HWN50" s="543"/>
      <c r="HWO50" s="543"/>
      <c r="HWP50" s="543"/>
      <c r="HWQ50" s="543"/>
      <c r="HWR50" s="543"/>
      <c r="HWS50" s="543"/>
      <c r="HWT50" s="543"/>
      <c r="HWU50" s="543"/>
      <c r="HWV50" s="543"/>
      <c r="HWW50" s="543"/>
      <c r="HWX50" s="543"/>
      <c r="HWY50" s="543"/>
      <c r="HWZ50" s="543"/>
      <c r="HXA50" s="543"/>
      <c r="HXB50" s="543"/>
      <c r="HXC50" s="543"/>
      <c r="HXD50" s="543"/>
      <c r="HXE50" s="543"/>
      <c r="HXF50" s="543"/>
      <c r="HXG50" s="543"/>
      <c r="HXH50" s="543"/>
      <c r="HXI50" s="543"/>
      <c r="HXJ50" s="543"/>
      <c r="HXK50" s="543"/>
      <c r="HXL50" s="543"/>
      <c r="HXM50" s="543"/>
      <c r="HXN50" s="543"/>
      <c r="HXO50" s="543"/>
      <c r="HXP50" s="543"/>
      <c r="HXQ50" s="543"/>
      <c r="HXR50" s="543"/>
      <c r="HXS50" s="543"/>
      <c r="HXT50" s="543"/>
      <c r="HXU50" s="543"/>
      <c r="HXV50" s="543"/>
      <c r="HXW50" s="543"/>
      <c r="HXX50" s="543"/>
      <c r="HXY50" s="543"/>
      <c r="HXZ50" s="543"/>
      <c r="HYA50" s="543"/>
      <c r="HYB50" s="543"/>
      <c r="HYC50" s="543"/>
      <c r="HYD50" s="543"/>
      <c r="HYE50" s="543"/>
      <c r="HYF50" s="543"/>
      <c r="HYG50" s="543"/>
      <c r="HYH50" s="543"/>
      <c r="HYI50" s="543"/>
      <c r="HYJ50" s="543"/>
      <c r="HYK50" s="543"/>
      <c r="HYL50" s="543"/>
      <c r="HYM50" s="543"/>
      <c r="HYN50" s="543"/>
      <c r="HYO50" s="543"/>
      <c r="HYP50" s="543"/>
      <c r="HYQ50" s="543"/>
      <c r="HYR50" s="543"/>
      <c r="HYS50" s="543"/>
      <c r="HYT50" s="543"/>
      <c r="HYU50" s="543"/>
      <c r="HYV50" s="543"/>
      <c r="HYW50" s="543"/>
      <c r="HYX50" s="543"/>
      <c r="HYY50" s="543"/>
      <c r="HYZ50" s="543"/>
      <c r="HZA50" s="543"/>
      <c r="HZB50" s="543"/>
      <c r="HZC50" s="543"/>
      <c r="HZD50" s="543"/>
      <c r="HZE50" s="543"/>
      <c r="HZF50" s="543"/>
      <c r="HZG50" s="543"/>
      <c r="HZH50" s="543"/>
      <c r="HZI50" s="543"/>
      <c r="HZJ50" s="543"/>
      <c r="HZK50" s="543"/>
      <c r="HZL50" s="543"/>
      <c r="HZM50" s="543"/>
      <c r="HZN50" s="543"/>
      <c r="HZO50" s="543"/>
      <c r="HZP50" s="543"/>
      <c r="HZQ50" s="543"/>
      <c r="HZR50" s="543"/>
      <c r="HZS50" s="543"/>
      <c r="HZT50" s="543"/>
      <c r="HZU50" s="543"/>
      <c r="HZV50" s="543"/>
      <c r="HZW50" s="543"/>
      <c r="HZX50" s="543"/>
      <c r="HZY50" s="543"/>
      <c r="HZZ50" s="543"/>
      <c r="IAA50" s="543"/>
      <c r="IAB50" s="543"/>
      <c r="IAC50" s="543"/>
      <c r="IAD50" s="543"/>
      <c r="IAE50" s="543"/>
      <c r="IAF50" s="543"/>
      <c r="IAG50" s="543"/>
      <c r="IAH50" s="543"/>
      <c r="IAI50" s="543"/>
      <c r="IAJ50" s="543"/>
      <c r="IAK50" s="543"/>
      <c r="IAL50" s="543"/>
      <c r="IAM50" s="543"/>
      <c r="IAN50" s="543"/>
      <c r="IAO50" s="543"/>
      <c r="IAP50" s="543"/>
      <c r="IAQ50" s="543"/>
      <c r="IAR50" s="543"/>
      <c r="IAS50" s="543"/>
      <c r="IAT50" s="543"/>
      <c r="IAU50" s="543"/>
      <c r="IAV50" s="543"/>
      <c r="IAW50" s="543"/>
      <c r="IAX50" s="543"/>
      <c r="IAY50" s="543"/>
      <c r="IAZ50" s="543"/>
      <c r="IBA50" s="543"/>
      <c r="IBB50" s="543"/>
      <c r="IBC50" s="543"/>
      <c r="IBD50" s="543"/>
      <c r="IBE50" s="543"/>
      <c r="IBF50" s="543"/>
      <c r="IBG50" s="543"/>
      <c r="IBH50" s="543"/>
      <c r="IBI50" s="543"/>
      <c r="IBJ50" s="543"/>
      <c r="IBK50" s="543"/>
      <c r="IBL50" s="543"/>
      <c r="IBM50" s="543"/>
      <c r="IBN50" s="543"/>
      <c r="IBO50" s="543"/>
      <c r="IBP50" s="543"/>
      <c r="IBQ50" s="543"/>
      <c r="IBR50" s="543"/>
      <c r="IBS50" s="543"/>
      <c r="IBT50" s="543"/>
      <c r="IBU50" s="543"/>
      <c r="IBV50" s="543"/>
      <c r="IBW50" s="543"/>
      <c r="IBX50" s="543"/>
      <c r="IBY50" s="543"/>
      <c r="IBZ50" s="543"/>
      <c r="ICA50" s="543"/>
      <c r="ICB50" s="543"/>
      <c r="ICC50" s="543"/>
      <c r="ICD50" s="543"/>
      <c r="ICE50" s="543"/>
      <c r="ICF50" s="543"/>
      <c r="ICG50" s="543"/>
      <c r="ICH50" s="543"/>
      <c r="ICI50" s="543"/>
      <c r="ICJ50" s="543"/>
      <c r="ICK50" s="543"/>
      <c r="ICL50" s="543"/>
      <c r="ICM50" s="543"/>
      <c r="ICN50" s="543"/>
      <c r="ICO50" s="543"/>
      <c r="ICP50" s="543"/>
      <c r="ICQ50" s="543"/>
      <c r="ICR50" s="543"/>
      <c r="ICS50" s="543"/>
      <c r="ICT50" s="543"/>
      <c r="ICU50" s="543"/>
      <c r="ICV50" s="543"/>
      <c r="ICW50" s="543"/>
      <c r="ICX50" s="543"/>
      <c r="ICY50" s="543"/>
      <c r="ICZ50" s="543"/>
      <c r="IDA50" s="543"/>
      <c r="IDB50" s="543"/>
      <c r="IDC50" s="543"/>
      <c r="IDD50" s="543"/>
      <c r="IDE50" s="543"/>
      <c r="IDF50" s="543"/>
      <c r="IDG50" s="543"/>
      <c r="IDH50" s="543"/>
      <c r="IDI50" s="543"/>
      <c r="IDJ50" s="543"/>
      <c r="IDK50" s="543"/>
      <c r="IDL50" s="543"/>
      <c r="IDM50" s="543"/>
      <c r="IDN50" s="543"/>
      <c r="IDO50" s="543"/>
      <c r="IDP50" s="543"/>
      <c r="IDQ50" s="543"/>
      <c r="IDR50" s="543"/>
      <c r="IDS50" s="543"/>
      <c r="IDT50" s="543"/>
      <c r="IDU50" s="543"/>
      <c r="IDV50" s="543"/>
      <c r="IDW50" s="543"/>
      <c r="IDX50" s="543"/>
      <c r="IDY50" s="543"/>
      <c r="IDZ50" s="543"/>
      <c r="IEA50" s="543"/>
      <c r="IEB50" s="543"/>
      <c r="IEC50" s="543"/>
      <c r="IED50" s="543"/>
      <c r="IEE50" s="543"/>
      <c r="IEF50" s="543"/>
      <c r="IEG50" s="543"/>
      <c r="IEH50" s="543"/>
      <c r="IEI50" s="543"/>
      <c r="IEJ50" s="543"/>
      <c r="IEK50" s="543"/>
      <c r="IEL50" s="543"/>
      <c r="IEM50" s="543"/>
      <c r="IEN50" s="543"/>
      <c r="IEO50" s="543"/>
      <c r="IEP50" s="543"/>
      <c r="IEQ50" s="543"/>
      <c r="IER50" s="543"/>
      <c r="IES50" s="543"/>
      <c r="IET50" s="543"/>
      <c r="IEU50" s="543"/>
      <c r="IEV50" s="543"/>
      <c r="IEW50" s="543"/>
      <c r="IEX50" s="543"/>
      <c r="IEY50" s="543"/>
      <c r="IEZ50" s="543"/>
      <c r="IFA50" s="543"/>
      <c r="IFB50" s="543"/>
      <c r="IFC50" s="543"/>
      <c r="IFD50" s="543"/>
      <c r="IFE50" s="543"/>
      <c r="IFF50" s="543"/>
      <c r="IFG50" s="543"/>
      <c r="IFH50" s="543"/>
      <c r="IFI50" s="543"/>
      <c r="IFJ50" s="543"/>
      <c r="IFK50" s="543"/>
      <c r="IFL50" s="543"/>
      <c r="IFM50" s="543"/>
      <c r="IFN50" s="543"/>
      <c r="IFO50" s="543"/>
      <c r="IFP50" s="543"/>
      <c r="IFQ50" s="543"/>
      <c r="IFR50" s="543"/>
      <c r="IFS50" s="543"/>
      <c r="IFT50" s="543"/>
      <c r="IFU50" s="543"/>
      <c r="IFV50" s="543"/>
      <c r="IFW50" s="543"/>
      <c r="IFX50" s="543"/>
      <c r="IFY50" s="543"/>
      <c r="IFZ50" s="543"/>
      <c r="IGA50" s="543"/>
      <c r="IGB50" s="543"/>
      <c r="IGC50" s="543"/>
      <c r="IGD50" s="543"/>
      <c r="IGE50" s="543"/>
      <c r="IGF50" s="543"/>
      <c r="IGG50" s="543"/>
      <c r="IGH50" s="543"/>
      <c r="IGI50" s="543"/>
      <c r="IGJ50" s="543"/>
      <c r="IGK50" s="543"/>
      <c r="IGL50" s="543"/>
      <c r="IGM50" s="543"/>
      <c r="IGN50" s="543"/>
      <c r="IGO50" s="543"/>
      <c r="IGP50" s="543"/>
      <c r="IGQ50" s="543"/>
      <c r="IGR50" s="543"/>
      <c r="IGS50" s="543"/>
      <c r="IGT50" s="543"/>
      <c r="IGU50" s="543"/>
      <c r="IGV50" s="543"/>
      <c r="IGW50" s="543"/>
      <c r="IGX50" s="543"/>
      <c r="IGY50" s="543"/>
      <c r="IGZ50" s="543"/>
      <c r="IHA50" s="543"/>
      <c r="IHB50" s="543"/>
      <c r="IHC50" s="543"/>
      <c r="IHD50" s="543"/>
      <c r="IHE50" s="543"/>
      <c r="IHF50" s="543"/>
      <c r="IHG50" s="543"/>
      <c r="IHH50" s="543"/>
      <c r="IHI50" s="543"/>
      <c r="IHJ50" s="543"/>
      <c r="IHK50" s="543"/>
      <c r="IHL50" s="543"/>
      <c r="IHM50" s="543"/>
      <c r="IHN50" s="543"/>
      <c r="IHO50" s="543"/>
      <c r="IHP50" s="543"/>
      <c r="IHQ50" s="543"/>
      <c r="IHR50" s="543"/>
      <c r="IHS50" s="543"/>
      <c r="IHT50" s="543"/>
      <c r="IHU50" s="543"/>
      <c r="IHV50" s="543"/>
      <c r="IHW50" s="543"/>
      <c r="IHX50" s="543"/>
      <c r="IHY50" s="543"/>
      <c r="IHZ50" s="543"/>
      <c r="IIA50" s="543"/>
      <c r="IIB50" s="543"/>
      <c r="IIC50" s="543"/>
      <c r="IID50" s="543"/>
      <c r="IIE50" s="543"/>
      <c r="IIF50" s="543"/>
      <c r="IIG50" s="543"/>
      <c r="IIH50" s="543"/>
      <c r="III50" s="543"/>
      <c r="IIJ50" s="543"/>
      <c r="IIK50" s="543"/>
      <c r="IIL50" s="543"/>
      <c r="IIM50" s="543"/>
      <c r="IIN50" s="543"/>
      <c r="IIO50" s="543"/>
      <c r="IIP50" s="543"/>
      <c r="IIQ50" s="543"/>
      <c r="IIR50" s="543"/>
      <c r="IIS50" s="543"/>
      <c r="IIT50" s="543"/>
      <c r="IIU50" s="543"/>
      <c r="IIV50" s="543"/>
      <c r="IIW50" s="543"/>
      <c r="IIX50" s="543"/>
      <c r="IIY50" s="543"/>
      <c r="IIZ50" s="543"/>
      <c r="IJA50" s="543"/>
      <c r="IJB50" s="543"/>
      <c r="IJC50" s="543"/>
      <c r="IJD50" s="543"/>
      <c r="IJE50" s="543"/>
      <c r="IJF50" s="543"/>
      <c r="IJG50" s="543"/>
      <c r="IJH50" s="543"/>
      <c r="IJI50" s="543"/>
      <c r="IJJ50" s="543"/>
      <c r="IJK50" s="543"/>
      <c r="IJL50" s="543"/>
      <c r="IJM50" s="543"/>
      <c r="IJN50" s="543"/>
      <c r="IJO50" s="543"/>
      <c r="IJP50" s="543"/>
      <c r="IJQ50" s="543"/>
      <c r="IJR50" s="543"/>
      <c r="IJS50" s="543"/>
      <c r="IJT50" s="543"/>
      <c r="IJU50" s="543"/>
      <c r="IJV50" s="543"/>
      <c r="IJW50" s="543"/>
      <c r="IJX50" s="543"/>
      <c r="IJY50" s="543"/>
      <c r="IJZ50" s="543"/>
      <c r="IKA50" s="543"/>
      <c r="IKB50" s="543"/>
      <c r="IKC50" s="543"/>
      <c r="IKD50" s="543"/>
      <c r="IKE50" s="543"/>
      <c r="IKF50" s="543"/>
      <c r="IKG50" s="543"/>
      <c r="IKH50" s="543"/>
      <c r="IKI50" s="543"/>
      <c r="IKJ50" s="543"/>
      <c r="IKK50" s="543"/>
      <c r="IKL50" s="543"/>
      <c r="IKM50" s="543"/>
      <c r="IKN50" s="543"/>
      <c r="IKO50" s="543"/>
      <c r="IKP50" s="543"/>
      <c r="IKQ50" s="543"/>
      <c r="IKR50" s="543"/>
      <c r="IKS50" s="543"/>
      <c r="IKT50" s="543"/>
      <c r="IKU50" s="543"/>
      <c r="IKV50" s="543"/>
      <c r="IKW50" s="543"/>
      <c r="IKX50" s="543"/>
      <c r="IKY50" s="543"/>
      <c r="IKZ50" s="543"/>
      <c r="ILA50" s="543"/>
      <c r="ILB50" s="543"/>
      <c r="ILC50" s="543"/>
      <c r="ILD50" s="543"/>
      <c r="ILE50" s="543"/>
      <c r="ILF50" s="543"/>
      <c r="ILG50" s="543"/>
      <c r="ILH50" s="543"/>
      <c r="ILI50" s="543"/>
      <c r="ILJ50" s="543"/>
      <c r="ILK50" s="543"/>
      <c r="ILL50" s="543"/>
      <c r="ILM50" s="543"/>
      <c r="ILN50" s="543"/>
      <c r="ILO50" s="543"/>
      <c r="ILP50" s="543"/>
      <c r="ILQ50" s="543"/>
      <c r="ILR50" s="543"/>
      <c r="ILS50" s="543"/>
      <c r="ILT50" s="543"/>
      <c r="ILU50" s="543"/>
      <c r="ILV50" s="543"/>
      <c r="ILW50" s="543"/>
      <c r="ILX50" s="543"/>
      <c r="ILY50" s="543"/>
      <c r="ILZ50" s="543"/>
      <c r="IMA50" s="543"/>
      <c r="IMB50" s="543"/>
      <c r="IMC50" s="543"/>
      <c r="IMD50" s="543"/>
      <c r="IME50" s="543"/>
      <c r="IMF50" s="543"/>
      <c r="IMG50" s="543"/>
      <c r="IMH50" s="543"/>
      <c r="IMI50" s="543"/>
      <c r="IMJ50" s="543"/>
      <c r="IMK50" s="543"/>
      <c r="IML50" s="543"/>
      <c r="IMM50" s="543"/>
      <c r="IMN50" s="543"/>
      <c r="IMO50" s="543"/>
      <c r="IMP50" s="543"/>
      <c r="IMQ50" s="543"/>
      <c r="IMR50" s="543"/>
      <c r="IMS50" s="543"/>
      <c r="IMT50" s="543"/>
      <c r="IMU50" s="543"/>
      <c r="IMV50" s="543"/>
      <c r="IMW50" s="543"/>
      <c r="IMX50" s="543"/>
      <c r="IMY50" s="543"/>
      <c r="IMZ50" s="543"/>
      <c r="INA50" s="543"/>
      <c r="INB50" s="543"/>
      <c r="INC50" s="543"/>
      <c r="IND50" s="543"/>
      <c r="INE50" s="543"/>
      <c r="INF50" s="543"/>
      <c r="ING50" s="543"/>
      <c r="INH50" s="543"/>
      <c r="INI50" s="543"/>
      <c r="INJ50" s="543"/>
      <c r="INK50" s="543"/>
      <c r="INL50" s="543"/>
      <c r="INM50" s="543"/>
      <c r="INN50" s="543"/>
      <c r="INO50" s="543"/>
      <c r="INP50" s="543"/>
      <c r="INQ50" s="543"/>
      <c r="INR50" s="543"/>
      <c r="INS50" s="543"/>
      <c r="INT50" s="543"/>
      <c r="INU50" s="543"/>
      <c r="INV50" s="543"/>
      <c r="INW50" s="543"/>
      <c r="INX50" s="543"/>
      <c r="INY50" s="543"/>
      <c r="INZ50" s="543"/>
      <c r="IOA50" s="543"/>
      <c r="IOB50" s="543"/>
      <c r="IOC50" s="543"/>
      <c r="IOD50" s="543"/>
      <c r="IOE50" s="543"/>
      <c r="IOF50" s="543"/>
      <c r="IOG50" s="543"/>
      <c r="IOH50" s="543"/>
      <c r="IOI50" s="543"/>
      <c r="IOJ50" s="543"/>
      <c r="IOK50" s="543"/>
      <c r="IOL50" s="543"/>
      <c r="IOM50" s="543"/>
      <c r="ION50" s="543"/>
      <c r="IOO50" s="543"/>
      <c r="IOP50" s="543"/>
      <c r="IOQ50" s="543"/>
      <c r="IOR50" s="543"/>
      <c r="IOS50" s="543"/>
      <c r="IOT50" s="543"/>
      <c r="IOU50" s="543"/>
      <c r="IOV50" s="543"/>
      <c r="IOW50" s="543"/>
      <c r="IOX50" s="543"/>
      <c r="IOY50" s="543"/>
      <c r="IOZ50" s="543"/>
      <c r="IPA50" s="543"/>
      <c r="IPB50" s="543"/>
      <c r="IPC50" s="543"/>
      <c r="IPD50" s="543"/>
      <c r="IPE50" s="543"/>
      <c r="IPF50" s="543"/>
      <c r="IPG50" s="543"/>
      <c r="IPH50" s="543"/>
      <c r="IPI50" s="543"/>
      <c r="IPJ50" s="543"/>
      <c r="IPK50" s="543"/>
      <c r="IPL50" s="543"/>
      <c r="IPM50" s="543"/>
      <c r="IPN50" s="543"/>
      <c r="IPO50" s="543"/>
      <c r="IPP50" s="543"/>
      <c r="IPQ50" s="543"/>
      <c r="IPR50" s="543"/>
      <c r="IPS50" s="543"/>
      <c r="IPT50" s="543"/>
      <c r="IPU50" s="543"/>
      <c r="IPV50" s="543"/>
      <c r="IPW50" s="543"/>
      <c r="IPX50" s="543"/>
      <c r="IPY50" s="543"/>
      <c r="IPZ50" s="543"/>
      <c r="IQA50" s="543"/>
      <c r="IQB50" s="543"/>
      <c r="IQC50" s="543"/>
      <c r="IQD50" s="543"/>
      <c r="IQE50" s="543"/>
      <c r="IQF50" s="543"/>
      <c r="IQG50" s="543"/>
      <c r="IQH50" s="543"/>
      <c r="IQI50" s="543"/>
      <c r="IQJ50" s="543"/>
      <c r="IQK50" s="543"/>
      <c r="IQL50" s="543"/>
      <c r="IQM50" s="543"/>
      <c r="IQN50" s="543"/>
      <c r="IQO50" s="543"/>
      <c r="IQP50" s="543"/>
      <c r="IQQ50" s="543"/>
      <c r="IQR50" s="543"/>
      <c r="IQS50" s="543"/>
      <c r="IQT50" s="543"/>
      <c r="IQU50" s="543"/>
      <c r="IQV50" s="543"/>
      <c r="IQW50" s="543"/>
      <c r="IQX50" s="543"/>
      <c r="IQY50" s="543"/>
      <c r="IQZ50" s="543"/>
      <c r="IRA50" s="543"/>
      <c r="IRB50" s="543"/>
      <c r="IRC50" s="543"/>
      <c r="IRD50" s="543"/>
      <c r="IRE50" s="543"/>
      <c r="IRF50" s="543"/>
      <c r="IRG50" s="543"/>
      <c r="IRH50" s="543"/>
      <c r="IRI50" s="543"/>
      <c r="IRJ50" s="543"/>
      <c r="IRK50" s="543"/>
      <c r="IRL50" s="543"/>
      <c r="IRM50" s="543"/>
      <c r="IRN50" s="543"/>
      <c r="IRO50" s="543"/>
      <c r="IRP50" s="543"/>
      <c r="IRQ50" s="543"/>
      <c r="IRR50" s="543"/>
      <c r="IRS50" s="543"/>
      <c r="IRT50" s="543"/>
      <c r="IRU50" s="543"/>
      <c r="IRV50" s="543"/>
      <c r="IRW50" s="543"/>
      <c r="IRX50" s="543"/>
      <c r="IRY50" s="543"/>
      <c r="IRZ50" s="543"/>
      <c r="ISA50" s="543"/>
      <c r="ISB50" s="543"/>
      <c r="ISC50" s="543"/>
      <c r="ISD50" s="543"/>
      <c r="ISE50" s="543"/>
      <c r="ISF50" s="543"/>
      <c r="ISG50" s="543"/>
      <c r="ISH50" s="543"/>
      <c r="ISI50" s="543"/>
      <c r="ISJ50" s="543"/>
      <c r="ISK50" s="543"/>
      <c r="ISL50" s="543"/>
      <c r="ISM50" s="543"/>
      <c r="ISN50" s="543"/>
      <c r="ISO50" s="543"/>
      <c r="ISP50" s="543"/>
      <c r="ISQ50" s="543"/>
      <c r="ISR50" s="543"/>
      <c r="ISS50" s="543"/>
      <c r="IST50" s="543"/>
      <c r="ISU50" s="543"/>
      <c r="ISV50" s="543"/>
      <c r="ISW50" s="543"/>
      <c r="ISX50" s="543"/>
      <c r="ISY50" s="543"/>
      <c r="ISZ50" s="543"/>
      <c r="ITA50" s="543"/>
      <c r="ITB50" s="543"/>
      <c r="ITC50" s="543"/>
      <c r="ITD50" s="543"/>
      <c r="ITE50" s="543"/>
      <c r="ITF50" s="543"/>
      <c r="ITG50" s="543"/>
      <c r="ITH50" s="543"/>
      <c r="ITI50" s="543"/>
      <c r="ITJ50" s="543"/>
      <c r="ITK50" s="543"/>
      <c r="ITL50" s="543"/>
      <c r="ITM50" s="543"/>
      <c r="ITN50" s="543"/>
      <c r="ITO50" s="543"/>
      <c r="ITP50" s="543"/>
      <c r="ITQ50" s="543"/>
      <c r="ITR50" s="543"/>
      <c r="ITS50" s="543"/>
      <c r="ITT50" s="543"/>
      <c r="ITU50" s="543"/>
      <c r="ITV50" s="543"/>
      <c r="ITW50" s="543"/>
      <c r="ITX50" s="543"/>
      <c r="ITY50" s="543"/>
      <c r="ITZ50" s="543"/>
      <c r="IUA50" s="543"/>
      <c r="IUB50" s="543"/>
      <c r="IUC50" s="543"/>
      <c r="IUD50" s="543"/>
      <c r="IUE50" s="543"/>
      <c r="IUF50" s="543"/>
      <c r="IUG50" s="543"/>
      <c r="IUH50" s="543"/>
      <c r="IUI50" s="543"/>
      <c r="IUJ50" s="543"/>
      <c r="IUK50" s="543"/>
      <c r="IUL50" s="543"/>
      <c r="IUM50" s="543"/>
      <c r="IUN50" s="543"/>
      <c r="IUO50" s="543"/>
      <c r="IUP50" s="543"/>
      <c r="IUQ50" s="543"/>
      <c r="IUR50" s="543"/>
      <c r="IUS50" s="543"/>
      <c r="IUT50" s="543"/>
      <c r="IUU50" s="543"/>
      <c r="IUV50" s="543"/>
      <c r="IUW50" s="543"/>
      <c r="IUX50" s="543"/>
      <c r="IUY50" s="543"/>
      <c r="IUZ50" s="543"/>
      <c r="IVA50" s="543"/>
      <c r="IVB50" s="543"/>
      <c r="IVC50" s="543"/>
      <c r="IVD50" s="543"/>
      <c r="IVE50" s="543"/>
      <c r="IVF50" s="543"/>
      <c r="IVG50" s="543"/>
      <c r="IVH50" s="543"/>
      <c r="IVI50" s="543"/>
      <c r="IVJ50" s="543"/>
      <c r="IVK50" s="543"/>
      <c r="IVL50" s="543"/>
      <c r="IVM50" s="543"/>
      <c r="IVN50" s="543"/>
      <c r="IVO50" s="543"/>
      <c r="IVP50" s="543"/>
      <c r="IVQ50" s="543"/>
      <c r="IVR50" s="543"/>
      <c r="IVS50" s="543"/>
      <c r="IVT50" s="543"/>
      <c r="IVU50" s="543"/>
      <c r="IVV50" s="543"/>
      <c r="IVW50" s="543"/>
      <c r="IVX50" s="543"/>
      <c r="IVY50" s="543"/>
      <c r="IVZ50" s="543"/>
      <c r="IWA50" s="543"/>
      <c r="IWB50" s="543"/>
      <c r="IWC50" s="543"/>
      <c r="IWD50" s="543"/>
      <c r="IWE50" s="543"/>
      <c r="IWF50" s="543"/>
      <c r="IWG50" s="543"/>
      <c r="IWH50" s="543"/>
      <c r="IWI50" s="543"/>
      <c r="IWJ50" s="543"/>
      <c r="IWK50" s="543"/>
      <c r="IWL50" s="543"/>
      <c r="IWM50" s="543"/>
      <c r="IWN50" s="543"/>
      <c r="IWO50" s="543"/>
      <c r="IWP50" s="543"/>
      <c r="IWQ50" s="543"/>
      <c r="IWR50" s="543"/>
      <c r="IWS50" s="543"/>
      <c r="IWT50" s="543"/>
      <c r="IWU50" s="543"/>
      <c r="IWV50" s="543"/>
      <c r="IWW50" s="543"/>
      <c r="IWX50" s="543"/>
      <c r="IWY50" s="543"/>
      <c r="IWZ50" s="543"/>
      <c r="IXA50" s="543"/>
      <c r="IXB50" s="543"/>
      <c r="IXC50" s="543"/>
      <c r="IXD50" s="543"/>
      <c r="IXE50" s="543"/>
      <c r="IXF50" s="543"/>
      <c r="IXG50" s="543"/>
      <c r="IXH50" s="543"/>
      <c r="IXI50" s="543"/>
      <c r="IXJ50" s="543"/>
      <c r="IXK50" s="543"/>
      <c r="IXL50" s="543"/>
      <c r="IXM50" s="543"/>
      <c r="IXN50" s="543"/>
      <c r="IXO50" s="543"/>
      <c r="IXP50" s="543"/>
      <c r="IXQ50" s="543"/>
      <c r="IXR50" s="543"/>
      <c r="IXS50" s="543"/>
      <c r="IXT50" s="543"/>
      <c r="IXU50" s="543"/>
      <c r="IXV50" s="543"/>
      <c r="IXW50" s="543"/>
      <c r="IXX50" s="543"/>
      <c r="IXY50" s="543"/>
      <c r="IXZ50" s="543"/>
      <c r="IYA50" s="543"/>
      <c r="IYB50" s="543"/>
      <c r="IYC50" s="543"/>
      <c r="IYD50" s="543"/>
      <c r="IYE50" s="543"/>
      <c r="IYF50" s="543"/>
      <c r="IYG50" s="543"/>
      <c r="IYH50" s="543"/>
      <c r="IYI50" s="543"/>
      <c r="IYJ50" s="543"/>
      <c r="IYK50" s="543"/>
      <c r="IYL50" s="543"/>
      <c r="IYM50" s="543"/>
      <c r="IYN50" s="543"/>
      <c r="IYO50" s="543"/>
      <c r="IYP50" s="543"/>
      <c r="IYQ50" s="543"/>
      <c r="IYR50" s="543"/>
      <c r="IYS50" s="543"/>
      <c r="IYT50" s="543"/>
      <c r="IYU50" s="543"/>
      <c r="IYV50" s="543"/>
      <c r="IYW50" s="543"/>
      <c r="IYX50" s="543"/>
      <c r="IYY50" s="543"/>
      <c r="IYZ50" s="543"/>
      <c r="IZA50" s="543"/>
      <c r="IZB50" s="543"/>
      <c r="IZC50" s="543"/>
      <c r="IZD50" s="543"/>
      <c r="IZE50" s="543"/>
      <c r="IZF50" s="543"/>
      <c r="IZG50" s="543"/>
      <c r="IZH50" s="543"/>
      <c r="IZI50" s="543"/>
      <c r="IZJ50" s="543"/>
      <c r="IZK50" s="543"/>
      <c r="IZL50" s="543"/>
      <c r="IZM50" s="543"/>
      <c r="IZN50" s="543"/>
      <c r="IZO50" s="543"/>
      <c r="IZP50" s="543"/>
      <c r="IZQ50" s="543"/>
      <c r="IZR50" s="543"/>
      <c r="IZS50" s="543"/>
      <c r="IZT50" s="543"/>
      <c r="IZU50" s="543"/>
      <c r="IZV50" s="543"/>
      <c r="IZW50" s="543"/>
      <c r="IZX50" s="543"/>
      <c r="IZY50" s="543"/>
      <c r="IZZ50" s="543"/>
      <c r="JAA50" s="543"/>
      <c r="JAB50" s="543"/>
      <c r="JAC50" s="543"/>
      <c r="JAD50" s="543"/>
      <c r="JAE50" s="543"/>
      <c r="JAF50" s="543"/>
      <c r="JAG50" s="543"/>
      <c r="JAH50" s="543"/>
      <c r="JAI50" s="543"/>
      <c r="JAJ50" s="543"/>
      <c r="JAK50" s="543"/>
      <c r="JAL50" s="543"/>
      <c r="JAM50" s="543"/>
      <c r="JAN50" s="543"/>
      <c r="JAO50" s="543"/>
      <c r="JAP50" s="543"/>
      <c r="JAQ50" s="543"/>
      <c r="JAR50" s="543"/>
      <c r="JAS50" s="543"/>
      <c r="JAT50" s="543"/>
      <c r="JAU50" s="543"/>
      <c r="JAV50" s="543"/>
      <c r="JAW50" s="543"/>
      <c r="JAX50" s="543"/>
      <c r="JAY50" s="543"/>
      <c r="JAZ50" s="543"/>
      <c r="JBA50" s="543"/>
      <c r="JBB50" s="543"/>
      <c r="JBC50" s="543"/>
      <c r="JBD50" s="543"/>
      <c r="JBE50" s="543"/>
      <c r="JBF50" s="543"/>
      <c r="JBG50" s="543"/>
      <c r="JBH50" s="543"/>
      <c r="JBI50" s="543"/>
      <c r="JBJ50" s="543"/>
      <c r="JBK50" s="543"/>
      <c r="JBL50" s="543"/>
      <c r="JBM50" s="543"/>
      <c r="JBN50" s="543"/>
      <c r="JBO50" s="543"/>
      <c r="JBP50" s="543"/>
      <c r="JBQ50" s="543"/>
      <c r="JBR50" s="543"/>
      <c r="JBS50" s="543"/>
      <c r="JBT50" s="543"/>
      <c r="JBU50" s="543"/>
      <c r="JBV50" s="543"/>
      <c r="JBW50" s="543"/>
      <c r="JBX50" s="543"/>
      <c r="JBY50" s="543"/>
      <c r="JBZ50" s="543"/>
      <c r="JCA50" s="543"/>
      <c r="JCB50" s="543"/>
      <c r="JCC50" s="543"/>
      <c r="JCD50" s="543"/>
      <c r="JCE50" s="543"/>
      <c r="JCF50" s="543"/>
      <c r="JCG50" s="543"/>
      <c r="JCH50" s="543"/>
      <c r="JCI50" s="543"/>
      <c r="JCJ50" s="543"/>
      <c r="JCK50" s="543"/>
      <c r="JCL50" s="543"/>
      <c r="JCM50" s="543"/>
      <c r="JCN50" s="543"/>
      <c r="JCO50" s="543"/>
      <c r="JCP50" s="543"/>
      <c r="JCQ50" s="543"/>
      <c r="JCR50" s="543"/>
      <c r="JCS50" s="543"/>
      <c r="JCT50" s="543"/>
      <c r="JCU50" s="543"/>
      <c r="JCV50" s="543"/>
      <c r="JCW50" s="543"/>
      <c r="JCX50" s="543"/>
      <c r="JCY50" s="543"/>
      <c r="JCZ50" s="543"/>
      <c r="JDA50" s="543"/>
      <c r="JDB50" s="543"/>
      <c r="JDC50" s="543"/>
      <c r="JDD50" s="543"/>
      <c r="JDE50" s="543"/>
      <c r="JDF50" s="543"/>
      <c r="JDG50" s="543"/>
      <c r="JDH50" s="543"/>
      <c r="JDI50" s="543"/>
      <c r="JDJ50" s="543"/>
      <c r="JDK50" s="543"/>
      <c r="JDL50" s="543"/>
      <c r="JDM50" s="543"/>
      <c r="JDN50" s="543"/>
      <c r="JDO50" s="543"/>
      <c r="JDP50" s="543"/>
      <c r="JDQ50" s="543"/>
      <c r="JDR50" s="543"/>
      <c r="JDS50" s="543"/>
      <c r="JDT50" s="543"/>
      <c r="JDU50" s="543"/>
      <c r="JDV50" s="543"/>
      <c r="JDW50" s="543"/>
      <c r="JDX50" s="543"/>
      <c r="JDY50" s="543"/>
      <c r="JDZ50" s="543"/>
      <c r="JEA50" s="543"/>
      <c r="JEB50" s="543"/>
      <c r="JEC50" s="543"/>
      <c r="JED50" s="543"/>
      <c r="JEE50" s="543"/>
      <c r="JEF50" s="543"/>
      <c r="JEG50" s="543"/>
      <c r="JEH50" s="543"/>
      <c r="JEI50" s="543"/>
      <c r="JEJ50" s="543"/>
      <c r="JEK50" s="543"/>
      <c r="JEL50" s="543"/>
      <c r="JEM50" s="543"/>
      <c r="JEN50" s="543"/>
      <c r="JEO50" s="543"/>
      <c r="JEP50" s="543"/>
      <c r="JEQ50" s="543"/>
      <c r="JER50" s="543"/>
      <c r="JES50" s="543"/>
      <c r="JET50" s="543"/>
      <c r="JEU50" s="543"/>
      <c r="JEV50" s="543"/>
      <c r="JEW50" s="543"/>
      <c r="JEX50" s="543"/>
      <c r="JEY50" s="543"/>
      <c r="JEZ50" s="543"/>
      <c r="JFA50" s="543"/>
      <c r="JFB50" s="543"/>
      <c r="JFC50" s="543"/>
      <c r="JFD50" s="543"/>
      <c r="JFE50" s="543"/>
      <c r="JFF50" s="543"/>
      <c r="JFG50" s="543"/>
      <c r="JFH50" s="543"/>
      <c r="JFI50" s="543"/>
      <c r="JFJ50" s="543"/>
      <c r="JFK50" s="543"/>
      <c r="JFL50" s="543"/>
      <c r="JFM50" s="543"/>
      <c r="JFN50" s="543"/>
      <c r="JFO50" s="543"/>
      <c r="JFP50" s="543"/>
      <c r="JFQ50" s="543"/>
      <c r="JFR50" s="543"/>
      <c r="JFS50" s="543"/>
      <c r="JFT50" s="543"/>
      <c r="JFU50" s="543"/>
      <c r="JFV50" s="543"/>
      <c r="JFW50" s="543"/>
      <c r="JFX50" s="543"/>
      <c r="JFY50" s="543"/>
      <c r="JFZ50" s="543"/>
      <c r="JGA50" s="543"/>
      <c r="JGB50" s="543"/>
      <c r="JGC50" s="543"/>
      <c r="JGD50" s="543"/>
      <c r="JGE50" s="543"/>
      <c r="JGF50" s="543"/>
      <c r="JGG50" s="543"/>
      <c r="JGH50" s="543"/>
      <c r="JGI50" s="543"/>
      <c r="JGJ50" s="543"/>
      <c r="JGK50" s="543"/>
      <c r="JGL50" s="543"/>
      <c r="JGM50" s="543"/>
      <c r="JGN50" s="543"/>
      <c r="JGO50" s="543"/>
      <c r="JGP50" s="543"/>
      <c r="JGQ50" s="543"/>
      <c r="JGR50" s="543"/>
      <c r="JGS50" s="543"/>
      <c r="JGT50" s="543"/>
      <c r="JGU50" s="543"/>
      <c r="JGV50" s="543"/>
      <c r="JGW50" s="543"/>
      <c r="JGX50" s="543"/>
      <c r="JGY50" s="543"/>
      <c r="JGZ50" s="543"/>
      <c r="JHA50" s="543"/>
      <c r="JHB50" s="543"/>
      <c r="JHC50" s="543"/>
      <c r="JHD50" s="543"/>
      <c r="JHE50" s="543"/>
      <c r="JHF50" s="543"/>
      <c r="JHG50" s="543"/>
      <c r="JHH50" s="543"/>
      <c r="JHI50" s="543"/>
      <c r="JHJ50" s="543"/>
      <c r="JHK50" s="543"/>
      <c r="JHL50" s="543"/>
      <c r="JHM50" s="543"/>
      <c r="JHN50" s="543"/>
      <c r="JHO50" s="543"/>
      <c r="JHP50" s="543"/>
      <c r="JHQ50" s="543"/>
      <c r="JHR50" s="543"/>
      <c r="JHS50" s="543"/>
      <c r="JHT50" s="543"/>
      <c r="JHU50" s="543"/>
      <c r="JHV50" s="543"/>
      <c r="JHW50" s="543"/>
      <c r="JHX50" s="543"/>
      <c r="JHY50" s="543"/>
      <c r="JHZ50" s="543"/>
      <c r="JIA50" s="543"/>
      <c r="JIB50" s="543"/>
      <c r="JIC50" s="543"/>
      <c r="JID50" s="543"/>
      <c r="JIE50" s="543"/>
      <c r="JIF50" s="543"/>
      <c r="JIG50" s="543"/>
      <c r="JIH50" s="543"/>
      <c r="JII50" s="543"/>
      <c r="JIJ50" s="543"/>
      <c r="JIK50" s="543"/>
      <c r="JIL50" s="543"/>
      <c r="JIM50" s="543"/>
      <c r="JIN50" s="543"/>
      <c r="JIO50" s="543"/>
      <c r="JIP50" s="543"/>
      <c r="JIQ50" s="543"/>
      <c r="JIR50" s="543"/>
      <c r="JIS50" s="543"/>
      <c r="JIT50" s="543"/>
      <c r="JIU50" s="543"/>
      <c r="JIV50" s="543"/>
      <c r="JIW50" s="543"/>
      <c r="JIX50" s="543"/>
      <c r="JIY50" s="543"/>
      <c r="JIZ50" s="543"/>
      <c r="JJA50" s="543"/>
      <c r="JJB50" s="543"/>
      <c r="JJC50" s="543"/>
      <c r="JJD50" s="543"/>
      <c r="JJE50" s="543"/>
      <c r="JJF50" s="543"/>
      <c r="JJG50" s="543"/>
      <c r="JJH50" s="543"/>
      <c r="JJI50" s="543"/>
      <c r="JJJ50" s="543"/>
      <c r="JJK50" s="543"/>
      <c r="JJL50" s="543"/>
      <c r="JJM50" s="543"/>
      <c r="JJN50" s="543"/>
      <c r="JJO50" s="543"/>
      <c r="JJP50" s="543"/>
      <c r="JJQ50" s="543"/>
      <c r="JJR50" s="543"/>
      <c r="JJS50" s="543"/>
      <c r="JJT50" s="543"/>
      <c r="JJU50" s="543"/>
      <c r="JJV50" s="543"/>
      <c r="JJW50" s="543"/>
      <c r="JJX50" s="543"/>
      <c r="JJY50" s="543"/>
      <c r="JJZ50" s="543"/>
      <c r="JKA50" s="543"/>
      <c r="JKB50" s="543"/>
      <c r="JKC50" s="543"/>
      <c r="JKD50" s="543"/>
      <c r="JKE50" s="543"/>
      <c r="JKF50" s="543"/>
      <c r="JKG50" s="543"/>
      <c r="JKH50" s="543"/>
      <c r="JKI50" s="543"/>
      <c r="JKJ50" s="543"/>
      <c r="JKK50" s="543"/>
      <c r="JKL50" s="543"/>
      <c r="JKM50" s="543"/>
      <c r="JKN50" s="543"/>
      <c r="JKO50" s="543"/>
      <c r="JKP50" s="543"/>
      <c r="JKQ50" s="543"/>
      <c r="JKR50" s="543"/>
      <c r="JKS50" s="543"/>
      <c r="JKT50" s="543"/>
      <c r="JKU50" s="543"/>
      <c r="JKV50" s="543"/>
      <c r="JKW50" s="543"/>
      <c r="JKX50" s="543"/>
      <c r="JKY50" s="543"/>
      <c r="JKZ50" s="543"/>
      <c r="JLA50" s="543"/>
      <c r="JLB50" s="543"/>
      <c r="JLC50" s="543"/>
      <c r="JLD50" s="543"/>
      <c r="JLE50" s="543"/>
      <c r="JLF50" s="543"/>
      <c r="JLG50" s="543"/>
      <c r="JLH50" s="543"/>
      <c r="JLI50" s="543"/>
      <c r="JLJ50" s="543"/>
      <c r="JLK50" s="543"/>
      <c r="JLL50" s="543"/>
      <c r="JLM50" s="543"/>
      <c r="JLN50" s="543"/>
      <c r="JLO50" s="543"/>
      <c r="JLP50" s="543"/>
      <c r="JLQ50" s="543"/>
      <c r="JLR50" s="543"/>
      <c r="JLS50" s="543"/>
      <c r="JLT50" s="543"/>
      <c r="JLU50" s="543"/>
      <c r="JLV50" s="543"/>
      <c r="JLW50" s="543"/>
      <c r="JLX50" s="543"/>
      <c r="JLY50" s="543"/>
      <c r="JLZ50" s="543"/>
      <c r="JMA50" s="543"/>
      <c r="JMB50" s="543"/>
      <c r="JMC50" s="543"/>
      <c r="JMD50" s="543"/>
      <c r="JME50" s="543"/>
      <c r="JMF50" s="543"/>
      <c r="JMG50" s="543"/>
      <c r="JMH50" s="543"/>
      <c r="JMI50" s="543"/>
      <c r="JMJ50" s="543"/>
      <c r="JMK50" s="543"/>
      <c r="JML50" s="543"/>
      <c r="JMM50" s="543"/>
      <c r="JMN50" s="543"/>
      <c r="JMO50" s="543"/>
      <c r="JMP50" s="543"/>
      <c r="JMQ50" s="543"/>
      <c r="JMR50" s="543"/>
      <c r="JMS50" s="543"/>
      <c r="JMT50" s="543"/>
      <c r="JMU50" s="543"/>
      <c r="JMV50" s="543"/>
      <c r="JMW50" s="543"/>
      <c r="JMX50" s="543"/>
      <c r="JMY50" s="543"/>
      <c r="JMZ50" s="543"/>
      <c r="JNA50" s="543"/>
      <c r="JNB50" s="543"/>
      <c r="JNC50" s="543"/>
      <c r="JND50" s="543"/>
      <c r="JNE50" s="543"/>
      <c r="JNF50" s="543"/>
      <c r="JNG50" s="543"/>
      <c r="JNH50" s="543"/>
      <c r="JNI50" s="543"/>
      <c r="JNJ50" s="543"/>
      <c r="JNK50" s="543"/>
      <c r="JNL50" s="543"/>
      <c r="JNM50" s="543"/>
      <c r="JNN50" s="543"/>
      <c r="JNO50" s="543"/>
      <c r="JNP50" s="543"/>
      <c r="JNQ50" s="543"/>
      <c r="JNR50" s="543"/>
      <c r="JNS50" s="543"/>
      <c r="JNT50" s="543"/>
      <c r="JNU50" s="543"/>
      <c r="JNV50" s="543"/>
      <c r="JNW50" s="543"/>
      <c r="JNX50" s="543"/>
      <c r="JNY50" s="543"/>
      <c r="JNZ50" s="543"/>
      <c r="JOA50" s="543"/>
      <c r="JOB50" s="543"/>
      <c r="JOC50" s="543"/>
      <c r="JOD50" s="543"/>
      <c r="JOE50" s="543"/>
      <c r="JOF50" s="543"/>
      <c r="JOG50" s="543"/>
      <c r="JOH50" s="543"/>
      <c r="JOI50" s="543"/>
      <c r="JOJ50" s="543"/>
      <c r="JOK50" s="543"/>
      <c r="JOL50" s="543"/>
      <c r="JOM50" s="543"/>
      <c r="JON50" s="543"/>
      <c r="JOO50" s="543"/>
      <c r="JOP50" s="543"/>
      <c r="JOQ50" s="543"/>
      <c r="JOR50" s="543"/>
      <c r="JOS50" s="543"/>
      <c r="JOT50" s="543"/>
      <c r="JOU50" s="543"/>
      <c r="JOV50" s="543"/>
      <c r="JOW50" s="543"/>
      <c r="JOX50" s="543"/>
      <c r="JOY50" s="543"/>
      <c r="JOZ50" s="543"/>
      <c r="JPA50" s="543"/>
      <c r="JPB50" s="543"/>
      <c r="JPC50" s="543"/>
      <c r="JPD50" s="543"/>
      <c r="JPE50" s="543"/>
      <c r="JPF50" s="543"/>
      <c r="JPG50" s="543"/>
      <c r="JPH50" s="543"/>
      <c r="JPI50" s="543"/>
      <c r="JPJ50" s="543"/>
      <c r="JPK50" s="543"/>
      <c r="JPL50" s="543"/>
      <c r="JPM50" s="543"/>
      <c r="JPN50" s="543"/>
      <c r="JPO50" s="543"/>
      <c r="JPP50" s="543"/>
      <c r="JPQ50" s="543"/>
      <c r="JPR50" s="543"/>
      <c r="JPS50" s="543"/>
      <c r="JPT50" s="543"/>
      <c r="JPU50" s="543"/>
      <c r="JPV50" s="543"/>
      <c r="JPW50" s="543"/>
      <c r="JPX50" s="543"/>
      <c r="JPY50" s="543"/>
      <c r="JPZ50" s="543"/>
      <c r="JQA50" s="543"/>
      <c r="JQB50" s="543"/>
      <c r="JQC50" s="543"/>
      <c r="JQD50" s="543"/>
      <c r="JQE50" s="543"/>
      <c r="JQF50" s="543"/>
      <c r="JQG50" s="543"/>
      <c r="JQH50" s="543"/>
      <c r="JQI50" s="543"/>
      <c r="JQJ50" s="543"/>
      <c r="JQK50" s="543"/>
      <c r="JQL50" s="543"/>
      <c r="JQM50" s="543"/>
      <c r="JQN50" s="543"/>
      <c r="JQO50" s="543"/>
      <c r="JQP50" s="543"/>
      <c r="JQQ50" s="543"/>
      <c r="JQR50" s="543"/>
      <c r="JQS50" s="543"/>
      <c r="JQT50" s="543"/>
      <c r="JQU50" s="543"/>
      <c r="JQV50" s="543"/>
      <c r="JQW50" s="543"/>
      <c r="JQX50" s="543"/>
      <c r="JQY50" s="543"/>
      <c r="JQZ50" s="543"/>
      <c r="JRA50" s="543"/>
      <c r="JRB50" s="543"/>
      <c r="JRC50" s="543"/>
      <c r="JRD50" s="543"/>
      <c r="JRE50" s="543"/>
      <c r="JRF50" s="543"/>
      <c r="JRG50" s="543"/>
      <c r="JRH50" s="543"/>
      <c r="JRI50" s="543"/>
      <c r="JRJ50" s="543"/>
      <c r="JRK50" s="543"/>
      <c r="JRL50" s="543"/>
      <c r="JRM50" s="543"/>
      <c r="JRN50" s="543"/>
      <c r="JRO50" s="543"/>
      <c r="JRP50" s="543"/>
      <c r="JRQ50" s="543"/>
      <c r="JRR50" s="543"/>
      <c r="JRS50" s="543"/>
      <c r="JRT50" s="543"/>
      <c r="JRU50" s="543"/>
      <c r="JRV50" s="543"/>
      <c r="JRW50" s="543"/>
      <c r="JRX50" s="543"/>
      <c r="JRY50" s="543"/>
      <c r="JRZ50" s="543"/>
      <c r="JSA50" s="543"/>
      <c r="JSB50" s="543"/>
      <c r="JSC50" s="543"/>
      <c r="JSD50" s="543"/>
      <c r="JSE50" s="543"/>
      <c r="JSF50" s="543"/>
      <c r="JSG50" s="543"/>
      <c r="JSH50" s="543"/>
      <c r="JSI50" s="543"/>
      <c r="JSJ50" s="543"/>
      <c r="JSK50" s="543"/>
      <c r="JSL50" s="543"/>
      <c r="JSM50" s="543"/>
      <c r="JSN50" s="543"/>
      <c r="JSO50" s="543"/>
      <c r="JSP50" s="543"/>
      <c r="JSQ50" s="543"/>
      <c r="JSR50" s="543"/>
      <c r="JSS50" s="543"/>
      <c r="JST50" s="543"/>
      <c r="JSU50" s="543"/>
      <c r="JSV50" s="543"/>
      <c r="JSW50" s="543"/>
      <c r="JSX50" s="543"/>
      <c r="JSY50" s="543"/>
      <c r="JSZ50" s="543"/>
      <c r="JTA50" s="543"/>
      <c r="JTB50" s="543"/>
      <c r="JTC50" s="543"/>
      <c r="JTD50" s="543"/>
      <c r="JTE50" s="543"/>
      <c r="JTF50" s="543"/>
      <c r="JTG50" s="543"/>
      <c r="JTH50" s="543"/>
      <c r="JTI50" s="543"/>
      <c r="JTJ50" s="543"/>
      <c r="JTK50" s="543"/>
      <c r="JTL50" s="543"/>
      <c r="JTM50" s="543"/>
      <c r="JTN50" s="543"/>
      <c r="JTO50" s="543"/>
      <c r="JTP50" s="543"/>
      <c r="JTQ50" s="543"/>
      <c r="JTR50" s="543"/>
      <c r="JTS50" s="543"/>
      <c r="JTT50" s="543"/>
      <c r="JTU50" s="543"/>
      <c r="JTV50" s="543"/>
      <c r="JTW50" s="543"/>
      <c r="JTX50" s="543"/>
      <c r="JTY50" s="543"/>
      <c r="JTZ50" s="543"/>
      <c r="JUA50" s="543"/>
      <c r="JUB50" s="543"/>
      <c r="JUC50" s="543"/>
      <c r="JUD50" s="543"/>
      <c r="JUE50" s="543"/>
      <c r="JUF50" s="543"/>
      <c r="JUG50" s="543"/>
      <c r="JUH50" s="543"/>
      <c r="JUI50" s="543"/>
      <c r="JUJ50" s="543"/>
      <c r="JUK50" s="543"/>
      <c r="JUL50" s="543"/>
      <c r="JUM50" s="543"/>
      <c r="JUN50" s="543"/>
      <c r="JUO50" s="543"/>
      <c r="JUP50" s="543"/>
      <c r="JUQ50" s="543"/>
      <c r="JUR50" s="543"/>
      <c r="JUS50" s="543"/>
      <c r="JUT50" s="543"/>
      <c r="JUU50" s="543"/>
      <c r="JUV50" s="543"/>
      <c r="JUW50" s="543"/>
      <c r="JUX50" s="543"/>
      <c r="JUY50" s="543"/>
      <c r="JUZ50" s="543"/>
      <c r="JVA50" s="543"/>
      <c r="JVB50" s="543"/>
      <c r="JVC50" s="543"/>
      <c r="JVD50" s="543"/>
      <c r="JVE50" s="543"/>
      <c r="JVF50" s="543"/>
      <c r="JVG50" s="543"/>
      <c r="JVH50" s="543"/>
      <c r="JVI50" s="543"/>
      <c r="JVJ50" s="543"/>
      <c r="JVK50" s="543"/>
      <c r="JVL50" s="543"/>
      <c r="JVM50" s="543"/>
      <c r="JVN50" s="543"/>
      <c r="JVO50" s="543"/>
      <c r="JVP50" s="543"/>
      <c r="JVQ50" s="543"/>
      <c r="JVR50" s="543"/>
      <c r="JVS50" s="543"/>
      <c r="JVT50" s="543"/>
      <c r="JVU50" s="543"/>
      <c r="JVV50" s="543"/>
      <c r="JVW50" s="543"/>
      <c r="JVX50" s="543"/>
      <c r="JVY50" s="543"/>
      <c r="JVZ50" s="543"/>
      <c r="JWA50" s="543"/>
      <c r="JWB50" s="543"/>
      <c r="JWC50" s="543"/>
      <c r="JWD50" s="543"/>
      <c r="JWE50" s="543"/>
      <c r="JWF50" s="543"/>
      <c r="JWG50" s="543"/>
      <c r="JWH50" s="543"/>
      <c r="JWI50" s="543"/>
      <c r="JWJ50" s="543"/>
      <c r="JWK50" s="543"/>
      <c r="JWL50" s="543"/>
      <c r="JWM50" s="543"/>
      <c r="JWN50" s="543"/>
      <c r="JWO50" s="543"/>
      <c r="JWP50" s="543"/>
      <c r="JWQ50" s="543"/>
      <c r="JWR50" s="543"/>
      <c r="JWS50" s="543"/>
      <c r="JWT50" s="543"/>
      <c r="JWU50" s="543"/>
      <c r="JWV50" s="543"/>
      <c r="JWW50" s="543"/>
      <c r="JWX50" s="543"/>
      <c r="JWY50" s="543"/>
      <c r="JWZ50" s="543"/>
      <c r="JXA50" s="543"/>
      <c r="JXB50" s="543"/>
      <c r="JXC50" s="543"/>
      <c r="JXD50" s="543"/>
      <c r="JXE50" s="543"/>
      <c r="JXF50" s="543"/>
      <c r="JXG50" s="543"/>
      <c r="JXH50" s="543"/>
      <c r="JXI50" s="543"/>
      <c r="JXJ50" s="543"/>
      <c r="JXK50" s="543"/>
      <c r="JXL50" s="543"/>
      <c r="JXM50" s="543"/>
      <c r="JXN50" s="543"/>
      <c r="JXO50" s="543"/>
      <c r="JXP50" s="543"/>
      <c r="JXQ50" s="543"/>
      <c r="JXR50" s="543"/>
      <c r="JXS50" s="543"/>
      <c r="JXT50" s="543"/>
      <c r="JXU50" s="543"/>
      <c r="JXV50" s="543"/>
      <c r="JXW50" s="543"/>
      <c r="JXX50" s="543"/>
      <c r="JXY50" s="543"/>
      <c r="JXZ50" s="543"/>
      <c r="JYA50" s="543"/>
      <c r="JYB50" s="543"/>
      <c r="JYC50" s="543"/>
      <c r="JYD50" s="543"/>
      <c r="JYE50" s="543"/>
      <c r="JYF50" s="543"/>
      <c r="JYG50" s="543"/>
      <c r="JYH50" s="543"/>
      <c r="JYI50" s="543"/>
      <c r="JYJ50" s="543"/>
      <c r="JYK50" s="543"/>
      <c r="JYL50" s="543"/>
      <c r="JYM50" s="543"/>
      <c r="JYN50" s="543"/>
      <c r="JYO50" s="543"/>
      <c r="JYP50" s="543"/>
      <c r="JYQ50" s="543"/>
      <c r="JYR50" s="543"/>
      <c r="JYS50" s="543"/>
      <c r="JYT50" s="543"/>
      <c r="JYU50" s="543"/>
      <c r="JYV50" s="543"/>
      <c r="JYW50" s="543"/>
      <c r="JYX50" s="543"/>
      <c r="JYY50" s="543"/>
      <c r="JYZ50" s="543"/>
      <c r="JZA50" s="543"/>
      <c r="JZB50" s="543"/>
      <c r="JZC50" s="543"/>
      <c r="JZD50" s="543"/>
      <c r="JZE50" s="543"/>
      <c r="JZF50" s="543"/>
      <c r="JZG50" s="543"/>
      <c r="JZH50" s="543"/>
      <c r="JZI50" s="543"/>
      <c r="JZJ50" s="543"/>
      <c r="JZK50" s="543"/>
      <c r="JZL50" s="543"/>
      <c r="JZM50" s="543"/>
      <c r="JZN50" s="543"/>
      <c r="JZO50" s="543"/>
      <c r="JZP50" s="543"/>
      <c r="JZQ50" s="543"/>
      <c r="JZR50" s="543"/>
      <c r="JZS50" s="543"/>
      <c r="JZT50" s="543"/>
      <c r="JZU50" s="543"/>
      <c r="JZV50" s="543"/>
      <c r="JZW50" s="543"/>
      <c r="JZX50" s="543"/>
      <c r="JZY50" s="543"/>
      <c r="JZZ50" s="543"/>
      <c r="KAA50" s="543"/>
      <c r="KAB50" s="543"/>
      <c r="KAC50" s="543"/>
      <c r="KAD50" s="543"/>
      <c r="KAE50" s="543"/>
      <c r="KAF50" s="543"/>
      <c r="KAG50" s="543"/>
      <c r="KAH50" s="543"/>
      <c r="KAI50" s="543"/>
      <c r="KAJ50" s="543"/>
      <c r="KAK50" s="543"/>
      <c r="KAL50" s="543"/>
      <c r="KAM50" s="543"/>
      <c r="KAN50" s="543"/>
      <c r="KAO50" s="543"/>
      <c r="KAP50" s="543"/>
      <c r="KAQ50" s="543"/>
      <c r="KAR50" s="543"/>
      <c r="KAS50" s="543"/>
      <c r="KAT50" s="543"/>
      <c r="KAU50" s="543"/>
      <c r="KAV50" s="543"/>
      <c r="KAW50" s="543"/>
      <c r="KAX50" s="543"/>
      <c r="KAY50" s="543"/>
      <c r="KAZ50" s="543"/>
      <c r="KBA50" s="543"/>
      <c r="KBB50" s="543"/>
      <c r="KBC50" s="543"/>
      <c r="KBD50" s="543"/>
      <c r="KBE50" s="543"/>
      <c r="KBF50" s="543"/>
      <c r="KBG50" s="543"/>
      <c r="KBH50" s="543"/>
      <c r="KBI50" s="543"/>
      <c r="KBJ50" s="543"/>
      <c r="KBK50" s="543"/>
      <c r="KBL50" s="543"/>
      <c r="KBM50" s="543"/>
      <c r="KBN50" s="543"/>
      <c r="KBO50" s="543"/>
      <c r="KBP50" s="543"/>
      <c r="KBQ50" s="543"/>
      <c r="KBR50" s="543"/>
      <c r="KBS50" s="543"/>
      <c r="KBT50" s="543"/>
      <c r="KBU50" s="543"/>
      <c r="KBV50" s="543"/>
      <c r="KBW50" s="543"/>
      <c r="KBX50" s="543"/>
      <c r="KBY50" s="543"/>
      <c r="KBZ50" s="543"/>
      <c r="KCA50" s="543"/>
      <c r="KCB50" s="543"/>
      <c r="KCC50" s="543"/>
      <c r="KCD50" s="543"/>
      <c r="KCE50" s="543"/>
      <c r="KCF50" s="543"/>
      <c r="KCG50" s="543"/>
      <c r="KCH50" s="543"/>
      <c r="KCI50" s="543"/>
      <c r="KCJ50" s="543"/>
      <c r="KCK50" s="543"/>
      <c r="KCL50" s="543"/>
      <c r="KCM50" s="543"/>
      <c r="KCN50" s="543"/>
      <c r="KCO50" s="543"/>
      <c r="KCP50" s="543"/>
      <c r="KCQ50" s="543"/>
      <c r="KCR50" s="543"/>
      <c r="KCS50" s="543"/>
      <c r="KCT50" s="543"/>
      <c r="KCU50" s="543"/>
      <c r="KCV50" s="543"/>
      <c r="KCW50" s="543"/>
      <c r="KCX50" s="543"/>
      <c r="KCY50" s="543"/>
      <c r="KCZ50" s="543"/>
      <c r="KDA50" s="543"/>
      <c r="KDB50" s="543"/>
      <c r="KDC50" s="543"/>
      <c r="KDD50" s="543"/>
      <c r="KDE50" s="543"/>
      <c r="KDF50" s="543"/>
      <c r="KDG50" s="543"/>
      <c r="KDH50" s="543"/>
      <c r="KDI50" s="543"/>
      <c r="KDJ50" s="543"/>
      <c r="KDK50" s="543"/>
      <c r="KDL50" s="543"/>
      <c r="KDM50" s="543"/>
      <c r="KDN50" s="543"/>
      <c r="KDO50" s="543"/>
      <c r="KDP50" s="543"/>
      <c r="KDQ50" s="543"/>
      <c r="KDR50" s="543"/>
      <c r="KDS50" s="543"/>
      <c r="KDT50" s="543"/>
      <c r="KDU50" s="543"/>
      <c r="KDV50" s="543"/>
      <c r="KDW50" s="543"/>
      <c r="KDX50" s="543"/>
      <c r="KDY50" s="543"/>
      <c r="KDZ50" s="543"/>
      <c r="KEA50" s="543"/>
      <c r="KEB50" s="543"/>
      <c r="KEC50" s="543"/>
      <c r="KED50" s="543"/>
      <c r="KEE50" s="543"/>
      <c r="KEF50" s="543"/>
      <c r="KEG50" s="543"/>
      <c r="KEH50" s="543"/>
      <c r="KEI50" s="543"/>
      <c r="KEJ50" s="543"/>
      <c r="KEK50" s="543"/>
      <c r="KEL50" s="543"/>
      <c r="KEM50" s="543"/>
      <c r="KEN50" s="543"/>
      <c r="KEO50" s="543"/>
      <c r="KEP50" s="543"/>
      <c r="KEQ50" s="543"/>
      <c r="KER50" s="543"/>
      <c r="KES50" s="543"/>
      <c r="KET50" s="543"/>
      <c r="KEU50" s="543"/>
      <c r="KEV50" s="543"/>
      <c r="KEW50" s="543"/>
      <c r="KEX50" s="543"/>
      <c r="KEY50" s="543"/>
      <c r="KEZ50" s="543"/>
      <c r="KFA50" s="543"/>
      <c r="KFB50" s="543"/>
      <c r="KFC50" s="543"/>
      <c r="KFD50" s="543"/>
      <c r="KFE50" s="543"/>
      <c r="KFF50" s="543"/>
      <c r="KFG50" s="543"/>
      <c r="KFH50" s="543"/>
      <c r="KFI50" s="543"/>
      <c r="KFJ50" s="543"/>
      <c r="KFK50" s="543"/>
      <c r="KFL50" s="543"/>
      <c r="KFM50" s="543"/>
      <c r="KFN50" s="543"/>
      <c r="KFO50" s="543"/>
      <c r="KFP50" s="543"/>
      <c r="KFQ50" s="543"/>
      <c r="KFR50" s="543"/>
      <c r="KFS50" s="543"/>
      <c r="KFT50" s="543"/>
      <c r="KFU50" s="543"/>
      <c r="KFV50" s="543"/>
      <c r="KFW50" s="543"/>
      <c r="KFX50" s="543"/>
      <c r="KFY50" s="543"/>
      <c r="KFZ50" s="543"/>
      <c r="KGA50" s="543"/>
      <c r="KGB50" s="543"/>
      <c r="KGC50" s="543"/>
      <c r="KGD50" s="543"/>
      <c r="KGE50" s="543"/>
      <c r="KGF50" s="543"/>
      <c r="KGG50" s="543"/>
      <c r="KGH50" s="543"/>
      <c r="KGI50" s="543"/>
      <c r="KGJ50" s="543"/>
      <c r="KGK50" s="543"/>
      <c r="KGL50" s="543"/>
      <c r="KGM50" s="543"/>
      <c r="KGN50" s="543"/>
      <c r="KGO50" s="543"/>
      <c r="KGP50" s="543"/>
      <c r="KGQ50" s="543"/>
      <c r="KGR50" s="543"/>
      <c r="KGS50" s="543"/>
      <c r="KGT50" s="543"/>
      <c r="KGU50" s="543"/>
      <c r="KGV50" s="543"/>
      <c r="KGW50" s="543"/>
      <c r="KGX50" s="543"/>
      <c r="KGY50" s="543"/>
      <c r="KGZ50" s="543"/>
      <c r="KHA50" s="543"/>
      <c r="KHB50" s="543"/>
      <c r="KHC50" s="543"/>
      <c r="KHD50" s="543"/>
      <c r="KHE50" s="543"/>
      <c r="KHF50" s="543"/>
      <c r="KHG50" s="543"/>
      <c r="KHH50" s="543"/>
      <c r="KHI50" s="543"/>
      <c r="KHJ50" s="543"/>
      <c r="KHK50" s="543"/>
      <c r="KHL50" s="543"/>
      <c r="KHM50" s="543"/>
      <c r="KHN50" s="543"/>
      <c r="KHO50" s="543"/>
      <c r="KHP50" s="543"/>
      <c r="KHQ50" s="543"/>
      <c r="KHR50" s="543"/>
      <c r="KHS50" s="543"/>
      <c r="KHT50" s="543"/>
      <c r="KHU50" s="543"/>
      <c r="KHV50" s="543"/>
      <c r="KHW50" s="543"/>
      <c r="KHX50" s="543"/>
      <c r="KHY50" s="543"/>
      <c r="KHZ50" s="543"/>
      <c r="KIA50" s="543"/>
      <c r="KIB50" s="543"/>
      <c r="KIC50" s="543"/>
      <c r="KID50" s="543"/>
      <c r="KIE50" s="543"/>
      <c r="KIF50" s="543"/>
      <c r="KIG50" s="543"/>
      <c r="KIH50" s="543"/>
      <c r="KII50" s="543"/>
      <c r="KIJ50" s="543"/>
      <c r="KIK50" s="543"/>
      <c r="KIL50" s="543"/>
      <c r="KIM50" s="543"/>
      <c r="KIN50" s="543"/>
      <c r="KIO50" s="543"/>
      <c r="KIP50" s="543"/>
      <c r="KIQ50" s="543"/>
      <c r="KIR50" s="543"/>
      <c r="KIS50" s="543"/>
      <c r="KIT50" s="543"/>
      <c r="KIU50" s="543"/>
      <c r="KIV50" s="543"/>
      <c r="KIW50" s="543"/>
      <c r="KIX50" s="543"/>
      <c r="KIY50" s="543"/>
      <c r="KIZ50" s="543"/>
      <c r="KJA50" s="543"/>
      <c r="KJB50" s="543"/>
      <c r="KJC50" s="543"/>
      <c r="KJD50" s="543"/>
      <c r="KJE50" s="543"/>
      <c r="KJF50" s="543"/>
      <c r="KJG50" s="543"/>
      <c r="KJH50" s="543"/>
      <c r="KJI50" s="543"/>
      <c r="KJJ50" s="543"/>
      <c r="KJK50" s="543"/>
      <c r="KJL50" s="543"/>
      <c r="KJM50" s="543"/>
      <c r="KJN50" s="543"/>
      <c r="KJO50" s="543"/>
      <c r="KJP50" s="543"/>
      <c r="KJQ50" s="543"/>
      <c r="KJR50" s="543"/>
      <c r="KJS50" s="543"/>
      <c r="KJT50" s="543"/>
      <c r="KJU50" s="543"/>
      <c r="KJV50" s="543"/>
      <c r="KJW50" s="543"/>
      <c r="KJX50" s="543"/>
      <c r="KJY50" s="543"/>
      <c r="KJZ50" s="543"/>
      <c r="KKA50" s="543"/>
      <c r="KKB50" s="543"/>
      <c r="KKC50" s="543"/>
      <c r="KKD50" s="543"/>
      <c r="KKE50" s="543"/>
      <c r="KKF50" s="543"/>
      <c r="KKG50" s="543"/>
      <c r="KKH50" s="543"/>
      <c r="KKI50" s="543"/>
      <c r="KKJ50" s="543"/>
      <c r="KKK50" s="543"/>
      <c r="KKL50" s="543"/>
      <c r="KKM50" s="543"/>
      <c r="KKN50" s="543"/>
      <c r="KKO50" s="543"/>
      <c r="KKP50" s="543"/>
      <c r="KKQ50" s="543"/>
      <c r="KKR50" s="543"/>
      <c r="KKS50" s="543"/>
      <c r="KKT50" s="543"/>
      <c r="KKU50" s="543"/>
      <c r="KKV50" s="543"/>
      <c r="KKW50" s="543"/>
      <c r="KKX50" s="543"/>
      <c r="KKY50" s="543"/>
      <c r="KKZ50" s="543"/>
      <c r="KLA50" s="543"/>
      <c r="KLB50" s="543"/>
      <c r="KLC50" s="543"/>
      <c r="KLD50" s="543"/>
      <c r="KLE50" s="543"/>
      <c r="KLF50" s="543"/>
      <c r="KLG50" s="543"/>
      <c r="KLH50" s="543"/>
      <c r="KLI50" s="543"/>
      <c r="KLJ50" s="543"/>
      <c r="KLK50" s="543"/>
      <c r="KLL50" s="543"/>
      <c r="KLM50" s="543"/>
      <c r="KLN50" s="543"/>
      <c r="KLO50" s="543"/>
      <c r="KLP50" s="543"/>
      <c r="KLQ50" s="543"/>
      <c r="KLR50" s="543"/>
      <c r="KLS50" s="543"/>
      <c r="KLT50" s="543"/>
      <c r="KLU50" s="543"/>
      <c r="KLV50" s="543"/>
      <c r="KLW50" s="543"/>
      <c r="KLX50" s="543"/>
      <c r="KLY50" s="543"/>
      <c r="KLZ50" s="543"/>
      <c r="KMA50" s="543"/>
      <c r="KMB50" s="543"/>
      <c r="KMC50" s="543"/>
      <c r="KMD50" s="543"/>
      <c r="KME50" s="543"/>
      <c r="KMF50" s="543"/>
      <c r="KMG50" s="543"/>
      <c r="KMH50" s="543"/>
      <c r="KMI50" s="543"/>
      <c r="KMJ50" s="543"/>
      <c r="KMK50" s="543"/>
      <c r="KML50" s="543"/>
      <c r="KMM50" s="543"/>
      <c r="KMN50" s="543"/>
      <c r="KMO50" s="543"/>
      <c r="KMP50" s="543"/>
      <c r="KMQ50" s="543"/>
      <c r="KMR50" s="543"/>
      <c r="KMS50" s="543"/>
      <c r="KMT50" s="543"/>
      <c r="KMU50" s="543"/>
      <c r="KMV50" s="543"/>
      <c r="KMW50" s="543"/>
      <c r="KMX50" s="543"/>
      <c r="KMY50" s="543"/>
      <c r="KMZ50" s="543"/>
      <c r="KNA50" s="543"/>
      <c r="KNB50" s="543"/>
      <c r="KNC50" s="543"/>
      <c r="KND50" s="543"/>
      <c r="KNE50" s="543"/>
      <c r="KNF50" s="543"/>
      <c r="KNG50" s="543"/>
      <c r="KNH50" s="543"/>
      <c r="KNI50" s="543"/>
      <c r="KNJ50" s="543"/>
      <c r="KNK50" s="543"/>
      <c r="KNL50" s="543"/>
      <c r="KNM50" s="543"/>
      <c r="KNN50" s="543"/>
      <c r="KNO50" s="543"/>
      <c r="KNP50" s="543"/>
      <c r="KNQ50" s="543"/>
      <c r="KNR50" s="543"/>
      <c r="KNS50" s="543"/>
      <c r="KNT50" s="543"/>
      <c r="KNU50" s="543"/>
      <c r="KNV50" s="543"/>
      <c r="KNW50" s="543"/>
      <c r="KNX50" s="543"/>
      <c r="KNY50" s="543"/>
      <c r="KNZ50" s="543"/>
      <c r="KOA50" s="543"/>
      <c r="KOB50" s="543"/>
      <c r="KOC50" s="543"/>
      <c r="KOD50" s="543"/>
      <c r="KOE50" s="543"/>
      <c r="KOF50" s="543"/>
      <c r="KOG50" s="543"/>
      <c r="KOH50" s="543"/>
      <c r="KOI50" s="543"/>
      <c r="KOJ50" s="543"/>
      <c r="KOK50" s="543"/>
      <c r="KOL50" s="543"/>
      <c r="KOM50" s="543"/>
      <c r="KON50" s="543"/>
      <c r="KOO50" s="543"/>
      <c r="KOP50" s="543"/>
      <c r="KOQ50" s="543"/>
      <c r="KOR50" s="543"/>
      <c r="KOS50" s="543"/>
      <c r="KOT50" s="543"/>
      <c r="KOU50" s="543"/>
      <c r="KOV50" s="543"/>
      <c r="KOW50" s="543"/>
      <c r="KOX50" s="543"/>
      <c r="KOY50" s="543"/>
      <c r="KOZ50" s="543"/>
      <c r="KPA50" s="543"/>
      <c r="KPB50" s="543"/>
      <c r="KPC50" s="543"/>
      <c r="KPD50" s="543"/>
      <c r="KPE50" s="543"/>
      <c r="KPF50" s="543"/>
      <c r="KPG50" s="543"/>
      <c r="KPH50" s="543"/>
      <c r="KPI50" s="543"/>
      <c r="KPJ50" s="543"/>
      <c r="KPK50" s="543"/>
      <c r="KPL50" s="543"/>
      <c r="KPM50" s="543"/>
      <c r="KPN50" s="543"/>
      <c r="KPO50" s="543"/>
      <c r="KPP50" s="543"/>
      <c r="KPQ50" s="543"/>
      <c r="KPR50" s="543"/>
      <c r="KPS50" s="543"/>
      <c r="KPT50" s="543"/>
      <c r="KPU50" s="543"/>
      <c r="KPV50" s="543"/>
      <c r="KPW50" s="543"/>
      <c r="KPX50" s="543"/>
      <c r="KPY50" s="543"/>
      <c r="KPZ50" s="543"/>
      <c r="KQA50" s="543"/>
      <c r="KQB50" s="543"/>
      <c r="KQC50" s="543"/>
      <c r="KQD50" s="543"/>
      <c r="KQE50" s="543"/>
      <c r="KQF50" s="543"/>
      <c r="KQG50" s="543"/>
      <c r="KQH50" s="543"/>
      <c r="KQI50" s="543"/>
      <c r="KQJ50" s="543"/>
      <c r="KQK50" s="543"/>
      <c r="KQL50" s="543"/>
      <c r="KQM50" s="543"/>
      <c r="KQN50" s="543"/>
      <c r="KQO50" s="543"/>
      <c r="KQP50" s="543"/>
      <c r="KQQ50" s="543"/>
      <c r="KQR50" s="543"/>
      <c r="KQS50" s="543"/>
      <c r="KQT50" s="543"/>
      <c r="KQU50" s="543"/>
      <c r="KQV50" s="543"/>
      <c r="KQW50" s="543"/>
      <c r="KQX50" s="543"/>
      <c r="KQY50" s="543"/>
      <c r="KQZ50" s="543"/>
      <c r="KRA50" s="543"/>
      <c r="KRB50" s="543"/>
      <c r="KRC50" s="543"/>
      <c r="KRD50" s="543"/>
      <c r="KRE50" s="543"/>
      <c r="KRF50" s="543"/>
      <c r="KRG50" s="543"/>
      <c r="KRH50" s="543"/>
      <c r="KRI50" s="543"/>
      <c r="KRJ50" s="543"/>
      <c r="KRK50" s="543"/>
      <c r="KRL50" s="543"/>
      <c r="KRM50" s="543"/>
      <c r="KRN50" s="543"/>
      <c r="KRO50" s="543"/>
      <c r="KRP50" s="543"/>
      <c r="KRQ50" s="543"/>
      <c r="KRR50" s="543"/>
      <c r="KRS50" s="543"/>
      <c r="KRT50" s="543"/>
      <c r="KRU50" s="543"/>
      <c r="KRV50" s="543"/>
      <c r="KRW50" s="543"/>
      <c r="KRX50" s="543"/>
      <c r="KRY50" s="543"/>
      <c r="KRZ50" s="543"/>
      <c r="KSA50" s="543"/>
      <c r="KSB50" s="543"/>
      <c r="KSC50" s="543"/>
      <c r="KSD50" s="543"/>
      <c r="KSE50" s="543"/>
      <c r="KSF50" s="543"/>
      <c r="KSG50" s="543"/>
      <c r="KSH50" s="543"/>
      <c r="KSI50" s="543"/>
      <c r="KSJ50" s="543"/>
      <c r="KSK50" s="543"/>
      <c r="KSL50" s="543"/>
      <c r="KSM50" s="543"/>
      <c r="KSN50" s="543"/>
      <c r="KSO50" s="543"/>
      <c r="KSP50" s="543"/>
      <c r="KSQ50" s="543"/>
      <c r="KSR50" s="543"/>
      <c r="KSS50" s="543"/>
      <c r="KST50" s="543"/>
      <c r="KSU50" s="543"/>
      <c r="KSV50" s="543"/>
      <c r="KSW50" s="543"/>
      <c r="KSX50" s="543"/>
      <c r="KSY50" s="543"/>
      <c r="KSZ50" s="543"/>
      <c r="KTA50" s="543"/>
      <c r="KTB50" s="543"/>
      <c r="KTC50" s="543"/>
      <c r="KTD50" s="543"/>
      <c r="KTE50" s="543"/>
      <c r="KTF50" s="543"/>
      <c r="KTG50" s="543"/>
      <c r="KTH50" s="543"/>
      <c r="KTI50" s="543"/>
      <c r="KTJ50" s="543"/>
      <c r="KTK50" s="543"/>
      <c r="KTL50" s="543"/>
      <c r="KTM50" s="543"/>
      <c r="KTN50" s="543"/>
      <c r="KTO50" s="543"/>
      <c r="KTP50" s="543"/>
      <c r="KTQ50" s="543"/>
      <c r="KTR50" s="543"/>
      <c r="KTS50" s="543"/>
      <c r="KTT50" s="543"/>
      <c r="KTU50" s="543"/>
      <c r="KTV50" s="543"/>
      <c r="KTW50" s="543"/>
      <c r="KTX50" s="543"/>
      <c r="KTY50" s="543"/>
      <c r="KTZ50" s="543"/>
      <c r="KUA50" s="543"/>
      <c r="KUB50" s="543"/>
      <c r="KUC50" s="543"/>
      <c r="KUD50" s="543"/>
      <c r="KUE50" s="543"/>
      <c r="KUF50" s="543"/>
      <c r="KUG50" s="543"/>
      <c r="KUH50" s="543"/>
      <c r="KUI50" s="543"/>
      <c r="KUJ50" s="543"/>
      <c r="KUK50" s="543"/>
      <c r="KUL50" s="543"/>
      <c r="KUM50" s="543"/>
      <c r="KUN50" s="543"/>
      <c r="KUO50" s="543"/>
      <c r="KUP50" s="543"/>
      <c r="KUQ50" s="543"/>
      <c r="KUR50" s="543"/>
      <c r="KUS50" s="543"/>
      <c r="KUT50" s="543"/>
      <c r="KUU50" s="543"/>
      <c r="KUV50" s="543"/>
      <c r="KUW50" s="543"/>
      <c r="KUX50" s="543"/>
      <c r="KUY50" s="543"/>
      <c r="KUZ50" s="543"/>
      <c r="KVA50" s="543"/>
      <c r="KVB50" s="543"/>
      <c r="KVC50" s="543"/>
      <c r="KVD50" s="543"/>
      <c r="KVE50" s="543"/>
      <c r="KVF50" s="543"/>
      <c r="KVG50" s="543"/>
      <c r="KVH50" s="543"/>
      <c r="KVI50" s="543"/>
      <c r="KVJ50" s="543"/>
      <c r="KVK50" s="543"/>
      <c r="KVL50" s="543"/>
      <c r="KVM50" s="543"/>
      <c r="KVN50" s="543"/>
      <c r="KVO50" s="543"/>
      <c r="KVP50" s="543"/>
      <c r="KVQ50" s="543"/>
      <c r="KVR50" s="543"/>
      <c r="KVS50" s="543"/>
      <c r="KVT50" s="543"/>
      <c r="KVU50" s="543"/>
      <c r="KVV50" s="543"/>
      <c r="KVW50" s="543"/>
      <c r="KVX50" s="543"/>
      <c r="KVY50" s="543"/>
      <c r="KVZ50" s="543"/>
      <c r="KWA50" s="543"/>
      <c r="KWB50" s="543"/>
      <c r="KWC50" s="543"/>
      <c r="KWD50" s="543"/>
      <c r="KWE50" s="543"/>
      <c r="KWF50" s="543"/>
      <c r="KWG50" s="543"/>
      <c r="KWH50" s="543"/>
      <c r="KWI50" s="543"/>
      <c r="KWJ50" s="543"/>
      <c r="KWK50" s="543"/>
      <c r="KWL50" s="543"/>
      <c r="KWM50" s="543"/>
      <c r="KWN50" s="543"/>
      <c r="KWO50" s="543"/>
      <c r="KWP50" s="543"/>
      <c r="KWQ50" s="543"/>
      <c r="KWR50" s="543"/>
      <c r="KWS50" s="543"/>
      <c r="KWT50" s="543"/>
      <c r="KWU50" s="543"/>
      <c r="KWV50" s="543"/>
      <c r="KWW50" s="543"/>
      <c r="KWX50" s="543"/>
      <c r="KWY50" s="543"/>
      <c r="KWZ50" s="543"/>
      <c r="KXA50" s="543"/>
      <c r="KXB50" s="543"/>
      <c r="KXC50" s="543"/>
      <c r="KXD50" s="543"/>
      <c r="KXE50" s="543"/>
      <c r="KXF50" s="543"/>
      <c r="KXG50" s="543"/>
      <c r="KXH50" s="543"/>
      <c r="KXI50" s="543"/>
      <c r="KXJ50" s="543"/>
      <c r="KXK50" s="543"/>
      <c r="KXL50" s="543"/>
      <c r="KXM50" s="543"/>
      <c r="KXN50" s="543"/>
      <c r="KXO50" s="543"/>
      <c r="KXP50" s="543"/>
      <c r="KXQ50" s="543"/>
      <c r="KXR50" s="543"/>
      <c r="KXS50" s="543"/>
      <c r="KXT50" s="543"/>
      <c r="KXU50" s="543"/>
      <c r="KXV50" s="543"/>
      <c r="KXW50" s="543"/>
      <c r="KXX50" s="543"/>
      <c r="KXY50" s="543"/>
      <c r="KXZ50" s="543"/>
      <c r="KYA50" s="543"/>
      <c r="KYB50" s="543"/>
      <c r="KYC50" s="543"/>
      <c r="KYD50" s="543"/>
      <c r="KYE50" s="543"/>
      <c r="KYF50" s="543"/>
      <c r="KYG50" s="543"/>
      <c r="KYH50" s="543"/>
      <c r="KYI50" s="543"/>
      <c r="KYJ50" s="543"/>
      <c r="KYK50" s="543"/>
      <c r="KYL50" s="543"/>
      <c r="KYM50" s="543"/>
      <c r="KYN50" s="543"/>
      <c r="KYO50" s="543"/>
      <c r="KYP50" s="543"/>
      <c r="KYQ50" s="543"/>
      <c r="KYR50" s="543"/>
      <c r="KYS50" s="543"/>
      <c r="KYT50" s="543"/>
      <c r="KYU50" s="543"/>
      <c r="KYV50" s="543"/>
      <c r="KYW50" s="543"/>
      <c r="KYX50" s="543"/>
      <c r="KYY50" s="543"/>
      <c r="KYZ50" s="543"/>
      <c r="KZA50" s="543"/>
      <c r="KZB50" s="543"/>
      <c r="KZC50" s="543"/>
      <c r="KZD50" s="543"/>
      <c r="KZE50" s="543"/>
      <c r="KZF50" s="543"/>
      <c r="KZG50" s="543"/>
      <c r="KZH50" s="543"/>
      <c r="KZI50" s="543"/>
      <c r="KZJ50" s="543"/>
      <c r="KZK50" s="543"/>
      <c r="KZL50" s="543"/>
      <c r="KZM50" s="543"/>
      <c r="KZN50" s="543"/>
      <c r="KZO50" s="543"/>
      <c r="KZP50" s="543"/>
      <c r="KZQ50" s="543"/>
      <c r="KZR50" s="543"/>
      <c r="KZS50" s="543"/>
      <c r="KZT50" s="543"/>
      <c r="KZU50" s="543"/>
      <c r="KZV50" s="543"/>
      <c r="KZW50" s="543"/>
      <c r="KZX50" s="543"/>
      <c r="KZY50" s="543"/>
      <c r="KZZ50" s="543"/>
      <c r="LAA50" s="543"/>
      <c r="LAB50" s="543"/>
      <c r="LAC50" s="543"/>
      <c r="LAD50" s="543"/>
      <c r="LAE50" s="543"/>
      <c r="LAF50" s="543"/>
      <c r="LAG50" s="543"/>
      <c r="LAH50" s="543"/>
      <c r="LAI50" s="543"/>
      <c r="LAJ50" s="543"/>
      <c r="LAK50" s="543"/>
      <c r="LAL50" s="543"/>
      <c r="LAM50" s="543"/>
      <c r="LAN50" s="543"/>
      <c r="LAO50" s="543"/>
      <c r="LAP50" s="543"/>
      <c r="LAQ50" s="543"/>
      <c r="LAR50" s="543"/>
      <c r="LAS50" s="543"/>
      <c r="LAT50" s="543"/>
      <c r="LAU50" s="543"/>
      <c r="LAV50" s="543"/>
      <c r="LAW50" s="543"/>
      <c r="LAX50" s="543"/>
      <c r="LAY50" s="543"/>
      <c r="LAZ50" s="543"/>
      <c r="LBA50" s="543"/>
      <c r="LBB50" s="543"/>
      <c r="LBC50" s="543"/>
      <c r="LBD50" s="543"/>
      <c r="LBE50" s="543"/>
      <c r="LBF50" s="543"/>
      <c r="LBG50" s="543"/>
      <c r="LBH50" s="543"/>
      <c r="LBI50" s="543"/>
      <c r="LBJ50" s="543"/>
      <c r="LBK50" s="543"/>
      <c r="LBL50" s="543"/>
      <c r="LBM50" s="543"/>
      <c r="LBN50" s="543"/>
      <c r="LBO50" s="543"/>
      <c r="LBP50" s="543"/>
      <c r="LBQ50" s="543"/>
      <c r="LBR50" s="543"/>
      <c r="LBS50" s="543"/>
      <c r="LBT50" s="543"/>
      <c r="LBU50" s="543"/>
      <c r="LBV50" s="543"/>
      <c r="LBW50" s="543"/>
      <c r="LBX50" s="543"/>
      <c r="LBY50" s="543"/>
      <c r="LBZ50" s="543"/>
      <c r="LCA50" s="543"/>
      <c r="LCB50" s="543"/>
      <c r="LCC50" s="543"/>
      <c r="LCD50" s="543"/>
      <c r="LCE50" s="543"/>
      <c r="LCF50" s="543"/>
      <c r="LCG50" s="543"/>
      <c r="LCH50" s="543"/>
      <c r="LCI50" s="543"/>
      <c r="LCJ50" s="543"/>
      <c r="LCK50" s="543"/>
      <c r="LCL50" s="543"/>
      <c r="LCM50" s="543"/>
      <c r="LCN50" s="543"/>
      <c r="LCO50" s="543"/>
      <c r="LCP50" s="543"/>
      <c r="LCQ50" s="543"/>
      <c r="LCR50" s="543"/>
      <c r="LCS50" s="543"/>
      <c r="LCT50" s="543"/>
      <c r="LCU50" s="543"/>
      <c r="LCV50" s="543"/>
      <c r="LCW50" s="543"/>
      <c r="LCX50" s="543"/>
      <c r="LCY50" s="543"/>
      <c r="LCZ50" s="543"/>
      <c r="LDA50" s="543"/>
      <c r="LDB50" s="543"/>
      <c r="LDC50" s="543"/>
      <c r="LDD50" s="543"/>
      <c r="LDE50" s="543"/>
      <c r="LDF50" s="543"/>
      <c r="LDG50" s="543"/>
      <c r="LDH50" s="543"/>
      <c r="LDI50" s="543"/>
      <c r="LDJ50" s="543"/>
      <c r="LDK50" s="543"/>
      <c r="LDL50" s="543"/>
      <c r="LDM50" s="543"/>
      <c r="LDN50" s="543"/>
      <c r="LDO50" s="543"/>
      <c r="LDP50" s="543"/>
      <c r="LDQ50" s="543"/>
      <c r="LDR50" s="543"/>
      <c r="LDS50" s="543"/>
      <c r="LDT50" s="543"/>
      <c r="LDU50" s="543"/>
      <c r="LDV50" s="543"/>
      <c r="LDW50" s="543"/>
      <c r="LDX50" s="543"/>
      <c r="LDY50" s="543"/>
      <c r="LDZ50" s="543"/>
      <c r="LEA50" s="543"/>
      <c r="LEB50" s="543"/>
      <c r="LEC50" s="543"/>
      <c r="LED50" s="543"/>
      <c r="LEE50" s="543"/>
      <c r="LEF50" s="543"/>
      <c r="LEG50" s="543"/>
      <c r="LEH50" s="543"/>
      <c r="LEI50" s="543"/>
      <c r="LEJ50" s="543"/>
      <c r="LEK50" s="543"/>
      <c r="LEL50" s="543"/>
      <c r="LEM50" s="543"/>
      <c r="LEN50" s="543"/>
      <c r="LEO50" s="543"/>
      <c r="LEP50" s="543"/>
      <c r="LEQ50" s="543"/>
      <c r="LER50" s="543"/>
      <c r="LES50" s="543"/>
      <c r="LET50" s="543"/>
      <c r="LEU50" s="543"/>
      <c r="LEV50" s="543"/>
      <c r="LEW50" s="543"/>
      <c r="LEX50" s="543"/>
      <c r="LEY50" s="543"/>
      <c r="LEZ50" s="543"/>
      <c r="LFA50" s="543"/>
      <c r="LFB50" s="543"/>
      <c r="LFC50" s="543"/>
      <c r="LFD50" s="543"/>
      <c r="LFE50" s="543"/>
      <c r="LFF50" s="543"/>
      <c r="LFG50" s="543"/>
      <c r="LFH50" s="543"/>
      <c r="LFI50" s="543"/>
      <c r="LFJ50" s="543"/>
      <c r="LFK50" s="543"/>
      <c r="LFL50" s="543"/>
      <c r="LFM50" s="543"/>
      <c r="LFN50" s="543"/>
      <c r="LFO50" s="543"/>
      <c r="LFP50" s="543"/>
      <c r="LFQ50" s="543"/>
      <c r="LFR50" s="543"/>
      <c r="LFS50" s="543"/>
      <c r="LFT50" s="543"/>
      <c r="LFU50" s="543"/>
      <c r="LFV50" s="543"/>
      <c r="LFW50" s="543"/>
      <c r="LFX50" s="543"/>
      <c r="LFY50" s="543"/>
      <c r="LFZ50" s="543"/>
      <c r="LGA50" s="543"/>
      <c r="LGB50" s="543"/>
      <c r="LGC50" s="543"/>
      <c r="LGD50" s="543"/>
      <c r="LGE50" s="543"/>
      <c r="LGF50" s="543"/>
      <c r="LGG50" s="543"/>
      <c r="LGH50" s="543"/>
      <c r="LGI50" s="543"/>
      <c r="LGJ50" s="543"/>
      <c r="LGK50" s="543"/>
      <c r="LGL50" s="543"/>
      <c r="LGM50" s="543"/>
      <c r="LGN50" s="543"/>
      <c r="LGO50" s="543"/>
      <c r="LGP50" s="543"/>
      <c r="LGQ50" s="543"/>
      <c r="LGR50" s="543"/>
      <c r="LGS50" s="543"/>
      <c r="LGT50" s="543"/>
      <c r="LGU50" s="543"/>
      <c r="LGV50" s="543"/>
      <c r="LGW50" s="543"/>
      <c r="LGX50" s="543"/>
      <c r="LGY50" s="543"/>
      <c r="LGZ50" s="543"/>
      <c r="LHA50" s="543"/>
      <c r="LHB50" s="543"/>
      <c r="LHC50" s="543"/>
      <c r="LHD50" s="543"/>
      <c r="LHE50" s="543"/>
      <c r="LHF50" s="543"/>
      <c r="LHG50" s="543"/>
      <c r="LHH50" s="543"/>
      <c r="LHI50" s="543"/>
      <c r="LHJ50" s="543"/>
      <c r="LHK50" s="543"/>
      <c r="LHL50" s="543"/>
      <c r="LHM50" s="543"/>
      <c r="LHN50" s="543"/>
      <c r="LHO50" s="543"/>
      <c r="LHP50" s="543"/>
      <c r="LHQ50" s="543"/>
      <c r="LHR50" s="543"/>
      <c r="LHS50" s="543"/>
      <c r="LHT50" s="543"/>
      <c r="LHU50" s="543"/>
      <c r="LHV50" s="543"/>
      <c r="LHW50" s="543"/>
      <c r="LHX50" s="543"/>
      <c r="LHY50" s="543"/>
      <c r="LHZ50" s="543"/>
      <c r="LIA50" s="543"/>
      <c r="LIB50" s="543"/>
      <c r="LIC50" s="543"/>
      <c r="LID50" s="543"/>
      <c r="LIE50" s="543"/>
      <c r="LIF50" s="543"/>
      <c r="LIG50" s="543"/>
      <c r="LIH50" s="543"/>
      <c r="LII50" s="543"/>
      <c r="LIJ50" s="543"/>
      <c r="LIK50" s="543"/>
      <c r="LIL50" s="543"/>
      <c r="LIM50" s="543"/>
      <c r="LIN50" s="543"/>
      <c r="LIO50" s="543"/>
      <c r="LIP50" s="543"/>
      <c r="LIQ50" s="543"/>
      <c r="LIR50" s="543"/>
      <c r="LIS50" s="543"/>
      <c r="LIT50" s="543"/>
      <c r="LIU50" s="543"/>
      <c r="LIV50" s="543"/>
      <c r="LIW50" s="543"/>
      <c r="LIX50" s="543"/>
      <c r="LIY50" s="543"/>
      <c r="LIZ50" s="543"/>
      <c r="LJA50" s="543"/>
      <c r="LJB50" s="543"/>
      <c r="LJC50" s="543"/>
      <c r="LJD50" s="543"/>
      <c r="LJE50" s="543"/>
      <c r="LJF50" s="543"/>
      <c r="LJG50" s="543"/>
      <c r="LJH50" s="543"/>
      <c r="LJI50" s="543"/>
      <c r="LJJ50" s="543"/>
      <c r="LJK50" s="543"/>
      <c r="LJL50" s="543"/>
      <c r="LJM50" s="543"/>
      <c r="LJN50" s="543"/>
      <c r="LJO50" s="543"/>
      <c r="LJP50" s="543"/>
      <c r="LJQ50" s="543"/>
      <c r="LJR50" s="543"/>
      <c r="LJS50" s="543"/>
      <c r="LJT50" s="543"/>
      <c r="LJU50" s="543"/>
      <c r="LJV50" s="543"/>
      <c r="LJW50" s="543"/>
      <c r="LJX50" s="543"/>
      <c r="LJY50" s="543"/>
      <c r="LJZ50" s="543"/>
      <c r="LKA50" s="543"/>
      <c r="LKB50" s="543"/>
      <c r="LKC50" s="543"/>
      <c r="LKD50" s="543"/>
      <c r="LKE50" s="543"/>
      <c r="LKF50" s="543"/>
      <c r="LKG50" s="543"/>
      <c r="LKH50" s="543"/>
      <c r="LKI50" s="543"/>
      <c r="LKJ50" s="543"/>
      <c r="LKK50" s="543"/>
      <c r="LKL50" s="543"/>
      <c r="LKM50" s="543"/>
      <c r="LKN50" s="543"/>
      <c r="LKO50" s="543"/>
      <c r="LKP50" s="543"/>
      <c r="LKQ50" s="543"/>
      <c r="LKR50" s="543"/>
      <c r="LKS50" s="543"/>
      <c r="LKT50" s="543"/>
      <c r="LKU50" s="543"/>
      <c r="LKV50" s="543"/>
      <c r="LKW50" s="543"/>
      <c r="LKX50" s="543"/>
      <c r="LKY50" s="543"/>
      <c r="LKZ50" s="543"/>
      <c r="LLA50" s="543"/>
      <c r="LLB50" s="543"/>
      <c r="LLC50" s="543"/>
      <c r="LLD50" s="543"/>
      <c r="LLE50" s="543"/>
      <c r="LLF50" s="543"/>
      <c r="LLG50" s="543"/>
      <c r="LLH50" s="543"/>
      <c r="LLI50" s="543"/>
      <c r="LLJ50" s="543"/>
      <c r="LLK50" s="543"/>
      <c r="LLL50" s="543"/>
      <c r="LLM50" s="543"/>
      <c r="LLN50" s="543"/>
      <c r="LLO50" s="543"/>
      <c r="LLP50" s="543"/>
      <c r="LLQ50" s="543"/>
      <c r="LLR50" s="543"/>
      <c r="LLS50" s="543"/>
      <c r="LLT50" s="543"/>
      <c r="LLU50" s="543"/>
      <c r="LLV50" s="543"/>
      <c r="LLW50" s="543"/>
      <c r="LLX50" s="543"/>
      <c r="LLY50" s="543"/>
      <c r="LLZ50" s="543"/>
      <c r="LMA50" s="543"/>
      <c r="LMB50" s="543"/>
      <c r="LMC50" s="543"/>
      <c r="LMD50" s="543"/>
      <c r="LME50" s="543"/>
      <c r="LMF50" s="543"/>
      <c r="LMG50" s="543"/>
      <c r="LMH50" s="543"/>
      <c r="LMI50" s="543"/>
      <c r="LMJ50" s="543"/>
      <c r="LMK50" s="543"/>
      <c r="LML50" s="543"/>
      <c r="LMM50" s="543"/>
      <c r="LMN50" s="543"/>
      <c r="LMO50" s="543"/>
      <c r="LMP50" s="543"/>
      <c r="LMQ50" s="543"/>
      <c r="LMR50" s="543"/>
      <c r="LMS50" s="543"/>
      <c r="LMT50" s="543"/>
      <c r="LMU50" s="543"/>
      <c r="LMV50" s="543"/>
      <c r="LMW50" s="543"/>
      <c r="LMX50" s="543"/>
      <c r="LMY50" s="543"/>
      <c r="LMZ50" s="543"/>
      <c r="LNA50" s="543"/>
      <c r="LNB50" s="543"/>
      <c r="LNC50" s="543"/>
      <c r="LND50" s="543"/>
      <c r="LNE50" s="543"/>
      <c r="LNF50" s="543"/>
      <c r="LNG50" s="543"/>
      <c r="LNH50" s="543"/>
      <c r="LNI50" s="543"/>
      <c r="LNJ50" s="543"/>
      <c r="LNK50" s="543"/>
      <c r="LNL50" s="543"/>
      <c r="LNM50" s="543"/>
      <c r="LNN50" s="543"/>
      <c r="LNO50" s="543"/>
      <c r="LNP50" s="543"/>
      <c r="LNQ50" s="543"/>
      <c r="LNR50" s="543"/>
      <c r="LNS50" s="543"/>
      <c r="LNT50" s="543"/>
      <c r="LNU50" s="543"/>
      <c r="LNV50" s="543"/>
      <c r="LNW50" s="543"/>
      <c r="LNX50" s="543"/>
      <c r="LNY50" s="543"/>
      <c r="LNZ50" s="543"/>
      <c r="LOA50" s="543"/>
      <c r="LOB50" s="543"/>
      <c r="LOC50" s="543"/>
      <c r="LOD50" s="543"/>
      <c r="LOE50" s="543"/>
      <c r="LOF50" s="543"/>
      <c r="LOG50" s="543"/>
      <c r="LOH50" s="543"/>
      <c r="LOI50" s="543"/>
      <c r="LOJ50" s="543"/>
      <c r="LOK50" s="543"/>
      <c r="LOL50" s="543"/>
      <c r="LOM50" s="543"/>
      <c r="LON50" s="543"/>
      <c r="LOO50" s="543"/>
      <c r="LOP50" s="543"/>
      <c r="LOQ50" s="543"/>
      <c r="LOR50" s="543"/>
      <c r="LOS50" s="543"/>
      <c r="LOT50" s="543"/>
      <c r="LOU50" s="543"/>
      <c r="LOV50" s="543"/>
      <c r="LOW50" s="543"/>
      <c r="LOX50" s="543"/>
      <c r="LOY50" s="543"/>
      <c r="LOZ50" s="543"/>
      <c r="LPA50" s="543"/>
      <c r="LPB50" s="543"/>
      <c r="LPC50" s="543"/>
      <c r="LPD50" s="543"/>
      <c r="LPE50" s="543"/>
      <c r="LPF50" s="543"/>
      <c r="LPG50" s="543"/>
      <c r="LPH50" s="543"/>
      <c r="LPI50" s="543"/>
      <c r="LPJ50" s="543"/>
      <c r="LPK50" s="543"/>
      <c r="LPL50" s="543"/>
      <c r="LPM50" s="543"/>
      <c r="LPN50" s="543"/>
      <c r="LPO50" s="543"/>
      <c r="LPP50" s="543"/>
      <c r="LPQ50" s="543"/>
      <c r="LPR50" s="543"/>
      <c r="LPS50" s="543"/>
      <c r="LPT50" s="543"/>
      <c r="LPU50" s="543"/>
      <c r="LPV50" s="543"/>
      <c r="LPW50" s="543"/>
      <c r="LPX50" s="543"/>
      <c r="LPY50" s="543"/>
      <c r="LPZ50" s="543"/>
      <c r="LQA50" s="543"/>
      <c r="LQB50" s="543"/>
      <c r="LQC50" s="543"/>
      <c r="LQD50" s="543"/>
      <c r="LQE50" s="543"/>
      <c r="LQF50" s="543"/>
      <c r="LQG50" s="543"/>
      <c r="LQH50" s="543"/>
      <c r="LQI50" s="543"/>
      <c r="LQJ50" s="543"/>
      <c r="LQK50" s="543"/>
      <c r="LQL50" s="543"/>
      <c r="LQM50" s="543"/>
      <c r="LQN50" s="543"/>
      <c r="LQO50" s="543"/>
      <c r="LQP50" s="543"/>
      <c r="LQQ50" s="543"/>
      <c r="LQR50" s="543"/>
      <c r="LQS50" s="543"/>
      <c r="LQT50" s="543"/>
      <c r="LQU50" s="543"/>
      <c r="LQV50" s="543"/>
      <c r="LQW50" s="543"/>
      <c r="LQX50" s="543"/>
      <c r="LQY50" s="543"/>
      <c r="LQZ50" s="543"/>
      <c r="LRA50" s="543"/>
      <c r="LRB50" s="543"/>
      <c r="LRC50" s="543"/>
      <c r="LRD50" s="543"/>
      <c r="LRE50" s="543"/>
      <c r="LRF50" s="543"/>
      <c r="LRG50" s="543"/>
      <c r="LRH50" s="543"/>
      <c r="LRI50" s="543"/>
      <c r="LRJ50" s="543"/>
      <c r="LRK50" s="543"/>
      <c r="LRL50" s="543"/>
      <c r="LRM50" s="543"/>
      <c r="LRN50" s="543"/>
      <c r="LRO50" s="543"/>
      <c r="LRP50" s="543"/>
      <c r="LRQ50" s="543"/>
      <c r="LRR50" s="543"/>
      <c r="LRS50" s="543"/>
      <c r="LRT50" s="543"/>
      <c r="LRU50" s="543"/>
      <c r="LRV50" s="543"/>
      <c r="LRW50" s="543"/>
      <c r="LRX50" s="543"/>
      <c r="LRY50" s="543"/>
      <c r="LRZ50" s="543"/>
      <c r="LSA50" s="543"/>
      <c r="LSB50" s="543"/>
      <c r="LSC50" s="543"/>
      <c r="LSD50" s="543"/>
      <c r="LSE50" s="543"/>
      <c r="LSF50" s="543"/>
      <c r="LSG50" s="543"/>
      <c r="LSH50" s="543"/>
      <c r="LSI50" s="543"/>
      <c r="LSJ50" s="543"/>
      <c r="LSK50" s="543"/>
      <c r="LSL50" s="543"/>
      <c r="LSM50" s="543"/>
      <c r="LSN50" s="543"/>
      <c r="LSO50" s="543"/>
      <c r="LSP50" s="543"/>
      <c r="LSQ50" s="543"/>
      <c r="LSR50" s="543"/>
      <c r="LSS50" s="543"/>
      <c r="LST50" s="543"/>
      <c r="LSU50" s="543"/>
      <c r="LSV50" s="543"/>
      <c r="LSW50" s="543"/>
      <c r="LSX50" s="543"/>
      <c r="LSY50" s="543"/>
      <c r="LSZ50" s="543"/>
      <c r="LTA50" s="543"/>
      <c r="LTB50" s="543"/>
      <c r="LTC50" s="543"/>
      <c r="LTD50" s="543"/>
      <c r="LTE50" s="543"/>
      <c r="LTF50" s="543"/>
      <c r="LTG50" s="543"/>
      <c r="LTH50" s="543"/>
      <c r="LTI50" s="543"/>
      <c r="LTJ50" s="543"/>
      <c r="LTK50" s="543"/>
      <c r="LTL50" s="543"/>
      <c r="LTM50" s="543"/>
      <c r="LTN50" s="543"/>
      <c r="LTO50" s="543"/>
      <c r="LTP50" s="543"/>
      <c r="LTQ50" s="543"/>
      <c r="LTR50" s="543"/>
      <c r="LTS50" s="543"/>
      <c r="LTT50" s="543"/>
      <c r="LTU50" s="543"/>
      <c r="LTV50" s="543"/>
      <c r="LTW50" s="543"/>
      <c r="LTX50" s="543"/>
      <c r="LTY50" s="543"/>
      <c r="LTZ50" s="543"/>
      <c r="LUA50" s="543"/>
      <c r="LUB50" s="543"/>
      <c r="LUC50" s="543"/>
      <c r="LUD50" s="543"/>
      <c r="LUE50" s="543"/>
      <c r="LUF50" s="543"/>
      <c r="LUG50" s="543"/>
      <c r="LUH50" s="543"/>
      <c r="LUI50" s="543"/>
      <c r="LUJ50" s="543"/>
      <c r="LUK50" s="543"/>
      <c r="LUL50" s="543"/>
      <c r="LUM50" s="543"/>
      <c r="LUN50" s="543"/>
      <c r="LUO50" s="543"/>
      <c r="LUP50" s="543"/>
      <c r="LUQ50" s="543"/>
      <c r="LUR50" s="543"/>
      <c r="LUS50" s="543"/>
      <c r="LUT50" s="543"/>
      <c r="LUU50" s="543"/>
      <c r="LUV50" s="543"/>
      <c r="LUW50" s="543"/>
      <c r="LUX50" s="543"/>
      <c r="LUY50" s="543"/>
      <c r="LUZ50" s="543"/>
      <c r="LVA50" s="543"/>
      <c r="LVB50" s="543"/>
      <c r="LVC50" s="543"/>
      <c r="LVD50" s="543"/>
      <c r="LVE50" s="543"/>
      <c r="LVF50" s="543"/>
      <c r="LVG50" s="543"/>
      <c r="LVH50" s="543"/>
      <c r="LVI50" s="543"/>
      <c r="LVJ50" s="543"/>
      <c r="LVK50" s="543"/>
      <c r="LVL50" s="543"/>
      <c r="LVM50" s="543"/>
      <c r="LVN50" s="543"/>
      <c r="LVO50" s="543"/>
      <c r="LVP50" s="543"/>
      <c r="LVQ50" s="543"/>
      <c r="LVR50" s="543"/>
      <c r="LVS50" s="543"/>
      <c r="LVT50" s="543"/>
      <c r="LVU50" s="543"/>
      <c r="LVV50" s="543"/>
      <c r="LVW50" s="543"/>
      <c r="LVX50" s="543"/>
      <c r="LVY50" s="543"/>
      <c r="LVZ50" s="543"/>
      <c r="LWA50" s="543"/>
      <c r="LWB50" s="543"/>
      <c r="LWC50" s="543"/>
      <c r="LWD50" s="543"/>
      <c r="LWE50" s="543"/>
      <c r="LWF50" s="543"/>
      <c r="LWG50" s="543"/>
      <c r="LWH50" s="543"/>
      <c r="LWI50" s="543"/>
      <c r="LWJ50" s="543"/>
      <c r="LWK50" s="543"/>
      <c r="LWL50" s="543"/>
      <c r="LWM50" s="543"/>
      <c r="LWN50" s="543"/>
      <c r="LWO50" s="543"/>
      <c r="LWP50" s="543"/>
      <c r="LWQ50" s="543"/>
      <c r="LWR50" s="543"/>
      <c r="LWS50" s="543"/>
      <c r="LWT50" s="543"/>
      <c r="LWU50" s="543"/>
      <c r="LWV50" s="543"/>
      <c r="LWW50" s="543"/>
      <c r="LWX50" s="543"/>
      <c r="LWY50" s="543"/>
      <c r="LWZ50" s="543"/>
      <c r="LXA50" s="543"/>
      <c r="LXB50" s="543"/>
      <c r="LXC50" s="543"/>
      <c r="LXD50" s="543"/>
      <c r="LXE50" s="543"/>
      <c r="LXF50" s="543"/>
      <c r="LXG50" s="543"/>
      <c r="LXH50" s="543"/>
      <c r="LXI50" s="543"/>
      <c r="LXJ50" s="543"/>
      <c r="LXK50" s="543"/>
      <c r="LXL50" s="543"/>
      <c r="LXM50" s="543"/>
      <c r="LXN50" s="543"/>
      <c r="LXO50" s="543"/>
      <c r="LXP50" s="543"/>
      <c r="LXQ50" s="543"/>
      <c r="LXR50" s="543"/>
      <c r="LXS50" s="543"/>
      <c r="LXT50" s="543"/>
      <c r="LXU50" s="543"/>
      <c r="LXV50" s="543"/>
      <c r="LXW50" s="543"/>
      <c r="LXX50" s="543"/>
      <c r="LXY50" s="543"/>
      <c r="LXZ50" s="543"/>
      <c r="LYA50" s="543"/>
      <c r="LYB50" s="543"/>
      <c r="LYC50" s="543"/>
      <c r="LYD50" s="543"/>
      <c r="LYE50" s="543"/>
      <c r="LYF50" s="543"/>
      <c r="LYG50" s="543"/>
      <c r="LYH50" s="543"/>
      <c r="LYI50" s="543"/>
      <c r="LYJ50" s="543"/>
      <c r="LYK50" s="543"/>
      <c r="LYL50" s="543"/>
      <c r="LYM50" s="543"/>
      <c r="LYN50" s="543"/>
      <c r="LYO50" s="543"/>
      <c r="LYP50" s="543"/>
      <c r="LYQ50" s="543"/>
      <c r="LYR50" s="543"/>
      <c r="LYS50" s="543"/>
      <c r="LYT50" s="543"/>
      <c r="LYU50" s="543"/>
      <c r="LYV50" s="543"/>
      <c r="LYW50" s="543"/>
      <c r="LYX50" s="543"/>
      <c r="LYY50" s="543"/>
      <c r="LYZ50" s="543"/>
      <c r="LZA50" s="543"/>
      <c r="LZB50" s="543"/>
      <c r="LZC50" s="543"/>
      <c r="LZD50" s="543"/>
      <c r="LZE50" s="543"/>
      <c r="LZF50" s="543"/>
      <c r="LZG50" s="543"/>
      <c r="LZH50" s="543"/>
      <c r="LZI50" s="543"/>
      <c r="LZJ50" s="543"/>
      <c r="LZK50" s="543"/>
      <c r="LZL50" s="543"/>
      <c r="LZM50" s="543"/>
      <c r="LZN50" s="543"/>
      <c r="LZO50" s="543"/>
      <c r="LZP50" s="543"/>
      <c r="LZQ50" s="543"/>
      <c r="LZR50" s="543"/>
      <c r="LZS50" s="543"/>
      <c r="LZT50" s="543"/>
      <c r="LZU50" s="543"/>
      <c r="LZV50" s="543"/>
      <c r="LZW50" s="543"/>
      <c r="LZX50" s="543"/>
      <c r="LZY50" s="543"/>
      <c r="LZZ50" s="543"/>
      <c r="MAA50" s="543"/>
      <c r="MAB50" s="543"/>
      <c r="MAC50" s="543"/>
      <c r="MAD50" s="543"/>
      <c r="MAE50" s="543"/>
      <c r="MAF50" s="543"/>
      <c r="MAG50" s="543"/>
      <c r="MAH50" s="543"/>
      <c r="MAI50" s="543"/>
      <c r="MAJ50" s="543"/>
      <c r="MAK50" s="543"/>
      <c r="MAL50" s="543"/>
      <c r="MAM50" s="543"/>
      <c r="MAN50" s="543"/>
      <c r="MAO50" s="543"/>
      <c r="MAP50" s="543"/>
      <c r="MAQ50" s="543"/>
      <c r="MAR50" s="543"/>
      <c r="MAS50" s="543"/>
      <c r="MAT50" s="543"/>
      <c r="MAU50" s="543"/>
      <c r="MAV50" s="543"/>
      <c r="MAW50" s="543"/>
      <c r="MAX50" s="543"/>
      <c r="MAY50" s="543"/>
      <c r="MAZ50" s="543"/>
      <c r="MBA50" s="543"/>
      <c r="MBB50" s="543"/>
      <c r="MBC50" s="543"/>
      <c r="MBD50" s="543"/>
      <c r="MBE50" s="543"/>
      <c r="MBF50" s="543"/>
      <c r="MBG50" s="543"/>
      <c r="MBH50" s="543"/>
      <c r="MBI50" s="543"/>
      <c r="MBJ50" s="543"/>
      <c r="MBK50" s="543"/>
      <c r="MBL50" s="543"/>
      <c r="MBM50" s="543"/>
      <c r="MBN50" s="543"/>
      <c r="MBO50" s="543"/>
      <c r="MBP50" s="543"/>
      <c r="MBQ50" s="543"/>
      <c r="MBR50" s="543"/>
      <c r="MBS50" s="543"/>
      <c r="MBT50" s="543"/>
      <c r="MBU50" s="543"/>
      <c r="MBV50" s="543"/>
      <c r="MBW50" s="543"/>
      <c r="MBX50" s="543"/>
      <c r="MBY50" s="543"/>
      <c r="MBZ50" s="543"/>
      <c r="MCA50" s="543"/>
      <c r="MCB50" s="543"/>
      <c r="MCC50" s="543"/>
      <c r="MCD50" s="543"/>
      <c r="MCE50" s="543"/>
      <c r="MCF50" s="543"/>
      <c r="MCG50" s="543"/>
      <c r="MCH50" s="543"/>
      <c r="MCI50" s="543"/>
      <c r="MCJ50" s="543"/>
      <c r="MCK50" s="543"/>
      <c r="MCL50" s="543"/>
      <c r="MCM50" s="543"/>
      <c r="MCN50" s="543"/>
      <c r="MCO50" s="543"/>
      <c r="MCP50" s="543"/>
      <c r="MCQ50" s="543"/>
      <c r="MCR50" s="543"/>
      <c r="MCS50" s="543"/>
      <c r="MCT50" s="543"/>
      <c r="MCU50" s="543"/>
      <c r="MCV50" s="543"/>
      <c r="MCW50" s="543"/>
      <c r="MCX50" s="543"/>
      <c r="MCY50" s="543"/>
      <c r="MCZ50" s="543"/>
      <c r="MDA50" s="543"/>
      <c r="MDB50" s="543"/>
      <c r="MDC50" s="543"/>
      <c r="MDD50" s="543"/>
      <c r="MDE50" s="543"/>
      <c r="MDF50" s="543"/>
      <c r="MDG50" s="543"/>
      <c r="MDH50" s="543"/>
      <c r="MDI50" s="543"/>
      <c r="MDJ50" s="543"/>
      <c r="MDK50" s="543"/>
      <c r="MDL50" s="543"/>
      <c r="MDM50" s="543"/>
      <c r="MDN50" s="543"/>
      <c r="MDO50" s="543"/>
      <c r="MDP50" s="543"/>
      <c r="MDQ50" s="543"/>
      <c r="MDR50" s="543"/>
      <c r="MDS50" s="543"/>
      <c r="MDT50" s="543"/>
      <c r="MDU50" s="543"/>
      <c r="MDV50" s="543"/>
      <c r="MDW50" s="543"/>
      <c r="MDX50" s="543"/>
      <c r="MDY50" s="543"/>
      <c r="MDZ50" s="543"/>
      <c r="MEA50" s="543"/>
      <c r="MEB50" s="543"/>
      <c r="MEC50" s="543"/>
      <c r="MED50" s="543"/>
      <c r="MEE50" s="543"/>
      <c r="MEF50" s="543"/>
      <c r="MEG50" s="543"/>
      <c r="MEH50" s="543"/>
      <c r="MEI50" s="543"/>
      <c r="MEJ50" s="543"/>
      <c r="MEK50" s="543"/>
      <c r="MEL50" s="543"/>
      <c r="MEM50" s="543"/>
      <c r="MEN50" s="543"/>
      <c r="MEO50" s="543"/>
      <c r="MEP50" s="543"/>
      <c r="MEQ50" s="543"/>
      <c r="MER50" s="543"/>
      <c r="MES50" s="543"/>
      <c r="MET50" s="543"/>
      <c r="MEU50" s="543"/>
      <c r="MEV50" s="543"/>
      <c r="MEW50" s="543"/>
      <c r="MEX50" s="543"/>
      <c r="MEY50" s="543"/>
      <c r="MEZ50" s="543"/>
      <c r="MFA50" s="543"/>
      <c r="MFB50" s="543"/>
      <c r="MFC50" s="543"/>
      <c r="MFD50" s="543"/>
      <c r="MFE50" s="543"/>
      <c r="MFF50" s="543"/>
      <c r="MFG50" s="543"/>
      <c r="MFH50" s="543"/>
      <c r="MFI50" s="543"/>
      <c r="MFJ50" s="543"/>
      <c r="MFK50" s="543"/>
      <c r="MFL50" s="543"/>
      <c r="MFM50" s="543"/>
      <c r="MFN50" s="543"/>
      <c r="MFO50" s="543"/>
      <c r="MFP50" s="543"/>
      <c r="MFQ50" s="543"/>
      <c r="MFR50" s="543"/>
      <c r="MFS50" s="543"/>
      <c r="MFT50" s="543"/>
      <c r="MFU50" s="543"/>
      <c r="MFV50" s="543"/>
      <c r="MFW50" s="543"/>
      <c r="MFX50" s="543"/>
      <c r="MFY50" s="543"/>
      <c r="MFZ50" s="543"/>
      <c r="MGA50" s="543"/>
      <c r="MGB50" s="543"/>
      <c r="MGC50" s="543"/>
      <c r="MGD50" s="543"/>
      <c r="MGE50" s="543"/>
      <c r="MGF50" s="543"/>
      <c r="MGG50" s="543"/>
      <c r="MGH50" s="543"/>
      <c r="MGI50" s="543"/>
      <c r="MGJ50" s="543"/>
      <c r="MGK50" s="543"/>
      <c r="MGL50" s="543"/>
      <c r="MGM50" s="543"/>
      <c r="MGN50" s="543"/>
      <c r="MGO50" s="543"/>
      <c r="MGP50" s="543"/>
      <c r="MGQ50" s="543"/>
      <c r="MGR50" s="543"/>
      <c r="MGS50" s="543"/>
      <c r="MGT50" s="543"/>
      <c r="MGU50" s="543"/>
      <c r="MGV50" s="543"/>
      <c r="MGW50" s="543"/>
      <c r="MGX50" s="543"/>
      <c r="MGY50" s="543"/>
      <c r="MGZ50" s="543"/>
      <c r="MHA50" s="543"/>
      <c r="MHB50" s="543"/>
      <c r="MHC50" s="543"/>
      <c r="MHD50" s="543"/>
      <c r="MHE50" s="543"/>
      <c r="MHF50" s="543"/>
      <c r="MHG50" s="543"/>
      <c r="MHH50" s="543"/>
      <c r="MHI50" s="543"/>
      <c r="MHJ50" s="543"/>
      <c r="MHK50" s="543"/>
      <c r="MHL50" s="543"/>
      <c r="MHM50" s="543"/>
      <c r="MHN50" s="543"/>
      <c r="MHO50" s="543"/>
      <c r="MHP50" s="543"/>
      <c r="MHQ50" s="543"/>
      <c r="MHR50" s="543"/>
      <c r="MHS50" s="543"/>
      <c r="MHT50" s="543"/>
      <c r="MHU50" s="543"/>
      <c r="MHV50" s="543"/>
      <c r="MHW50" s="543"/>
      <c r="MHX50" s="543"/>
      <c r="MHY50" s="543"/>
      <c r="MHZ50" s="543"/>
      <c r="MIA50" s="543"/>
      <c r="MIB50" s="543"/>
      <c r="MIC50" s="543"/>
      <c r="MID50" s="543"/>
      <c r="MIE50" s="543"/>
      <c r="MIF50" s="543"/>
      <c r="MIG50" s="543"/>
      <c r="MIH50" s="543"/>
      <c r="MII50" s="543"/>
      <c r="MIJ50" s="543"/>
      <c r="MIK50" s="543"/>
      <c r="MIL50" s="543"/>
      <c r="MIM50" s="543"/>
      <c r="MIN50" s="543"/>
      <c r="MIO50" s="543"/>
      <c r="MIP50" s="543"/>
      <c r="MIQ50" s="543"/>
      <c r="MIR50" s="543"/>
      <c r="MIS50" s="543"/>
      <c r="MIT50" s="543"/>
      <c r="MIU50" s="543"/>
      <c r="MIV50" s="543"/>
      <c r="MIW50" s="543"/>
      <c r="MIX50" s="543"/>
      <c r="MIY50" s="543"/>
      <c r="MIZ50" s="543"/>
      <c r="MJA50" s="543"/>
      <c r="MJB50" s="543"/>
      <c r="MJC50" s="543"/>
      <c r="MJD50" s="543"/>
      <c r="MJE50" s="543"/>
      <c r="MJF50" s="543"/>
      <c r="MJG50" s="543"/>
      <c r="MJH50" s="543"/>
      <c r="MJI50" s="543"/>
      <c r="MJJ50" s="543"/>
      <c r="MJK50" s="543"/>
      <c r="MJL50" s="543"/>
      <c r="MJM50" s="543"/>
      <c r="MJN50" s="543"/>
      <c r="MJO50" s="543"/>
      <c r="MJP50" s="543"/>
      <c r="MJQ50" s="543"/>
      <c r="MJR50" s="543"/>
      <c r="MJS50" s="543"/>
      <c r="MJT50" s="543"/>
      <c r="MJU50" s="543"/>
      <c r="MJV50" s="543"/>
      <c r="MJW50" s="543"/>
      <c r="MJX50" s="543"/>
      <c r="MJY50" s="543"/>
      <c r="MJZ50" s="543"/>
      <c r="MKA50" s="543"/>
      <c r="MKB50" s="543"/>
      <c r="MKC50" s="543"/>
      <c r="MKD50" s="543"/>
      <c r="MKE50" s="543"/>
      <c r="MKF50" s="543"/>
      <c r="MKG50" s="543"/>
      <c r="MKH50" s="543"/>
      <c r="MKI50" s="543"/>
      <c r="MKJ50" s="543"/>
      <c r="MKK50" s="543"/>
      <c r="MKL50" s="543"/>
      <c r="MKM50" s="543"/>
      <c r="MKN50" s="543"/>
      <c r="MKO50" s="543"/>
      <c r="MKP50" s="543"/>
      <c r="MKQ50" s="543"/>
      <c r="MKR50" s="543"/>
      <c r="MKS50" s="543"/>
      <c r="MKT50" s="543"/>
      <c r="MKU50" s="543"/>
      <c r="MKV50" s="543"/>
      <c r="MKW50" s="543"/>
      <c r="MKX50" s="543"/>
      <c r="MKY50" s="543"/>
      <c r="MKZ50" s="543"/>
      <c r="MLA50" s="543"/>
      <c r="MLB50" s="543"/>
      <c r="MLC50" s="543"/>
      <c r="MLD50" s="543"/>
      <c r="MLE50" s="543"/>
      <c r="MLF50" s="543"/>
      <c r="MLG50" s="543"/>
      <c r="MLH50" s="543"/>
      <c r="MLI50" s="543"/>
      <c r="MLJ50" s="543"/>
      <c r="MLK50" s="543"/>
      <c r="MLL50" s="543"/>
      <c r="MLM50" s="543"/>
      <c r="MLN50" s="543"/>
      <c r="MLO50" s="543"/>
      <c r="MLP50" s="543"/>
      <c r="MLQ50" s="543"/>
      <c r="MLR50" s="543"/>
      <c r="MLS50" s="543"/>
      <c r="MLT50" s="543"/>
      <c r="MLU50" s="543"/>
      <c r="MLV50" s="543"/>
      <c r="MLW50" s="543"/>
      <c r="MLX50" s="543"/>
      <c r="MLY50" s="543"/>
      <c r="MLZ50" s="543"/>
      <c r="MMA50" s="543"/>
      <c r="MMB50" s="543"/>
      <c r="MMC50" s="543"/>
      <c r="MMD50" s="543"/>
      <c r="MME50" s="543"/>
      <c r="MMF50" s="543"/>
      <c r="MMG50" s="543"/>
      <c r="MMH50" s="543"/>
      <c r="MMI50" s="543"/>
      <c r="MMJ50" s="543"/>
      <c r="MMK50" s="543"/>
      <c r="MML50" s="543"/>
      <c r="MMM50" s="543"/>
      <c r="MMN50" s="543"/>
      <c r="MMO50" s="543"/>
      <c r="MMP50" s="543"/>
      <c r="MMQ50" s="543"/>
      <c r="MMR50" s="543"/>
      <c r="MMS50" s="543"/>
      <c r="MMT50" s="543"/>
      <c r="MMU50" s="543"/>
      <c r="MMV50" s="543"/>
      <c r="MMW50" s="543"/>
      <c r="MMX50" s="543"/>
      <c r="MMY50" s="543"/>
      <c r="MMZ50" s="543"/>
      <c r="MNA50" s="543"/>
      <c r="MNB50" s="543"/>
      <c r="MNC50" s="543"/>
      <c r="MND50" s="543"/>
      <c r="MNE50" s="543"/>
      <c r="MNF50" s="543"/>
      <c r="MNG50" s="543"/>
      <c r="MNH50" s="543"/>
      <c r="MNI50" s="543"/>
      <c r="MNJ50" s="543"/>
      <c r="MNK50" s="543"/>
      <c r="MNL50" s="543"/>
      <c r="MNM50" s="543"/>
      <c r="MNN50" s="543"/>
      <c r="MNO50" s="543"/>
      <c r="MNP50" s="543"/>
      <c r="MNQ50" s="543"/>
      <c r="MNR50" s="543"/>
      <c r="MNS50" s="543"/>
      <c r="MNT50" s="543"/>
      <c r="MNU50" s="543"/>
      <c r="MNV50" s="543"/>
      <c r="MNW50" s="543"/>
      <c r="MNX50" s="543"/>
      <c r="MNY50" s="543"/>
      <c r="MNZ50" s="543"/>
      <c r="MOA50" s="543"/>
      <c r="MOB50" s="543"/>
      <c r="MOC50" s="543"/>
      <c r="MOD50" s="543"/>
      <c r="MOE50" s="543"/>
      <c r="MOF50" s="543"/>
      <c r="MOG50" s="543"/>
      <c r="MOH50" s="543"/>
      <c r="MOI50" s="543"/>
      <c r="MOJ50" s="543"/>
      <c r="MOK50" s="543"/>
      <c r="MOL50" s="543"/>
      <c r="MOM50" s="543"/>
      <c r="MON50" s="543"/>
      <c r="MOO50" s="543"/>
      <c r="MOP50" s="543"/>
      <c r="MOQ50" s="543"/>
      <c r="MOR50" s="543"/>
      <c r="MOS50" s="543"/>
      <c r="MOT50" s="543"/>
      <c r="MOU50" s="543"/>
      <c r="MOV50" s="543"/>
      <c r="MOW50" s="543"/>
      <c r="MOX50" s="543"/>
      <c r="MOY50" s="543"/>
      <c r="MOZ50" s="543"/>
      <c r="MPA50" s="543"/>
      <c r="MPB50" s="543"/>
      <c r="MPC50" s="543"/>
      <c r="MPD50" s="543"/>
      <c r="MPE50" s="543"/>
      <c r="MPF50" s="543"/>
      <c r="MPG50" s="543"/>
      <c r="MPH50" s="543"/>
      <c r="MPI50" s="543"/>
      <c r="MPJ50" s="543"/>
      <c r="MPK50" s="543"/>
      <c r="MPL50" s="543"/>
      <c r="MPM50" s="543"/>
      <c r="MPN50" s="543"/>
      <c r="MPO50" s="543"/>
      <c r="MPP50" s="543"/>
      <c r="MPQ50" s="543"/>
      <c r="MPR50" s="543"/>
      <c r="MPS50" s="543"/>
      <c r="MPT50" s="543"/>
      <c r="MPU50" s="543"/>
      <c r="MPV50" s="543"/>
      <c r="MPW50" s="543"/>
      <c r="MPX50" s="543"/>
      <c r="MPY50" s="543"/>
      <c r="MPZ50" s="543"/>
      <c r="MQA50" s="543"/>
      <c r="MQB50" s="543"/>
      <c r="MQC50" s="543"/>
      <c r="MQD50" s="543"/>
      <c r="MQE50" s="543"/>
      <c r="MQF50" s="543"/>
      <c r="MQG50" s="543"/>
      <c r="MQH50" s="543"/>
      <c r="MQI50" s="543"/>
      <c r="MQJ50" s="543"/>
      <c r="MQK50" s="543"/>
      <c r="MQL50" s="543"/>
      <c r="MQM50" s="543"/>
      <c r="MQN50" s="543"/>
      <c r="MQO50" s="543"/>
      <c r="MQP50" s="543"/>
      <c r="MQQ50" s="543"/>
      <c r="MQR50" s="543"/>
      <c r="MQS50" s="543"/>
      <c r="MQT50" s="543"/>
      <c r="MQU50" s="543"/>
      <c r="MQV50" s="543"/>
      <c r="MQW50" s="543"/>
      <c r="MQX50" s="543"/>
      <c r="MQY50" s="543"/>
      <c r="MQZ50" s="543"/>
      <c r="MRA50" s="543"/>
      <c r="MRB50" s="543"/>
      <c r="MRC50" s="543"/>
      <c r="MRD50" s="543"/>
      <c r="MRE50" s="543"/>
      <c r="MRF50" s="543"/>
      <c r="MRG50" s="543"/>
      <c r="MRH50" s="543"/>
      <c r="MRI50" s="543"/>
      <c r="MRJ50" s="543"/>
      <c r="MRK50" s="543"/>
      <c r="MRL50" s="543"/>
      <c r="MRM50" s="543"/>
      <c r="MRN50" s="543"/>
      <c r="MRO50" s="543"/>
      <c r="MRP50" s="543"/>
      <c r="MRQ50" s="543"/>
      <c r="MRR50" s="543"/>
      <c r="MRS50" s="543"/>
      <c r="MRT50" s="543"/>
      <c r="MRU50" s="543"/>
      <c r="MRV50" s="543"/>
      <c r="MRW50" s="543"/>
      <c r="MRX50" s="543"/>
      <c r="MRY50" s="543"/>
      <c r="MRZ50" s="543"/>
      <c r="MSA50" s="543"/>
      <c r="MSB50" s="543"/>
      <c r="MSC50" s="543"/>
      <c r="MSD50" s="543"/>
      <c r="MSE50" s="543"/>
      <c r="MSF50" s="543"/>
      <c r="MSG50" s="543"/>
      <c r="MSH50" s="543"/>
      <c r="MSI50" s="543"/>
      <c r="MSJ50" s="543"/>
      <c r="MSK50" s="543"/>
      <c r="MSL50" s="543"/>
      <c r="MSM50" s="543"/>
      <c r="MSN50" s="543"/>
      <c r="MSO50" s="543"/>
      <c r="MSP50" s="543"/>
      <c r="MSQ50" s="543"/>
      <c r="MSR50" s="543"/>
      <c r="MSS50" s="543"/>
      <c r="MST50" s="543"/>
      <c r="MSU50" s="543"/>
      <c r="MSV50" s="543"/>
      <c r="MSW50" s="543"/>
      <c r="MSX50" s="543"/>
      <c r="MSY50" s="543"/>
      <c r="MSZ50" s="543"/>
      <c r="MTA50" s="543"/>
      <c r="MTB50" s="543"/>
      <c r="MTC50" s="543"/>
      <c r="MTD50" s="543"/>
      <c r="MTE50" s="543"/>
      <c r="MTF50" s="543"/>
      <c r="MTG50" s="543"/>
      <c r="MTH50" s="543"/>
      <c r="MTI50" s="543"/>
      <c r="MTJ50" s="543"/>
      <c r="MTK50" s="543"/>
      <c r="MTL50" s="543"/>
      <c r="MTM50" s="543"/>
      <c r="MTN50" s="543"/>
      <c r="MTO50" s="543"/>
      <c r="MTP50" s="543"/>
      <c r="MTQ50" s="543"/>
      <c r="MTR50" s="543"/>
      <c r="MTS50" s="543"/>
      <c r="MTT50" s="543"/>
      <c r="MTU50" s="543"/>
      <c r="MTV50" s="543"/>
      <c r="MTW50" s="543"/>
      <c r="MTX50" s="543"/>
      <c r="MTY50" s="543"/>
      <c r="MTZ50" s="543"/>
      <c r="MUA50" s="543"/>
      <c r="MUB50" s="543"/>
      <c r="MUC50" s="543"/>
      <c r="MUD50" s="543"/>
      <c r="MUE50" s="543"/>
      <c r="MUF50" s="543"/>
      <c r="MUG50" s="543"/>
      <c r="MUH50" s="543"/>
      <c r="MUI50" s="543"/>
      <c r="MUJ50" s="543"/>
      <c r="MUK50" s="543"/>
      <c r="MUL50" s="543"/>
      <c r="MUM50" s="543"/>
      <c r="MUN50" s="543"/>
      <c r="MUO50" s="543"/>
      <c r="MUP50" s="543"/>
      <c r="MUQ50" s="543"/>
      <c r="MUR50" s="543"/>
      <c r="MUS50" s="543"/>
      <c r="MUT50" s="543"/>
      <c r="MUU50" s="543"/>
      <c r="MUV50" s="543"/>
      <c r="MUW50" s="543"/>
      <c r="MUX50" s="543"/>
      <c r="MUY50" s="543"/>
      <c r="MUZ50" s="543"/>
      <c r="MVA50" s="543"/>
      <c r="MVB50" s="543"/>
      <c r="MVC50" s="543"/>
      <c r="MVD50" s="543"/>
      <c r="MVE50" s="543"/>
      <c r="MVF50" s="543"/>
      <c r="MVG50" s="543"/>
      <c r="MVH50" s="543"/>
      <c r="MVI50" s="543"/>
      <c r="MVJ50" s="543"/>
      <c r="MVK50" s="543"/>
      <c r="MVL50" s="543"/>
      <c r="MVM50" s="543"/>
      <c r="MVN50" s="543"/>
      <c r="MVO50" s="543"/>
      <c r="MVP50" s="543"/>
      <c r="MVQ50" s="543"/>
      <c r="MVR50" s="543"/>
      <c r="MVS50" s="543"/>
      <c r="MVT50" s="543"/>
      <c r="MVU50" s="543"/>
      <c r="MVV50" s="543"/>
      <c r="MVW50" s="543"/>
      <c r="MVX50" s="543"/>
      <c r="MVY50" s="543"/>
      <c r="MVZ50" s="543"/>
      <c r="MWA50" s="543"/>
      <c r="MWB50" s="543"/>
      <c r="MWC50" s="543"/>
      <c r="MWD50" s="543"/>
      <c r="MWE50" s="543"/>
      <c r="MWF50" s="543"/>
      <c r="MWG50" s="543"/>
      <c r="MWH50" s="543"/>
      <c r="MWI50" s="543"/>
      <c r="MWJ50" s="543"/>
      <c r="MWK50" s="543"/>
      <c r="MWL50" s="543"/>
      <c r="MWM50" s="543"/>
      <c r="MWN50" s="543"/>
      <c r="MWO50" s="543"/>
      <c r="MWP50" s="543"/>
      <c r="MWQ50" s="543"/>
      <c r="MWR50" s="543"/>
      <c r="MWS50" s="543"/>
      <c r="MWT50" s="543"/>
      <c r="MWU50" s="543"/>
      <c r="MWV50" s="543"/>
      <c r="MWW50" s="543"/>
      <c r="MWX50" s="543"/>
      <c r="MWY50" s="543"/>
      <c r="MWZ50" s="543"/>
      <c r="MXA50" s="543"/>
      <c r="MXB50" s="543"/>
      <c r="MXC50" s="543"/>
      <c r="MXD50" s="543"/>
      <c r="MXE50" s="543"/>
      <c r="MXF50" s="543"/>
      <c r="MXG50" s="543"/>
      <c r="MXH50" s="543"/>
      <c r="MXI50" s="543"/>
      <c r="MXJ50" s="543"/>
      <c r="MXK50" s="543"/>
      <c r="MXL50" s="543"/>
      <c r="MXM50" s="543"/>
      <c r="MXN50" s="543"/>
      <c r="MXO50" s="543"/>
      <c r="MXP50" s="543"/>
      <c r="MXQ50" s="543"/>
      <c r="MXR50" s="543"/>
      <c r="MXS50" s="543"/>
      <c r="MXT50" s="543"/>
      <c r="MXU50" s="543"/>
      <c r="MXV50" s="543"/>
      <c r="MXW50" s="543"/>
      <c r="MXX50" s="543"/>
      <c r="MXY50" s="543"/>
      <c r="MXZ50" s="543"/>
      <c r="MYA50" s="543"/>
      <c r="MYB50" s="543"/>
      <c r="MYC50" s="543"/>
      <c r="MYD50" s="543"/>
      <c r="MYE50" s="543"/>
      <c r="MYF50" s="543"/>
      <c r="MYG50" s="543"/>
      <c r="MYH50" s="543"/>
      <c r="MYI50" s="543"/>
      <c r="MYJ50" s="543"/>
      <c r="MYK50" s="543"/>
      <c r="MYL50" s="543"/>
      <c r="MYM50" s="543"/>
      <c r="MYN50" s="543"/>
      <c r="MYO50" s="543"/>
      <c r="MYP50" s="543"/>
      <c r="MYQ50" s="543"/>
      <c r="MYR50" s="543"/>
      <c r="MYS50" s="543"/>
      <c r="MYT50" s="543"/>
      <c r="MYU50" s="543"/>
      <c r="MYV50" s="543"/>
      <c r="MYW50" s="543"/>
      <c r="MYX50" s="543"/>
      <c r="MYY50" s="543"/>
      <c r="MYZ50" s="543"/>
      <c r="MZA50" s="543"/>
      <c r="MZB50" s="543"/>
      <c r="MZC50" s="543"/>
      <c r="MZD50" s="543"/>
      <c r="MZE50" s="543"/>
      <c r="MZF50" s="543"/>
      <c r="MZG50" s="543"/>
      <c r="MZH50" s="543"/>
      <c r="MZI50" s="543"/>
      <c r="MZJ50" s="543"/>
      <c r="MZK50" s="543"/>
      <c r="MZL50" s="543"/>
      <c r="MZM50" s="543"/>
      <c r="MZN50" s="543"/>
      <c r="MZO50" s="543"/>
      <c r="MZP50" s="543"/>
      <c r="MZQ50" s="543"/>
      <c r="MZR50" s="543"/>
      <c r="MZS50" s="543"/>
      <c r="MZT50" s="543"/>
      <c r="MZU50" s="543"/>
      <c r="MZV50" s="543"/>
      <c r="MZW50" s="543"/>
      <c r="MZX50" s="543"/>
      <c r="MZY50" s="543"/>
      <c r="MZZ50" s="543"/>
      <c r="NAA50" s="543"/>
      <c r="NAB50" s="543"/>
      <c r="NAC50" s="543"/>
      <c r="NAD50" s="543"/>
      <c r="NAE50" s="543"/>
      <c r="NAF50" s="543"/>
      <c r="NAG50" s="543"/>
      <c r="NAH50" s="543"/>
      <c r="NAI50" s="543"/>
      <c r="NAJ50" s="543"/>
      <c r="NAK50" s="543"/>
      <c r="NAL50" s="543"/>
      <c r="NAM50" s="543"/>
      <c r="NAN50" s="543"/>
      <c r="NAO50" s="543"/>
      <c r="NAP50" s="543"/>
      <c r="NAQ50" s="543"/>
      <c r="NAR50" s="543"/>
      <c r="NAS50" s="543"/>
      <c r="NAT50" s="543"/>
      <c r="NAU50" s="543"/>
      <c r="NAV50" s="543"/>
      <c r="NAW50" s="543"/>
      <c r="NAX50" s="543"/>
      <c r="NAY50" s="543"/>
      <c r="NAZ50" s="543"/>
      <c r="NBA50" s="543"/>
      <c r="NBB50" s="543"/>
      <c r="NBC50" s="543"/>
      <c r="NBD50" s="543"/>
      <c r="NBE50" s="543"/>
      <c r="NBF50" s="543"/>
      <c r="NBG50" s="543"/>
      <c r="NBH50" s="543"/>
      <c r="NBI50" s="543"/>
      <c r="NBJ50" s="543"/>
      <c r="NBK50" s="543"/>
      <c r="NBL50" s="543"/>
      <c r="NBM50" s="543"/>
      <c r="NBN50" s="543"/>
      <c r="NBO50" s="543"/>
      <c r="NBP50" s="543"/>
      <c r="NBQ50" s="543"/>
      <c r="NBR50" s="543"/>
      <c r="NBS50" s="543"/>
      <c r="NBT50" s="543"/>
      <c r="NBU50" s="543"/>
      <c r="NBV50" s="543"/>
      <c r="NBW50" s="543"/>
      <c r="NBX50" s="543"/>
      <c r="NBY50" s="543"/>
      <c r="NBZ50" s="543"/>
      <c r="NCA50" s="543"/>
      <c r="NCB50" s="543"/>
      <c r="NCC50" s="543"/>
      <c r="NCD50" s="543"/>
      <c r="NCE50" s="543"/>
      <c r="NCF50" s="543"/>
      <c r="NCG50" s="543"/>
      <c r="NCH50" s="543"/>
      <c r="NCI50" s="543"/>
      <c r="NCJ50" s="543"/>
      <c r="NCK50" s="543"/>
      <c r="NCL50" s="543"/>
      <c r="NCM50" s="543"/>
      <c r="NCN50" s="543"/>
      <c r="NCO50" s="543"/>
      <c r="NCP50" s="543"/>
      <c r="NCQ50" s="543"/>
      <c r="NCR50" s="543"/>
      <c r="NCS50" s="543"/>
      <c r="NCT50" s="543"/>
      <c r="NCU50" s="543"/>
      <c r="NCV50" s="543"/>
      <c r="NCW50" s="543"/>
      <c r="NCX50" s="543"/>
      <c r="NCY50" s="543"/>
      <c r="NCZ50" s="543"/>
      <c r="NDA50" s="543"/>
      <c r="NDB50" s="543"/>
      <c r="NDC50" s="543"/>
      <c r="NDD50" s="543"/>
      <c r="NDE50" s="543"/>
      <c r="NDF50" s="543"/>
      <c r="NDG50" s="543"/>
      <c r="NDH50" s="543"/>
      <c r="NDI50" s="543"/>
      <c r="NDJ50" s="543"/>
      <c r="NDK50" s="543"/>
      <c r="NDL50" s="543"/>
      <c r="NDM50" s="543"/>
      <c r="NDN50" s="543"/>
      <c r="NDO50" s="543"/>
      <c r="NDP50" s="543"/>
      <c r="NDQ50" s="543"/>
      <c r="NDR50" s="543"/>
      <c r="NDS50" s="543"/>
      <c r="NDT50" s="543"/>
      <c r="NDU50" s="543"/>
      <c r="NDV50" s="543"/>
      <c r="NDW50" s="543"/>
      <c r="NDX50" s="543"/>
      <c r="NDY50" s="543"/>
      <c r="NDZ50" s="543"/>
      <c r="NEA50" s="543"/>
      <c r="NEB50" s="543"/>
      <c r="NEC50" s="543"/>
      <c r="NED50" s="543"/>
      <c r="NEE50" s="543"/>
      <c r="NEF50" s="543"/>
      <c r="NEG50" s="543"/>
      <c r="NEH50" s="543"/>
      <c r="NEI50" s="543"/>
      <c r="NEJ50" s="543"/>
      <c r="NEK50" s="543"/>
      <c r="NEL50" s="543"/>
      <c r="NEM50" s="543"/>
      <c r="NEN50" s="543"/>
      <c r="NEO50" s="543"/>
      <c r="NEP50" s="543"/>
      <c r="NEQ50" s="543"/>
      <c r="NER50" s="543"/>
      <c r="NES50" s="543"/>
      <c r="NET50" s="543"/>
      <c r="NEU50" s="543"/>
      <c r="NEV50" s="543"/>
      <c r="NEW50" s="543"/>
      <c r="NEX50" s="543"/>
      <c r="NEY50" s="543"/>
      <c r="NEZ50" s="543"/>
      <c r="NFA50" s="543"/>
      <c r="NFB50" s="543"/>
      <c r="NFC50" s="543"/>
      <c r="NFD50" s="543"/>
      <c r="NFE50" s="543"/>
      <c r="NFF50" s="543"/>
      <c r="NFG50" s="543"/>
      <c r="NFH50" s="543"/>
      <c r="NFI50" s="543"/>
      <c r="NFJ50" s="543"/>
      <c r="NFK50" s="543"/>
      <c r="NFL50" s="543"/>
      <c r="NFM50" s="543"/>
      <c r="NFN50" s="543"/>
      <c r="NFO50" s="543"/>
      <c r="NFP50" s="543"/>
      <c r="NFQ50" s="543"/>
      <c r="NFR50" s="543"/>
      <c r="NFS50" s="543"/>
      <c r="NFT50" s="543"/>
      <c r="NFU50" s="543"/>
      <c r="NFV50" s="543"/>
      <c r="NFW50" s="543"/>
      <c r="NFX50" s="543"/>
      <c r="NFY50" s="543"/>
      <c r="NFZ50" s="543"/>
      <c r="NGA50" s="543"/>
      <c r="NGB50" s="543"/>
      <c r="NGC50" s="543"/>
      <c r="NGD50" s="543"/>
      <c r="NGE50" s="543"/>
      <c r="NGF50" s="543"/>
      <c r="NGG50" s="543"/>
      <c r="NGH50" s="543"/>
      <c r="NGI50" s="543"/>
      <c r="NGJ50" s="543"/>
      <c r="NGK50" s="543"/>
      <c r="NGL50" s="543"/>
      <c r="NGM50" s="543"/>
      <c r="NGN50" s="543"/>
      <c r="NGO50" s="543"/>
      <c r="NGP50" s="543"/>
      <c r="NGQ50" s="543"/>
      <c r="NGR50" s="543"/>
      <c r="NGS50" s="543"/>
      <c r="NGT50" s="543"/>
      <c r="NGU50" s="543"/>
      <c r="NGV50" s="543"/>
      <c r="NGW50" s="543"/>
      <c r="NGX50" s="543"/>
      <c r="NGY50" s="543"/>
      <c r="NGZ50" s="543"/>
      <c r="NHA50" s="543"/>
      <c r="NHB50" s="543"/>
      <c r="NHC50" s="543"/>
      <c r="NHD50" s="543"/>
      <c r="NHE50" s="543"/>
      <c r="NHF50" s="543"/>
      <c r="NHG50" s="543"/>
      <c r="NHH50" s="543"/>
      <c r="NHI50" s="543"/>
      <c r="NHJ50" s="543"/>
      <c r="NHK50" s="543"/>
      <c r="NHL50" s="543"/>
      <c r="NHM50" s="543"/>
      <c r="NHN50" s="543"/>
      <c r="NHO50" s="543"/>
      <c r="NHP50" s="543"/>
      <c r="NHQ50" s="543"/>
      <c r="NHR50" s="543"/>
      <c r="NHS50" s="543"/>
      <c r="NHT50" s="543"/>
      <c r="NHU50" s="543"/>
      <c r="NHV50" s="543"/>
      <c r="NHW50" s="543"/>
      <c r="NHX50" s="543"/>
      <c r="NHY50" s="543"/>
      <c r="NHZ50" s="543"/>
      <c r="NIA50" s="543"/>
      <c r="NIB50" s="543"/>
      <c r="NIC50" s="543"/>
      <c r="NID50" s="543"/>
      <c r="NIE50" s="543"/>
      <c r="NIF50" s="543"/>
      <c r="NIG50" s="543"/>
      <c r="NIH50" s="543"/>
      <c r="NII50" s="543"/>
      <c r="NIJ50" s="543"/>
      <c r="NIK50" s="543"/>
      <c r="NIL50" s="543"/>
      <c r="NIM50" s="543"/>
      <c r="NIN50" s="543"/>
      <c r="NIO50" s="543"/>
      <c r="NIP50" s="543"/>
      <c r="NIQ50" s="543"/>
      <c r="NIR50" s="543"/>
      <c r="NIS50" s="543"/>
      <c r="NIT50" s="543"/>
      <c r="NIU50" s="543"/>
      <c r="NIV50" s="543"/>
      <c r="NIW50" s="543"/>
      <c r="NIX50" s="543"/>
      <c r="NIY50" s="543"/>
      <c r="NIZ50" s="543"/>
      <c r="NJA50" s="543"/>
      <c r="NJB50" s="543"/>
      <c r="NJC50" s="543"/>
      <c r="NJD50" s="543"/>
      <c r="NJE50" s="543"/>
      <c r="NJF50" s="543"/>
      <c r="NJG50" s="543"/>
      <c r="NJH50" s="543"/>
      <c r="NJI50" s="543"/>
      <c r="NJJ50" s="543"/>
      <c r="NJK50" s="543"/>
      <c r="NJL50" s="543"/>
      <c r="NJM50" s="543"/>
      <c r="NJN50" s="543"/>
      <c r="NJO50" s="543"/>
      <c r="NJP50" s="543"/>
      <c r="NJQ50" s="543"/>
      <c r="NJR50" s="543"/>
      <c r="NJS50" s="543"/>
      <c r="NJT50" s="543"/>
      <c r="NJU50" s="543"/>
      <c r="NJV50" s="543"/>
      <c r="NJW50" s="543"/>
      <c r="NJX50" s="543"/>
      <c r="NJY50" s="543"/>
      <c r="NJZ50" s="543"/>
      <c r="NKA50" s="543"/>
      <c r="NKB50" s="543"/>
      <c r="NKC50" s="543"/>
      <c r="NKD50" s="543"/>
      <c r="NKE50" s="543"/>
      <c r="NKF50" s="543"/>
      <c r="NKG50" s="543"/>
      <c r="NKH50" s="543"/>
      <c r="NKI50" s="543"/>
      <c r="NKJ50" s="543"/>
      <c r="NKK50" s="543"/>
      <c r="NKL50" s="543"/>
      <c r="NKM50" s="543"/>
      <c r="NKN50" s="543"/>
      <c r="NKO50" s="543"/>
      <c r="NKP50" s="543"/>
      <c r="NKQ50" s="543"/>
      <c r="NKR50" s="543"/>
      <c r="NKS50" s="543"/>
      <c r="NKT50" s="543"/>
      <c r="NKU50" s="543"/>
      <c r="NKV50" s="543"/>
      <c r="NKW50" s="543"/>
      <c r="NKX50" s="543"/>
      <c r="NKY50" s="543"/>
      <c r="NKZ50" s="543"/>
      <c r="NLA50" s="543"/>
      <c r="NLB50" s="543"/>
      <c r="NLC50" s="543"/>
      <c r="NLD50" s="543"/>
      <c r="NLE50" s="543"/>
      <c r="NLF50" s="543"/>
      <c r="NLG50" s="543"/>
      <c r="NLH50" s="543"/>
      <c r="NLI50" s="543"/>
      <c r="NLJ50" s="543"/>
      <c r="NLK50" s="543"/>
      <c r="NLL50" s="543"/>
      <c r="NLM50" s="543"/>
      <c r="NLN50" s="543"/>
      <c r="NLO50" s="543"/>
      <c r="NLP50" s="543"/>
      <c r="NLQ50" s="543"/>
      <c r="NLR50" s="543"/>
      <c r="NLS50" s="543"/>
      <c r="NLT50" s="543"/>
      <c r="NLU50" s="543"/>
      <c r="NLV50" s="543"/>
      <c r="NLW50" s="543"/>
      <c r="NLX50" s="543"/>
      <c r="NLY50" s="543"/>
      <c r="NLZ50" s="543"/>
      <c r="NMA50" s="543"/>
      <c r="NMB50" s="543"/>
      <c r="NMC50" s="543"/>
      <c r="NMD50" s="543"/>
      <c r="NME50" s="543"/>
      <c r="NMF50" s="543"/>
      <c r="NMG50" s="543"/>
      <c r="NMH50" s="543"/>
      <c r="NMI50" s="543"/>
      <c r="NMJ50" s="543"/>
      <c r="NMK50" s="543"/>
      <c r="NML50" s="543"/>
      <c r="NMM50" s="543"/>
      <c r="NMN50" s="543"/>
      <c r="NMO50" s="543"/>
      <c r="NMP50" s="543"/>
      <c r="NMQ50" s="543"/>
      <c r="NMR50" s="543"/>
      <c r="NMS50" s="543"/>
      <c r="NMT50" s="543"/>
      <c r="NMU50" s="543"/>
      <c r="NMV50" s="543"/>
      <c r="NMW50" s="543"/>
      <c r="NMX50" s="543"/>
      <c r="NMY50" s="543"/>
      <c r="NMZ50" s="543"/>
      <c r="NNA50" s="543"/>
      <c r="NNB50" s="543"/>
      <c r="NNC50" s="543"/>
      <c r="NND50" s="543"/>
      <c r="NNE50" s="543"/>
      <c r="NNF50" s="543"/>
      <c r="NNG50" s="543"/>
      <c r="NNH50" s="543"/>
      <c r="NNI50" s="543"/>
      <c r="NNJ50" s="543"/>
      <c r="NNK50" s="543"/>
      <c r="NNL50" s="543"/>
      <c r="NNM50" s="543"/>
      <c r="NNN50" s="543"/>
      <c r="NNO50" s="543"/>
      <c r="NNP50" s="543"/>
      <c r="NNQ50" s="543"/>
      <c r="NNR50" s="543"/>
      <c r="NNS50" s="543"/>
      <c r="NNT50" s="543"/>
      <c r="NNU50" s="543"/>
      <c r="NNV50" s="543"/>
      <c r="NNW50" s="543"/>
      <c r="NNX50" s="543"/>
      <c r="NNY50" s="543"/>
      <c r="NNZ50" s="543"/>
      <c r="NOA50" s="543"/>
      <c r="NOB50" s="543"/>
      <c r="NOC50" s="543"/>
      <c r="NOD50" s="543"/>
      <c r="NOE50" s="543"/>
      <c r="NOF50" s="543"/>
      <c r="NOG50" s="543"/>
      <c r="NOH50" s="543"/>
      <c r="NOI50" s="543"/>
      <c r="NOJ50" s="543"/>
      <c r="NOK50" s="543"/>
      <c r="NOL50" s="543"/>
      <c r="NOM50" s="543"/>
      <c r="NON50" s="543"/>
      <c r="NOO50" s="543"/>
      <c r="NOP50" s="543"/>
      <c r="NOQ50" s="543"/>
      <c r="NOR50" s="543"/>
      <c r="NOS50" s="543"/>
      <c r="NOT50" s="543"/>
      <c r="NOU50" s="543"/>
      <c r="NOV50" s="543"/>
      <c r="NOW50" s="543"/>
      <c r="NOX50" s="543"/>
      <c r="NOY50" s="543"/>
      <c r="NOZ50" s="543"/>
      <c r="NPA50" s="543"/>
      <c r="NPB50" s="543"/>
      <c r="NPC50" s="543"/>
      <c r="NPD50" s="543"/>
      <c r="NPE50" s="543"/>
      <c r="NPF50" s="543"/>
      <c r="NPG50" s="543"/>
      <c r="NPH50" s="543"/>
      <c r="NPI50" s="543"/>
      <c r="NPJ50" s="543"/>
      <c r="NPK50" s="543"/>
      <c r="NPL50" s="543"/>
      <c r="NPM50" s="543"/>
      <c r="NPN50" s="543"/>
      <c r="NPO50" s="543"/>
      <c r="NPP50" s="543"/>
      <c r="NPQ50" s="543"/>
      <c r="NPR50" s="543"/>
      <c r="NPS50" s="543"/>
      <c r="NPT50" s="543"/>
      <c r="NPU50" s="543"/>
      <c r="NPV50" s="543"/>
      <c r="NPW50" s="543"/>
      <c r="NPX50" s="543"/>
      <c r="NPY50" s="543"/>
      <c r="NPZ50" s="543"/>
      <c r="NQA50" s="543"/>
      <c r="NQB50" s="543"/>
      <c r="NQC50" s="543"/>
      <c r="NQD50" s="543"/>
      <c r="NQE50" s="543"/>
      <c r="NQF50" s="543"/>
      <c r="NQG50" s="543"/>
      <c r="NQH50" s="543"/>
      <c r="NQI50" s="543"/>
      <c r="NQJ50" s="543"/>
      <c r="NQK50" s="543"/>
      <c r="NQL50" s="543"/>
      <c r="NQM50" s="543"/>
      <c r="NQN50" s="543"/>
      <c r="NQO50" s="543"/>
      <c r="NQP50" s="543"/>
      <c r="NQQ50" s="543"/>
      <c r="NQR50" s="543"/>
      <c r="NQS50" s="543"/>
      <c r="NQT50" s="543"/>
      <c r="NQU50" s="543"/>
      <c r="NQV50" s="543"/>
      <c r="NQW50" s="543"/>
      <c r="NQX50" s="543"/>
      <c r="NQY50" s="543"/>
      <c r="NQZ50" s="543"/>
      <c r="NRA50" s="543"/>
      <c r="NRB50" s="543"/>
      <c r="NRC50" s="543"/>
      <c r="NRD50" s="543"/>
      <c r="NRE50" s="543"/>
      <c r="NRF50" s="543"/>
      <c r="NRG50" s="543"/>
      <c r="NRH50" s="543"/>
      <c r="NRI50" s="543"/>
      <c r="NRJ50" s="543"/>
      <c r="NRK50" s="543"/>
      <c r="NRL50" s="543"/>
      <c r="NRM50" s="543"/>
      <c r="NRN50" s="543"/>
      <c r="NRO50" s="543"/>
      <c r="NRP50" s="543"/>
      <c r="NRQ50" s="543"/>
      <c r="NRR50" s="543"/>
      <c r="NRS50" s="543"/>
      <c r="NRT50" s="543"/>
      <c r="NRU50" s="543"/>
      <c r="NRV50" s="543"/>
      <c r="NRW50" s="543"/>
      <c r="NRX50" s="543"/>
      <c r="NRY50" s="543"/>
      <c r="NRZ50" s="543"/>
      <c r="NSA50" s="543"/>
      <c r="NSB50" s="543"/>
      <c r="NSC50" s="543"/>
      <c r="NSD50" s="543"/>
      <c r="NSE50" s="543"/>
      <c r="NSF50" s="543"/>
      <c r="NSG50" s="543"/>
      <c r="NSH50" s="543"/>
      <c r="NSI50" s="543"/>
      <c r="NSJ50" s="543"/>
      <c r="NSK50" s="543"/>
      <c r="NSL50" s="543"/>
      <c r="NSM50" s="543"/>
      <c r="NSN50" s="543"/>
      <c r="NSO50" s="543"/>
      <c r="NSP50" s="543"/>
      <c r="NSQ50" s="543"/>
      <c r="NSR50" s="543"/>
      <c r="NSS50" s="543"/>
      <c r="NST50" s="543"/>
      <c r="NSU50" s="543"/>
      <c r="NSV50" s="543"/>
      <c r="NSW50" s="543"/>
      <c r="NSX50" s="543"/>
      <c r="NSY50" s="543"/>
      <c r="NSZ50" s="543"/>
      <c r="NTA50" s="543"/>
      <c r="NTB50" s="543"/>
      <c r="NTC50" s="543"/>
      <c r="NTD50" s="543"/>
      <c r="NTE50" s="543"/>
      <c r="NTF50" s="543"/>
      <c r="NTG50" s="543"/>
      <c r="NTH50" s="543"/>
      <c r="NTI50" s="543"/>
      <c r="NTJ50" s="543"/>
      <c r="NTK50" s="543"/>
      <c r="NTL50" s="543"/>
      <c r="NTM50" s="543"/>
      <c r="NTN50" s="543"/>
      <c r="NTO50" s="543"/>
      <c r="NTP50" s="543"/>
      <c r="NTQ50" s="543"/>
      <c r="NTR50" s="543"/>
      <c r="NTS50" s="543"/>
      <c r="NTT50" s="543"/>
      <c r="NTU50" s="543"/>
      <c r="NTV50" s="543"/>
      <c r="NTW50" s="543"/>
      <c r="NTX50" s="543"/>
      <c r="NTY50" s="543"/>
      <c r="NTZ50" s="543"/>
      <c r="NUA50" s="543"/>
      <c r="NUB50" s="543"/>
      <c r="NUC50" s="543"/>
      <c r="NUD50" s="543"/>
      <c r="NUE50" s="543"/>
      <c r="NUF50" s="543"/>
      <c r="NUG50" s="543"/>
      <c r="NUH50" s="543"/>
      <c r="NUI50" s="543"/>
      <c r="NUJ50" s="543"/>
      <c r="NUK50" s="543"/>
      <c r="NUL50" s="543"/>
      <c r="NUM50" s="543"/>
      <c r="NUN50" s="543"/>
      <c r="NUO50" s="543"/>
      <c r="NUP50" s="543"/>
      <c r="NUQ50" s="543"/>
      <c r="NUR50" s="543"/>
      <c r="NUS50" s="543"/>
      <c r="NUT50" s="543"/>
      <c r="NUU50" s="543"/>
      <c r="NUV50" s="543"/>
      <c r="NUW50" s="543"/>
      <c r="NUX50" s="543"/>
      <c r="NUY50" s="543"/>
      <c r="NUZ50" s="543"/>
      <c r="NVA50" s="543"/>
      <c r="NVB50" s="543"/>
      <c r="NVC50" s="543"/>
      <c r="NVD50" s="543"/>
      <c r="NVE50" s="543"/>
      <c r="NVF50" s="543"/>
      <c r="NVG50" s="543"/>
      <c r="NVH50" s="543"/>
      <c r="NVI50" s="543"/>
      <c r="NVJ50" s="543"/>
      <c r="NVK50" s="543"/>
      <c r="NVL50" s="543"/>
      <c r="NVM50" s="543"/>
      <c r="NVN50" s="543"/>
      <c r="NVO50" s="543"/>
      <c r="NVP50" s="543"/>
      <c r="NVQ50" s="543"/>
      <c r="NVR50" s="543"/>
      <c r="NVS50" s="543"/>
      <c r="NVT50" s="543"/>
      <c r="NVU50" s="543"/>
      <c r="NVV50" s="543"/>
      <c r="NVW50" s="543"/>
      <c r="NVX50" s="543"/>
      <c r="NVY50" s="543"/>
      <c r="NVZ50" s="543"/>
      <c r="NWA50" s="543"/>
      <c r="NWB50" s="543"/>
      <c r="NWC50" s="543"/>
      <c r="NWD50" s="543"/>
      <c r="NWE50" s="543"/>
      <c r="NWF50" s="543"/>
      <c r="NWG50" s="543"/>
      <c r="NWH50" s="543"/>
      <c r="NWI50" s="543"/>
      <c r="NWJ50" s="543"/>
      <c r="NWK50" s="543"/>
      <c r="NWL50" s="543"/>
      <c r="NWM50" s="543"/>
      <c r="NWN50" s="543"/>
      <c r="NWO50" s="543"/>
      <c r="NWP50" s="543"/>
      <c r="NWQ50" s="543"/>
      <c r="NWR50" s="543"/>
      <c r="NWS50" s="543"/>
      <c r="NWT50" s="543"/>
      <c r="NWU50" s="543"/>
      <c r="NWV50" s="543"/>
      <c r="NWW50" s="543"/>
      <c r="NWX50" s="543"/>
      <c r="NWY50" s="543"/>
      <c r="NWZ50" s="543"/>
      <c r="NXA50" s="543"/>
      <c r="NXB50" s="543"/>
      <c r="NXC50" s="543"/>
      <c r="NXD50" s="543"/>
      <c r="NXE50" s="543"/>
      <c r="NXF50" s="543"/>
      <c r="NXG50" s="543"/>
      <c r="NXH50" s="543"/>
      <c r="NXI50" s="543"/>
      <c r="NXJ50" s="543"/>
      <c r="NXK50" s="543"/>
      <c r="NXL50" s="543"/>
      <c r="NXM50" s="543"/>
      <c r="NXN50" s="543"/>
      <c r="NXO50" s="543"/>
      <c r="NXP50" s="543"/>
      <c r="NXQ50" s="543"/>
      <c r="NXR50" s="543"/>
      <c r="NXS50" s="543"/>
      <c r="NXT50" s="543"/>
      <c r="NXU50" s="543"/>
      <c r="NXV50" s="543"/>
      <c r="NXW50" s="543"/>
      <c r="NXX50" s="543"/>
      <c r="NXY50" s="543"/>
      <c r="NXZ50" s="543"/>
      <c r="NYA50" s="543"/>
      <c r="NYB50" s="543"/>
      <c r="NYC50" s="543"/>
      <c r="NYD50" s="543"/>
      <c r="NYE50" s="543"/>
      <c r="NYF50" s="543"/>
      <c r="NYG50" s="543"/>
      <c r="NYH50" s="543"/>
      <c r="NYI50" s="543"/>
      <c r="NYJ50" s="543"/>
      <c r="NYK50" s="543"/>
      <c r="NYL50" s="543"/>
      <c r="NYM50" s="543"/>
      <c r="NYN50" s="543"/>
      <c r="NYO50" s="543"/>
      <c r="NYP50" s="543"/>
      <c r="NYQ50" s="543"/>
      <c r="NYR50" s="543"/>
      <c r="NYS50" s="543"/>
      <c r="NYT50" s="543"/>
      <c r="NYU50" s="543"/>
      <c r="NYV50" s="543"/>
      <c r="NYW50" s="543"/>
      <c r="NYX50" s="543"/>
      <c r="NYY50" s="543"/>
      <c r="NYZ50" s="543"/>
      <c r="NZA50" s="543"/>
      <c r="NZB50" s="543"/>
      <c r="NZC50" s="543"/>
      <c r="NZD50" s="543"/>
      <c r="NZE50" s="543"/>
      <c r="NZF50" s="543"/>
      <c r="NZG50" s="543"/>
      <c r="NZH50" s="543"/>
      <c r="NZI50" s="543"/>
      <c r="NZJ50" s="543"/>
      <c r="NZK50" s="543"/>
      <c r="NZL50" s="543"/>
      <c r="NZM50" s="543"/>
      <c r="NZN50" s="543"/>
      <c r="NZO50" s="543"/>
      <c r="NZP50" s="543"/>
      <c r="NZQ50" s="543"/>
      <c r="NZR50" s="543"/>
      <c r="NZS50" s="543"/>
      <c r="NZT50" s="543"/>
      <c r="NZU50" s="543"/>
      <c r="NZV50" s="543"/>
      <c r="NZW50" s="543"/>
      <c r="NZX50" s="543"/>
      <c r="NZY50" s="543"/>
      <c r="NZZ50" s="543"/>
      <c r="OAA50" s="543"/>
      <c r="OAB50" s="543"/>
      <c r="OAC50" s="543"/>
      <c r="OAD50" s="543"/>
      <c r="OAE50" s="543"/>
      <c r="OAF50" s="543"/>
      <c r="OAG50" s="543"/>
      <c r="OAH50" s="543"/>
      <c r="OAI50" s="543"/>
      <c r="OAJ50" s="543"/>
      <c r="OAK50" s="543"/>
      <c r="OAL50" s="543"/>
      <c r="OAM50" s="543"/>
      <c r="OAN50" s="543"/>
      <c r="OAO50" s="543"/>
      <c r="OAP50" s="543"/>
      <c r="OAQ50" s="543"/>
      <c r="OAR50" s="543"/>
      <c r="OAS50" s="543"/>
      <c r="OAT50" s="543"/>
      <c r="OAU50" s="543"/>
      <c r="OAV50" s="543"/>
      <c r="OAW50" s="543"/>
      <c r="OAX50" s="543"/>
      <c r="OAY50" s="543"/>
      <c r="OAZ50" s="543"/>
      <c r="OBA50" s="543"/>
      <c r="OBB50" s="543"/>
      <c r="OBC50" s="543"/>
      <c r="OBD50" s="543"/>
      <c r="OBE50" s="543"/>
      <c r="OBF50" s="543"/>
      <c r="OBG50" s="543"/>
      <c r="OBH50" s="543"/>
      <c r="OBI50" s="543"/>
      <c r="OBJ50" s="543"/>
      <c r="OBK50" s="543"/>
      <c r="OBL50" s="543"/>
      <c r="OBM50" s="543"/>
      <c r="OBN50" s="543"/>
      <c r="OBO50" s="543"/>
      <c r="OBP50" s="543"/>
      <c r="OBQ50" s="543"/>
      <c r="OBR50" s="543"/>
      <c r="OBS50" s="543"/>
      <c r="OBT50" s="543"/>
      <c r="OBU50" s="543"/>
      <c r="OBV50" s="543"/>
      <c r="OBW50" s="543"/>
      <c r="OBX50" s="543"/>
      <c r="OBY50" s="543"/>
      <c r="OBZ50" s="543"/>
      <c r="OCA50" s="543"/>
      <c r="OCB50" s="543"/>
      <c r="OCC50" s="543"/>
      <c r="OCD50" s="543"/>
      <c r="OCE50" s="543"/>
      <c r="OCF50" s="543"/>
      <c r="OCG50" s="543"/>
      <c r="OCH50" s="543"/>
      <c r="OCI50" s="543"/>
      <c r="OCJ50" s="543"/>
      <c r="OCK50" s="543"/>
      <c r="OCL50" s="543"/>
      <c r="OCM50" s="543"/>
      <c r="OCN50" s="543"/>
      <c r="OCO50" s="543"/>
      <c r="OCP50" s="543"/>
      <c r="OCQ50" s="543"/>
      <c r="OCR50" s="543"/>
      <c r="OCS50" s="543"/>
      <c r="OCT50" s="543"/>
      <c r="OCU50" s="543"/>
      <c r="OCV50" s="543"/>
      <c r="OCW50" s="543"/>
      <c r="OCX50" s="543"/>
      <c r="OCY50" s="543"/>
      <c r="OCZ50" s="543"/>
      <c r="ODA50" s="543"/>
      <c r="ODB50" s="543"/>
      <c r="ODC50" s="543"/>
      <c r="ODD50" s="543"/>
      <c r="ODE50" s="543"/>
      <c r="ODF50" s="543"/>
      <c r="ODG50" s="543"/>
      <c r="ODH50" s="543"/>
      <c r="ODI50" s="543"/>
      <c r="ODJ50" s="543"/>
      <c r="ODK50" s="543"/>
      <c r="ODL50" s="543"/>
      <c r="ODM50" s="543"/>
      <c r="ODN50" s="543"/>
      <c r="ODO50" s="543"/>
      <c r="ODP50" s="543"/>
      <c r="ODQ50" s="543"/>
      <c r="ODR50" s="543"/>
      <c r="ODS50" s="543"/>
      <c r="ODT50" s="543"/>
      <c r="ODU50" s="543"/>
      <c r="ODV50" s="543"/>
      <c r="ODW50" s="543"/>
      <c r="ODX50" s="543"/>
      <c r="ODY50" s="543"/>
      <c r="ODZ50" s="543"/>
      <c r="OEA50" s="543"/>
      <c r="OEB50" s="543"/>
      <c r="OEC50" s="543"/>
      <c r="OED50" s="543"/>
      <c r="OEE50" s="543"/>
      <c r="OEF50" s="543"/>
      <c r="OEG50" s="543"/>
      <c r="OEH50" s="543"/>
      <c r="OEI50" s="543"/>
      <c r="OEJ50" s="543"/>
      <c r="OEK50" s="543"/>
      <c r="OEL50" s="543"/>
      <c r="OEM50" s="543"/>
      <c r="OEN50" s="543"/>
      <c r="OEO50" s="543"/>
      <c r="OEP50" s="543"/>
      <c r="OEQ50" s="543"/>
      <c r="OER50" s="543"/>
      <c r="OES50" s="543"/>
      <c r="OET50" s="543"/>
      <c r="OEU50" s="543"/>
      <c r="OEV50" s="543"/>
      <c r="OEW50" s="543"/>
      <c r="OEX50" s="543"/>
      <c r="OEY50" s="543"/>
      <c r="OEZ50" s="543"/>
      <c r="OFA50" s="543"/>
      <c r="OFB50" s="543"/>
      <c r="OFC50" s="543"/>
      <c r="OFD50" s="543"/>
      <c r="OFE50" s="543"/>
      <c r="OFF50" s="543"/>
      <c r="OFG50" s="543"/>
      <c r="OFH50" s="543"/>
      <c r="OFI50" s="543"/>
      <c r="OFJ50" s="543"/>
      <c r="OFK50" s="543"/>
      <c r="OFL50" s="543"/>
      <c r="OFM50" s="543"/>
      <c r="OFN50" s="543"/>
      <c r="OFO50" s="543"/>
      <c r="OFP50" s="543"/>
      <c r="OFQ50" s="543"/>
      <c r="OFR50" s="543"/>
      <c r="OFS50" s="543"/>
      <c r="OFT50" s="543"/>
      <c r="OFU50" s="543"/>
      <c r="OFV50" s="543"/>
      <c r="OFW50" s="543"/>
      <c r="OFX50" s="543"/>
      <c r="OFY50" s="543"/>
      <c r="OFZ50" s="543"/>
      <c r="OGA50" s="543"/>
      <c r="OGB50" s="543"/>
      <c r="OGC50" s="543"/>
      <c r="OGD50" s="543"/>
      <c r="OGE50" s="543"/>
      <c r="OGF50" s="543"/>
      <c r="OGG50" s="543"/>
      <c r="OGH50" s="543"/>
      <c r="OGI50" s="543"/>
      <c r="OGJ50" s="543"/>
      <c r="OGK50" s="543"/>
      <c r="OGL50" s="543"/>
      <c r="OGM50" s="543"/>
      <c r="OGN50" s="543"/>
      <c r="OGO50" s="543"/>
      <c r="OGP50" s="543"/>
      <c r="OGQ50" s="543"/>
      <c r="OGR50" s="543"/>
      <c r="OGS50" s="543"/>
      <c r="OGT50" s="543"/>
      <c r="OGU50" s="543"/>
      <c r="OGV50" s="543"/>
      <c r="OGW50" s="543"/>
      <c r="OGX50" s="543"/>
      <c r="OGY50" s="543"/>
      <c r="OGZ50" s="543"/>
      <c r="OHA50" s="543"/>
      <c r="OHB50" s="543"/>
      <c r="OHC50" s="543"/>
      <c r="OHD50" s="543"/>
      <c r="OHE50" s="543"/>
      <c r="OHF50" s="543"/>
      <c r="OHG50" s="543"/>
      <c r="OHH50" s="543"/>
      <c r="OHI50" s="543"/>
      <c r="OHJ50" s="543"/>
      <c r="OHK50" s="543"/>
      <c r="OHL50" s="543"/>
      <c r="OHM50" s="543"/>
      <c r="OHN50" s="543"/>
      <c r="OHO50" s="543"/>
      <c r="OHP50" s="543"/>
      <c r="OHQ50" s="543"/>
      <c r="OHR50" s="543"/>
      <c r="OHS50" s="543"/>
      <c r="OHT50" s="543"/>
      <c r="OHU50" s="543"/>
      <c r="OHV50" s="543"/>
      <c r="OHW50" s="543"/>
      <c r="OHX50" s="543"/>
      <c r="OHY50" s="543"/>
      <c r="OHZ50" s="543"/>
      <c r="OIA50" s="543"/>
      <c r="OIB50" s="543"/>
      <c r="OIC50" s="543"/>
      <c r="OID50" s="543"/>
      <c r="OIE50" s="543"/>
      <c r="OIF50" s="543"/>
      <c r="OIG50" s="543"/>
      <c r="OIH50" s="543"/>
      <c r="OII50" s="543"/>
      <c r="OIJ50" s="543"/>
      <c r="OIK50" s="543"/>
      <c r="OIL50" s="543"/>
      <c r="OIM50" s="543"/>
      <c r="OIN50" s="543"/>
      <c r="OIO50" s="543"/>
      <c r="OIP50" s="543"/>
      <c r="OIQ50" s="543"/>
      <c r="OIR50" s="543"/>
      <c r="OIS50" s="543"/>
      <c r="OIT50" s="543"/>
      <c r="OIU50" s="543"/>
      <c r="OIV50" s="543"/>
      <c r="OIW50" s="543"/>
      <c r="OIX50" s="543"/>
      <c r="OIY50" s="543"/>
      <c r="OIZ50" s="543"/>
      <c r="OJA50" s="543"/>
      <c r="OJB50" s="543"/>
      <c r="OJC50" s="543"/>
      <c r="OJD50" s="543"/>
      <c r="OJE50" s="543"/>
      <c r="OJF50" s="543"/>
      <c r="OJG50" s="543"/>
      <c r="OJH50" s="543"/>
      <c r="OJI50" s="543"/>
      <c r="OJJ50" s="543"/>
      <c r="OJK50" s="543"/>
      <c r="OJL50" s="543"/>
      <c r="OJM50" s="543"/>
      <c r="OJN50" s="543"/>
      <c r="OJO50" s="543"/>
      <c r="OJP50" s="543"/>
      <c r="OJQ50" s="543"/>
      <c r="OJR50" s="543"/>
      <c r="OJS50" s="543"/>
      <c r="OJT50" s="543"/>
      <c r="OJU50" s="543"/>
      <c r="OJV50" s="543"/>
      <c r="OJW50" s="543"/>
      <c r="OJX50" s="543"/>
      <c r="OJY50" s="543"/>
      <c r="OJZ50" s="543"/>
      <c r="OKA50" s="543"/>
      <c r="OKB50" s="543"/>
      <c r="OKC50" s="543"/>
      <c r="OKD50" s="543"/>
      <c r="OKE50" s="543"/>
      <c r="OKF50" s="543"/>
      <c r="OKG50" s="543"/>
      <c r="OKH50" s="543"/>
      <c r="OKI50" s="543"/>
      <c r="OKJ50" s="543"/>
      <c r="OKK50" s="543"/>
      <c r="OKL50" s="543"/>
      <c r="OKM50" s="543"/>
      <c r="OKN50" s="543"/>
      <c r="OKO50" s="543"/>
      <c r="OKP50" s="543"/>
      <c r="OKQ50" s="543"/>
      <c r="OKR50" s="543"/>
      <c r="OKS50" s="543"/>
      <c r="OKT50" s="543"/>
      <c r="OKU50" s="543"/>
      <c r="OKV50" s="543"/>
      <c r="OKW50" s="543"/>
      <c r="OKX50" s="543"/>
      <c r="OKY50" s="543"/>
      <c r="OKZ50" s="543"/>
      <c r="OLA50" s="543"/>
      <c r="OLB50" s="543"/>
      <c r="OLC50" s="543"/>
      <c r="OLD50" s="543"/>
      <c r="OLE50" s="543"/>
      <c r="OLF50" s="543"/>
      <c r="OLG50" s="543"/>
      <c r="OLH50" s="543"/>
      <c r="OLI50" s="543"/>
      <c r="OLJ50" s="543"/>
      <c r="OLK50" s="543"/>
      <c r="OLL50" s="543"/>
      <c r="OLM50" s="543"/>
      <c r="OLN50" s="543"/>
      <c r="OLO50" s="543"/>
      <c r="OLP50" s="543"/>
      <c r="OLQ50" s="543"/>
      <c r="OLR50" s="543"/>
      <c r="OLS50" s="543"/>
      <c r="OLT50" s="543"/>
      <c r="OLU50" s="543"/>
      <c r="OLV50" s="543"/>
      <c r="OLW50" s="543"/>
      <c r="OLX50" s="543"/>
      <c r="OLY50" s="543"/>
      <c r="OLZ50" s="543"/>
      <c r="OMA50" s="543"/>
      <c r="OMB50" s="543"/>
      <c r="OMC50" s="543"/>
      <c r="OMD50" s="543"/>
      <c r="OME50" s="543"/>
      <c r="OMF50" s="543"/>
      <c r="OMG50" s="543"/>
      <c r="OMH50" s="543"/>
      <c r="OMI50" s="543"/>
      <c r="OMJ50" s="543"/>
      <c r="OMK50" s="543"/>
      <c r="OML50" s="543"/>
      <c r="OMM50" s="543"/>
      <c r="OMN50" s="543"/>
      <c r="OMO50" s="543"/>
      <c r="OMP50" s="543"/>
      <c r="OMQ50" s="543"/>
      <c r="OMR50" s="543"/>
      <c r="OMS50" s="543"/>
      <c r="OMT50" s="543"/>
      <c r="OMU50" s="543"/>
      <c r="OMV50" s="543"/>
      <c r="OMW50" s="543"/>
      <c r="OMX50" s="543"/>
      <c r="OMY50" s="543"/>
      <c r="OMZ50" s="543"/>
      <c r="ONA50" s="543"/>
      <c r="ONB50" s="543"/>
      <c r="ONC50" s="543"/>
      <c r="OND50" s="543"/>
      <c r="ONE50" s="543"/>
      <c r="ONF50" s="543"/>
      <c r="ONG50" s="543"/>
      <c r="ONH50" s="543"/>
      <c r="ONI50" s="543"/>
      <c r="ONJ50" s="543"/>
      <c r="ONK50" s="543"/>
      <c r="ONL50" s="543"/>
      <c r="ONM50" s="543"/>
      <c r="ONN50" s="543"/>
      <c r="ONO50" s="543"/>
      <c r="ONP50" s="543"/>
      <c r="ONQ50" s="543"/>
      <c r="ONR50" s="543"/>
      <c r="ONS50" s="543"/>
      <c r="ONT50" s="543"/>
      <c r="ONU50" s="543"/>
      <c r="ONV50" s="543"/>
      <c r="ONW50" s="543"/>
      <c r="ONX50" s="543"/>
      <c r="ONY50" s="543"/>
      <c r="ONZ50" s="543"/>
      <c r="OOA50" s="543"/>
      <c r="OOB50" s="543"/>
      <c r="OOC50" s="543"/>
      <c r="OOD50" s="543"/>
      <c r="OOE50" s="543"/>
      <c r="OOF50" s="543"/>
      <c r="OOG50" s="543"/>
      <c r="OOH50" s="543"/>
      <c r="OOI50" s="543"/>
      <c r="OOJ50" s="543"/>
      <c r="OOK50" s="543"/>
      <c r="OOL50" s="543"/>
      <c r="OOM50" s="543"/>
      <c r="OON50" s="543"/>
      <c r="OOO50" s="543"/>
      <c r="OOP50" s="543"/>
      <c r="OOQ50" s="543"/>
      <c r="OOR50" s="543"/>
      <c r="OOS50" s="543"/>
      <c r="OOT50" s="543"/>
      <c r="OOU50" s="543"/>
      <c r="OOV50" s="543"/>
      <c r="OOW50" s="543"/>
      <c r="OOX50" s="543"/>
      <c r="OOY50" s="543"/>
      <c r="OOZ50" s="543"/>
      <c r="OPA50" s="543"/>
      <c r="OPB50" s="543"/>
      <c r="OPC50" s="543"/>
      <c r="OPD50" s="543"/>
      <c r="OPE50" s="543"/>
      <c r="OPF50" s="543"/>
      <c r="OPG50" s="543"/>
      <c r="OPH50" s="543"/>
      <c r="OPI50" s="543"/>
      <c r="OPJ50" s="543"/>
      <c r="OPK50" s="543"/>
      <c r="OPL50" s="543"/>
      <c r="OPM50" s="543"/>
      <c r="OPN50" s="543"/>
      <c r="OPO50" s="543"/>
      <c r="OPP50" s="543"/>
      <c r="OPQ50" s="543"/>
      <c r="OPR50" s="543"/>
      <c r="OPS50" s="543"/>
      <c r="OPT50" s="543"/>
      <c r="OPU50" s="543"/>
      <c r="OPV50" s="543"/>
      <c r="OPW50" s="543"/>
      <c r="OPX50" s="543"/>
      <c r="OPY50" s="543"/>
      <c r="OPZ50" s="543"/>
      <c r="OQA50" s="543"/>
      <c r="OQB50" s="543"/>
      <c r="OQC50" s="543"/>
      <c r="OQD50" s="543"/>
      <c r="OQE50" s="543"/>
      <c r="OQF50" s="543"/>
      <c r="OQG50" s="543"/>
      <c r="OQH50" s="543"/>
      <c r="OQI50" s="543"/>
      <c r="OQJ50" s="543"/>
      <c r="OQK50" s="543"/>
      <c r="OQL50" s="543"/>
      <c r="OQM50" s="543"/>
      <c r="OQN50" s="543"/>
      <c r="OQO50" s="543"/>
      <c r="OQP50" s="543"/>
      <c r="OQQ50" s="543"/>
      <c r="OQR50" s="543"/>
      <c r="OQS50" s="543"/>
      <c r="OQT50" s="543"/>
      <c r="OQU50" s="543"/>
      <c r="OQV50" s="543"/>
      <c r="OQW50" s="543"/>
      <c r="OQX50" s="543"/>
      <c r="OQY50" s="543"/>
      <c r="OQZ50" s="543"/>
      <c r="ORA50" s="543"/>
      <c r="ORB50" s="543"/>
      <c r="ORC50" s="543"/>
      <c r="ORD50" s="543"/>
      <c r="ORE50" s="543"/>
      <c r="ORF50" s="543"/>
      <c r="ORG50" s="543"/>
      <c r="ORH50" s="543"/>
      <c r="ORI50" s="543"/>
      <c r="ORJ50" s="543"/>
      <c r="ORK50" s="543"/>
      <c r="ORL50" s="543"/>
      <c r="ORM50" s="543"/>
      <c r="ORN50" s="543"/>
      <c r="ORO50" s="543"/>
      <c r="ORP50" s="543"/>
      <c r="ORQ50" s="543"/>
      <c r="ORR50" s="543"/>
      <c r="ORS50" s="543"/>
      <c r="ORT50" s="543"/>
      <c r="ORU50" s="543"/>
      <c r="ORV50" s="543"/>
      <c r="ORW50" s="543"/>
      <c r="ORX50" s="543"/>
      <c r="ORY50" s="543"/>
      <c r="ORZ50" s="543"/>
      <c r="OSA50" s="543"/>
      <c r="OSB50" s="543"/>
      <c r="OSC50" s="543"/>
      <c r="OSD50" s="543"/>
      <c r="OSE50" s="543"/>
      <c r="OSF50" s="543"/>
      <c r="OSG50" s="543"/>
      <c r="OSH50" s="543"/>
      <c r="OSI50" s="543"/>
      <c r="OSJ50" s="543"/>
      <c r="OSK50" s="543"/>
      <c r="OSL50" s="543"/>
      <c r="OSM50" s="543"/>
      <c r="OSN50" s="543"/>
      <c r="OSO50" s="543"/>
      <c r="OSP50" s="543"/>
      <c r="OSQ50" s="543"/>
      <c r="OSR50" s="543"/>
      <c r="OSS50" s="543"/>
      <c r="OST50" s="543"/>
      <c r="OSU50" s="543"/>
      <c r="OSV50" s="543"/>
      <c r="OSW50" s="543"/>
      <c r="OSX50" s="543"/>
      <c r="OSY50" s="543"/>
      <c r="OSZ50" s="543"/>
      <c r="OTA50" s="543"/>
      <c r="OTB50" s="543"/>
      <c r="OTC50" s="543"/>
      <c r="OTD50" s="543"/>
      <c r="OTE50" s="543"/>
      <c r="OTF50" s="543"/>
      <c r="OTG50" s="543"/>
      <c r="OTH50" s="543"/>
      <c r="OTI50" s="543"/>
      <c r="OTJ50" s="543"/>
      <c r="OTK50" s="543"/>
      <c r="OTL50" s="543"/>
      <c r="OTM50" s="543"/>
      <c r="OTN50" s="543"/>
      <c r="OTO50" s="543"/>
      <c r="OTP50" s="543"/>
      <c r="OTQ50" s="543"/>
      <c r="OTR50" s="543"/>
      <c r="OTS50" s="543"/>
      <c r="OTT50" s="543"/>
      <c r="OTU50" s="543"/>
      <c r="OTV50" s="543"/>
      <c r="OTW50" s="543"/>
      <c r="OTX50" s="543"/>
      <c r="OTY50" s="543"/>
      <c r="OTZ50" s="543"/>
      <c r="OUA50" s="543"/>
      <c r="OUB50" s="543"/>
      <c r="OUC50" s="543"/>
      <c r="OUD50" s="543"/>
      <c r="OUE50" s="543"/>
      <c r="OUF50" s="543"/>
      <c r="OUG50" s="543"/>
      <c r="OUH50" s="543"/>
      <c r="OUI50" s="543"/>
      <c r="OUJ50" s="543"/>
      <c r="OUK50" s="543"/>
      <c r="OUL50" s="543"/>
      <c r="OUM50" s="543"/>
      <c r="OUN50" s="543"/>
      <c r="OUO50" s="543"/>
      <c r="OUP50" s="543"/>
      <c r="OUQ50" s="543"/>
      <c r="OUR50" s="543"/>
      <c r="OUS50" s="543"/>
      <c r="OUT50" s="543"/>
      <c r="OUU50" s="543"/>
      <c r="OUV50" s="543"/>
      <c r="OUW50" s="543"/>
      <c r="OUX50" s="543"/>
      <c r="OUY50" s="543"/>
      <c r="OUZ50" s="543"/>
      <c r="OVA50" s="543"/>
      <c r="OVB50" s="543"/>
      <c r="OVC50" s="543"/>
      <c r="OVD50" s="543"/>
      <c r="OVE50" s="543"/>
      <c r="OVF50" s="543"/>
      <c r="OVG50" s="543"/>
      <c r="OVH50" s="543"/>
      <c r="OVI50" s="543"/>
      <c r="OVJ50" s="543"/>
      <c r="OVK50" s="543"/>
      <c r="OVL50" s="543"/>
      <c r="OVM50" s="543"/>
      <c r="OVN50" s="543"/>
      <c r="OVO50" s="543"/>
      <c r="OVP50" s="543"/>
      <c r="OVQ50" s="543"/>
      <c r="OVR50" s="543"/>
      <c r="OVS50" s="543"/>
      <c r="OVT50" s="543"/>
      <c r="OVU50" s="543"/>
      <c r="OVV50" s="543"/>
      <c r="OVW50" s="543"/>
      <c r="OVX50" s="543"/>
      <c r="OVY50" s="543"/>
      <c r="OVZ50" s="543"/>
      <c r="OWA50" s="543"/>
      <c r="OWB50" s="543"/>
      <c r="OWC50" s="543"/>
      <c r="OWD50" s="543"/>
      <c r="OWE50" s="543"/>
      <c r="OWF50" s="543"/>
      <c r="OWG50" s="543"/>
      <c r="OWH50" s="543"/>
      <c r="OWI50" s="543"/>
      <c r="OWJ50" s="543"/>
      <c r="OWK50" s="543"/>
      <c r="OWL50" s="543"/>
      <c r="OWM50" s="543"/>
      <c r="OWN50" s="543"/>
      <c r="OWO50" s="543"/>
      <c r="OWP50" s="543"/>
      <c r="OWQ50" s="543"/>
      <c r="OWR50" s="543"/>
      <c r="OWS50" s="543"/>
      <c r="OWT50" s="543"/>
      <c r="OWU50" s="543"/>
      <c r="OWV50" s="543"/>
      <c r="OWW50" s="543"/>
      <c r="OWX50" s="543"/>
      <c r="OWY50" s="543"/>
      <c r="OWZ50" s="543"/>
      <c r="OXA50" s="543"/>
      <c r="OXB50" s="543"/>
      <c r="OXC50" s="543"/>
      <c r="OXD50" s="543"/>
      <c r="OXE50" s="543"/>
      <c r="OXF50" s="543"/>
      <c r="OXG50" s="543"/>
      <c r="OXH50" s="543"/>
      <c r="OXI50" s="543"/>
      <c r="OXJ50" s="543"/>
      <c r="OXK50" s="543"/>
      <c r="OXL50" s="543"/>
      <c r="OXM50" s="543"/>
      <c r="OXN50" s="543"/>
      <c r="OXO50" s="543"/>
      <c r="OXP50" s="543"/>
      <c r="OXQ50" s="543"/>
      <c r="OXR50" s="543"/>
      <c r="OXS50" s="543"/>
      <c r="OXT50" s="543"/>
      <c r="OXU50" s="543"/>
      <c r="OXV50" s="543"/>
      <c r="OXW50" s="543"/>
      <c r="OXX50" s="543"/>
      <c r="OXY50" s="543"/>
      <c r="OXZ50" s="543"/>
      <c r="OYA50" s="543"/>
      <c r="OYB50" s="543"/>
      <c r="OYC50" s="543"/>
      <c r="OYD50" s="543"/>
      <c r="OYE50" s="543"/>
      <c r="OYF50" s="543"/>
      <c r="OYG50" s="543"/>
      <c r="OYH50" s="543"/>
      <c r="OYI50" s="543"/>
      <c r="OYJ50" s="543"/>
      <c r="OYK50" s="543"/>
      <c r="OYL50" s="543"/>
      <c r="OYM50" s="543"/>
      <c r="OYN50" s="543"/>
      <c r="OYO50" s="543"/>
      <c r="OYP50" s="543"/>
      <c r="OYQ50" s="543"/>
      <c r="OYR50" s="543"/>
      <c r="OYS50" s="543"/>
      <c r="OYT50" s="543"/>
      <c r="OYU50" s="543"/>
      <c r="OYV50" s="543"/>
      <c r="OYW50" s="543"/>
      <c r="OYX50" s="543"/>
      <c r="OYY50" s="543"/>
      <c r="OYZ50" s="543"/>
      <c r="OZA50" s="543"/>
      <c r="OZB50" s="543"/>
      <c r="OZC50" s="543"/>
      <c r="OZD50" s="543"/>
      <c r="OZE50" s="543"/>
      <c r="OZF50" s="543"/>
      <c r="OZG50" s="543"/>
      <c r="OZH50" s="543"/>
      <c r="OZI50" s="543"/>
      <c r="OZJ50" s="543"/>
      <c r="OZK50" s="543"/>
      <c r="OZL50" s="543"/>
      <c r="OZM50" s="543"/>
      <c r="OZN50" s="543"/>
      <c r="OZO50" s="543"/>
      <c r="OZP50" s="543"/>
      <c r="OZQ50" s="543"/>
      <c r="OZR50" s="543"/>
      <c r="OZS50" s="543"/>
      <c r="OZT50" s="543"/>
      <c r="OZU50" s="543"/>
      <c r="OZV50" s="543"/>
      <c r="OZW50" s="543"/>
      <c r="OZX50" s="543"/>
      <c r="OZY50" s="543"/>
      <c r="OZZ50" s="543"/>
      <c r="PAA50" s="543"/>
      <c r="PAB50" s="543"/>
      <c r="PAC50" s="543"/>
      <c r="PAD50" s="543"/>
      <c r="PAE50" s="543"/>
      <c r="PAF50" s="543"/>
      <c r="PAG50" s="543"/>
      <c r="PAH50" s="543"/>
      <c r="PAI50" s="543"/>
      <c r="PAJ50" s="543"/>
      <c r="PAK50" s="543"/>
      <c r="PAL50" s="543"/>
      <c r="PAM50" s="543"/>
      <c r="PAN50" s="543"/>
      <c r="PAO50" s="543"/>
      <c r="PAP50" s="543"/>
      <c r="PAQ50" s="543"/>
      <c r="PAR50" s="543"/>
      <c r="PAS50" s="543"/>
      <c r="PAT50" s="543"/>
      <c r="PAU50" s="543"/>
      <c r="PAV50" s="543"/>
      <c r="PAW50" s="543"/>
      <c r="PAX50" s="543"/>
      <c r="PAY50" s="543"/>
      <c r="PAZ50" s="543"/>
      <c r="PBA50" s="543"/>
      <c r="PBB50" s="543"/>
      <c r="PBC50" s="543"/>
      <c r="PBD50" s="543"/>
      <c r="PBE50" s="543"/>
      <c r="PBF50" s="543"/>
      <c r="PBG50" s="543"/>
      <c r="PBH50" s="543"/>
      <c r="PBI50" s="543"/>
      <c r="PBJ50" s="543"/>
      <c r="PBK50" s="543"/>
      <c r="PBL50" s="543"/>
      <c r="PBM50" s="543"/>
      <c r="PBN50" s="543"/>
      <c r="PBO50" s="543"/>
      <c r="PBP50" s="543"/>
      <c r="PBQ50" s="543"/>
      <c r="PBR50" s="543"/>
      <c r="PBS50" s="543"/>
      <c r="PBT50" s="543"/>
      <c r="PBU50" s="543"/>
      <c r="PBV50" s="543"/>
      <c r="PBW50" s="543"/>
      <c r="PBX50" s="543"/>
      <c r="PBY50" s="543"/>
      <c r="PBZ50" s="543"/>
      <c r="PCA50" s="543"/>
      <c r="PCB50" s="543"/>
      <c r="PCC50" s="543"/>
      <c r="PCD50" s="543"/>
      <c r="PCE50" s="543"/>
      <c r="PCF50" s="543"/>
      <c r="PCG50" s="543"/>
      <c r="PCH50" s="543"/>
      <c r="PCI50" s="543"/>
      <c r="PCJ50" s="543"/>
      <c r="PCK50" s="543"/>
      <c r="PCL50" s="543"/>
      <c r="PCM50" s="543"/>
      <c r="PCN50" s="543"/>
      <c r="PCO50" s="543"/>
      <c r="PCP50" s="543"/>
      <c r="PCQ50" s="543"/>
      <c r="PCR50" s="543"/>
      <c r="PCS50" s="543"/>
      <c r="PCT50" s="543"/>
      <c r="PCU50" s="543"/>
      <c r="PCV50" s="543"/>
      <c r="PCW50" s="543"/>
      <c r="PCX50" s="543"/>
      <c r="PCY50" s="543"/>
      <c r="PCZ50" s="543"/>
      <c r="PDA50" s="543"/>
      <c r="PDB50" s="543"/>
      <c r="PDC50" s="543"/>
      <c r="PDD50" s="543"/>
      <c r="PDE50" s="543"/>
      <c r="PDF50" s="543"/>
      <c r="PDG50" s="543"/>
      <c r="PDH50" s="543"/>
      <c r="PDI50" s="543"/>
      <c r="PDJ50" s="543"/>
      <c r="PDK50" s="543"/>
      <c r="PDL50" s="543"/>
      <c r="PDM50" s="543"/>
      <c r="PDN50" s="543"/>
      <c r="PDO50" s="543"/>
      <c r="PDP50" s="543"/>
      <c r="PDQ50" s="543"/>
      <c r="PDR50" s="543"/>
      <c r="PDS50" s="543"/>
      <c r="PDT50" s="543"/>
      <c r="PDU50" s="543"/>
      <c r="PDV50" s="543"/>
      <c r="PDW50" s="543"/>
      <c r="PDX50" s="543"/>
      <c r="PDY50" s="543"/>
      <c r="PDZ50" s="543"/>
      <c r="PEA50" s="543"/>
      <c r="PEB50" s="543"/>
      <c r="PEC50" s="543"/>
      <c r="PED50" s="543"/>
      <c r="PEE50" s="543"/>
      <c r="PEF50" s="543"/>
      <c r="PEG50" s="543"/>
      <c r="PEH50" s="543"/>
      <c r="PEI50" s="543"/>
      <c r="PEJ50" s="543"/>
      <c r="PEK50" s="543"/>
      <c r="PEL50" s="543"/>
      <c r="PEM50" s="543"/>
      <c r="PEN50" s="543"/>
      <c r="PEO50" s="543"/>
      <c r="PEP50" s="543"/>
      <c r="PEQ50" s="543"/>
      <c r="PER50" s="543"/>
      <c r="PES50" s="543"/>
      <c r="PET50" s="543"/>
      <c r="PEU50" s="543"/>
      <c r="PEV50" s="543"/>
      <c r="PEW50" s="543"/>
      <c r="PEX50" s="543"/>
      <c r="PEY50" s="543"/>
      <c r="PEZ50" s="543"/>
      <c r="PFA50" s="543"/>
      <c r="PFB50" s="543"/>
      <c r="PFC50" s="543"/>
      <c r="PFD50" s="543"/>
      <c r="PFE50" s="543"/>
      <c r="PFF50" s="543"/>
      <c r="PFG50" s="543"/>
      <c r="PFH50" s="543"/>
      <c r="PFI50" s="543"/>
      <c r="PFJ50" s="543"/>
      <c r="PFK50" s="543"/>
      <c r="PFL50" s="543"/>
      <c r="PFM50" s="543"/>
      <c r="PFN50" s="543"/>
      <c r="PFO50" s="543"/>
      <c r="PFP50" s="543"/>
      <c r="PFQ50" s="543"/>
      <c r="PFR50" s="543"/>
      <c r="PFS50" s="543"/>
      <c r="PFT50" s="543"/>
      <c r="PFU50" s="543"/>
      <c r="PFV50" s="543"/>
      <c r="PFW50" s="543"/>
      <c r="PFX50" s="543"/>
      <c r="PFY50" s="543"/>
      <c r="PFZ50" s="543"/>
      <c r="PGA50" s="543"/>
      <c r="PGB50" s="543"/>
      <c r="PGC50" s="543"/>
      <c r="PGD50" s="543"/>
      <c r="PGE50" s="543"/>
      <c r="PGF50" s="543"/>
      <c r="PGG50" s="543"/>
      <c r="PGH50" s="543"/>
      <c r="PGI50" s="543"/>
      <c r="PGJ50" s="543"/>
      <c r="PGK50" s="543"/>
      <c r="PGL50" s="543"/>
      <c r="PGM50" s="543"/>
      <c r="PGN50" s="543"/>
      <c r="PGO50" s="543"/>
      <c r="PGP50" s="543"/>
      <c r="PGQ50" s="543"/>
      <c r="PGR50" s="543"/>
      <c r="PGS50" s="543"/>
      <c r="PGT50" s="543"/>
      <c r="PGU50" s="543"/>
      <c r="PGV50" s="543"/>
      <c r="PGW50" s="543"/>
      <c r="PGX50" s="543"/>
      <c r="PGY50" s="543"/>
      <c r="PGZ50" s="543"/>
      <c r="PHA50" s="543"/>
      <c r="PHB50" s="543"/>
      <c r="PHC50" s="543"/>
      <c r="PHD50" s="543"/>
      <c r="PHE50" s="543"/>
      <c r="PHF50" s="543"/>
      <c r="PHG50" s="543"/>
      <c r="PHH50" s="543"/>
      <c r="PHI50" s="543"/>
      <c r="PHJ50" s="543"/>
      <c r="PHK50" s="543"/>
      <c r="PHL50" s="543"/>
      <c r="PHM50" s="543"/>
      <c r="PHN50" s="543"/>
      <c r="PHO50" s="543"/>
      <c r="PHP50" s="543"/>
      <c r="PHQ50" s="543"/>
      <c r="PHR50" s="543"/>
      <c r="PHS50" s="543"/>
      <c r="PHT50" s="543"/>
      <c r="PHU50" s="543"/>
      <c r="PHV50" s="543"/>
      <c r="PHW50" s="543"/>
      <c r="PHX50" s="543"/>
      <c r="PHY50" s="543"/>
      <c r="PHZ50" s="543"/>
      <c r="PIA50" s="543"/>
      <c r="PIB50" s="543"/>
      <c r="PIC50" s="543"/>
      <c r="PID50" s="543"/>
      <c r="PIE50" s="543"/>
      <c r="PIF50" s="543"/>
      <c r="PIG50" s="543"/>
      <c r="PIH50" s="543"/>
      <c r="PII50" s="543"/>
      <c r="PIJ50" s="543"/>
      <c r="PIK50" s="543"/>
      <c r="PIL50" s="543"/>
      <c r="PIM50" s="543"/>
      <c r="PIN50" s="543"/>
      <c r="PIO50" s="543"/>
      <c r="PIP50" s="543"/>
      <c r="PIQ50" s="543"/>
      <c r="PIR50" s="543"/>
      <c r="PIS50" s="543"/>
      <c r="PIT50" s="543"/>
      <c r="PIU50" s="543"/>
      <c r="PIV50" s="543"/>
      <c r="PIW50" s="543"/>
      <c r="PIX50" s="543"/>
      <c r="PIY50" s="543"/>
      <c r="PIZ50" s="543"/>
      <c r="PJA50" s="543"/>
      <c r="PJB50" s="543"/>
      <c r="PJC50" s="543"/>
      <c r="PJD50" s="543"/>
      <c r="PJE50" s="543"/>
      <c r="PJF50" s="543"/>
      <c r="PJG50" s="543"/>
      <c r="PJH50" s="543"/>
      <c r="PJI50" s="543"/>
      <c r="PJJ50" s="543"/>
      <c r="PJK50" s="543"/>
      <c r="PJL50" s="543"/>
      <c r="PJM50" s="543"/>
      <c r="PJN50" s="543"/>
      <c r="PJO50" s="543"/>
      <c r="PJP50" s="543"/>
      <c r="PJQ50" s="543"/>
      <c r="PJR50" s="543"/>
      <c r="PJS50" s="543"/>
      <c r="PJT50" s="543"/>
      <c r="PJU50" s="543"/>
      <c r="PJV50" s="543"/>
      <c r="PJW50" s="543"/>
      <c r="PJX50" s="543"/>
      <c r="PJY50" s="543"/>
      <c r="PJZ50" s="543"/>
      <c r="PKA50" s="543"/>
      <c r="PKB50" s="543"/>
      <c r="PKC50" s="543"/>
      <c r="PKD50" s="543"/>
      <c r="PKE50" s="543"/>
      <c r="PKF50" s="543"/>
      <c r="PKG50" s="543"/>
      <c r="PKH50" s="543"/>
      <c r="PKI50" s="543"/>
      <c r="PKJ50" s="543"/>
      <c r="PKK50" s="543"/>
      <c r="PKL50" s="543"/>
      <c r="PKM50" s="543"/>
      <c r="PKN50" s="543"/>
      <c r="PKO50" s="543"/>
      <c r="PKP50" s="543"/>
      <c r="PKQ50" s="543"/>
      <c r="PKR50" s="543"/>
      <c r="PKS50" s="543"/>
      <c r="PKT50" s="543"/>
      <c r="PKU50" s="543"/>
      <c r="PKV50" s="543"/>
      <c r="PKW50" s="543"/>
      <c r="PKX50" s="543"/>
      <c r="PKY50" s="543"/>
      <c r="PKZ50" s="543"/>
      <c r="PLA50" s="543"/>
      <c r="PLB50" s="543"/>
      <c r="PLC50" s="543"/>
      <c r="PLD50" s="543"/>
      <c r="PLE50" s="543"/>
      <c r="PLF50" s="543"/>
      <c r="PLG50" s="543"/>
      <c r="PLH50" s="543"/>
      <c r="PLI50" s="543"/>
      <c r="PLJ50" s="543"/>
      <c r="PLK50" s="543"/>
      <c r="PLL50" s="543"/>
      <c r="PLM50" s="543"/>
      <c r="PLN50" s="543"/>
      <c r="PLO50" s="543"/>
      <c r="PLP50" s="543"/>
      <c r="PLQ50" s="543"/>
      <c r="PLR50" s="543"/>
      <c r="PLS50" s="543"/>
      <c r="PLT50" s="543"/>
      <c r="PLU50" s="543"/>
      <c r="PLV50" s="543"/>
      <c r="PLW50" s="543"/>
      <c r="PLX50" s="543"/>
      <c r="PLY50" s="543"/>
      <c r="PLZ50" s="543"/>
      <c r="PMA50" s="543"/>
      <c r="PMB50" s="543"/>
      <c r="PMC50" s="543"/>
      <c r="PMD50" s="543"/>
      <c r="PME50" s="543"/>
      <c r="PMF50" s="543"/>
      <c r="PMG50" s="543"/>
      <c r="PMH50" s="543"/>
      <c r="PMI50" s="543"/>
      <c r="PMJ50" s="543"/>
      <c r="PMK50" s="543"/>
      <c r="PML50" s="543"/>
      <c r="PMM50" s="543"/>
      <c r="PMN50" s="543"/>
      <c r="PMO50" s="543"/>
      <c r="PMP50" s="543"/>
      <c r="PMQ50" s="543"/>
      <c r="PMR50" s="543"/>
      <c r="PMS50" s="543"/>
      <c r="PMT50" s="543"/>
      <c r="PMU50" s="543"/>
      <c r="PMV50" s="543"/>
      <c r="PMW50" s="543"/>
      <c r="PMX50" s="543"/>
      <c r="PMY50" s="543"/>
      <c r="PMZ50" s="543"/>
      <c r="PNA50" s="543"/>
      <c r="PNB50" s="543"/>
      <c r="PNC50" s="543"/>
      <c r="PND50" s="543"/>
      <c r="PNE50" s="543"/>
      <c r="PNF50" s="543"/>
      <c r="PNG50" s="543"/>
      <c r="PNH50" s="543"/>
      <c r="PNI50" s="543"/>
      <c r="PNJ50" s="543"/>
      <c r="PNK50" s="543"/>
      <c r="PNL50" s="543"/>
      <c r="PNM50" s="543"/>
      <c r="PNN50" s="543"/>
      <c r="PNO50" s="543"/>
      <c r="PNP50" s="543"/>
      <c r="PNQ50" s="543"/>
      <c r="PNR50" s="543"/>
      <c r="PNS50" s="543"/>
      <c r="PNT50" s="543"/>
      <c r="PNU50" s="543"/>
      <c r="PNV50" s="543"/>
      <c r="PNW50" s="543"/>
      <c r="PNX50" s="543"/>
      <c r="PNY50" s="543"/>
      <c r="PNZ50" s="543"/>
      <c r="POA50" s="543"/>
      <c r="POB50" s="543"/>
      <c r="POC50" s="543"/>
      <c r="POD50" s="543"/>
      <c r="POE50" s="543"/>
      <c r="POF50" s="543"/>
      <c r="POG50" s="543"/>
      <c r="POH50" s="543"/>
      <c r="POI50" s="543"/>
      <c r="POJ50" s="543"/>
      <c r="POK50" s="543"/>
      <c r="POL50" s="543"/>
      <c r="POM50" s="543"/>
      <c r="PON50" s="543"/>
      <c r="POO50" s="543"/>
      <c r="POP50" s="543"/>
      <c r="POQ50" s="543"/>
      <c r="POR50" s="543"/>
      <c r="POS50" s="543"/>
      <c r="POT50" s="543"/>
      <c r="POU50" s="543"/>
      <c r="POV50" s="543"/>
      <c r="POW50" s="543"/>
      <c r="POX50" s="543"/>
      <c r="POY50" s="543"/>
      <c r="POZ50" s="543"/>
      <c r="PPA50" s="543"/>
      <c r="PPB50" s="543"/>
      <c r="PPC50" s="543"/>
      <c r="PPD50" s="543"/>
      <c r="PPE50" s="543"/>
      <c r="PPF50" s="543"/>
      <c r="PPG50" s="543"/>
      <c r="PPH50" s="543"/>
      <c r="PPI50" s="543"/>
      <c r="PPJ50" s="543"/>
      <c r="PPK50" s="543"/>
      <c r="PPL50" s="543"/>
      <c r="PPM50" s="543"/>
      <c r="PPN50" s="543"/>
      <c r="PPO50" s="543"/>
      <c r="PPP50" s="543"/>
      <c r="PPQ50" s="543"/>
      <c r="PPR50" s="543"/>
      <c r="PPS50" s="543"/>
      <c r="PPT50" s="543"/>
      <c r="PPU50" s="543"/>
      <c r="PPV50" s="543"/>
      <c r="PPW50" s="543"/>
      <c r="PPX50" s="543"/>
      <c r="PPY50" s="543"/>
      <c r="PPZ50" s="543"/>
      <c r="PQA50" s="543"/>
      <c r="PQB50" s="543"/>
      <c r="PQC50" s="543"/>
      <c r="PQD50" s="543"/>
      <c r="PQE50" s="543"/>
      <c r="PQF50" s="543"/>
      <c r="PQG50" s="543"/>
      <c r="PQH50" s="543"/>
      <c r="PQI50" s="543"/>
      <c r="PQJ50" s="543"/>
      <c r="PQK50" s="543"/>
      <c r="PQL50" s="543"/>
      <c r="PQM50" s="543"/>
      <c r="PQN50" s="543"/>
      <c r="PQO50" s="543"/>
      <c r="PQP50" s="543"/>
      <c r="PQQ50" s="543"/>
      <c r="PQR50" s="543"/>
      <c r="PQS50" s="543"/>
      <c r="PQT50" s="543"/>
      <c r="PQU50" s="543"/>
      <c r="PQV50" s="543"/>
      <c r="PQW50" s="543"/>
      <c r="PQX50" s="543"/>
      <c r="PQY50" s="543"/>
      <c r="PQZ50" s="543"/>
      <c r="PRA50" s="543"/>
      <c r="PRB50" s="543"/>
      <c r="PRC50" s="543"/>
      <c r="PRD50" s="543"/>
      <c r="PRE50" s="543"/>
      <c r="PRF50" s="543"/>
      <c r="PRG50" s="543"/>
      <c r="PRH50" s="543"/>
      <c r="PRI50" s="543"/>
      <c r="PRJ50" s="543"/>
      <c r="PRK50" s="543"/>
      <c r="PRL50" s="543"/>
      <c r="PRM50" s="543"/>
      <c r="PRN50" s="543"/>
      <c r="PRO50" s="543"/>
      <c r="PRP50" s="543"/>
      <c r="PRQ50" s="543"/>
      <c r="PRR50" s="543"/>
      <c r="PRS50" s="543"/>
      <c r="PRT50" s="543"/>
      <c r="PRU50" s="543"/>
      <c r="PRV50" s="543"/>
      <c r="PRW50" s="543"/>
      <c r="PRX50" s="543"/>
      <c r="PRY50" s="543"/>
      <c r="PRZ50" s="543"/>
      <c r="PSA50" s="543"/>
      <c r="PSB50" s="543"/>
      <c r="PSC50" s="543"/>
      <c r="PSD50" s="543"/>
      <c r="PSE50" s="543"/>
      <c r="PSF50" s="543"/>
      <c r="PSG50" s="543"/>
      <c r="PSH50" s="543"/>
      <c r="PSI50" s="543"/>
      <c r="PSJ50" s="543"/>
      <c r="PSK50" s="543"/>
      <c r="PSL50" s="543"/>
      <c r="PSM50" s="543"/>
      <c r="PSN50" s="543"/>
      <c r="PSO50" s="543"/>
      <c r="PSP50" s="543"/>
      <c r="PSQ50" s="543"/>
      <c r="PSR50" s="543"/>
      <c r="PSS50" s="543"/>
      <c r="PST50" s="543"/>
      <c r="PSU50" s="543"/>
      <c r="PSV50" s="543"/>
      <c r="PSW50" s="543"/>
      <c r="PSX50" s="543"/>
      <c r="PSY50" s="543"/>
      <c r="PSZ50" s="543"/>
      <c r="PTA50" s="543"/>
      <c r="PTB50" s="543"/>
      <c r="PTC50" s="543"/>
      <c r="PTD50" s="543"/>
      <c r="PTE50" s="543"/>
      <c r="PTF50" s="543"/>
      <c r="PTG50" s="543"/>
      <c r="PTH50" s="543"/>
      <c r="PTI50" s="543"/>
      <c r="PTJ50" s="543"/>
      <c r="PTK50" s="543"/>
      <c r="PTL50" s="543"/>
      <c r="PTM50" s="543"/>
      <c r="PTN50" s="543"/>
      <c r="PTO50" s="543"/>
      <c r="PTP50" s="543"/>
      <c r="PTQ50" s="543"/>
      <c r="PTR50" s="543"/>
      <c r="PTS50" s="543"/>
      <c r="PTT50" s="543"/>
      <c r="PTU50" s="543"/>
      <c r="PTV50" s="543"/>
      <c r="PTW50" s="543"/>
      <c r="PTX50" s="543"/>
      <c r="PTY50" s="543"/>
      <c r="PTZ50" s="543"/>
      <c r="PUA50" s="543"/>
      <c r="PUB50" s="543"/>
      <c r="PUC50" s="543"/>
      <c r="PUD50" s="543"/>
      <c r="PUE50" s="543"/>
      <c r="PUF50" s="543"/>
      <c r="PUG50" s="543"/>
      <c r="PUH50" s="543"/>
      <c r="PUI50" s="543"/>
      <c r="PUJ50" s="543"/>
      <c r="PUK50" s="543"/>
      <c r="PUL50" s="543"/>
      <c r="PUM50" s="543"/>
      <c r="PUN50" s="543"/>
      <c r="PUO50" s="543"/>
      <c r="PUP50" s="543"/>
      <c r="PUQ50" s="543"/>
      <c r="PUR50" s="543"/>
      <c r="PUS50" s="543"/>
      <c r="PUT50" s="543"/>
      <c r="PUU50" s="543"/>
      <c r="PUV50" s="543"/>
      <c r="PUW50" s="543"/>
      <c r="PUX50" s="543"/>
      <c r="PUY50" s="543"/>
      <c r="PUZ50" s="543"/>
      <c r="PVA50" s="543"/>
      <c r="PVB50" s="543"/>
      <c r="PVC50" s="543"/>
      <c r="PVD50" s="543"/>
      <c r="PVE50" s="543"/>
      <c r="PVF50" s="543"/>
      <c r="PVG50" s="543"/>
      <c r="PVH50" s="543"/>
      <c r="PVI50" s="543"/>
      <c r="PVJ50" s="543"/>
      <c r="PVK50" s="543"/>
      <c r="PVL50" s="543"/>
      <c r="PVM50" s="543"/>
      <c r="PVN50" s="543"/>
      <c r="PVO50" s="543"/>
      <c r="PVP50" s="543"/>
      <c r="PVQ50" s="543"/>
      <c r="PVR50" s="543"/>
      <c r="PVS50" s="543"/>
      <c r="PVT50" s="543"/>
      <c r="PVU50" s="543"/>
      <c r="PVV50" s="543"/>
      <c r="PVW50" s="543"/>
      <c r="PVX50" s="543"/>
      <c r="PVY50" s="543"/>
      <c r="PVZ50" s="543"/>
      <c r="PWA50" s="543"/>
      <c r="PWB50" s="543"/>
      <c r="PWC50" s="543"/>
      <c r="PWD50" s="543"/>
      <c r="PWE50" s="543"/>
      <c r="PWF50" s="543"/>
      <c r="PWG50" s="543"/>
      <c r="PWH50" s="543"/>
      <c r="PWI50" s="543"/>
      <c r="PWJ50" s="543"/>
      <c r="PWK50" s="543"/>
      <c r="PWL50" s="543"/>
      <c r="PWM50" s="543"/>
      <c r="PWN50" s="543"/>
      <c r="PWO50" s="543"/>
      <c r="PWP50" s="543"/>
      <c r="PWQ50" s="543"/>
      <c r="PWR50" s="543"/>
      <c r="PWS50" s="543"/>
      <c r="PWT50" s="543"/>
      <c r="PWU50" s="543"/>
      <c r="PWV50" s="543"/>
      <c r="PWW50" s="543"/>
      <c r="PWX50" s="543"/>
      <c r="PWY50" s="543"/>
      <c r="PWZ50" s="543"/>
      <c r="PXA50" s="543"/>
      <c r="PXB50" s="543"/>
      <c r="PXC50" s="543"/>
      <c r="PXD50" s="543"/>
      <c r="PXE50" s="543"/>
      <c r="PXF50" s="543"/>
      <c r="PXG50" s="543"/>
      <c r="PXH50" s="543"/>
      <c r="PXI50" s="543"/>
      <c r="PXJ50" s="543"/>
      <c r="PXK50" s="543"/>
      <c r="PXL50" s="543"/>
      <c r="PXM50" s="543"/>
      <c r="PXN50" s="543"/>
      <c r="PXO50" s="543"/>
      <c r="PXP50" s="543"/>
      <c r="PXQ50" s="543"/>
      <c r="PXR50" s="543"/>
      <c r="PXS50" s="543"/>
      <c r="PXT50" s="543"/>
      <c r="PXU50" s="543"/>
      <c r="PXV50" s="543"/>
      <c r="PXW50" s="543"/>
      <c r="PXX50" s="543"/>
      <c r="PXY50" s="543"/>
      <c r="PXZ50" s="543"/>
      <c r="PYA50" s="543"/>
      <c r="PYB50" s="543"/>
      <c r="PYC50" s="543"/>
      <c r="PYD50" s="543"/>
      <c r="PYE50" s="543"/>
      <c r="PYF50" s="543"/>
      <c r="PYG50" s="543"/>
      <c r="PYH50" s="543"/>
      <c r="PYI50" s="543"/>
      <c r="PYJ50" s="543"/>
      <c r="PYK50" s="543"/>
      <c r="PYL50" s="543"/>
      <c r="PYM50" s="543"/>
      <c r="PYN50" s="543"/>
      <c r="PYO50" s="543"/>
      <c r="PYP50" s="543"/>
      <c r="PYQ50" s="543"/>
      <c r="PYR50" s="543"/>
      <c r="PYS50" s="543"/>
      <c r="PYT50" s="543"/>
      <c r="PYU50" s="543"/>
      <c r="PYV50" s="543"/>
      <c r="PYW50" s="543"/>
      <c r="PYX50" s="543"/>
      <c r="PYY50" s="543"/>
      <c r="PYZ50" s="543"/>
      <c r="PZA50" s="543"/>
      <c r="PZB50" s="543"/>
      <c r="PZC50" s="543"/>
      <c r="PZD50" s="543"/>
      <c r="PZE50" s="543"/>
      <c r="PZF50" s="543"/>
      <c r="PZG50" s="543"/>
      <c r="PZH50" s="543"/>
      <c r="PZI50" s="543"/>
      <c r="PZJ50" s="543"/>
      <c r="PZK50" s="543"/>
      <c r="PZL50" s="543"/>
      <c r="PZM50" s="543"/>
      <c r="PZN50" s="543"/>
      <c r="PZO50" s="543"/>
      <c r="PZP50" s="543"/>
      <c r="PZQ50" s="543"/>
      <c r="PZR50" s="543"/>
      <c r="PZS50" s="543"/>
      <c r="PZT50" s="543"/>
      <c r="PZU50" s="543"/>
      <c r="PZV50" s="543"/>
      <c r="PZW50" s="543"/>
      <c r="PZX50" s="543"/>
      <c r="PZY50" s="543"/>
      <c r="PZZ50" s="543"/>
      <c r="QAA50" s="543"/>
      <c r="QAB50" s="543"/>
      <c r="QAC50" s="543"/>
      <c r="QAD50" s="543"/>
      <c r="QAE50" s="543"/>
      <c r="QAF50" s="543"/>
      <c r="QAG50" s="543"/>
      <c r="QAH50" s="543"/>
      <c r="QAI50" s="543"/>
      <c r="QAJ50" s="543"/>
      <c r="QAK50" s="543"/>
      <c r="QAL50" s="543"/>
      <c r="QAM50" s="543"/>
      <c r="QAN50" s="543"/>
      <c r="QAO50" s="543"/>
      <c r="QAP50" s="543"/>
      <c r="QAQ50" s="543"/>
      <c r="QAR50" s="543"/>
      <c r="QAS50" s="543"/>
      <c r="QAT50" s="543"/>
      <c r="QAU50" s="543"/>
      <c r="QAV50" s="543"/>
      <c r="QAW50" s="543"/>
      <c r="QAX50" s="543"/>
      <c r="QAY50" s="543"/>
      <c r="QAZ50" s="543"/>
      <c r="QBA50" s="543"/>
      <c r="QBB50" s="543"/>
      <c r="QBC50" s="543"/>
      <c r="QBD50" s="543"/>
      <c r="QBE50" s="543"/>
      <c r="QBF50" s="543"/>
      <c r="QBG50" s="543"/>
      <c r="QBH50" s="543"/>
      <c r="QBI50" s="543"/>
      <c r="QBJ50" s="543"/>
      <c r="QBK50" s="543"/>
      <c r="QBL50" s="543"/>
      <c r="QBM50" s="543"/>
      <c r="QBN50" s="543"/>
      <c r="QBO50" s="543"/>
      <c r="QBP50" s="543"/>
      <c r="QBQ50" s="543"/>
      <c r="QBR50" s="543"/>
      <c r="QBS50" s="543"/>
      <c r="QBT50" s="543"/>
      <c r="QBU50" s="543"/>
      <c r="QBV50" s="543"/>
      <c r="QBW50" s="543"/>
      <c r="QBX50" s="543"/>
      <c r="QBY50" s="543"/>
      <c r="QBZ50" s="543"/>
      <c r="QCA50" s="543"/>
      <c r="QCB50" s="543"/>
      <c r="QCC50" s="543"/>
      <c r="QCD50" s="543"/>
      <c r="QCE50" s="543"/>
      <c r="QCF50" s="543"/>
      <c r="QCG50" s="543"/>
      <c r="QCH50" s="543"/>
      <c r="QCI50" s="543"/>
      <c r="QCJ50" s="543"/>
      <c r="QCK50" s="543"/>
      <c r="QCL50" s="543"/>
      <c r="QCM50" s="543"/>
      <c r="QCN50" s="543"/>
      <c r="QCO50" s="543"/>
      <c r="QCP50" s="543"/>
      <c r="QCQ50" s="543"/>
      <c r="QCR50" s="543"/>
      <c r="QCS50" s="543"/>
      <c r="QCT50" s="543"/>
      <c r="QCU50" s="543"/>
      <c r="QCV50" s="543"/>
      <c r="QCW50" s="543"/>
      <c r="QCX50" s="543"/>
      <c r="QCY50" s="543"/>
      <c r="QCZ50" s="543"/>
      <c r="QDA50" s="543"/>
      <c r="QDB50" s="543"/>
      <c r="QDC50" s="543"/>
      <c r="QDD50" s="543"/>
      <c r="QDE50" s="543"/>
      <c r="QDF50" s="543"/>
      <c r="QDG50" s="543"/>
      <c r="QDH50" s="543"/>
      <c r="QDI50" s="543"/>
      <c r="QDJ50" s="543"/>
      <c r="QDK50" s="543"/>
      <c r="QDL50" s="543"/>
      <c r="QDM50" s="543"/>
      <c r="QDN50" s="543"/>
      <c r="QDO50" s="543"/>
      <c r="QDP50" s="543"/>
      <c r="QDQ50" s="543"/>
      <c r="QDR50" s="543"/>
      <c r="QDS50" s="543"/>
      <c r="QDT50" s="543"/>
      <c r="QDU50" s="543"/>
      <c r="QDV50" s="543"/>
      <c r="QDW50" s="543"/>
      <c r="QDX50" s="543"/>
      <c r="QDY50" s="543"/>
      <c r="QDZ50" s="543"/>
      <c r="QEA50" s="543"/>
      <c r="QEB50" s="543"/>
      <c r="QEC50" s="543"/>
      <c r="QED50" s="543"/>
      <c r="QEE50" s="543"/>
      <c r="QEF50" s="543"/>
      <c r="QEG50" s="543"/>
      <c r="QEH50" s="543"/>
      <c r="QEI50" s="543"/>
      <c r="QEJ50" s="543"/>
      <c r="QEK50" s="543"/>
      <c r="QEL50" s="543"/>
      <c r="QEM50" s="543"/>
      <c r="QEN50" s="543"/>
      <c r="QEO50" s="543"/>
      <c r="QEP50" s="543"/>
      <c r="QEQ50" s="543"/>
      <c r="QER50" s="543"/>
      <c r="QES50" s="543"/>
      <c r="QET50" s="543"/>
      <c r="QEU50" s="543"/>
      <c r="QEV50" s="543"/>
      <c r="QEW50" s="543"/>
      <c r="QEX50" s="543"/>
      <c r="QEY50" s="543"/>
      <c r="QEZ50" s="543"/>
      <c r="QFA50" s="543"/>
      <c r="QFB50" s="543"/>
      <c r="QFC50" s="543"/>
      <c r="QFD50" s="543"/>
      <c r="QFE50" s="543"/>
      <c r="QFF50" s="543"/>
      <c r="QFG50" s="543"/>
      <c r="QFH50" s="543"/>
      <c r="QFI50" s="543"/>
      <c r="QFJ50" s="543"/>
      <c r="QFK50" s="543"/>
      <c r="QFL50" s="543"/>
      <c r="QFM50" s="543"/>
      <c r="QFN50" s="543"/>
      <c r="QFO50" s="543"/>
      <c r="QFP50" s="543"/>
      <c r="QFQ50" s="543"/>
      <c r="QFR50" s="543"/>
      <c r="QFS50" s="543"/>
      <c r="QFT50" s="543"/>
      <c r="QFU50" s="543"/>
      <c r="QFV50" s="543"/>
      <c r="QFW50" s="543"/>
      <c r="QFX50" s="543"/>
      <c r="QFY50" s="543"/>
      <c r="QFZ50" s="543"/>
      <c r="QGA50" s="543"/>
      <c r="QGB50" s="543"/>
      <c r="QGC50" s="543"/>
      <c r="QGD50" s="543"/>
      <c r="QGE50" s="543"/>
      <c r="QGF50" s="543"/>
      <c r="QGG50" s="543"/>
      <c r="QGH50" s="543"/>
      <c r="QGI50" s="543"/>
      <c r="QGJ50" s="543"/>
      <c r="QGK50" s="543"/>
      <c r="QGL50" s="543"/>
      <c r="QGM50" s="543"/>
      <c r="QGN50" s="543"/>
      <c r="QGO50" s="543"/>
      <c r="QGP50" s="543"/>
      <c r="QGQ50" s="543"/>
      <c r="QGR50" s="543"/>
      <c r="QGS50" s="543"/>
      <c r="QGT50" s="543"/>
      <c r="QGU50" s="543"/>
      <c r="QGV50" s="543"/>
      <c r="QGW50" s="543"/>
      <c r="QGX50" s="543"/>
      <c r="QGY50" s="543"/>
      <c r="QGZ50" s="543"/>
      <c r="QHA50" s="543"/>
      <c r="QHB50" s="543"/>
      <c r="QHC50" s="543"/>
      <c r="QHD50" s="543"/>
      <c r="QHE50" s="543"/>
      <c r="QHF50" s="543"/>
      <c r="QHG50" s="543"/>
      <c r="QHH50" s="543"/>
      <c r="QHI50" s="543"/>
      <c r="QHJ50" s="543"/>
      <c r="QHK50" s="543"/>
      <c r="QHL50" s="543"/>
      <c r="QHM50" s="543"/>
      <c r="QHN50" s="543"/>
      <c r="QHO50" s="543"/>
      <c r="QHP50" s="543"/>
      <c r="QHQ50" s="543"/>
      <c r="QHR50" s="543"/>
      <c r="QHS50" s="543"/>
      <c r="QHT50" s="543"/>
      <c r="QHU50" s="543"/>
      <c r="QHV50" s="543"/>
      <c r="QHW50" s="543"/>
      <c r="QHX50" s="543"/>
      <c r="QHY50" s="543"/>
      <c r="QHZ50" s="543"/>
      <c r="QIA50" s="543"/>
      <c r="QIB50" s="543"/>
      <c r="QIC50" s="543"/>
      <c r="QID50" s="543"/>
      <c r="QIE50" s="543"/>
      <c r="QIF50" s="543"/>
      <c r="QIG50" s="543"/>
      <c r="QIH50" s="543"/>
      <c r="QII50" s="543"/>
      <c r="QIJ50" s="543"/>
      <c r="QIK50" s="543"/>
      <c r="QIL50" s="543"/>
      <c r="QIM50" s="543"/>
      <c r="QIN50" s="543"/>
      <c r="QIO50" s="543"/>
      <c r="QIP50" s="543"/>
      <c r="QIQ50" s="543"/>
      <c r="QIR50" s="543"/>
      <c r="QIS50" s="543"/>
      <c r="QIT50" s="543"/>
      <c r="QIU50" s="543"/>
      <c r="QIV50" s="543"/>
      <c r="QIW50" s="543"/>
      <c r="QIX50" s="543"/>
      <c r="QIY50" s="543"/>
      <c r="QIZ50" s="543"/>
      <c r="QJA50" s="543"/>
      <c r="QJB50" s="543"/>
      <c r="QJC50" s="543"/>
      <c r="QJD50" s="543"/>
      <c r="QJE50" s="543"/>
      <c r="QJF50" s="543"/>
      <c r="QJG50" s="543"/>
      <c r="QJH50" s="543"/>
      <c r="QJI50" s="543"/>
      <c r="QJJ50" s="543"/>
      <c r="QJK50" s="543"/>
      <c r="QJL50" s="543"/>
      <c r="QJM50" s="543"/>
      <c r="QJN50" s="543"/>
      <c r="QJO50" s="543"/>
      <c r="QJP50" s="543"/>
      <c r="QJQ50" s="543"/>
      <c r="QJR50" s="543"/>
      <c r="QJS50" s="543"/>
      <c r="QJT50" s="543"/>
      <c r="QJU50" s="543"/>
      <c r="QJV50" s="543"/>
      <c r="QJW50" s="543"/>
      <c r="QJX50" s="543"/>
      <c r="QJY50" s="543"/>
      <c r="QJZ50" s="543"/>
      <c r="QKA50" s="543"/>
      <c r="QKB50" s="543"/>
      <c r="QKC50" s="543"/>
      <c r="QKD50" s="543"/>
      <c r="QKE50" s="543"/>
      <c r="QKF50" s="543"/>
      <c r="QKG50" s="543"/>
      <c r="QKH50" s="543"/>
      <c r="QKI50" s="543"/>
      <c r="QKJ50" s="543"/>
      <c r="QKK50" s="543"/>
      <c r="QKL50" s="543"/>
      <c r="QKM50" s="543"/>
      <c r="QKN50" s="543"/>
      <c r="QKO50" s="543"/>
      <c r="QKP50" s="543"/>
      <c r="QKQ50" s="543"/>
      <c r="QKR50" s="543"/>
      <c r="QKS50" s="543"/>
      <c r="QKT50" s="543"/>
      <c r="QKU50" s="543"/>
      <c r="QKV50" s="543"/>
      <c r="QKW50" s="543"/>
      <c r="QKX50" s="543"/>
      <c r="QKY50" s="543"/>
      <c r="QKZ50" s="543"/>
      <c r="QLA50" s="543"/>
      <c r="QLB50" s="543"/>
      <c r="QLC50" s="543"/>
      <c r="QLD50" s="543"/>
      <c r="QLE50" s="543"/>
      <c r="QLF50" s="543"/>
      <c r="QLG50" s="543"/>
      <c r="QLH50" s="543"/>
      <c r="QLI50" s="543"/>
      <c r="QLJ50" s="543"/>
      <c r="QLK50" s="543"/>
      <c r="QLL50" s="543"/>
      <c r="QLM50" s="543"/>
      <c r="QLN50" s="543"/>
      <c r="QLO50" s="543"/>
      <c r="QLP50" s="543"/>
      <c r="QLQ50" s="543"/>
      <c r="QLR50" s="543"/>
      <c r="QLS50" s="543"/>
      <c r="QLT50" s="543"/>
      <c r="QLU50" s="543"/>
      <c r="QLV50" s="543"/>
      <c r="QLW50" s="543"/>
      <c r="QLX50" s="543"/>
      <c r="QLY50" s="543"/>
      <c r="QLZ50" s="543"/>
      <c r="QMA50" s="543"/>
      <c r="QMB50" s="543"/>
      <c r="QMC50" s="543"/>
      <c r="QMD50" s="543"/>
      <c r="QME50" s="543"/>
      <c r="QMF50" s="543"/>
      <c r="QMG50" s="543"/>
      <c r="QMH50" s="543"/>
      <c r="QMI50" s="543"/>
      <c r="QMJ50" s="543"/>
      <c r="QMK50" s="543"/>
      <c r="QML50" s="543"/>
      <c r="QMM50" s="543"/>
      <c r="QMN50" s="543"/>
      <c r="QMO50" s="543"/>
      <c r="QMP50" s="543"/>
      <c r="QMQ50" s="543"/>
      <c r="QMR50" s="543"/>
      <c r="QMS50" s="543"/>
      <c r="QMT50" s="543"/>
      <c r="QMU50" s="543"/>
      <c r="QMV50" s="543"/>
      <c r="QMW50" s="543"/>
      <c r="QMX50" s="543"/>
      <c r="QMY50" s="543"/>
      <c r="QMZ50" s="543"/>
      <c r="QNA50" s="543"/>
      <c r="QNB50" s="543"/>
      <c r="QNC50" s="543"/>
      <c r="QND50" s="543"/>
      <c r="QNE50" s="543"/>
      <c r="QNF50" s="543"/>
      <c r="QNG50" s="543"/>
      <c r="QNH50" s="543"/>
      <c r="QNI50" s="543"/>
      <c r="QNJ50" s="543"/>
      <c r="QNK50" s="543"/>
      <c r="QNL50" s="543"/>
      <c r="QNM50" s="543"/>
      <c r="QNN50" s="543"/>
      <c r="QNO50" s="543"/>
      <c r="QNP50" s="543"/>
      <c r="QNQ50" s="543"/>
      <c r="QNR50" s="543"/>
      <c r="QNS50" s="543"/>
      <c r="QNT50" s="543"/>
      <c r="QNU50" s="543"/>
      <c r="QNV50" s="543"/>
      <c r="QNW50" s="543"/>
      <c r="QNX50" s="543"/>
      <c r="QNY50" s="543"/>
      <c r="QNZ50" s="543"/>
      <c r="QOA50" s="543"/>
      <c r="QOB50" s="543"/>
      <c r="QOC50" s="543"/>
      <c r="QOD50" s="543"/>
      <c r="QOE50" s="543"/>
      <c r="QOF50" s="543"/>
      <c r="QOG50" s="543"/>
      <c r="QOH50" s="543"/>
      <c r="QOI50" s="543"/>
      <c r="QOJ50" s="543"/>
      <c r="QOK50" s="543"/>
      <c r="QOL50" s="543"/>
      <c r="QOM50" s="543"/>
      <c r="QON50" s="543"/>
      <c r="QOO50" s="543"/>
      <c r="QOP50" s="543"/>
      <c r="QOQ50" s="543"/>
      <c r="QOR50" s="543"/>
      <c r="QOS50" s="543"/>
      <c r="QOT50" s="543"/>
      <c r="QOU50" s="543"/>
      <c r="QOV50" s="543"/>
      <c r="QOW50" s="543"/>
      <c r="QOX50" s="543"/>
      <c r="QOY50" s="543"/>
      <c r="QOZ50" s="543"/>
      <c r="QPA50" s="543"/>
      <c r="QPB50" s="543"/>
      <c r="QPC50" s="543"/>
      <c r="QPD50" s="543"/>
      <c r="QPE50" s="543"/>
      <c r="QPF50" s="543"/>
      <c r="QPG50" s="543"/>
      <c r="QPH50" s="543"/>
      <c r="QPI50" s="543"/>
      <c r="QPJ50" s="543"/>
      <c r="QPK50" s="543"/>
      <c r="QPL50" s="543"/>
      <c r="QPM50" s="543"/>
      <c r="QPN50" s="543"/>
      <c r="QPO50" s="543"/>
      <c r="QPP50" s="543"/>
      <c r="QPQ50" s="543"/>
      <c r="QPR50" s="543"/>
      <c r="QPS50" s="543"/>
      <c r="QPT50" s="543"/>
      <c r="QPU50" s="543"/>
      <c r="QPV50" s="543"/>
      <c r="QPW50" s="543"/>
      <c r="QPX50" s="543"/>
      <c r="QPY50" s="543"/>
      <c r="QPZ50" s="543"/>
      <c r="QQA50" s="543"/>
      <c r="QQB50" s="543"/>
      <c r="QQC50" s="543"/>
      <c r="QQD50" s="543"/>
      <c r="QQE50" s="543"/>
      <c r="QQF50" s="543"/>
      <c r="QQG50" s="543"/>
      <c r="QQH50" s="543"/>
      <c r="QQI50" s="543"/>
      <c r="QQJ50" s="543"/>
      <c r="QQK50" s="543"/>
      <c r="QQL50" s="543"/>
      <c r="QQM50" s="543"/>
      <c r="QQN50" s="543"/>
      <c r="QQO50" s="543"/>
      <c r="QQP50" s="543"/>
      <c r="QQQ50" s="543"/>
      <c r="QQR50" s="543"/>
      <c r="QQS50" s="543"/>
      <c r="QQT50" s="543"/>
      <c r="QQU50" s="543"/>
      <c r="QQV50" s="543"/>
      <c r="QQW50" s="543"/>
      <c r="QQX50" s="543"/>
      <c r="QQY50" s="543"/>
      <c r="QQZ50" s="543"/>
      <c r="QRA50" s="543"/>
      <c r="QRB50" s="543"/>
      <c r="QRC50" s="543"/>
      <c r="QRD50" s="543"/>
      <c r="QRE50" s="543"/>
      <c r="QRF50" s="543"/>
      <c r="QRG50" s="543"/>
      <c r="QRH50" s="543"/>
      <c r="QRI50" s="543"/>
      <c r="QRJ50" s="543"/>
      <c r="QRK50" s="543"/>
      <c r="QRL50" s="543"/>
      <c r="QRM50" s="543"/>
      <c r="QRN50" s="543"/>
      <c r="QRO50" s="543"/>
      <c r="QRP50" s="543"/>
      <c r="QRQ50" s="543"/>
      <c r="QRR50" s="543"/>
      <c r="QRS50" s="543"/>
      <c r="QRT50" s="543"/>
      <c r="QRU50" s="543"/>
      <c r="QRV50" s="543"/>
      <c r="QRW50" s="543"/>
      <c r="QRX50" s="543"/>
      <c r="QRY50" s="543"/>
      <c r="QRZ50" s="543"/>
      <c r="QSA50" s="543"/>
      <c r="QSB50" s="543"/>
      <c r="QSC50" s="543"/>
      <c r="QSD50" s="543"/>
      <c r="QSE50" s="543"/>
      <c r="QSF50" s="543"/>
      <c r="QSG50" s="543"/>
      <c r="QSH50" s="543"/>
      <c r="QSI50" s="543"/>
      <c r="QSJ50" s="543"/>
      <c r="QSK50" s="543"/>
      <c r="QSL50" s="543"/>
      <c r="QSM50" s="543"/>
      <c r="QSN50" s="543"/>
      <c r="QSO50" s="543"/>
      <c r="QSP50" s="543"/>
      <c r="QSQ50" s="543"/>
      <c r="QSR50" s="543"/>
      <c r="QSS50" s="543"/>
      <c r="QST50" s="543"/>
      <c r="QSU50" s="543"/>
      <c r="QSV50" s="543"/>
      <c r="QSW50" s="543"/>
      <c r="QSX50" s="543"/>
      <c r="QSY50" s="543"/>
      <c r="QSZ50" s="543"/>
      <c r="QTA50" s="543"/>
      <c r="QTB50" s="543"/>
      <c r="QTC50" s="543"/>
      <c r="QTD50" s="543"/>
      <c r="QTE50" s="543"/>
      <c r="QTF50" s="543"/>
      <c r="QTG50" s="543"/>
      <c r="QTH50" s="543"/>
      <c r="QTI50" s="543"/>
      <c r="QTJ50" s="543"/>
      <c r="QTK50" s="543"/>
      <c r="QTL50" s="543"/>
      <c r="QTM50" s="543"/>
      <c r="QTN50" s="543"/>
      <c r="QTO50" s="543"/>
      <c r="QTP50" s="543"/>
      <c r="QTQ50" s="543"/>
      <c r="QTR50" s="543"/>
      <c r="QTS50" s="543"/>
      <c r="QTT50" s="543"/>
      <c r="QTU50" s="543"/>
      <c r="QTV50" s="543"/>
      <c r="QTW50" s="543"/>
      <c r="QTX50" s="543"/>
      <c r="QTY50" s="543"/>
      <c r="QTZ50" s="543"/>
      <c r="QUA50" s="543"/>
      <c r="QUB50" s="543"/>
      <c r="QUC50" s="543"/>
      <c r="QUD50" s="543"/>
      <c r="QUE50" s="543"/>
      <c r="QUF50" s="543"/>
      <c r="QUG50" s="543"/>
      <c r="QUH50" s="543"/>
      <c r="QUI50" s="543"/>
      <c r="QUJ50" s="543"/>
      <c r="QUK50" s="543"/>
      <c r="QUL50" s="543"/>
      <c r="QUM50" s="543"/>
      <c r="QUN50" s="543"/>
      <c r="QUO50" s="543"/>
      <c r="QUP50" s="543"/>
      <c r="QUQ50" s="543"/>
      <c r="QUR50" s="543"/>
      <c r="QUS50" s="543"/>
      <c r="QUT50" s="543"/>
      <c r="QUU50" s="543"/>
      <c r="QUV50" s="543"/>
      <c r="QUW50" s="543"/>
      <c r="QUX50" s="543"/>
      <c r="QUY50" s="543"/>
      <c r="QUZ50" s="543"/>
      <c r="QVA50" s="543"/>
      <c r="QVB50" s="543"/>
      <c r="QVC50" s="543"/>
      <c r="QVD50" s="543"/>
      <c r="QVE50" s="543"/>
      <c r="QVF50" s="543"/>
      <c r="QVG50" s="543"/>
      <c r="QVH50" s="543"/>
      <c r="QVI50" s="543"/>
      <c r="QVJ50" s="543"/>
      <c r="QVK50" s="543"/>
      <c r="QVL50" s="543"/>
      <c r="QVM50" s="543"/>
      <c r="QVN50" s="543"/>
      <c r="QVO50" s="543"/>
      <c r="QVP50" s="543"/>
      <c r="QVQ50" s="543"/>
      <c r="QVR50" s="543"/>
      <c r="QVS50" s="543"/>
      <c r="QVT50" s="543"/>
      <c r="QVU50" s="543"/>
      <c r="QVV50" s="543"/>
      <c r="QVW50" s="543"/>
      <c r="QVX50" s="543"/>
      <c r="QVY50" s="543"/>
      <c r="QVZ50" s="543"/>
      <c r="QWA50" s="543"/>
      <c r="QWB50" s="543"/>
      <c r="QWC50" s="543"/>
      <c r="QWD50" s="543"/>
      <c r="QWE50" s="543"/>
      <c r="QWF50" s="543"/>
      <c r="QWG50" s="543"/>
      <c r="QWH50" s="543"/>
      <c r="QWI50" s="543"/>
      <c r="QWJ50" s="543"/>
      <c r="QWK50" s="543"/>
      <c r="QWL50" s="543"/>
      <c r="QWM50" s="543"/>
      <c r="QWN50" s="543"/>
      <c r="QWO50" s="543"/>
      <c r="QWP50" s="543"/>
      <c r="QWQ50" s="543"/>
      <c r="QWR50" s="543"/>
      <c r="QWS50" s="543"/>
      <c r="QWT50" s="543"/>
      <c r="QWU50" s="543"/>
      <c r="QWV50" s="543"/>
      <c r="QWW50" s="543"/>
      <c r="QWX50" s="543"/>
      <c r="QWY50" s="543"/>
      <c r="QWZ50" s="543"/>
      <c r="QXA50" s="543"/>
      <c r="QXB50" s="543"/>
      <c r="QXC50" s="543"/>
      <c r="QXD50" s="543"/>
      <c r="QXE50" s="543"/>
      <c r="QXF50" s="543"/>
      <c r="QXG50" s="543"/>
      <c r="QXH50" s="543"/>
      <c r="QXI50" s="543"/>
      <c r="QXJ50" s="543"/>
      <c r="QXK50" s="543"/>
      <c r="QXL50" s="543"/>
      <c r="QXM50" s="543"/>
      <c r="QXN50" s="543"/>
      <c r="QXO50" s="543"/>
      <c r="QXP50" s="543"/>
      <c r="QXQ50" s="543"/>
      <c r="QXR50" s="543"/>
      <c r="QXS50" s="543"/>
      <c r="QXT50" s="543"/>
      <c r="QXU50" s="543"/>
      <c r="QXV50" s="543"/>
      <c r="QXW50" s="543"/>
      <c r="QXX50" s="543"/>
      <c r="QXY50" s="543"/>
      <c r="QXZ50" s="543"/>
      <c r="QYA50" s="543"/>
      <c r="QYB50" s="543"/>
      <c r="QYC50" s="543"/>
      <c r="QYD50" s="543"/>
      <c r="QYE50" s="543"/>
      <c r="QYF50" s="543"/>
      <c r="QYG50" s="543"/>
      <c r="QYH50" s="543"/>
      <c r="QYI50" s="543"/>
      <c r="QYJ50" s="543"/>
      <c r="QYK50" s="543"/>
      <c r="QYL50" s="543"/>
      <c r="QYM50" s="543"/>
      <c r="QYN50" s="543"/>
      <c r="QYO50" s="543"/>
      <c r="QYP50" s="543"/>
      <c r="QYQ50" s="543"/>
      <c r="QYR50" s="543"/>
      <c r="QYS50" s="543"/>
      <c r="QYT50" s="543"/>
      <c r="QYU50" s="543"/>
      <c r="QYV50" s="543"/>
      <c r="QYW50" s="543"/>
      <c r="QYX50" s="543"/>
      <c r="QYY50" s="543"/>
      <c r="QYZ50" s="543"/>
      <c r="QZA50" s="543"/>
      <c r="QZB50" s="543"/>
      <c r="QZC50" s="543"/>
      <c r="QZD50" s="543"/>
      <c r="QZE50" s="543"/>
      <c r="QZF50" s="543"/>
      <c r="QZG50" s="543"/>
      <c r="QZH50" s="543"/>
      <c r="QZI50" s="543"/>
      <c r="QZJ50" s="543"/>
      <c r="QZK50" s="543"/>
      <c r="QZL50" s="543"/>
      <c r="QZM50" s="543"/>
      <c r="QZN50" s="543"/>
      <c r="QZO50" s="543"/>
      <c r="QZP50" s="543"/>
      <c r="QZQ50" s="543"/>
      <c r="QZR50" s="543"/>
      <c r="QZS50" s="543"/>
      <c r="QZT50" s="543"/>
      <c r="QZU50" s="543"/>
      <c r="QZV50" s="543"/>
      <c r="QZW50" s="543"/>
      <c r="QZX50" s="543"/>
      <c r="QZY50" s="543"/>
      <c r="QZZ50" s="543"/>
      <c r="RAA50" s="543"/>
      <c r="RAB50" s="543"/>
      <c r="RAC50" s="543"/>
      <c r="RAD50" s="543"/>
      <c r="RAE50" s="543"/>
      <c r="RAF50" s="543"/>
      <c r="RAG50" s="543"/>
      <c r="RAH50" s="543"/>
      <c r="RAI50" s="543"/>
      <c r="RAJ50" s="543"/>
      <c r="RAK50" s="543"/>
      <c r="RAL50" s="543"/>
      <c r="RAM50" s="543"/>
      <c r="RAN50" s="543"/>
      <c r="RAO50" s="543"/>
      <c r="RAP50" s="543"/>
      <c r="RAQ50" s="543"/>
      <c r="RAR50" s="543"/>
      <c r="RAS50" s="543"/>
      <c r="RAT50" s="543"/>
      <c r="RAU50" s="543"/>
      <c r="RAV50" s="543"/>
      <c r="RAW50" s="543"/>
      <c r="RAX50" s="543"/>
      <c r="RAY50" s="543"/>
      <c r="RAZ50" s="543"/>
      <c r="RBA50" s="543"/>
      <c r="RBB50" s="543"/>
      <c r="RBC50" s="543"/>
      <c r="RBD50" s="543"/>
      <c r="RBE50" s="543"/>
      <c r="RBF50" s="543"/>
      <c r="RBG50" s="543"/>
      <c r="RBH50" s="543"/>
      <c r="RBI50" s="543"/>
      <c r="RBJ50" s="543"/>
      <c r="RBK50" s="543"/>
      <c r="RBL50" s="543"/>
      <c r="RBM50" s="543"/>
      <c r="RBN50" s="543"/>
      <c r="RBO50" s="543"/>
      <c r="RBP50" s="543"/>
      <c r="RBQ50" s="543"/>
      <c r="RBR50" s="543"/>
      <c r="RBS50" s="543"/>
      <c r="RBT50" s="543"/>
      <c r="RBU50" s="543"/>
      <c r="RBV50" s="543"/>
      <c r="RBW50" s="543"/>
      <c r="RBX50" s="543"/>
      <c r="RBY50" s="543"/>
      <c r="RBZ50" s="543"/>
      <c r="RCA50" s="543"/>
      <c r="RCB50" s="543"/>
      <c r="RCC50" s="543"/>
      <c r="RCD50" s="543"/>
      <c r="RCE50" s="543"/>
      <c r="RCF50" s="543"/>
      <c r="RCG50" s="543"/>
      <c r="RCH50" s="543"/>
      <c r="RCI50" s="543"/>
      <c r="RCJ50" s="543"/>
      <c r="RCK50" s="543"/>
      <c r="RCL50" s="543"/>
      <c r="RCM50" s="543"/>
      <c r="RCN50" s="543"/>
      <c r="RCO50" s="543"/>
      <c r="RCP50" s="543"/>
      <c r="RCQ50" s="543"/>
      <c r="RCR50" s="543"/>
      <c r="RCS50" s="543"/>
      <c r="RCT50" s="543"/>
      <c r="RCU50" s="543"/>
      <c r="RCV50" s="543"/>
      <c r="RCW50" s="543"/>
      <c r="RCX50" s="543"/>
      <c r="RCY50" s="543"/>
      <c r="RCZ50" s="543"/>
      <c r="RDA50" s="543"/>
      <c r="RDB50" s="543"/>
      <c r="RDC50" s="543"/>
      <c r="RDD50" s="543"/>
      <c r="RDE50" s="543"/>
      <c r="RDF50" s="543"/>
      <c r="RDG50" s="543"/>
      <c r="RDH50" s="543"/>
      <c r="RDI50" s="543"/>
      <c r="RDJ50" s="543"/>
      <c r="RDK50" s="543"/>
      <c r="RDL50" s="543"/>
      <c r="RDM50" s="543"/>
      <c r="RDN50" s="543"/>
      <c r="RDO50" s="543"/>
      <c r="RDP50" s="543"/>
      <c r="RDQ50" s="543"/>
      <c r="RDR50" s="543"/>
      <c r="RDS50" s="543"/>
      <c r="RDT50" s="543"/>
      <c r="RDU50" s="543"/>
      <c r="RDV50" s="543"/>
      <c r="RDW50" s="543"/>
      <c r="RDX50" s="543"/>
      <c r="RDY50" s="543"/>
      <c r="RDZ50" s="543"/>
      <c r="REA50" s="543"/>
      <c r="REB50" s="543"/>
      <c r="REC50" s="543"/>
      <c r="RED50" s="543"/>
      <c r="REE50" s="543"/>
      <c r="REF50" s="543"/>
      <c r="REG50" s="543"/>
      <c r="REH50" s="543"/>
      <c r="REI50" s="543"/>
      <c r="REJ50" s="543"/>
      <c r="REK50" s="543"/>
      <c r="REL50" s="543"/>
      <c r="REM50" s="543"/>
      <c r="REN50" s="543"/>
      <c r="REO50" s="543"/>
      <c r="REP50" s="543"/>
      <c r="REQ50" s="543"/>
      <c r="RER50" s="543"/>
      <c r="RES50" s="543"/>
      <c r="RET50" s="543"/>
      <c r="REU50" s="543"/>
      <c r="REV50" s="543"/>
      <c r="REW50" s="543"/>
      <c r="REX50" s="543"/>
      <c r="REY50" s="543"/>
      <c r="REZ50" s="543"/>
      <c r="RFA50" s="543"/>
      <c r="RFB50" s="543"/>
      <c r="RFC50" s="543"/>
      <c r="RFD50" s="543"/>
      <c r="RFE50" s="543"/>
      <c r="RFF50" s="543"/>
      <c r="RFG50" s="543"/>
      <c r="RFH50" s="543"/>
      <c r="RFI50" s="543"/>
      <c r="RFJ50" s="543"/>
      <c r="RFK50" s="543"/>
      <c r="RFL50" s="543"/>
      <c r="RFM50" s="543"/>
      <c r="RFN50" s="543"/>
      <c r="RFO50" s="543"/>
      <c r="RFP50" s="543"/>
      <c r="RFQ50" s="543"/>
      <c r="RFR50" s="543"/>
      <c r="RFS50" s="543"/>
      <c r="RFT50" s="543"/>
      <c r="RFU50" s="543"/>
      <c r="RFV50" s="543"/>
      <c r="RFW50" s="543"/>
      <c r="RFX50" s="543"/>
      <c r="RFY50" s="543"/>
      <c r="RFZ50" s="543"/>
      <c r="RGA50" s="543"/>
      <c r="RGB50" s="543"/>
      <c r="RGC50" s="543"/>
      <c r="RGD50" s="543"/>
      <c r="RGE50" s="543"/>
      <c r="RGF50" s="543"/>
      <c r="RGG50" s="543"/>
      <c r="RGH50" s="543"/>
      <c r="RGI50" s="543"/>
      <c r="RGJ50" s="543"/>
      <c r="RGK50" s="543"/>
      <c r="RGL50" s="543"/>
      <c r="RGM50" s="543"/>
      <c r="RGN50" s="543"/>
      <c r="RGO50" s="543"/>
      <c r="RGP50" s="543"/>
      <c r="RGQ50" s="543"/>
      <c r="RGR50" s="543"/>
      <c r="RGS50" s="543"/>
      <c r="RGT50" s="543"/>
      <c r="RGU50" s="543"/>
      <c r="RGV50" s="543"/>
      <c r="RGW50" s="543"/>
      <c r="RGX50" s="543"/>
      <c r="RGY50" s="543"/>
      <c r="RGZ50" s="543"/>
      <c r="RHA50" s="543"/>
      <c r="RHB50" s="543"/>
      <c r="RHC50" s="543"/>
      <c r="RHD50" s="543"/>
      <c r="RHE50" s="543"/>
      <c r="RHF50" s="543"/>
      <c r="RHG50" s="543"/>
      <c r="RHH50" s="543"/>
      <c r="RHI50" s="543"/>
      <c r="RHJ50" s="543"/>
      <c r="RHK50" s="543"/>
      <c r="RHL50" s="543"/>
      <c r="RHM50" s="543"/>
      <c r="RHN50" s="543"/>
      <c r="RHO50" s="543"/>
      <c r="RHP50" s="543"/>
      <c r="RHQ50" s="543"/>
      <c r="RHR50" s="543"/>
      <c r="RHS50" s="543"/>
      <c r="RHT50" s="543"/>
      <c r="RHU50" s="543"/>
      <c r="RHV50" s="543"/>
      <c r="RHW50" s="543"/>
      <c r="RHX50" s="543"/>
      <c r="RHY50" s="543"/>
      <c r="RHZ50" s="543"/>
      <c r="RIA50" s="543"/>
      <c r="RIB50" s="543"/>
      <c r="RIC50" s="543"/>
      <c r="RID50" s="543"/>
      <c r="RIE50" s="543"/>
      <c r="RIF50" s="543"/>
      <c r="RIG50" s="543"/>
      <c r="RIH50" s="543"/>
      <c r="RII50" s="543"/>
      <c r="RIJ50" s="543"/>
      <c r="RIK50" s="543"/>
      <c r="RIL50" s="543"/>
      <c r="RIM50" s="543"/>
      <c r="RIN50" s="543"/>
      <c r="RIO50" s="543"/>
      <c r="RIP50" s="543"/>
      <c r="RIQ50" s="543"/>
      <c r="RIR50" s="543"/>
      <c r="RIS50" s="543"/>
      <c r="RIT50" s="543"/>
      <c r="RIU50" s="543"/>
      <c r="RIV50" s="543"/>
      <c r="RIW50" s="543"/>
      <c r="RIX50" s="543"/>
      <c r="RIY50" s="543"/>
      <c r="RIZ50" s="543"/>
      <c r="RJA50" s="543"/>
      <c r="RJB50" s="543"/>
      <c r="RJC50" s="543"/>
      <c r="RJD50" s="543"/>
      <c r="RJE50" s="543"/>
      <c r="RJF50" s="543"/>
      <c r="RJG50" s="543"/>
      <c r="RJH50" s="543"/>
      <c r="RJI50" s="543"/>
      <c r="RJJ50" s="543"/>
      <c r="RJK50" s="543"/>
      <c r="RJL50" s="543"/>
      <c r="RJM50" s="543"/>
      <c r="RJN50" s="543"/>
      <c r="RJO50" s="543"/>
      <c r="RJP50" s="543"/>
      <c r="RJQ50" s="543"/>
      <c r="RJR50" s="543"/>
      <c r="RJS50" s="543"/>
      <c r="RJT50" s="543"/>
      <c r="RJU50" s="543"/>
      <c r="RJV50" s="543"/>
      <c r="RJW50" s="543"/>
      <c r="RJX50" s="543"/>
      <c r="RJY50" s="543"/>
      <c r="RJZ50" s="543"/>
      <c r="RKA50" s="543"/>
      <c r="RKB50" s="543"/>
      <c r="RKC50" s="543"/>
      <c r="RKD50" s="543"/>
      <c r="RKE50" s="543"/>
      <c r="RKF50" s="543"/>
      <c r="RKG50" s="543"/>
      <c r="RKH50" s="543"/>
      <c r="RKI50" s="543"/>
      <c r="RKJ50" s="543"/>
      <c r="RKK50" s="543"/>
      <c r="RKL50" s="543"/>
      <c r="RKM50" s="543"/>
      <c r="RKN50" s="543"/>
      <c r="RKO50" s="543"/>
      <c r="RKP50" s="543"/>
      <c r="RKQ50" s="543"/>
      <c r="RKR50" s="543"/>
      <c r="RKS50" s="543"/>
      <c r="RKT50" s="543"/>
      <c r="RKU50" s="543"/>
      <c r="RKV50" s="543"/>
      <c r="RKW50" s="543"/>
      <c r="RKX50" s="543"/>
      <c r="RKY50" s="543"/>
      <c r="RKZ50" s="543"/>
      <c r="RLA50" s="543"/>
      <c r="RLB50" s="543"/>
      <c r="RLC50" s="543"/>
      <c r="RLD50" s="543"/>
      <c r="RLE50" s="543"/>
      <c r="RLF50" s="543"/>
      <c r="RLG50" s="543"/>
      <c r="RLH50" s="543"/>
      <c r="RLI50" s="543"/>
      <c r="RLJ50" s="543"/>
      <c r="RLK50" s="543"/>
      <c r="RLL50" s="543"/>
      <c r="RLM50" s="543"/>
      <c r="RLN50" s="543"/>
      <c r="RLO50" s="543"/>
      <c r="RLP50" s="543"/>
      <c r="RLQ50" s="543"/>
      <c r="RLR50" s="543"/>
      <c r="RLS50" s="543"/>
      <c r="RLT50" s="543"/>
      <c r="RLU50" s="543"/>
      <c r="RLV50" s="543"/>
      <c r="RLW50" s="543"/>
      <c r="RLX50" s="543"/>
      <c r="RLY50" s="543"/>
      <c r="RLZ50" s="543"/>
      <c r="RMA50" s="543"/>
      <c r="RMB50" s="543"/>
      <c r="RMC50" s="543"/>
      <c r="RMD50" s="543"/>
      <c r="RME50" s="543"/>
      <c r="RMF50" s="543"/>
      <c r="RMG50" s="543"/>
      <c r="RMH50" s="543"/>
      <c r="RMI50" s="543"/>
      <c r="RMJ50" s="543"/>
      <c r="RMK50" s="543"/>
      <c r="RML50" s="543"/>
      <c r="RMM50" s="543"/>
      <c r="RMN50" s="543"/>
      <c r="RMO50" s="543"/>
      <c r="RMP50" s="543"/>
      <c r="RMQ50" s="543"/>
      <c r="RMR50" s="543"/>
      <c r="RMS50" s="543"/>
      <c r="RMT50" s="543"/>
      <c r="RMU50" s="543"/>
      <c r="RMV50" s="543"/>
      <c r="RMW50" s="543"/>
      <c r="RMX50" s="543"/>
      <c r="RMY50" s="543"/>
      <c r="RMZ50" s="543"/>
      <c r="RNA50" s="543"/>
      <c r="RNB50" s="543"/>
      <c r="RNC50" s="543"/>
      <c r="RND50" s="543"/>
      <c r="RNE50" s="543"/>
      <c r="RNF50" s="543"/>
      <c r="RNG50" s="543"/>
      <c r="RNH50" s="543"/>
      <c r="RNI50" s="543"/>
      <c r="RNJ50" s="543"/>
      <c r="RNK50" s="543"/>
      <c r="RNL50" s="543"/>
      <c r="RNM50" s="543"/>
      <c r="RNN50" s="543"/>
      <c r="RNO50" s="543"/>
      <c r="RNP50" s="543"/>
      <c r="RNQ50" s="543"/>
      <c r="RNR50" s="543"/>
      <c r="RNS50" s="543"/>
      <c r="RNT50" s="543"/>
      <c r="RNU50" s="543"/>
      <c r="RNV50" s="543"/>
      <c r="RNW50" s="543"/>
      <c r="RNX50" s="543"/>
      <c r="RNY50" s="543"/>
      <c r="RNZ50" s="543"/>
      <c r="ROA50" s="543"/>
      <c r="ROB50" s="543"/>
      <c r="ROC50" s="543"/>
      <c r="ROD50" s="543"/>
      <c r="ROE50" s="543"/>
      <c r="ROF50" s="543"/>
      <c r="ROG50" s="543"/>
      <c r="ROH50" s="543"/>
      <c r="ROI50" s="543"/>
      <c r="ROJ50" s="543"/>
      <c r="ROK50" s="543"/>
      <c r="ROL50" s="543"/>
      <c r="ROM50" s="543"/>
      <c r="RON50" s="543"/>
      <c r="ROO50" s="543"/>
      <c r="ROP50" s="543"/>
      <c r="ROQ50" s="543"/>
      <c r="ROR50" s="543"/>
      <c r="ROS50" s="543"/>
      <c r="ROT50" s="543"/>
      <c r="ROU50" s="543"/>
      <c r="ROV50" s="543"/>
      <c r="ROW50" s="543"/>
      <c r="ROX50" s="543"/>
      <c r="ROY50" s="543"/>
      <c r="ROZ50" s="543"/>
      <c r="RPA50" s="543"/>
      <c r="RPB50" s="543"/>
      <c r="RPC50" s="543"/>
      <c r="RPD50" s="543"/>
      <c r="RPE50" s="543"/>
      <c r="RPF50" s="543"/>
      <c r="RPG50" s="543"/>
      <c r="RPH50" s="543"/>
      <c r="RPI50" s="543"/>
      <c r="RPJ50" s="543"/>
      <c r="RPK50" s="543"/>
      <c r="RPL50" s="543"/>
      <c r="RPM50" s="543"/>
      <c r="RPN50" s="543"/>
      <c r="RPO50" s="543"/>
      <c r="RPP50" s="543"/>
      <c r="RPQ50" s="543"/>
      <c r="RPR50" s="543"/>
      <c r="RPS50" s="543"/>
      <c r="RPT50" s="543"/>
      <c r="RPU50" s="543"/>
      <c r="RPV50" s="543"/>
      <c r="RPW50" s="543"/>
      <c r="RPX50" s="543"/>
      <c r="RPY50" s="543"/>
      <c r="RPZ50" s="543"/>
      <c r="RQA50" s="543"/>
      <c r="RQB50" s="543"/>
      <c r="RQC50" s="543"/>
      <c r="RQD50" s="543"/>
      <c r="RQE50" s="543"/>
      <c r="RQF50" s="543"/>
      <c r="RQG50" s="543"/>
      <c r="RQH50" s="543"/>
      <c r="RQI50" s="543"/>
      <c r="RQJ50" s="543"/>
      <c r="RQK50" s="543"/>
      <c r="RQL50" s="543"/>
      <c r="RQM50" s="543"/>
      <c r="RQN50" s="543"/>
      <c r="RQO50" s="543"/>
      <c r="RQP50" s="543"/>
      <c r="RQQ50" s="543"/>
      <c r="RQR50" s="543"/>
      <c r="RQS50" s="543"/>
      <c r="RQT50" s="543"/>
      <c r="RQU50" s="543"/>
      <c r="RQV50" s="543"/>
      <c r="RQW50" s="543"/>
      <c r="RQX50" s="543"/>
      <c r="RQY50" s="543"/>
      <c r="RQZ50" s="543"/>
      <c r="RRA50" s="543"/>
      <c r="RRB50" s="543"/>
      <c r="RRC50" s="543"/>
      <c r="RRD50" s="543"/>
      <c r="RRE50" s="543"/>
      <c r="RRF50" s="543"/>
      <c r="RRG50" s="543"/>
      <c r="RRH50" s="543"/>
      <c r="RRI50" s="543"/>
      <c r="RRJ50" s="543"/>
      <c r="RRK50" s="543"/>
      <c r="RRL50" s="543"/>
      <c r="RRM50" s="543"/>
      <c r="RRN50" s="543"/>
      <c r="RRO50" s="543"/>
      <c r="RRP50" s="543"/>
      <c r="RRQ50" s="543"/>
      <c r="RRR50" s="543"/>
      <c r="RRS50" s="543"/>
      <c r="RRT50" s="543"/>
      <c r="RRU50" s="543"/>
      <c r="RRV50" s="543"/>
      <c r="RRW50" s="543"/>
      <c r="RRX50" s="543"/>
      <c r="RRY50" s="543"/>
      <c r="RRZ50" s="543"/>
      <c r="RSA50" s="543"/>
      <c r="RSB50" s="543"/>
      <c r="RSC50" s="543"/>
      <c r="RSD50" s="543"/>
      <c r="RSE50" s="543"/>
      <c r="RSF50" s="543"/>
      <c r="RSG50" s="543"/>
      <c r="RSH50" s="543"/>
      <c r="RSI50" s="543"/>
      <c r="RSJ50" s="543"/>
      <c r="RSK50" s="543"/>
      <c r="RSL50" s="543"/>
      <c r="RSM50" s="543"/>
      <c r="RSN50" s="543"/>
      <c r="RSO50" s="543"/>
      <c r="RSP50" s="543"/>
      <c r="RSQ50" s="543"/>
      <c r="RSR50" s="543"/>
      <c r="RSS50" s="543"/>
      <c r="RST50" s="543"/>
      <c r="RSU50" s="543"/>
      <c r="RSV50" s="543"/>
      <c r="RSW50" s="543"/>
      <c r="RSX50" s="543"/>
      <c r="RSY50" s="543"/>
      <c r="RSZ50" s="543"/>
      <c r="RTA50" s="543"/>
      <c r="RTB50" s="543"/>
      <c r="RTC50" s="543"/>
      <c r="RTD50" s="543"/>
      <c r="RTE50" s="543"/>
      <c r="RTF50" s="543"/>
      <c r="RTG50" s="543"/>
      <c r="RTH50" s="543"/>
      <c r="RTI50" s="543"/>
      <c r="RTJ50" s="543"/>
      <c r="RTK50" s="543"/>
      <c r="RTL50" s="543"/>
      <c r="RTM50" s="543"/>
      <c r="RTN50" s="543"/>
      <c r="RTO50" s="543"/>
      <c r="RTP50" s="543"/>
      <c r="RTQ50" s="543"/>
      <c r="RTR50" s="543"/>
      <c r="RTS50" s="543"/>
      <c r="RTT50" s="543"/>
      <c r="RTU50" s="543"/>
      <c r="RTV50" s="543"/>
      <c r="RTW50" s="543"/>
      <c r="RTX50" s="543"/>
      <c r="RTY50" s="543"/>
      <c r="RTZ50" s="543"/>
      <c r="RUA50" s="543"/>
      <c r="RUB50" s="543"/>
      <c r="RUC50" s="543"/>
      <c r="RUD50" s="543"/>
      <c r="RUE50" s="543"/>
      <c r="RUF50" s="543"/>
      <c r="RUG50" s="543"/>
      <c r="RUH50" s="543"/>
      <c r="RUI50" s="543"/>
      <c r="RUJ50" s="543"/>
      <c r="RUK50" s="543"/>
      <c r="RUL50" s="543"/>
      <c r="RUM50" s="543"/>
      <c r="RUN50" s="543"/>
      <c r="RUO50" s="543"/>
      <c r="RUP50" s="543"/>
      <c r="RUQ50" s="543"/>
      <c r="RUR50" s="543"/>
      <c r="RUS50" s="543"/>
      <c r="RUT50" s="543"/>
      <c r="RUU50" s="543"/>
      <c r="RUV50" s="543"/>
      <c r="RUW50" s="543"/>
      <c r="RUX50" s="543"/>
      <c r="RUY50" s="543"/>
      <c r="RUZ50" s="543"/>
      <c r="RVA50" s="543"/>
      <c r="RVB50" s="543"/>
      <c r="RVC50" s="543"/>
      <c r="RVD50" s="543"/>
      <c r="RVE50" s="543"/>
      <c r="RVF50" s="543"/>
      <c r="RVG50" s="543"/>
      <c r="RVH50" s="543"/>
      <c r="RVI50" s="543"/>
      <c r="RVJ50" s="543"/>
      <c r="RVK50" s="543"/>
      <c r="RVL50" s="543"/>
      <c r="RVM50" s="543"/>
      <c r="RVN50" s="543"/>
      <c r="RVO50" s="543"/>
      <c r="RVP50" s="543"/>
      <c r="RVQ50" s="543"/>
      <c r="RVR50" s="543"/>
      <c r="RVS50" s="543"/>
      <c r="RVT50" s="543"/>
      <c r="RVU50" s="543"/>
      <c r="RVV50" s="543"/>
      <c r="RVW50" s="543"/>
      <c r="RVX50" s="543"/>
      <c r="RVY50" s="543"/>
      <c r="RVZ50" s="543"/>
      <c r="RWA50" s="543"/>
      <c r="RWB50" s="543"/>
      <c r="RWC50" s="543"/>
      <c r="RWD50" s="543"/>
      <c r="RWE50" s="543"/>
      <c r="RWF50" s="543"/>
      <c r="RWG50" s="543"/>
      <c r="RWH50" s="543"/>
      <c r="RWI50" s="543"/>
      <c r="RWJ50" s="543"/>
      <c r="RWK50" s="543"/>
      <c r="RWL50" s="543"/>
      <c r="RWM50" s="543"/>
      <c r="RWN50" s="543"/>
      <c r="RWO50" s="543"/>
      <c r="RWP50" s="543"/>
      <c r="RWQ50" s="543"/>
      <c r="RWR50" s="543"/>
      <c r="RWS50" s="543"/>
      <c r="RWT50" s="543"/>
      <c r="RWU50" s="543"/>
      <c r="RWV50" s="543"/>
      <c r="RWW50" s="543"/>
      <c r="RWX50" s="543"/>
      <c r="RWY50" s="543"/>
      <c r="RWZ50" s="543"/>
      <c r="RXA50" s="543"/>
      <c r="RXB50" s="543"/>
      <c r="RXC50" s="543"/>
      <c r="RXD50" s="543"/>
      <c r="RXE50" s="543"/>
      <c r="RXF50" s="543"/>
      <c r="RXG50" s="543"/>
      <c r="RXH50" s="543"/>
      <c r="RXI50" s="543"/>
      <c r="RXJ50" s="543"/>
      <c r="RXK50" s="543"/>
      <c r="RXL50" s="543"/>
      <c r="RXM50" s="543"/>
      <c r="RXN50" s="543"/>
      <c r="RXO50" s="543"/>
      <c r="RXP50" s="543"/>
      <c r="RXQ50" s="543"/>
      <c r="RXR50" s="543"/>
      <c r="RXS50" s="543"/>
      <c r="RXT50" s="543"/>
      <c r="RXU50" s="543"/>
      <c r="RXV50" s="543"/>
      <c r="RXW50" s="543"/>
      <c r="RXX50" s="543"/>
      <c r="RXY50" s="543"/>
      <c r="RXZ50" s="543"/>
      <c r="RYA50" s="543"/>
      <c r="RYB50" s="543"/>
      <c r="RYC50" s="543"/>
      <c r="RYD50" s="543"/>
      <c r="RYE50" s="543"/>
      <c r="RYF50" s="543"/>
      <c r="RYG50" s="543"/>
      <c r="RYH50" s="543"/>
      <c r="RYI50" s="543"/>
      <c r="RYJ50" s="543"/>
      <c r="RYK50" s="543"/>
      <c r="RYL50" s="543"/>
      <c r="RYM50" s="543"/>
      <c r="RYN50" s="543"/>
      <c r="RYO50" s="543"/>
      <c r="RYP50" s="543"/>
      <c r="RYQ50" s="543"/>
      <c r="RYR50" s="543"/>
      <c r="RYS50" s="543"/>
      <c r="RYT50" s="543"/>
      <c r="RYU50" s="543"/>
      <c r="RYV50" s="543"/>
      <c r="RYW50" s="543"/>
      <c r="RYX50" s="543"/>
      <c r="RYY50" s="543"/>
      <c r="RYZ50" s="543"/>
      <c r="RZA50" s="543"/>
      <c r="RZB50" s="543"/>
      <c r="RZC50" s="543"/>
      <c r="RZD50" s="543"/>
      <c r="RZE50" s="543"/>
      <c r="RZF50" s="543"/>
      <c r="RZG50" s="543"/>
      <c r="RZH50" s="543"/>
      <c r="RZI50" s="543"/>
      <c r="RZJ50" s="543"/>
      <c r="RZK50" s="543"/>
      <c r="RZL50" s="543"/>
      <c r="RZM50" s="543"/>
      <c r="RZN50" s="543"/>
      <c r="RZO50" s="543"/>
      <c r="RZP50" s="543"/>
      <c r="RZQ50" s="543"/>
      <c r="RZR50" s="543"/>
      <c r="RZS50" s="543"/>
      <c r="RZT50" s="543"/>
      <c r="RZU50" s="543"/>
      <c r="RZV50" s="543"/>
      <c r="RZW50" s="543"/>
      <c r="RZX50" s="543"/>
      <c r="RZY50" s="543"/>
      <c r="RZZ50" s="543"/>
      <c r="SAA50" s="543"/>
      <c r="SAB50" s="543"/>
      <c r="SAC50" s="543"/>
      <c r="SAD50" s="543"/>
      <c r="SAE50" s="543"/>
      <c r="SAF50" s="543"/>
      <c r="SAG50" s="543"/>
      <c r="SAH50" s="543"/>
      <c r="SAI50" s="543"/>
      <c r="SAJ50" s="543"/>
      <c r="SAK50" s="543"/>
      <c r="SAL50" s="543"/>
      <c r="SAM50" s="543"/>
      <c r="SAN50" s="543"/>
      <c r="SAO50" s="543"/>
      <c r="SAP50" s="543"/>
      <c r="SAQ50" s="543"/>
      <c r="SAR50" s="543"/>
      <c r="SAS50" s="543"/>
      <c r="SAT50" s="543"/>
      <c r="SAU50" s="543"/>
      <c r="SAV50" s="543"/>
      <c r="SAW50" s="543"/>
      <c r="SAX50" s="543"/>
      <c r="SAY50" s="543"/>
      <c r="SAZ50" s="543"/>
      <c r="SBA50" s="543"/>
      <c r="SBB50" s="543"/>
      <c r="SBC50" s="543"/>
      <c r="SBD50" s="543"/>
      <c r="SBE50" s="543"/>
      <c r="SBF50" s="543"/>
      <c r="SBG50" s="543"/>
      <c r="SBH50" s="543"/>
      <c r="SBI50" s="543"/>
      <c r="SBJ50" s="543"/>
      <c r="SBK50" s="543"/>
      <c r="SBL50" s="543"/>
      <c r="SBM50" s="543"/>
      <c r="SBN50" s="543"/>
      <c r="SBO50" s="543"/>
      <c r="SBP50" s="543"/>
      <c r="SBQ50" s="543"/>
      <c r="SBR50" s="543"/>
      <c r="SBS50" s="543"/>
      <c r="SBT50" s="543"/>
      <c r="SBU50" s="543"/>
      <c r="SBV50" s="543"/>
      <c r="SBW50" s="543"/>
      <c r="SBX50" s="543"/>
      <c r="SBY50" s="543"/>
      <c r="SBZ50" s="543"/>
      <c r="SCA50" s="543"/>
      <c r="SCB50" s="543"/>
      <c r="SCC50" s="543"/>
      <c r="SCD50" s="543"/>
      <c r="SCE50" s="543"/>
      <c r="SCF50" s="543"/>
      <c r="SCG50" s="543"/>
      <c r="SCH50" s="543"/>
      <c r="SCI50" s="543"/>
      <c r="SCJ50" s="543"/>
      <c r="SCK50" s="543"/>
      <c r="SCL50" s="543"/>
      <c r="SCM50" s="543"/>
      <c r="SCN50" s="543"/>
      <c r="SCO50" s="543"/>
      <c r="SCP50" s="543"/>
      <c r="SCQ50" s="543"/>
      <c r="SCR50" s="543"/>
      <c r="SCS50" s="543"/>
      <c r="SCT50" s="543"/>
      <c r="SCU50" s="543"/>
      <c r="SCV50" s="543"/>
      <c r="SCW50" s="543"/>
      <c r="SCX50" s="543"/>
      <c r="SCY50" s="543"/>
      <c r="SCZ50" s="543"/>
      <c r="SDA50" s="543"/>
      <c r="SDB50" s="543"/>
      <c r="SDC50" s="543"/>
      <c r="SDD50" s="543"/>
      <c r="SDE50" s="543"/>
      <c r="SDF50" s="543"/>
      <c r="SDG50" s="543"/>
      <c r="SDH50" s="543"/>
      <c r="SDI50" s="543"/>
      <c r="SDJ50" s="543"/>
      <c r="SDK50" s="543"/>
      <c r="SDL50" s="543"/>
      <c r="SDM50" s="543"/>
      <c r="SDN50" s="543"/>
      <c r="SDO50" s="543"/>
      <c r="SDP50" s="543"/>
      <c r="SDQ50" s="543"/>
      <c r="SDR50" s="543"/>
      <c r="SDS50" s="543"/>
      <c r="SDT50" s="543"/>
      <c r="SDU50" s="543"/>
      <c r="SDV50" s="543"/>
      <c r="SDW50" s="543"/>
      <c r="SDX50" s="543"/>
      <c r="SDY50" s="543"/>
      <c r="SDZ50" s="543"/>
      <c r="SEA50" s="543"/>
      <c r="SEB50" s="543"/>
      <c r="SEC50" s="543"/>
      <c r="SED50" s="543"/>
      <c r="SEE50" s="543"/>
      <c r="SEF50" s="543"/>
      <c r="SEG50" s="543"/>
      <c r="SEH50" s="543"/>
      <c r="SEI50" s="543"/>
      <c r="SEJ50" s="543"/>
      <c r="SEK50" s="543"/>
      <c r="SEL50" s="543"/>
      <c r="SEM50" s="543"/>
      <c r="SEN50" s="543"/>
      <c r="SEO50" s="543"/>
      <c r="SEP50" s="543"/>
      <c r="SEQ50" s="543"/>
      <c r="SER50" s="543"/>
      <c r="SES50" s="543"/>
      <c r="SET50" s="543"/>
      <c r="SEU50" s="543"/>
      <c r="SEV50" s="543"/>
      <c r="SEW50" s="543"/>
      <c r="SEX50" s="543"/>
      <c r="SEY50" s="543"/>
      <c r="SEZ50" s="543"/>
      <c r="SFA50" s="543"/>
      <c r="SFB50" s="543"/>
      <c r="SFC50" s="543"/>
      <c r="SFD50" s="543"/>
      <c r="SFE50" s="543"/>
      <c r="SFF50" s="543"/>
      <c r="SFG50" s="543"/>
      <c r="SFH50" s="543"/>
      <c r="SFI50" s="543"/>
      <c r="SFJ50" s="543"/>
      <c r="SFK50" s="543"/>
      <c r="SFL50" s="543"/>
      <c r="SFM50" s="543"/>
      <c r="SFN50" s="543"/>
      <c r="SFO50" s="543"/>
      <c r="SFP50" s="543"/>
      <c r="SFQ50" s="543"/>
      <c r="SFR50" s="543"/>
      <c r="SFS50" s="543"/>
      <c r="SFT50" s="543"/>
      <c r="SFU50" s="543"/>
      <c r="SFV50" s="543"/>
      <c r="SFW50" s="543"/>
      <c r="SFX50" s="543"/>
      <c r="SFY50" s="543"/>
      <c r="SFZ50" s="543"/>
      <c r="SGA50" s="543"/>
      <c r="SGB50" s="543"/>
      <c r="SGC50" s="543"/>
      <c r="SGD50" s="543"/>
      <c r="SGE50" s="543"/>
      <c r="SGF50" s="543"/>
      <c r="SGG50" s="543"/>
      <c r="SGH50" s="543"/>
      <c r="SGI50" s="543"/>
      <c r="SGJ50" s="543"/>
      <c r="SGK50" s="543"/>
      <c r="SGL50" s="543"/>
      <c r="SGM50" s="543"/>
      <c r="SGN50" s="543"/>
      <c r="SGO50" s="543"/>
      <c r="SGP50" s="543"/>
      <c r="SGQ50" s="543"/>
      <c r="SGR50" s="543"/>
      <c r="SGS50" s="543"/>
      <c r="SGT50" s="543"/>
      <c r="SGU50" s="543"/>
      <c r="SGV50" s="543"/>
      <c r="SGW50" s="543"/>
      <c r="SGX50" s="543"/>
      <c r="SGY50" s="543"/>
      <c r="SGZ50" s="543"/>
      <c r="SHA50" s="543"/>
      <c r="SHB50" s="543"/>
      <c r="SHC50" s="543"/>
      <c r="SHD50" s="543"/>
      <c r="SHE50" s="543"/>
      <c r="SHF50" s="543"/>
      <c r="SHG50" s="543"/>
      <c r="SHH50" s="543"/>
      <c r="SHI50" s="543"/>
      <c r="SHJ50" s="543"/>
      <c r="SHK50" s="543"/>
      <c r="SHL50" s="543"/>
      <c r="SHM50" s="543"/>
      <c r="SHN50" s="543"/>
      <c r="SHO50" s="543"/>
      <c r="SHP50" s="543"/>
      <c r="SHQ50" s="543"/>
      <c r="SHR50" s="543"/>
      <c r="SHS50" s="543"/>
      <c r="SHT50" s="543"/>
      <c r="SHU50" s="543"/>
      <c r="SHV50" s="543"/>
      <c r="SHW50" s="543"/>
      <c r="SHX50" s="543"/>
      <c r="SHY50" s="543"/>
      <c r="SHZ50" s="543"/>
      <c r="SIA50" s="543"/>
      <c r="SIB50" s="543"/>
      <c r="SIC50" s="543"/>
      <c r="SID50" s="543"/>
      <c r="SIE50" s="543"/>
      <c r="SIF50" s="543"/>
      <c r="SIG50" s="543"/>
      <c r="SIH50" s="543"/>
      <c r="SII50" s="543"/>
      <c r="SIJ50" s="543"/>
      <c r="SIK50" s="543"/>
      <c r="SIL50" s="543"/>
      <c r="SIM50" s="543"/>
      <c r="SIN50" s="543"/>
      <c r="SIO50" s="543"/>
      <c r="SIP50" s="543"/>
      <c r="SIQ50" s="543"/>
      <c r="SIR50" s="543"/>
      <c r="SIS50" s="543"/>
      <c r="SIT50" s="543"/>
      <c r="SIU50" s="543"/>
      <c r="SIV50" s="543"/>
      <c r="SIW50" s="543"/>
      <c r="SIX50" s="543"/>
      <c r="SIY50" s="543"/>
      <c r="SIZ50" s="543"/>
      <c r="SJA50" s="543"/>
      <c r="SJB50" s="543"/>
      <c r="SJC50" s="543"/>
      <c r="SJD50" s="543"/>
      <c r="SJE50" s="543"/>
      <c r="SJF50" s="543"/>
      <c r="SJG50" s="543"/>
      <c r="SJH50" s="543"/>
      <c r="SJI50" s="543"/>
      <c r="SJJ50" s="543"/>
      <c r="SJK50" s="543"/>
      <c r="SJL50" s="543"/>
      <c r="SJM50" s="543"/>
      <c r="SJN50" s="543"/>
      <c r="SJO50" s="543"/>
      <c r="SJP50" s="543"/>
      <c r="SJQ50" s="543"/>
      <c r="SJR50" s="543"/>
      <c r="SJS50" s="543"/>
      <c r="SJT50" s="543"/>
      <c r="SJU50" s="543"/>
      <c r="SJV50" s="543"/>
      <c r="SJW50" s="543"/>
      <c r="SJX50" s="543"/>
      <c r="SJY50" s="543"/>
      <c r="SJZ50" s="543"/>
      <c r="SKA50" s="543"/>
      <c r="SKB50" s="543"/>
      <c r="SKC50" s="543"/>
      <c r="SKD50" s="543"/>
      <c r="SKE50" s="543"/>
      <c r="SKF50" s="543"/>
      <c r="SKG50" s="543"/>
      <c r="SKH50" s="543"/>
      <c r="SKI50" s="543"/>
      <c r="SKJ50" s="543"/>
      <c r="SKK50" s="543"/>
      <c r="SKL50" s="543"/>
      <c r="SKM50" s="543"/>
      <c r="SKN50" s="543"/>
      <c r="SKO50" s="543"/>
      <c r="SKP50" s="543"/>
      <c r="SKQ50" s="543"/>
      <c r="SKR50" s="543"/>
      <c r="SKS50" s="543"/>
      <c r="SKT50" s="543"/>
      <c r="SKU50" s="543"/>
      <c r="SKV50" s="543"/>
      <c r="SKW50" s="543"/>
      <c r="SKX50" s="543"/>
      <c r="SKY50" s="543"/>
      <c r="SKZ50" s="543"/>
      <c r="SLA50" s="543"/>
      <c r="SLB50" s="543"/>
      <c r="SLC50" s="543"/>
      <c r="SLD50" s="543"/>
      <c r="SLE50" s="543"/>
      <c r="SLF50" s="543"/>
      <c r="SLG50" s="543"/>
      <c r="SLH50" s="543"/>
      <c r="SLI50" s="543"/>
      <c r="SLJ50" s="543"/>
      <c r="SLK50" s="543"/>
      <c r="SLL50" s="543"/>
      <c r="SLM50" s="543"/>
      <c r="SLN50" s="543"/>
      <c r="SLO50" s="543"/>
      <c r="SLP50" s="543"/>
      <c r="SLQ50" s="543"/>
      <c r="SLR50" s="543"/>
      <c r="SLS50" s="543"/>
      <c r="SLT50" s="543"/>
      <c r="SLU50" s="543"/>
      <c r="SLV50" s="543"/>
      <c r="SLW50" s="543"/>
      <c r="SLX50" s="543"/>
      <c r="SLY50" s="543"/>
      <c r="SLZ50" s="543"/>
      <c r="SMA50" s="543"/>
      <c r="SMB50" s="543"/>
      <c r="SMC50" s="543"/>
      <c r="SMD50" s="543"/>
      <c r="SME50" s="543"/>
      <c r="SMF50" s="543"/>
      <c r="SMG50" s="543"/>
      <c r="SMH50" s="543"/>
      <c r="SMI50" s="543"/>
      <c r="SMJ50" s="543"/>
      <c r="SMK50" s="543"/>
      <c r="SML50" s="543"/>
      <c r="SMM50" s="543"/>
      <c r="SMN50" s="543"/>
      <c r="SMO50" s="543"/>
      <c r="SMP50" s="543"/>
      <c r="SMQ50" s="543"/>
      <c r="SMR50" s="543"/>
      <c r="SMS50" s="543"/>
      <c r="SMT50" s="543"/>
      <c r="SMU50" s="543"/>
      <c r="SMV50" s="543"/>
      <c r="SMW50" s="543"/>
      <c r="SMX50" s="543"/>
      <c r="SMY50" s="543"/>
      <c r="SMZ50" s="543"/>
      <c r="SNA50" s="543"/>
      <c r="SNB50" s="543"/>
      <c r="SNC50" s="543"/>
      <c r="SND50" s="543"/>
      <c r="SNE50" s="543"/>
      <c r="SNF50" s="543"/>
      <c r="SNG50" s="543"/>
      <c r="SNH50" s="543"/>
      <c r="SNI50" s="543"/>
      <c r="SNJ50" s="543"/>
      <c r="SNK50" s="543"/>
      <c r="SNL50" s="543"/>
      <c r="SNM50" s="543"/>
      <c r="SNN50" s="543"/>
      <c r="SNO50" s="543"/>
      <c r="SNP50" s="543"/>
      <c r="SNQ50" s="543"/>
      <c r="SNR50" s="543"/>
      <c r="SNS50" s="543"/>
      <c r="SNT50" s="543"/>
      <c r="SNU50" s="543"/>
      <c r="SNV50" s="543"/>
      <c r="SNW50" s="543"/>
      <c r="SNX50" s="543"/>
      <c r="SNY50" s="543"/>
      <c r="SNZ50" s="543"/>
      <c r="SOA50" s="543"/>
      <c r="SOB50" s="543"/>
      <c r="SOC50" s="543"/>
      <c r="SOD50" s="543"/>
      <c r="SOE50" s="543"/>
      <c r="SOF50" s="543"/>
      <c r="SOG50" s="543"/>
      <c r="SOH50" s="543"/>
      <c r="SOI50" s="543"/>
      <c r="SOJ50" s="543"/>
      <c r="SOK50" s="543"/>
      <c r="SOL50" s="543"/>
      <c r="SOM50" s="543"/>
      <c r="SON50" s="543"/>
      <c r="SOO50" s="543"/>
      <c r="SOP50" s="543"/>
      <c r="SOQ50" s="543"/>
      <c r="SOR50" s="543"/>
      <c r="SOS50" s="543"/>
      <c r="SOT50" s="543"/>
      <c r="SOU50" s="543"/>
      <c r="SOV50" s="543"/>
      <c r="SOW50" s="543"/>
      <c r="SOX50" s="543"/>
      <c r="SOY50" s="543"/>
      <c r="SOZ50" s="543"/>
      <c r="SPA50" s="543"/>
      <c r="SPB50" s="543"/>
      <c r="SPC50" s="543"/>
      <c r="SPD50" s="543"/>
      <c r="SPE50" s="543"/>
      <c r="SPF50" s="543"/>
      <c r="SPG50" s="543"/>
      <c r="SPH50" s="543"/>
      <c r="SPI50" s="543"/>
      <c r="SPJ50" s="543"/>
      <c r="SPK50" s="543"/>
      <c r="SPL50" s="543"/>
      <c r="SPM50" s="543"/>
      <c r="SPN50" s="543"/>
      <c r="SPO50" s="543"/>
      <c r="SPP50" s="543"/>
      <c r="SPQ50" s="543"/>
      <c r="SPR50" s="543"/>
      <c r="SPS50" s="543"/>
      <c r="SPT50" s="543"/>
      <c r="SPU50" s="543"/>
      <c r="SPV50" s="543"/>
      <c r="SPW50" s="543"/>
      <c r="SPX50" s="543"/>
      <c r="SPY50" s="543"/>
      <c r="SPZ50" s="543"/>
      <c r="SQA50" s="543"/>
      <c r="SQB50" s="543"/>
      <c r="SQC50" s="543"/>
      <c r="SQD50" s="543"/>
      <c r="SQE50" s="543"/>
      <c r="SQF50" s="543"/>
      <c r="SQG50" s="543"/>
      <c r="SQH50" s="543"/>
      <c r="SQI50" s="543"/>
      <c r="SQJ50" s="543"/>
      <c r="SQK50" s="543"/>
      <c r="SQL50" s="543"/>
      <c r="SQM50" s="543"/>
      <c r="SQN50" s="543"/>
      <c r="SQO50" s="543"/>
      <c r="SQP50" s="543"/>
      <c r="SQQ50" s="543"/>
      <c r="SQR50" s="543"/>
      <c r="SQS50" s="543"/>
      <c r="SQT50" s="543"/>
      <c r="SQU50" s="543"/>
      <c r="SQV50" s="543"/>
      <c r="SQW50" s="543"/>
      <c r="SQX50" s="543"/>
      <c r="SQY50" s="543"/>
      <c r="SQZ50" s="543"/>
      <c r="SRA50" s="543"/>
      <c r="SRB50" s="543"/>
      <c r="SRC50" s="543"/>
      <c r="SRD50" s="543"/>
      <c r="SRE50" s="543"/>
      <c r="SRF50" s="543"/>
      <c r="SRG50" s="543"/>
      <c r="SRH50" s="543"/>
      <c r="SRI50" s="543"/>
      <c r="SRJ50" s="543"/>
      <c r="SRK50" s="543"/>
      <c r="SRL50" s="543"/>
      <c r="SRM50" s="543"/>
      <c r="SRN50" s="543"/>
      <c r="SRO50" s="543"/>
      <c r="SRP50" s="543"/>
      <c r="SRQ50" s="543"/>
      <c r="SRR50" s="543"/>
      <c r="SRS50" s="543"/>
      <c r="SRT50" s="543"/>
      <c r="SRU50" s="543"/>
      <c r="SRV50" s="543"/>
      <c r="SRW50" s="543"/>
      <c r="SRX50" s="543"/>
      <c r="SRY50" s="543"/>
      <c r="SRZ50" s="543"/>
      <c r="SSA50" s="543"/>
      <c r="SSB50" s="543"/>
      <c r="SSC50" s="543"/>
      <c r="SSD50" s="543"/>
      <c r="SSE50" s="543"/>
      <c r="SSF50" s="543"/>
      <c r="SSG50" s="543"/>
      <c r="SSH50" s="543"/>
      <c r="SSI50" s="543"/>
      <c r="SSJ50" s="543"/>
      <c r="SSK50" s="543"/>
      <c r="SSL50" s="543"/>
      <c r="SSM50" s="543"/>
      <c r="SSN50" s="543"/>
      <c r="SSO50" s="543"/>
      <c r="SSP50" s="543"/>
      <c r="SSQ50" s="543"/>
      <c r="SSR50" s="543"/>
      <c r="SSS50" s="543"/>
      <c r="SST50" s="543"/>
      <c r="SSU50" s="543"/>
      <c r="SSV50" s="543"/>
      <c r="SSW50" s="543"/>
      <c r="SSX50" s="543"/>
      <c r="SSY50" s="543"/>
      <c r="SSZ50" s="543"/>
      <c r="STA50" s="543"/>
      <c r="STB50" s="543"/>
      <c r="STC50" s="543"/>
      <c r="STD50" s="543"/>
      <c r="STE50" s="543"/>
      <c r="STF50" s="543"/>
      <c r="STG50" s="543"/>
      <c r="STH50" s="543"/>
      <c r="STI50" s="543"/>
      <c r="STJ50" s="543"/>
      <c r="STK50" s="543"/>
      <c r="STL50" s="543"/>
      <c r="STM50" s="543"/>
      <c r="STN50" s="543"/>
      <c r="STO50" s="543"/>
      <c r="STP50" s="543"/>
      <c r="STQ50" s="543"/>
      <c r="STR50" s="543"/>
      <c r="STS50" s="543"/>
      <c r="STT50" s="543"/>
      <c r="STU50" s="543"/>
      <c r="STV50" s="543"/>
      <c r="STW50" s="543"/>
      <c r="STX50" s="543"/>
      <c r="STY50" s="543"/>
      <c r="STZ50" s="543"/>
      <c r="SUA50" s="543"/>
      <c r="SUB50" s="543"/>
      <c r="SUC50" s="543"/>
      <c r="SUD50" s="543"/>
      <c r="SUE50" s="543"/>
      <c r="SUF50" s="543"/>
      <c r="SUG50" s="543"/>
      <c r="SUH50" s="543"/>
      <c r="SUI50" s="543"/>
      <c r="SUJ50" s="543"/>
      <c r="SUK50" s="543"/>
      <c r="SUL50" s="543"/>
      <c r="SUM50" s="543"/>
      <c r="SUN50" s="543"/>
      <c r="SUO50" s="543"/>
      <c r="SUP50" s="543"/>
      <c r="SUQ50" s="543"/>
      <c r="SUR50" s="543"/>
      <c r="SUS50" s="543"/>
      <c r="SUT50" s="543"/>
      <c r="SUU50" s="543"/>
      <c r="SUV50" s="543"/>
      <c r="SUW50" s="543"/>
      <c r="SUX50" s="543"/>
      <c r="SUY50" s="543"/>
      <c r="SUZ50" s="543"/>
      <c r="SVA50" s="543"/>
      <c r="SVB50" s="543"/>
      <c r="SVC50" s="543"/>
      <c r="SVD50" s="543"/>
      <c r="SVE50" s="543"/>
      <c r="SVF50" s="543"/>
      <c r="SVG50" s="543"/>
      <c r="SVH50" s="543"/>
      <c r="SVI50" s="543"/>
      <c r="SVJ50" s="543"/>
      <c r="SVK50" s="543"/>
      <c r="SVL50" s="543"/>
      <c r="SVM50" s="543"/>
      <c r="SVN50" s="543"/>
      <c r="SVO50" s="543"/>
      <c r="SVP50" s="543"/>
      <c r="SVQ50" s="543"/>
      <c r="SVR50" s="543"/>
      <c r="SVS50" s="543"/>
      <c r="SVT50" s="543"/>
      <c r="SVU50" s="543"/>
      <c r="SVV50" s="543"/>
      <c r="SVW50" s="543"/>
      <c r="SVX50" s="543"/>
      <c r="SVY50" s="543"/>
      <c r="SVZ50" s="543"/>
      <c r="SWA50" s="543"/>
      <c r="SWB50" s="543"/>
      <c r="SWC50" s="543"/>
      <c r="SWD50" s="543"/>
      <c r="SWE50" s="543"/>
      <c r="SWF50" s="543"/>
      <c r="SWG50" s="543"/>
      <c r="SWH50" s="543"/>
      <c r="SWI50" s="543"/>
      <c r="SWJ50" s="543"/>
      <c r="SWK50" s="543"/>
      <c r="SWL50" s="543"/>
      <c r="SWM50" s="543"/>
      <c r="SWN50" s="543"/>
      <c r="SWO50" s="543"/>
      <c r="SWP50" s="543"/>
      <c r="SWQ50" s="543"/>
      <c r="SWR50" s="543"/>
      <c r="SWS50" s="543"/>
      <c r="SWT50" s="543"/>
      <c r="SWU50" s="543"/>
      <c r="SWV50" s="543"/>
      <c r="SWW50" s="543"/>
      <c r="SWX50" s="543"/>
      <c r="SWY50" s="543"/>
      <c r="SWZ50" s="543"/>
      <c r="SXA50" s="543"/>
      <c r="SXB50" s="543"/>
      <c r="SXC50" s="543"/>
      <c r="SXD50" s="543"/>
      <c r="SXE50" s="543"/>
      <c r="SXF50" s="543"/>
      <c r="SXG50" s="543"/>
      <c r="SXH50" s="543"/>
      <c r="SXI50" s="543"/>
      <c r="SXJ50" s="543"/>
      <c r="SXK50" s="543"/>
      <c r="SXL50" s="543"/>
      <c r="SXM50" s="543"/>
      <c r="SXN50" s="543"/>
      <c r="SXO50" s="543"/>
      <c r="SXP50" s="543"/>
      <c r="SXQ50" s="543"/>
      <c r="SXR50" s="543"/>
      <c r="SXS50" s="543"/>
      <c r="SXT50" s="543"/>
      <c r="SXU50" s="543"/>
      <c r="SXV50" s="543"/>
      <c r="SXW50" s="543"/>
      <c r="SXX50" s="543"/>
      <c r="SXY50" s="543"/>
      <c r="SXZ50" s="543"/>
      <c r="SYA50" s="543"/>
      <c r="SYB50" s="543"/>
      <c r="SYC50" s="543"/>
      <c r="SYD50" s="543"/>
      <c r="SYE50" s="543"/>
      <c r="SYF50" s="543"/>
      <c r="SYG50" s="543"/>
      <c r="SYH50" s="543"/>
      <c r="SYI50" s="543"/>
      <c r="SYJ50" s="543"/>
      <c r="SYK50" s="543"/>
      <c r="SYL50" s="543"/>
      <c r="SYM50" s="543"/>
      <c r="SYN50" s="543"/>
      <c r="SYO50" s="543"/>
      <c r="SYP50" s="543"/>
      <c r="SYQ50" s="543"/>
      <c r="SYR50" s="543"/>
      <c r="SYS50" s="543"/>
      <c r="SYT50" s="543"/>
      <c r="SYU50" s="543"/>
      <c r="SYV50" s="543"/>
      <c r="SYW50" s="543"/>
      <c r="SYX50" s="543"/>
      <c r="SYY50" s="543"/>
      <c r="SYZ50" s="543"/>
      <c r="SZA50" s="543"/>
      <c r="SZB50" s="543"/>
      <c r="SZC50" s="543"/>
      <c r="SZD50" s="543"/>
      <c r="SZE50" s="543"/>
      <c r="SZF50" s="543"/>
      <c r="SZG50" s="543"/>
      <c r="SZH50" s="543"/>
      <c r="SZI50" s="543"/>
      <c r="SZJ50" s="543"/>
      <c r="SZK50" s="543"/>
      <c r="SZL50" s="543"/>
      <c r="SZM50" s="543"/>
      <c r="SZN50" s="543"/>
      <c r="SZO50" s="543"/>
      <c r="SZP50" s="543"/>
      <c r="SZQ50" s="543"/>
      <c r="SZR50" s="543"/>
      <c r="SZS50" s="543"/>
      <c r="SZT50" s="543"/>
      <c r="SZU50" s="543"/>
      <c r="SZV50" s="543"/>
      <c r="SZW50" s="543"/>
      <c r="SZX50" s="543"/>
      <c r="SZY50" s="543"/>
      <c r="SZZ50" s="543"/>
      <c r="TAA50" s="543"/>
      <c r="TAB50" s="543"/>
      <c r="TAC50" s="543"/>
      <c r="TAD50" s="543"/>
      <c r="TAE50" s="543"/>
      <c r="TAF50" s="543"/>
      <c r="TAG50" s="543"/>
      <c r="TAH50" s="543"/>
      <c r="TAI50" s="543"/>
      <c r="TAJ50" s="543"/>
      <c r="TAK50" s="543"/>
      <c r="TAL50" s="543"/>
      <c r="TAM50" s="543"/>
      <c r="TAN50" s="543"/>
      <c r="TAO50" s="543"/>
      <c r="TAP50" s="543"/>
      <c r="TAQ50" s="543"/>
      <c r="TAR50" s="543"/>
      <c r="TAS50" s="543"/>
      <c r="TAT50" s="543"/>
      <c r="TAU50" s="543"/>
      <c r="TAV50" s="543"/>
      <c r="TAW50" s="543"/>
      <c r="TAX50" s="543"/>
      <c r="TAY50" s="543"/>
      <c r="TAZ50" s="543"/>
      <c r="TBA50" s="543"/>
      <c r="TBB50" s="543"/>
      <c r="TBC50" s="543"/>
      <c r="TBD50" s="543"/>
      <c r="TBE50" s="543"/>
      <c r="TBF50" s="543"/>
      <c r="TBG50" s="543"/>
      <c r="TBH50" s="543"/>
      <c r="TBI50" s="543"/>
      <c r="TBJ50" s="543"/>
      <c r="TBK50" s="543"/>
      <c r="TBL50" s="543"/>
      <c r="TBM50" s="543"/>
      <c r="TBN50" s="543"/>
      <c r="TBO50" s="543"/>
      <c r="TBP50" s="543"/>
      <c r="TBQ50" s="543"/>
      <c r="TBR50" s="543"/>
      <c r="TBS50" s="543"/>
      <c r="TBT50" s="543"/>
      <c r="TBU50" s="543"/>
      <c r="TBV50" s="543"/>
      <c r="TBW50" s="543"/>
      <c r="TBX50" s="543"/>
      <c r="TBY50" s="543"/>
      <c r="TBZ50" s="543"/>
      <c r="TCA50" s="543"/>
      <c r="TCB50" s="543"/>
      <c r="TCC50" s="543"/>
      <c r="TCD50" s="543"/>
      <c r="TCE50" s="543"/>
      <c r="TCF50" s="543"/>
      <c r="TCG50" s="543"/>
      <c r="TCH50" s="543"/>
      <c r="TCI50" s="543"/>
      <c r="TCJ50" s="543"/>
      <c r="TCK50" s="543"/>
      <c r="TCL50" s="543"/>
      <c r="TCM50" s="543"/>
      <c r="TCN50" s="543"/>
      <c r="TCO50" s="543"/>
      <c r="TCP50" s="543"/>
      <c r="TCQ50" s="543"/>
      <c r="TCR50" s="543"/>
      <c r="TCS50" s="543"/>
      <c r="TCT50" s="543"/>
      <c r="TCU50" s="543"/>
      <c r="TCV50" s="543"/>
      <c r="TCW50" s="543"/>
      <c r="TCX50" s="543"/>
      <c r="TCY50" s="543"/>
      <c r="TCZ50" s="543"/>
      <c r="TDA50" s="543"/>
      <c r="TDB50" s="543"/>
      <c r="TDC50" s="543"/>
      <c r="TDD50" s="543"/>
      <c r="TDE50" s="543"/>
      <c r="TDF50" s="543"/>
      <c r="TDG50" s="543"/>
      <c r="TDH50" s="543"/>
      <c r="TDI50" s="543"/>
      <c r="TDJ50" s="543"/>
      <c r="TDK50" s="543"/>
      <c r="TDL50" s="543"/>
      <c r="TDM50" s="543"/>
      <c r="TDN50" s="543"/>
      <c r="TDO50" s="543"/>
      <c r="TDP50" s="543"/>
      <c r="TDQ50" s="543"/>
      <c r="TDR50" s="543"/>
      <c r="TDS50" s="543"/>
      <c r="TDT50" s="543"/>
      <c r="TDU50" s="543"/>
      <c r="TDV50" s="543"/>
      <c r="TDW50" s="543"/>
      <c r="TDX50" s="543"/>
      <c r="TDY50" s="543"/>
      <c r="TDZ50" s="543"/>
      <c r="TEA50" s="543"/>
      <c r="TEB50" s="543"/>
      <c r="TEC50" s="543"/>
      <c r="TED50" s="543"/>
      <c r="TEE50" s="543"/>
      <c r="TEF50" s="543"/>
      <c r="TEG50" s="543"/>
      <c r="TEH50" s="543"/>
      <c r="TEI50" s="543"/>
      <c r="TEJ50" s="543"/>
      <c r="TEK50" s="543"/>
      <c r="TEL50" s="543"/>
      <c r="TEM50" s="543"/>
      <c r="TEN50" s="543"/>
      <c r="TEO50" s="543"/>
      <c r="TEP50" s="543"/>
      <c r="TEQ50" s="543"/>
      <c r="TER50" s="543"/>
      <c r="TES50" s="543"/>
      <c r="TET50" s="543"/>
      <c r="TEU50" s="543"/>
      <c r="TEV50" s="543"/>
      <c r="TEW50" s="543"/>
      <c r="TEX50" s="543"/>
      <c r="TEY50" s="543"/>
      <c r="TEZ50" s="543"/>
      <c r="TFA50" s="543"/>
      <c r="TFB50" s="543"/>
      <c r="TFC50" s="543"/>
      <c r="TFD50" s="543"/>
      <c r="TFE50" s="543"/>
      <c r="TFF50" s="543"/>
      <c r="TFG50" s="543"/>
      <c r="TFH50" s="543"/>
      <c r="TFI50" s="543"/>
      <c r="TFJ50" s="543"/>
      <c r="TFK50" s="543"/>
      <c r="TFL50" s="543"/>
      <c r="TFM50" s="543"/>
      <c r="TFN50" s="543"/>
      <c r="TFO50" s="543"/>
      <c r="TFP50" s="543"/>
      <c r="TFQ50" s="543"/>
      <c r="TFR50" s="543"/>
      <c r="TFS50" s="543"/>
      <c r="TFT50" s="543"/>
      <c r="TFU50" s="543"/>
      <c r="TFV50" s="543"/>
      <c r="TFW50" s="543"/>
      <c r="TFX50" s="543"/>
      <c r="TFY50" s="543"/>
      <c r="TFZ50" s="543"/>
      <c r="TGA50" s="543"/>
      <c r="TGB50" s="543"/>
      <c r="TGC50" s="543"/>
      <c r="TGD50" s="543"/>
      <c r="TGE50" s="543"/>
      <c r="TGF50" s="543"/>
      <c r="TGG50" s="543"/>
      <c r="TGH50" s="543"/>
      <c r="TGI50" s="543"/>
      <c r="TGJ50" s="543"/>
      <c r="TGK50" s="543"/>
      <c r="TGL50" s="543"/>
      <c r="TGM50" s="543"/>
      <c r="TGN50" s="543"/>
      <c r="TGO50" s="543"/>
      <c r="TGP50" s="543"/>
      <c r="TGQ50" s="543"/>
      <c r="TGR50" s="543"/>
      <c r="TGS50" s="543"/>
      <c r="TGT50" s="543"/>
      <c r="TGU50" s="543"/>
      <c r="TGV50" s="543"/>
      <c r="TGW50" s="543"/>
      <c r="TGX50" s="543"/>
      <c r="TGY50" s="543"/>
      <c r="TGZ50" s="543"/>
      <c r="THA50" s="543"/>
      <c r="THB50" s="543"/>
      <c r="THC50" s="543"/>
      <c r="THD50" s="543"/>
      <c r="THE50" s="543"/>
      <c r="THF50" s="543"/>
      <c r="THG50" s="543"/>
      <c r="THH50" s="543"/>
      <c r="THI50" s="543"/>
      <c r="THJ50" s="543"/>
      <c r="THK50" s="543"/>
      <c r="THL50" s="543"/>
      <c r="THM50" s="543"/>
      <c r="THN50" s="543"/>
      <c r="THO50" s="543"/>
      <c r="THP50" s="543"/>
      <c r="THQ50" s="543"/>
      <c r="THR50" s="543"/>
      <c r="THS50" s="543"/>
      <c r="THT50" s="543"/>
      <c r="THU50" s="543"/>
      <c r="THV50" s="543"/>
      <c r="THW50" s="543"/>
      <c r="THX50" s="543"/>
      <c r="THY50" s="543"/>
      <c r="THZ50" s="543"/>
      <c r="TIA50" s="543"/>
      <c r="TIB50" s="543"/>
      <c r="TIC50" s="543"/>
      <c r="TID50" s="543"/>
      <c r="TIE50" s="543"/>
      <c r="TIF50" s="543"/>
      <c r="TIG50" s="543"/>
      <c r="TIH50" s="543"/>
      <c r="TII50" s="543"/>
      <c r="TIJ50" s="543"/>
      <c r="TIK50" s="543"/>
      <c r="TIL50" s="543"/>
      <c r="TIM50" s="543"/>
      <c r="TIN50" s="543"/>
      <c r="TIO50" s="543"/>
      <c r="TIP50" s="543"/>
      <c r="TIQ50" s="543"/>
      <c r="TIR50" s="543"/>
      <c r="TIS50" s="543"/>
      <c r="TIT50" s="543"/>
      <c r="TIU50" s="543"/>
      <c r="TIV50" s="543"/>
      <c r="TIW50" s="543"/>
      <c r="TIX50" s="543"/>
      <c r="TIY50" s="543"/>
      <c r="TIZ50" s="543"/>
      <c r="TJA50" s="543"/>
      <c r="TJB50" s="543"/>
      <c r="TJC50" s="543"/>
      <c r="TJD50" s="543"/>
      <c r="TJE50" s="543"/>
      <c r="TJF50" s="543"/>
      <c r="TJG50" s="543"/>
      <c r="TJH50" s="543"/>
      <c r="TJI50" s="543"/>
      <c r="TJJ50" s="543"/>
      <c r="TJK50" s="543"/>
      <c r="TJL50" s="543"/>
      <c r="TJM50" s="543"/>
      <c r="TJN50" s="543"/>
      <c r="TJO50" s="543"/>
      <c r="TJP50" s="543"/>
      <c r="TJQ50" s="543"/>
      <c r="TJR50" s="543"/>
      <c r="TJS50" s="543"/>
      <c r="TJT50" s="543"/>
      <c r="TJU50" s="543"/>
      <c r="TJV50" s="543"/>
      <c r="TJW50" s="543"/>
      <c r="TJX50" s="543"/>
      <c r="TJY50" s="543"/>
      <c r="TJZ50" s="543"/>
      <c r="TKA50" s="543"/>
      <c r="TKB50" s="543"/>
      <c r="TKC50" s="543"/>
      <c r="TKD50" s="543"/>
      <c r="TKE50" s="543"/>
      <c r="TKF50" s="543"/>
      <c r="TKG50" s="543"/>
      <c r="TKH50" s="543"/>
      <c r="TKI50" s="543"/>
      <c r="TKJ50" s="543"/>
      <c r="TKK50" s="543"/>
      <c r="TKL50" s="543"/>
      <c r="TKM50" s="543"/>
      <c r="TKN50" s="543"/>
      <c r="TKO50" s="543"/>
      <c r="TKP50" s="543"/>
      <c r="TKQ50" s="543"/>
      <c r="TKR50" s="543"/>
      <c r="TKS50" s="543"/>
      <c r="TKT50" s="543"/>
      <c r="TKU50" s="543"/>
      <c r="TKV50" s="543"/>
      <c r="TKW50" s="543"/>
      <c r="TKX50" s="543"/>
      <c r="TKY50" s="543"/>
      <c r="TKZ50" s="543"/>
      <c r="TLA50" s="543"/>
      <c r="TLB50" s="543"/>
      <c r="TLC50" s="543"/>
      <c r="TLD50" s="543"/>
      <c r="TLE50" s="543"/>
      <c r="TLF50" s="543"/>
      <c r="TLG50" s="543"/>
      <c r="TLH50" s="543"/>
      <c r="TLI50" s="543"/>
      <c r="TLJ50" s="543"/>
      <c r="TLK50" s="543"/>
      <c r="TLL50" s="543"/>
      <c r="TLM50" s="543"/>
      <c r="TLN50" s="543"/>
      <c r="TLO50" s="543"/>
      <c r="TLP50" s="543"/>
      <c r="TLQ50" s="543"/>
      <c r="TLR50" s="543"/>
      <c r="TLS50" s="543"/>
      <c r="TLT50" s="543"/>
      <c r="TLU50" s="543"/>
      <c r="TLV50" s="543"/>
      <c r="TLW50" s="543"/>
      <c r="TLX50" s="543"/>
      <c r="TLY50" s="543"/>
      <c r="TLZ50" s="543"/>
      <c r="TMA50" s="543"/>
      <c r="TMB50" s="543"/>
      <c r="TMC50" s="543"/>
      <c r="TMD50" s="543"/>
      <c r="TME50" s="543"/>
      <c r="TMF50" s="543"/>
      <c r="TMG50" s="543"/>
      <c r="TMH50" s="543"/>
      <c r="TMI50" s="543"/>
      <c r="TMJ50" s="543"/>
      <c r="TMK50" s="543"/>
      <c r="TML50" s="543"/>
      <c r="TMM50" s="543"/>
      <c r="TMN50" s="543"/>
      <c r="TMO50" s="543"/>
      <c r="TMP50" s="543"/>
      <c r="TMQ50" s="543"/>
      <c r="TMR50" s="543"/>
      <c r="TMS50" s="543"/>
      <c r="TMT50" s="543"/>
      <c r="TMU50" s="543"/>
      <c r="TMV50" s="543"/>
      <c r="TMW50" s="543"/>
      <c r="TMX50" s="543"/>
      <c r="TMY50" s="543"/>
      <c r="TMZ50" s="543"/>
      <c r="TNA50" s="543"/>
      <c r="TNB50" s="543"/>
      <c r="TNC50" s="543"/>
      <c r="TND50" s="543"/>
      <c r="TNE50" s="543"/>
      <c r="TNF50" s="543"/>
      <c r="TNG50" s="543"/>
      <c r="TNH50" s="543"/>
      <c r="TNI50" s="543"/>
      <c r="TNJ50" s="543"/>
      <c r="TNK50" s="543"/>
      <c r="TNL50" s="543"/>
      <c r="TNM50" s="543"/>
      <c r="TNN50" s="543"/>
      <c r="TNO50" s="543"/>
      <c r="TNP50" s="543"/>
      <c r="TNQ50" s="543"/>
      <c r="TNR50" s="543"/>
      <c r="TNS50" s="543"/>
      <c r="TNT50" s="543"/>
      <c r="TNU50" s="543"/>
      <c r="TNV50" s="543"/>
      <c r="TNW50" s="543"/>
      <c r="TNX50" s="543"/>
      <c r="TNY50" s="543"/>
      <c r="TNZ50" s="543"/>
      <c r="TOA50" s="543"/>
      <c r="TOB50" s="543"/>
      <c r="TOC50" s="543"/>
      <c r="TOD50" s="543"/>
      <c r="TOE50" s="543"/>
      <c r="TOF50" s="543"/>
      <c r="TOG50" s="543"/>
      <c r="TOH50" s="543"/>
      <c r="TOI50" s="543"/>
      <c r="TOJ50" s="543"/>
      <c r="TOK50" s="543"/>
      <c r="TOL50" s="543"/>
      <c r="TOM50" s="543"/>
      <c r="TON50" s="543"/>
      <c r="TOO50" s="543"/>
      <c r="TOP50" s="543"/>
      <c r="TOQ50" s="543"/>
      <c r="TOR50" s="543"/>
      <c r="TOS50" s="543"/>
      <c r="TOT50" s="543"/>
      <c r="TOU50" s="543"/>
      <c r="TOV50" s="543"/>
      <c r="TOW50" s="543"/>
      <c r="TOX50" s="543"/>
      <c r="TOY50" s="543"/>
      <c r="TOZ50" s="543"/>
      <c r="TPA50" s="543"/>
      <c r="TPB50" s="543"/>
      <c r="TPC50" s="543"/>
      <c r="TPD50" s="543"/>
      <c r="TPE50" s="543"/>
      <c r="TPF50" s="543"/>
      <c r="TPG50" s="543"/>
      <c r="TPH50" s="543"/>
      <c r="TPI50" s="543"/>
      <c r="TPJ50" s="543"/>
      <c r="TPK50" s="543"/>
      <c r="TPL50" s="543"/>
      <c r="TPM50" s="543"/>
      <c r="TPN50" s="543"/>
      <c r="TPO50" s="543"/>
      <c r="TPP50" s="543"/>
      <c r="TPQ50" s="543"/>
      <c r="TPR50" s="543"/>
      <c r="TPS50" s="543"/>
      <c r="TPT50" s="543"/>
      <c r="TPU50" s="543"/>
      <c r="TPV50" s="543"/>
      <c r="TPW50" s="543"/>
      <c r="TPX50" s="543"/>
      <c r="TPY50" s="543"/>
      <c r="TPZ50" s="543"/>
      <c r="TQA50" s="543"/>
      <c r="TQB50" s="543"/>
      <c r="TQC50" s="543"/>
      <c r="TQD50" s="543"/>
      <c r="TQE50" s="543"/>
      <c r="TQF50" s="543"/>
      <c r="TQG50" s="543"/>
      <c r="TQH50" s="543"/>
      <c r="TQI50" s="543"/>
      <c r="TQJ50" s="543"/>
      <c r="TQK50" s="543"/>
      <c r="TQL50" s="543"/>
      <c r="TQM50" s="543"/>
      <c r="TQN50" s="543"/>
      <c r="TQO50" s="543"/>
      <c r="TQP50" s="543"/>
      <c r="TQQ50" s="543"/>
      <c r="TQR50" s="543"/>
      <c r="TQS50" s="543"/>
      <c r="TQT50" s="543"/>
      <c r="TQU50" s="543"/>
      <c r="TQV50" s="543"/>
      <c r="TQW50" s="543"/>
      <c r="TQX50" s="543"/>
      <c r="TQY50" s="543"/>
      <c r="TQZ50" s="543"/>
      <c r="TRA50" s="543"/>
      <c r="TRB50" s="543"/>
      <c r="TRC50" s="543"/>
      <c r="TRD50" s="543"/>
      <c r="TRE50" s="543"/>
      <c r="TRF50" s="543"/>
      <c r="TRG50" s="543"/>
      <c r="TRH50" s="543"/>
      <c r="TRI50" s="543"/>
      <c r="TRJ50" s="543"/>
      <c r="TRK50" s="543"/>
      <c r="TRL50" s="543"/>
      <c r="TRM50" s="543"/>
      <c r="TRN50" s="543"/>
      <c r="TRO50" s="543"/>
      <c r="TRP50" s="543"/>
      <c r="TRQ50" s="543"/>
      <c r="TRR50" s="543"/>
      <c r="TRS50" s="543"/>
      <c r="TRT50" s="543"/>
      <c r="TRU50" s="543"/>
      <c r="TRV50" s="543"/>
      <c r="TRW50" s="543"/>
      <c r="TRX50" s="543"/>
      <c r="TRY50" s="543"/>
      <c r="TRZ50" s="543"/>
      <c r="TSA50" s="543"/>
      <c r="TSB50" s="543"/>
      <c r="TSC50" s="543"/>
      <c r="TSD50" s="543"/>
      <c r="TSE50" s="543"/>
      <c r="TSF50" s="543"/>
      <c r="TSG50" s="543"/>
      <c r="TSH50" s="543"/>
      <c r="TSI50" s="543"/>
      <c r="TSJ50" s="543"/>
      <c r="TSK50" s="543"/>
      <c r="TSL50" s="543"/>
      <c r="TSM50" s="543"/>
      <c r="TSN50" s="543"/>
      <c r="TSO50" s="543"/>
      <c r="TSP50" s="543"/>
      <c r="TSQ50" s="543"/>
      <c r="TSR50" s="543"/>
      <c r="TSS50" s="543"/>
      <c r="TST50" s="543"/>
      <c r="TSU50" s="543"/>
      <c r="TSV50" s="543"/>
      <c r="TSW50" s="543"/>
      <c r="TSX50" s="543"/>
      <c r="TSY50" s="543"/>
      <c r="TSZ50" s="543"/>
      <c r="TTA50" s="543"/>
      <c r="TTB50" s="543"/>
      <c r="TTC50" s="543"/>
      <c r="TTD50" s="543"/>
      <c r="TTE50" s="543"/>
      <c r="TTF50" s="543"/>
      <c r="TTG50" s="543"/>
      <c r="TTH50" s="543"/>
      <c r="TTI50" s="543"/>
      <c r="TTJ50" s="543"/>
      <c r="TTK50" s="543"/>
      <c r="TTL50" s="543"/>
      <c r="TTM50" s="543"/>
      <c r="TTN50" s="543"/>
      <c r="TTO50" s="543"/>
      <c r="TTP50" s="543"/>
      <c r="TTQ50" s="543"/>
      <c r="TTR50" s="543"/>
      <c r="TTS50" s="543"/>
      <c r="TTT50" s="543"/>
      <c r="TTU50" s="543"/>
      <c r="TTV50" s="543"/>
      <c r="TTW50" s="543"/>
      <c r="TTX50" s="543"/>
      <c r="TTY50" s="543"/>
      <c r="TTZ50" s="543"/>
      <c r="TUA50" s="543"/>
      <c r="TUB50" s="543"/>
      <c r="TUC50" s="543"/>
      <c r="TUD50" s="543"/>
      <c r="TUE50" s="543"/>
      <c r="TUF50" s="543"/>
      <c r="TUG50" s="543"/>
      <c r="TUH50" s="543"/>
      <c r="TUI50" s="543"/>
      <c r="TUJ50" s="543"/>
      <c r="TUK50" s="543"/>
      <c r="TUL50" s="543"/>
      <c r="TUM50" s="543"/>
      <c r="TUN50" s="543"/>
      <c r="TUO50" s="543"/>
      <c r="TUP50" s="543"/>
      <c r="TUQ50" s="543"/>
      <c r="TUR50" s="543"/>
      <c r="TUS50" s="543"/>
      <c r="TUT50" s="543"/>
      <c r="TUU50" s="543"/>
      <c r="TUV50" s="543"/>
      <c r="TUW50" s="543"/>
      <c r="TUX50" s="543"/>
      <c r="TUY50" s="543"/>
      <c r="TUZ50" s="543"/>
      <c r="TVA50" s="543"/>
      <c r="TVB50" s="543"/>
      <c r="TVC50" s="543"/>
      <c r="TVD50" s="543"/>
      <c r="TVE50" s="543"/>
      <c r="TVF50" s="543"/>
      <c r="TVG50" s="543"/>
      <c r="TVH50" s="543"/>
      <c r="TVI50" s="543"/>
      <c r="TVJ50" s="543"/>
      <c r="TVK50" s="543"/>
      <c r="TVL50" s="543"/>
      <c r="TVM50" s="543"/>
      <c r="TVN50" s="543"/>
      <c r="TVO50" s="543"/>
      <c r="TVP50" s="543"/>
      <c r="TVQ50" s="543"/>
      <c r="TVR50" s="543"/>
      <c r="TVS50" s="543"/>
      <c r="TVT50" s="543"/>
      <c r="TVU50" s="543"/>
      <c r="TVV50" s="543"/>
      <c r="TVW50" s="543"/>
      <c r="TVX50" s="543"/>
      <c r="TVY50" s="543"/>
      <c r="TVZ50" s="543"/>
      <c r="TWA50" s="543"/>
      <c r="TWB50" s="543"/>
      <c r="TWC50" s="543"/>
      <c r="TWD50" s="543"/>
      <c r="TWE50" s="543"/>
      <c r="TWF50" s="543"/>
      <c r="TWG50" s="543"/>
      <c r="TWH50" s="543"/>
      <c r="TWI50" s="543"/>
      <c r="TWJ50" s="543"/>
      <c r="TWK50" s="543"/>
      <c r="TWL50" s="543"/>
      <c r="TWM50" s="543"/>
      <c r="TWN50" s="543"/>
      <c r="TWO50" s="543"/>
      <c r="TWP50" s="543"/>
      <c r="TWQ50" s="543"/>
      <c r="TWR50" s="543"/>
      <c r="TWS50" s="543"/>
      <c r="TWT50" s="543"/>
      <c r="TWU50" s="543"/>
      <c r="TWV50" s="543"/>
      <c r="TWW50" s="543"/>
      <c r="TWX50" s="543"/>
      <c r="TWY50" s="543"/>
      <c r="TWZ50" s="543"/>
      <c r="TXA50" s="543"/>
      <c r="TXB50" s="543"/>
      <c r="TXC50" s="543"/>
      <c r="TXD50" s="543"/>
      <c r="TXE50" s="543"/>
      <c r="TXF50" s="543"/>
      <c r="TXG50" s="543"/>
      <c r="TXH50" s="543"/>
      <c r="TXI50" s="543"/>
      <c r="TXJ50" s="543"/>
      <c r="TXK50" s="543"/>
      <c r="TXL50" s="543"/>
      <c r="TXM50" s="543"/>
      <c r="TXN50" s="543"/>
      <c r="TXO50" s="543"/>
      <c r="TXP50" s="543"/>
      <c r="TXQ50" s="543"/>
      <c r="TXR50" s="543"/>
      <c r="TXS50" s="543"/>
      <c r="TXT50" s="543"/>
      <c r="TXU50" s="543"/>
      <c r="TXV50" s="543"/>
      <c r="TXW50" s="543"/>
      <c r="TXX50" s="543"/>
      <c r="TXY50" s="543"/>
      <c r="TXZ50" s="543"/>
      <c r="TYA50" s="543"/>
      <c r="TYB50" s="543"/>
      <c r="TYC50" s="543"/>
      <c r="TYD50" s="543"/>
      <c r="TYE50" s="543"/>
      <c r="TYF50" s="543"/>
      <c r="TYG50" s="543"/>
      <c r="TYH50" s="543"/>
      <c r="TYI50" s="543"/>
      <c r="TYJ50" s="543"/>
      <c r="TYK50" s="543"/>
      <c r="TYL50" s="543"/>
      <c r="TYM50" s="543"/>
      <c r="TYN50" s="543"/>
      <c r="TYO50" s="543"/>
      <c r="TYP50" s="543"/>
      <c r="TYQ50" s="543"/>
      <c r="TYR50" s="543"/>
      <c r="TYS50" s="543"/>
      <c r="TYT50" s="543"/>
      <c r="TYU50" s="543"/>
      <c r="TYV50" s="543"/>
      <c r="TYW50" s="543"/>
      <c r="TYX50" s="543"/>
      <c r="TYY50" s="543"/>
      <c r="TYZ50" s="543"/>
      <c r="TZA50" s="543"/>
      <c r="TZB50" s="543"/>
      <c r="TZC50" s="543"/>
      <c r="TZD50" s="543"/>
      <c r="TZE50" s="543"/>
      <c r="TZF50" s="543"/>
      <c r="TZG50" s="543"/>
      <c r="TZH50" s="543"/>
      <c r="TZI50" s="543"/>
      <c r="TZJ50" s="543"/>
      <c r="TZK50" s="543"/>
      <c r="TZL50" s="543"/>
      <c r="TZM50" s="543"/>
      <c r="TZN50" s="543"/>
      <c r="TZO50" s="543"/>
      <c r="TZP50" s="543"/>
      <c r="TZQ50" s="543"/>
      <c r="TZR50" s="543"/>
      <c r="TZS50" s="543"/>
      <c r="TZT50" s="543"/>
      <c r="TZU50" s="543"/>
      <c r="TZV50" s="543"/>
      <c r="TZW50" s="543"/>
      <c r="TZX50" s="543"/>
      <c r="TZY50" s="543"/>
      <c r="TZZ50" s="543"/>
      <c r="UAA50" s="543"/>
      <c r="UAB50" s="543"/>
      <c r="UAC50" s="543"/>
      <c r="UAD50" s="543"/>
      <c r="UAE50" s="543"/>
      <c r="UAF50" s="543"/>
      <c r="UAG50" s="543"/>
      <c r="UAH50" s="543"/>
      <c r="UAI50" s="543"/>
      <c r="UAJ50" s="543"/>
      <c r="UAK50" s="543"/>
      <c r="UAL50" s="543"/>
      <c r="UAM50" s="543"/>
      <c r="UAN50" s="543"/>
      <c r="UAO50" s="543"/>
      <c r="UAP50" s="543"/>
      <c r="UAQ50" s="543"/>
      <c r="UAR50" s="543"/>
      <c r="UAS50" s="543"/>
      <c r="UAT50" s="543"/>
      <c r="UAU50" s="543"/>
      <c r="UAV50" s="543"/>
      <c r="UAW50" s="543"/>
      <c r="UAX50" s="543"/>
      <c r="UAY50" s="543"/>
      <c r="UAZ50" s="543"/>
      <c r="UBA50" s="543"/>
      <c r="UBB50" s="543"/>
      <c r="UBC50" s="543"/>
      <c r="UBD50" s="543"/>
      <c r="UBE50" s="543"/>
      <c r="UBF50" s="543"/>
      <c r="UBG50" s="543"/>
      <c r="UBH50" s="543"/>
      <c r="UBI50" s="543"/>
      <c r="UBJ50" s="543"/>
      <c r="UBK50" s="543"/>
      <c r="UBL50" s="543"/>
      <c r="UBM50" s="543"/>
      <c r="UBN50" s="543"/>
      <c r="UBO50" s="543"/>
      <c r="UBP50" s="543"/>
      <c r="UBQ50" s="543"/>
      <c r="UBR50" s="543"/>
      <c r="UBS50" s="543"/>
      <c r="UBT50" s="543"/>
      <c r="UBU50" s="543"/>
      <c r="UBV50" s="543"/>
      <c r="UBW50" s="543"/>
      <c r="UBX50" s="543"/>
      <c r="UBY50" s="543"/>
      <c r="UBZ50" s="543"/>
      <c r="UCA50" s="543"/>
      <c r="UCB50" s="543"/>
      <c r="UCC50" s="543"/>
      <c r="UCD50" s="543"/>
      <c r="UCE50" s="543"/>
      <c r="UCF50" s="543"/>
      <c r="UCG50" s="543"/>
      <c r="UCH50" s="543"/>
      <c r="UCI50" s="543"/>
      <c r="UCJ50" s="543"/>
      <c r="UCK50" s="543"/>
      <c r="UCL50" s="543"/>
      <c r="UCM50" s="543"/>
      <c r="UCN50" s="543"/>
      <c r="UCO50" s="543"/>
      <c r="UCP50" s="543"/>
      <c r="UCQ50" s="543"/>
      <c r="UCR50" s="543"/>
      <c r="UCS50" s="543"/>
      <c r="UCT50" s="543"/>
      <c r="UCU50" s="543"/>
      <c r="UCV50" s="543"/>
      <c r="UCW50" s="543"/>
      <c r="UCX50" s="543"/>
      <c r="UCY50" s="543"/>
      <c r="UCZ50" s="543"/>
      <c r="UDA50" s="543"/>
      <c r="UDB50" s="543"/>
      <c r="UDC50" s="543"/>
      <c r="UDD50" s="543"/>
      <c r="UDE50" s="543"/>
      <c r="UDF50" s="543"/>
      <c r="UDG50" s="543"/>
      <c r="UDH50" s="543"/>
      <c r="UDI50" s="543"/>
      <c r="UDJ50" s="543"/>
      <c r="UDK50" s="543"/>
      <c r="UDL50" s="543"/>
      <c r="UDM50" s="543"/>
      <c r="UDN50" s="543"/>
      <c r="UDO50" s="543"/>
      <c r="UDP50" s="543"/>
      <c r="UDQ50" s="543"/>
      <c r="UDR50" s="543"/>
      <c r="UDS50" s="543"/>
      <c r="UDT50" s="543"/>
      <c r="UDU50" s="543"/>
      <c r="UDV50" s="543"/>
      <c r="UDW50" s="543"/>
      <c r="UDX50" s="543"/>
      <c r="UDY50" s="543"/>
      <c r="UDZ50" s="543"/>
      <c r="UEA50" s="543"/>
      <c r="UEB50" s="543"/>
      <c r="UEC50" s="543"/>
      <c r="UED50" s="543"/>
      <c r="UEE50" s="543"/>
      <c r="UEF50" s="543"/>
      <c r="UEG50" s="543"/>
      <c r="UEH50" s="543"/>
      <c r="UEI50" s="543"/>
      <c r="UEJ50" s="543"/>
      <c r="UEK50" s="543"/>
      <c r="UEL50" s="543"/>
      <c r="UEM50" s="543"/>
      <c r="UEN50" s="543"/>
      <c r="UEO50" s="543"/>
      <c r="UEP50" s="543"/>
      <c r="UEQ50" s="543"/>
      <c r="UER50" s="543"/>
      <c r="UES50" s="543"/>
      <c r="UET50" s="543"/>
      <c r="UEU50" s="543"/>
      <c r="UEV50" s="543"/>
      <c r="UEW50" s="543"/>
      <c r="UEX50" s="543"/>
      <c r="UEY50" s="543"/>
      <c r="UEZ50" s="543"/>
      <c r="UFA50" s="543"/>
      <c r="UFB50" s="543"/>
      <c r="UFC50" s="543"/>
      <c r="UFD50" s="543"/>
      <c r="UFE50" s="543"/>
      <c r="UFF50" s="543"/>
      <c r="UFG50" s="543"/>
      <c r="UFH50" s="543"/>
      <c r="UFI50" s="543"/>
      <c r="UFJ50" s="543"/>
      <c r="UFK50" s="543"/>
      <c r="UFL50" s="543"/>
      <c r="UFM50" s="543"/>
      <c r="UFN50" s="543"/>
      <c r="UFO50" s="543"/>
      <c r="UFP50" s="543"/>
      <c r="UFQ50" s="543"/>
      <c r="UFR50" s="543"/>
      <c r="UFS50" s="543"/>
      <c r="UFT50" s="543"/>
      <c r="UFU50" s="543"/>
      <c r="UFV50" s="543"/>
      <c r="UFW50" s="543"/>
      <c r="UFX50" s="543"/>
      <c r="UFY50" s="543"/>
      <c r="UFZ50" s="543"/>
      <c r="UGA50" s="543"/>
      <c r="UGB50" s="543"/>
      <c r="UGC50" s="543"/>
      <c r="UGD50" s="543"/>
      <c r="UGE50" s="543"/>
      <c r="UGF50" s="543"/>
      <c r="UGG50" s="543"/>
      <c r="UGH50" s="543"/>
      <c r="UGI50" s="543"/>
      <c r="UGJ50" s="543"/>
      <c r="UGK50" s="543"/>
      <c r="UGL50" s="543"/>
      <c r="UGM50" s="543"/>
      <c r="UGN50" s="543"/>
      <c r="UGO50" s="543"/>
      <c r="UGP50" s="543"/>
      <c r="UGQ50" s="543"/>
      <c r="UGR50" s="543"/>
      <c r="UGS50" s="543"/>
      <c r="UGT50" s="543"/>
      <c r="UGU50" s="543"/>
      <c r="UGV50" s="543"/>
      <c r="UGW50" s="543"/>
      <c r="UGX50" s="543"/>
      <c r="UGY50" s="543"/>
      <c r="UGZ50" s="543"/>
      <c r="UHA50" s="543"/>
      <c r="UHB50" s="543"/>
      <c r="UHC50" s="543"/>
      <c r="UHD50" s="543"/>
      <c r="UHE50" s="543"/>
      <c r="UHF50" s="543"/>
      <c r="UHG50" s="543"/>
      <c r="UHH50" s="543"/>
      <c r="UHI50" s="543"/>
      <c r="UHJ50" s="543"/>
      <c r="UHK50" s="543"/>
      <c r="UHL50" s="543"/>
      <c r="UHM50" s="543"/>
      <c r="UHN50" s="543"/>
      <c r="UHO50" s="543"/>
      <c r="UHP50" s="543"/>
      <c r="UHQ50" s="543"/>
      <c r="UHR50" s="543"/>
      <c r="UHS50" s="543"/>
      <c r="UHT50" s="543"/>
      <c r="UHU50" s="543"/>
      <c r="UHV50" s="543"/>
      <c r="UHW50" s="543"/>
      <c r="UHX50" s="543"/>
      <c r="UHY50" s="543"/>
      <c r="UHZ50" s="543"/>
      <c r="UIA50" s="543"/>
      <c r="UIB50" s="543"/>
      <c r="UIC50" s="543"/>
      <c r="UID50" s="543"/>
      <c r="UIE50" s="543"/>
      <c r="UIF50" s="543"/>
      <c r="UIG50" s="543"/>
      <c r="UIH50" s="543"/>
      <c r="UII50" s="543"/>
      <c r="UIJ50" s="543"/>
      <c r="UIK50" s="543"/>
      <c r="UIL50" s="543"/>
      <c r="UIM50" s="543"/>
      <c r="UIN50" s="543"/>
      <c r="UIO50" s="543"/>
      <c r="UIP50" s="543"/>
      <c r="UIQ50" s="543"/>
      <c r="UIR50" s="543"/>
      <c r="UIS50" s="543"/>
      <c r="UIT50" s="543"/>
      <c r="UIU50" s="543"/>
      <c r="UIV50" s="543"/>
      <c r="UIW50" s="543"/>
      <c r="UIX50" s="543"/>
      <c r="UIY50" s="543"/>
      <c r="UIZ50" s="543"/>
      <c r="UJA50" s="543"/>
      <c r="UJB50" s="543"/>
      <c r="UJC50" s="543"/>
      <c r="UJD50" s="543"/>
      <c r="UJE50" s="543"/>
      <c r="UJF50" s="543"/>
      <c r="UJG50" s="543"/>
      <c r="UJH50" s="543"/>
      <c r="UJI50" s="543"/>
      <c r="UJJ50" s="543"/>
      <c r="UJK50" s="543"/>
      <c r="UJL50" s="543"/>
      <c r="UJM50" s="543"/>
      <c r="UJN50" s="543"/>
      <c r="UJO50" s="543"/>
      <c r="UJP50" s="543"/>
      <c r="UJQ50" s="543"/>
      <c r="UJR50" s="543"/>
      <c r="UJS50" s="543"/>
      <c r="UJT50" s="543"/>
      <c r="UJU50" s="543"/>
      <c r="UJV50" s="543"/>
      <c r="UJW50" s="543"/>
      <c r="UJX50" s="543"/>
      <c r="UJY50" s="543"/>
      <c r="UJZ50" s="543"/>
      <c r="UKA50" s="543"/>
      <c r="UKB50" s="543"/>
      <c r="UKC50" s="543"/>
      <c r="UKD50" s="543"/>
      <c r="UKE50" s="543"/>
      <c r="UKF50" s="543"/>
      <c r="UKG50" s="543"/>
      <c r="UKH50" s="543"/>
      <c r="UKI50" s="543"/>
      <c r="UKJ50" s="543"/>
      <c r="UKK50" s="543"/>
      <c r="UKL50" s="543"/>
      <c r="UKM50" s="543"/>
      <c r="UKN50" s="543"/>
      <c r="UKO50" s="543"/>
      <c r="UKP50" s="543"/>
      <c r="UKQ50" s="543"/>
      <c r="UKR50" s="543"/>
      <c r="UKS50" s="543"/>
      <c r="UKT50" s="543"/>
      <c r="UKU50" s="543"/>
      <c r="UKV50" s="543"/>
      <c r="UKW50" s="543"/>
      <c r="UKX50" s="543"/>
      <c r="UKY50" s="543"/>
      <c r="UKZ50" s="543"/>
      <c r="ULA50" s="543"/>
      <c r="ULB50" s="543"/>
      <c r="ULC50" s="543"/>
      <c r="ULD50" s="543"/>
      <c r="ULE50" s="543"/>
      <c r="ULF50" s="543"/>
      <c r="ULG50" s="543"/>
      <c r="ULH50" s="543"/>
      <c r="ULI50" s="543"/>
      <c r="ULJ50" s="543"/>
      <c r="ULK50" s="543"/>
      <c r="ULL50" s="543"/>
      <c r="ULM50" s="543"/>
      <c r="ULN50" s="543"/>
      <c r="ULO50" s="543"/>
      <c r="ULP50" s="543"/>
      <c r="ULQ50" s="543"/>
      <c r="ULR50" s="543"/>
      <c r="ULS50" s="543"/>
      <c r="ULT50" s="543"/>
      <c r="ULU50" s="543"/>
      <c r="ULV50" s="543"/>
      <c r="ULW50" s="543"/>
      <c r="ULX50" s="543"/>
      <c r="ULY50" s="543"/>
      <c r="ULZ50" s="543"/>
      <c r="UMA50" s="543"/>
      <c r="UMB50" s="543"/>
      <c r="UMC50" s="543"/>
      <c r="UMD50" s="543"/>
      <c r="UME50" s="543"/>
      <c r="UMF50" s="543"/>
      <c r="UMG50" s="543"/>
      <c r="UMH50" s="543"/>
      <c r="UMI50" s="543"/>
      <c r="UMJ50" s="543"/>
      <c r="UMK50" s="543"/>
      <c r="UML50" s="543"/>
      <c r="UMM50" s="543"/>
      <c r="UMN50" s="543"/>
      <c r="UMO50" s="543"/>
      <c r="UMP50" s="543"/>
      <c r="UMQ50" s="543"/>
      <c r="UMR50" s="543"/>
      <c r="UMS50" s="543"/>
      <c r="UMT50" s="543"/>
      <c r="UMU50" s="543"/>
      <c r="UMV50" s="543"/>
      <c r="UMW50" s="543"/>
      <c r="UMX50" s="543"/>
      <c r="UMY50" s="543"/>
      <c r="UMZ50" s="543"/>
      <c r="UNA50" s="543"/>
      <c r="UNB50" s="543"/>
      <c r="UNC50" s="543"/>
      <c r="UND50" s="543"/>
      <c r="UNE50" s="543"/>
      <c r="UNF50" s="543"/>
      <c r="UNG50" s="543"/>
      <c r="UNH50" s="543"/>
      <c r="UNI50" s="543"/>
      <c r="UNJ50" s="543"/>
      <c r="UNK50" s="543"/>
      <c r="UNL50" s="543"/>
      <c r="UNM50" s="543"/>
      <c r="UNN50" s="543"/>
      <c r="UNO50" s="543"/>
      <c r="UNP50" s="543"/>
      <c r="UNQ50" s="543"/>
      <c r="UNR50" s="543"/>
      <c r="UNS50" s="543"/>
      <c r="UNT50" s="543"/>
      <c r="UNU50" s="543"/>
      <c r="UNV50" s="543"/>
      <c r="UNW50" s="543"/>
      <c r="UNX50" s="543"/>
      <c r="UNY50" s="543"/>
      <c r="UNZ50" s="543"/>
      <c r="UOA50" s="543"/>
      <c r="UOB50" s="543"/>
      <c r="UOC50" s="543"/>
      <c r="UOD50" s="543"/>
      <c r="UOE50" s="543"/>
      <c r="UOF50" s="543"/>
      <c r="UOG50" s="543"/>
      <c r="UOH50" s="543"/>
      <c r="UOI50" s="543"/>
      <c r="UOJ50" s="543"/>
      <c r="UOK50" s="543"/>
      <c r="UOL50" s="543"/>
      <c r="UOM50" s="543"/>
      <c r="UON50" s="543"/>
      <c r="UOO50" s="543"/>
      <c r="UOP50" s="543"/>
      <c r="UOQ50" s="543"/>
      <c r="UOR50" s="543"/>
      <c r="UOS50" s="543"/>
      <c r="UOT50" s="543"/>
      <c r="UOU50" s="543"/>
      <c r="UOV50" s="543"/>
      <c r="UOW50" s="543"/>
      <c r="UOX50" s="543"/>
      <c r="UOY50" s="543"/>
      <c r="UOZ50" s="543"/>
      <c r="UPA50" s="543"/>
      <c r="UPB50" s="543"/>
      <c r="UPC50" s="543"/>
      <c r="UPD50" s="543"/>
      <c r="UPE50" s="543"/>
      <c r="UPF50" s="543"/>
      <c r="UPG50" s="543"/>
      <c r="UPH50" s="543"/>
      <c r="UPI50" s="543"/>
      <c r="UPJ50" s="543"/>
      <c r="UPK50" s="543"/>
      <c r="UPL50" s="543"/>
      <c r="UPM50" s="543"/>
      <c r="UPN50" s="543"/>
      <c r="UPO50" s="543"/>
      <c r="UPP50" s="543"/>
      <c r="UPQ50" s="543"/>
      <c r="UPR50" s="543"/>
      <c r="UPS50" s="543"/>
      <c r="UPT50" s="543"/>
      <c r="UPU50" s="543"/>
      <c r="UPV50" s="543"/>
      <c r="UPW50" s="543"/>
      <c r="UPX50" s="543"/>
      <c r="UPY50" s="543"/>
      <c r="UPZ50" s="543"/>
      <c r="UQA50" s="543"/>
      <c r="UQB50" s="543"/>
      <c r="UQC50" s="543"/>
      <c r="UQD50" s="543"/>
      <c r="UQE50" s="543"/>
      <c r="UQF50" s="543"/>
      <c r="UQG50" s="543"/>
      <c r="UQH50" s="543"/>
      <c r="UQI50" s="543"/>
      <c r="UQJ50" s="543"/>
      <c r="UQK50" s="543"/>
      <c r="UQL50" s="543"/>
      <c r="UQM50" s="543"/>
      <c r="UQN50" s="543"/>
      <c r="UQO50" s="543"/>
      <c r="UQP50" s="543"/>
      <c r="UQQ50" s="543"/>
      <c r="UQR50" s="543"/>
      <c r="UQS50" s="543"/>
      <c r="UQT50" s="543"/>
      <c r="UQU50" s="543"/>
      <c r="UQV50" s="543"/>
      <c r="UQW50" s="543"/>
      <c r="UQX50" s="543"/>
      <c r="UQY50" s="543"/>
      <c r="UQZ50" s="543"/>
      <c r="URA50" s="543"/>
      <c r="URB50" s="543"/>
      <c r="URC50" s="543"/>
      <c r="URD50" s="543"/>
      <c r="URE50" s="543"/>
      <c r="URF50" s="543"/>
      <c r="URG50" s="543"/>
      <c r="URH50" s="543"/>
      <c r="URI50" s="543"/>
      <c r="URJ50" s="543"/>
      <c r="URK50" s="543"/>
      <c r="URL50" s="543"/>
      <c r="URM50" s="543"/>
      <c r="URN50" s="543"/>
      <c r="URO50" s="543"/>
      <c r="URP50" s="543"/>
      <c r="URQ50" s="543"/>
      <c r="URR50" s="543"/>
      <c r="URS50" s="543"/>
      <c r="URT50" s="543"/>
      <c r="URU50" s="543"/>
      <c r="URV50" s="543"/>
      <c r="URW50" s="543"/>
      <c r="URX50" s="543"/>
      <c r="URY50" s="543"/>
      <c r="URZ50" s="543"/>
      <c r="USA50" s="543"/>
      <c r="USB50" s="543"/>
      <c r="USC50" s="543"/>
      <c r="USD50" s="543"/>
      <c r="USE50" s="543"/>
      <c r="USF50" s="543"/>
      <c r="USG50" s="543"/>
      <c r="USH50" s="543"/>
      <c r="USI50" s="543"/>
      <c r="USJ50" s="543"/>
      <c r="USK50" s="543"/>
      <c r="USL50" s="543"/>
      <c r="USM50" s="543"/>
      <c r="USN50" s="543"/>
      <c r="USO50" s="543"/>
      <c r="USP50" s="543"/>
      <c r="USQ50" s="543"/>
      <c r="USR50" s="543"/>
      <c r="USS50" s="543"/>
      <c r="UST50" s="543"/>
      <c r="USU50" s="543"/>
      <c r="USV50" s="543"/>
      <c r="USW50" s="543"/>
      <c r="USX50" s="543"/>
      <c r="USY50" s="543"/>
      <c r="USZ50" s="543"/>
      <c r="UTA50" s="543"/>
      <c r="UTB50" s="543"/>
      <c r="UTC50" s="543"/>
      <c r="UTD50" s="543"/>
      <c r="UTE50" s="543"/>
      <c r="UTF50" s="543"/>
      <c r="UTG50" s="543"/>
      <c r="UTH50" s="543"/>
      <c r="UTI50" s="543"/>
      <c r="UTJ50" s="543"/>
      <c r="UTK50" s="543"/>
      <c r="UTL50" s="543"/>
      <c r="UTM50" s="543"/>
      <c r="UTN50" s="543"/>
      <c r="UTO50" s="543"/>
      <c r="UTP50" s="543"/>
      <c r="UTQ50" s="543"/>
      <c r="UTR50" s="543"/>
      <c r="UTS50" s="543"/>
      <c r="UTT50" s="543"/>
      <c r="UTU50" s="543"/>
      <c r="UTV50" s="543"/>
      <c r="UTW50" s="543"/>
      <c r="UTX50" s="543"/>
      <c r="UTY50" s="543"/>
      <c r="UTZ50" s="543"/>
      <c r="UUA50" s="543"/>
      <c r="UUB50" s="543"/>
      <c r="UUC50" s="543"/>
      <c r="UUD50" s="543"/>
      <c r="UUE50" s="543"/>
      <c r="UUF50" s="543"/>
      <c r="UUG50" s="543"/>
      <c r="UUH50" s="543"/>
      <c r="UUI50" s="543"/>
      <c r="UUJ50" s="543"/>
      <c r="UUK50" s="543"/>
      <c r="UUL50" s="543"/>
      <c r="UUM50" s="543"/>
      <c r="UUN50" s="543"/>
      <c r="UUO50" s="543"/>
      <c r="UUP50" s="543"/>
      <c r="UUQ50" s="543"/>
      <c r="UUR50" s="543"/>
      <c r="UUS50" s="543"/>
      <c r="UUT50" s="543"/>
      <c r="UUU50" s="543"/>
      <c r="UUV50" s="543"/>
      <c r="UUW50" s="543"/>
      <c r="UUX50" s="543"/>
      <c r="UUY50" s="543"/>
      <c r="UUZ50" s="543"/>
      <c r="UVA50" s="543"/>
      <c r="UVB50" s="543"/>
      <c r="UVC50" s="543"/>
      <c r="UVD50" s="543"/>
      <c r="UVE50" s="543"/>
      <c r="UVF50" s="543"/>
      <c r="UVG50" s="543"/>
      <c r="UVH50" s="543"/>
      <c r="UVI50" s="543"/>
      <c r="UVJ50" s="543"/>
      <c r="UVK50" s="543"/>
      <c r="UVL50" s="543"/>
      <c r="UVM50" s="543"/>
      <c r="UVN50" s="543"/>
      <c r="UVO50" s="543"/>
      <c r="UVP50" s="543"/>
      <c r="UVQ50" s="543"/>
      <c r="UVR50" s="543"/>
      <c r="UVS50" s="543"/>
      <c r="UVT50" s="543"/>
      <c r="UVU50" s="543"/>
      <c r="UVV50" s="543"/>
      <c r="UVW50" s="543"/>
      <c r="UVX50" s="543"/>
      <c r="UVY50" s="543"/>
      <c r="UVZ50" s="543"/>
      <c r="UWA50" s="543"/>
      <c r="UWB50" s="543"/>
      <c r="UWC50" s="543"/>
      <c r="UWD50" s="543"/>
      <c r="UWE50" s="543"/>
      <c r="UWF50" s="543"/>
      <c r="UWG50" s="543"/>
      <c r="UWH50" s="543"/>
      <c r="UWI50" s="543"/>
      <c r="UWJ50" s="543"/>
      <c r="UWK50" s="543"/>
      <c r="UWL50" s="543"/>
      <c r="UWM50" s="543"/>
      <c r="UWN50" s="543"/>
      <c r="UWO50" s="543"/>
      <c r="UWP50" s="543"/>
      <c r="UWQ50" s="543"/>
      <c r="UWR50" s="543"/>
      <c r="UWS50" s="543"/>
      <c r="UWT50" s="543"/>
      <c r="UWU50" s="543"/>
      <c r="UWV50" s="543"/>
      <c r="UWW50" s="543"/>
      <c r="UWX50" s="543"/>
      <c r="UWY50" s="543"/>
      <c r="UWZ50" s="543"/>
      <c r="UXA50" s="543"/>
      <c r="UXB50" s="543"/>
      <c r="UXC50" s="543"/>
      <c r="UXD50" s="543"/>
      <c r="UXE50" s="543"/>
      <c r="UXF50" s="543"/>
      <c r="UXG50" s="543"/>
      <c r="UXH50" s="543"/>
      <c r="UXI50" s="543"/>
      <c r="UXJ50" s="543"/>
      <c r="UXK50" s="543"/>
      <c r="UXL50" s="543"/>
      <c r="UXM50" s="543"/>
      <c r="UXN50" s="543"/>
      <c r="UXO50" s="543"/>
      <c r="UXP50" s="543"/>
      <c r="UXQ50" s="543"/>
      <c r="UXR50" s="543"/>
      <c r="UXS50" s="543"/>
      <c r="UXT50" s="543"/>
      <c r="UXU50" s="543"/>
      <c r="UXV50" s="543"/>
      <c r="UXW50" s="543"/>
      <c r="UXX50" s="543"/>
      <c r="UXY50" s="543"/>
      <c r="UXZ50" s="543"/>
      <c r="UYA50" s="543"/>
      <c r="UYB50" s="543"/>
      <c r="UYC50" s="543"/>
      <c r="UYD50" s="543"/>
      <c r="UYE50" s="543"/>
      <c r="UYF50" s="543"/>
      <c r="UYG50" s="543"/>
      <c r="UYH50" s="543"/>
      <c r="UYI50" s="543"/>
      <c r="UYJ50" s="543"/>
      <c r="UYK50" s="543"/>
      <c r="UYL50" s="543"/>
      <c r="UYM50" s="543"/>
      <c r="UYN50" s="543"/>
      <c r="UYO50" s="543"/>
      <c r="UYP50" s="543"/>
      <c r="UYQ50" s="543"/>
      <c r="UYR50" s="543"/>
      <c r="UYS50" s="543"/>
      <c r="UYT50" s="543"/>
      <c r="UYU50" s="543"/>
      <c r="UYV50" s="543"/>
      <c r="UYW50" s="543"/>
      <c r="UYX50" s="543"/>
      <c r="UYY50" s="543"/>
      <c r="UYZ50" s="543"/>
      <c r="UZA50" s="543"/>
      <c r="UZB50" s="543"/>
      <c r="UZC50" s="543"/>
      <c r="UZD50" s="543"/>
      <c r="UZE50" s="543"/>
      <c r="UZF50" s="543"/>
      <c r="UZG50" s="543"/>
      <c r="UZH50" s="543"/>
      <c r="UZI50" s="543"/>
      <c r="UZJ50" s="543"/>
      <c r="UZK50" s="543"/>
      <c r="UZL50" s="543"/>
      <c r="UZM50" s="543"/>
      <c r="UZN50" s="543"/>
      <c r="UZO50" s="543"/>
      <c r="UZP50" s="543"/>
      <c r="UZQ50" s="543"/>
      <c r="UZR50" s="543"/>
      <c r="UZS50" s="543"/>
      <c r="UZT50" s="543"/>
      <c r="UZU50" s="543"/>
      <c r="UZV50" s="543"/>
      <c r="UZW50" s="543"/>
      <c r="UZX50" s="543"/>
      <c r="UZY50" s="543"/>
      <c r="UZZ50" s="543"/>
      <c r="VAA50" s="543"/>
      <c r="VAB50" s="543"/>
      <c r="VAC50" s="543"/>
      <c r="VAD50" s="543"/>
      <c r="VAE50" s="543"/>
      <c r="VAF50" s="543"/>
      <c r="VAG50" s="543"/>
      <c r="VAH50" s="543"/>
      <c r="VAI50" s="543"/>
      <c r="VAJ50" s="543"/>
      <c r="VAK50" s="543"/>
      <c r="VAL50" s="543"/>
      <c r="VAM50" s="543"/>
      <c r="VAN50" s="543"/>
      <c r="VAO50" s="543"/>
      <c r="VAP50" s="543"/>
      <c r="VAQ50" s="543"/>
      <c r="VAR50" s="543"/>
      <c r="VAS50" s="543"/>
      <c r="VAT50" s="543"/>
      <c r="VAU50" s="543"/>
      <c r="VAV50" s="543"/>
      <c r="VAW50" s="543"/>
      <c r="VAX50" s="543"/>
      <c r="VAY50" s="543"/>
      <c r="VAZ50" s="543"/>
      <c r="VBA50" s="543"/>
      <c r="VBB50" s="543"/>
      <c r="VBC50" s="543"/>
      <c r="VBD50" s="543"/>
      <c r="VBE50" s="543"/>
      <c r="VBF50" s="543"/>
      <c r="VBG50" s="543"/>
      <c r="VBH50" s="543"/>
      <c r="VBI50" s="543"/>
      <c r="VBJ50" s="543"/>
      <c r="VBK50" s="543"/>
      <c r="VBL50" s="543"/>
      <c r="VBM50" s="543"/>
      <c r="VBN50" s="543"/>
      <c r="VBO50" s="543"/>
      <c r="VBP50" s="543"/>
      <c r="VBQ50" s="543"/>
      <c r="VBR50" s="543"/>
      <c r="VBS50" s="543"/>
      <c r="VBT50" s="543"/>
      <c r="VBU50" s="543"/>
      <c r="VBV50" s="543"/>
      <c r="VBW50" s="543"/>
      <c r="VBX50" s="543"/>
      <c r="VBY50" s="543"/>
      <c r="VBZ50" s="543"/>
      <c r="VCA50" s="543"/>
      <c r="VCB50" s="543"/>
      <c r="VCC50" s="543"/>
      <c r="VCD50" s="543"/>
      <c r="VCE50" s="543"/>
      <c r="VCF50" s="543"/>
      <c r="VCG50" s="543"/>
      <c r="VCH50" s="543"/>
      <c r="VCI50" s="543"/>
      <c r="VCJ50" s="543"/>
      <c r="VCK50" s="543"/>
      <c r="VCL50" s="543"/>
      <c r="VCM50" s="543"/>
      <c r="VCN50" s="543"/>
      <c r="VCO50" s="543"/>
      <c r="VCP50" s="543"/>
      <c r="VCQ50" s="543"/>
      <c r="VCR50" s="543"/>
      <c r="VCS50" s="543"/>
      <c r="VCT50" s="543"/>
      <c r="VCU50" s="543"/>
      <c r="VCV50" s="543"/>
      <c r="VCW50" s="543"/>
      <c r="VCX50" s="543"/>
      <c r="VCY50" s="543"/>
      <c r="VCZ50" s="543"/>
      <c r="VDA50" s="543"/>
      <c r="VDB50" s="543"/>
      <c r="VDC50" s="543"/>
      <c r="VDD50" s="543"/>
      <c r="VDE50" s="543"/>
      <c r="VDF50" s="543"/>
      <c r="VDG50" s="543"/>
      <c r="VDH50" s="543"/>
      <c r="VDI50" s="543"/>
      <c r="VDJ50" s="543"/>
      <c r="VDK50" s="543"/>
      <c r="VDL50" s="543"/>
      <c r="VDM50" s="543"/>
      <c r="VDN50" s="543"/>
      <c r="VDO50" s="543"/>
      <c r="VDP50" s="543"/>
      <c r="VDQ50" s="543"/>
      <c r="VDR50" s="543"/>
      <c r="VDS50" s="543"/>
      <c r="VDT50" s="543"/>
      <c r="VDU50" s="543"/>
      <c r="VDV50" s="543"/>
      <c r="VDW50" s="543"/>
      <c r="VDX50" s="543"/>
      <c r="VDY50" s="543"/>
      <c r="VDZ50" s="543"/>
      <c r="VEA50" s="543"/>
      <c r="VEB50" s="543"/>
      <c r="VEC50" s="543"/>
      <c r="VED50" s="543"/>
      <c r="VEE50" s="543"/>
      <c r="VEF50" s="543"/>
      <c r="VEG50" s="543"/>
      <c r="VEH50" s="543"/>
      <c r="VEI50" s="543"/>
      <c r="VEJ50" s="543"/>
      <c r="VEK50" s="543"/>
      <c r="VEL50" s="543"/>
      <c r="VEM50" s="543"/>
      <c r="VEN50" s="543"/>
      <c r="VEO50" s="543"/>
      <c r="VEP50" s="543"/>
      <c r="VEQ50" s="543"/>
      <c r="VER50" s="543"/>
      <c r="VES50" s="543"/>
      <c r="VET50" s="543"/>
      <c r="VEU50" s="543"/>
      <c r="VEV50" s="543"/>
      <c r="VEW50" s="543"/>
      <c r="VEX50" s="543"/>
      <c r="VEY50" s="543"/>
      <c r="VEZ50" s="543"/>
      <c r="VFA50" s="543"/>
      <c r="VFB50" s="543"/>
      <c r="VFC50" s="543"/>
      <c r="VFD50" s="543"/>
      <c r="VFE50" s="543"/>
      <c r="VFF50" s="543"/>
      <c r="VFG50" s="543"/>
      <c r="VFH50" s="543"/>
      <c r="VFI50" s="543"/>
      <c r="VFJ50" s="543"/>
      <c r="VFK50" s="543"/>
      <c r="VFL50" s="543"/>
      <c r="VFM50" s="543"/>
      <c r="VFN50" s="543"/>
      <c r="VFO50" s="543"/>
      <c r="VFP50" s="543"/>
      <c r="VFQ50" s="543"/>
      <c r="VFR50" s="543"/>
      <c r="VFS50" s="543"/>
      <c r="VFT50" s="543"/>
      <c r="VFU50" s="543"/>
      <c r="VFV50" s="543"/>
      <c r="VFW50" s="543"/>
      <c r="VFX50" s="543"/>
      <c r="VFY50" s="543"/>
      <c r="VFZ50" s="543"/>
      <c r="VGA50" s="543"/>
      <c r="VGB50" s="543"/>
      <c r="VGC50" s="543"/>
      <c r="VGD50" s="543"/>
      <c r="VGE50" s="543"/>
      <c r="VGF50" s="543"/>
      <c r="VGG50" s="543"/>
      <c r="VGH50" s="543"/>
      <c r="VGI50" s="543"/>
      <c r="VGJ50" s="543"/>
      <c r="VGK50" s="543"/>
      <c r="VGL50" s="543"/>
      <c r="VGM50" s="543"/>
      <c r="VGN50" s="543"/>
      <c r="VGO50" s="543"/>
      <c r="VGP50" s="543"/>
      <c r="VGQ50" s="543"/>
      <c r="VGR50" s="543"/>
      <c r="VGS50" s="543"/>
      <c r="VGT50" s="543"/>
      <c r="VGU50" s="543"/>
      <c r="VGV50" s="543"/>
      <c r="VGW50" s="543"/>
      <c r="VGX50" s="543"/>
      <c r="VGY50" s="543"/>
      <c r="VGZ50" s="543"/>
      <c r="VHA50" s="543"/>
      <c r="VHB50" s="543"/>
      <c r="VHC50" s="543"/>
      <c r="VHD50" s="543"/>
      <c r="VHE50" s="543"/>
      <c r="VHF50" s="543"/>
      <c r="VHG50" s="543"/>
      <c r="VHH50" s="543"/>
      <c r="VHI50" s="543"/>
      <c r="VHJ50" s="543"/>
      <c r="VHK50" s="543"/>
      <c r="VHL50" s="543"/>
      <c r="VHM50" s="543"/>
      <c r="VHN50" s="543"/>
      <c r="VHO50" s="543"/>
      <c r="VHP50" s="543"/>
      <c r="VHQ50" s="543"/>
      <c r="VHR50" s="543"/>
      <c r="VHS50" s="543"/>
      <c r="VHT50" s="543"/>
      <c r="VHU50" s="543"/>
      <c r="VHV50" s="543"/>
      <c r="VHW50" s="543"/>
      <c r="VHX50" s="543"/>
      <c r="VHY50" s="543"/>
      <c r="VHZ50" s="543"/>
      <c r="VIA50" s="543"/>
      <c r="VIB50" s="543"/>
      <c r="VIC50" s="543"/>
      <c r="VID50" s="543"/>
      <c r="VIE50" s="543"/>
      <c r="VIF50" s="543"/>
      <c r="VIG50" s="543"/>
      <c r="VIH50" s="543"/>
      <c r="VII50" s="543"/>
      <c r="VIJ50" s="543"/>
      <c r="VIK50" s="543"/>
      <c r="VIL50" s="543"/>
      <c r="VIM50" s="543"/>
      <c r="VIN50" s="543"/>
      <c r="VIO50" s="543"/>
      <c r="VIP50" s="543"/>
      <c r="VIQ50" s="543"/>
      <c r="VIR50" s="543"/>
      <c r="VIS50" s="543"/>
      <c r="VIT50" s="543"/>
      <c r="VIU50" s="543"/>
      <c r="VIV50" s="543"/>
      <c r="VIW50" s="543"/>
      <c r="VIX50" s="543"/>
      <c r="VIY50" s="543"/>
      <c r="VIZ50" s="543"/>
      <c r="VJA50" s="543"/>
      <c r="VJB50" s="543"/>
      <c r="VJC50" s="543"/>
      <c r="VJD50" s="543"/>
      <c r="VJE50" s="543"/>
      <c r="VJF50" s="543"/>
      <c r="VJG50" s="543"/>
      <c r="VJH50" s="543"/>
      <c r="VJI50" s="543"/>
      <c r="VJJ50" s="543"/>
      <c r="VJK50" s="543"/>
      <c r="VJL50" s="543"/>
      <c r="VJM50" s="543"/>
      <c r="VJN50" s="543"/>
      <c r="VJO50" s="543"/>
      <c r="VJP50" s="543"/>
      <c r="VJQ50" s="543"/>
      <c r="VJR50" s="543"/>
      <c r="VJS50" s="543"/>
      <c r="VJT50" s="543"/>
      <c r="VJU50" s="543"/>
      <c r="VJV50" s="543"/>
      <c r="VJW50" s="543"/>
      <c r="VJX50" s="543"/>
      <c r="VJY50" s="543"/>
      <c r="VJZ50" s="543"/>
      <c r="VKA50" s="543"/>
      <c r="VKB50" s="543"/>
      <c r="VKC50" s="543"/>
      <c r="VKD50" s="543"/>
      <c r="VKE50" s="543"/>
      <c r="VKF50" s="543"/>
      <c r="VKG50" s="543"/>
      <c r="VKH50" s="543"/>
      <c r="VKI50" s="543"/>
      <c r="VKJ50" s="543"/>
      <c r="VKK50" s="543"/>
      <c r="VKL50" s="543"/>
      <c r="VKM50" s="543"/>
      <c r="VKN50" s="543"/>
      <c r="VKO50" s="543"/>
      <c r="VKP50" s="543"/>
      <c r="VKQ50" s="543"/>
      <c r="VKR50" s="543"/>
      <c r="VKS50" s="543"/>
      <c r="VKT50" s="543"/>
      <c r="VKU50" s="543"/>
      <c r="VKV50" s="543"/>
      <c r="VKW50" s="543"/>
      <c r="VKX50" s="543"/>
      <c r="VKY50" s="543"/>
      <c r="VKZ50" s="543"/>
      <c r="VLA50" s="543"/>
      <c r="VLB50" s="543"/>
      <c r="VLC50" s="543"/>
      <c r="VLD50" s="543"/>
      <c r="VLE50" s="543"/>
      <c r="VLF50" s="543"/>
      <c r="VLG50" s="543"/>
      <c r="VLH50" s="543"/>
      <c r="VLI50" s="543"/>
      <c r="VLJ50" s="543"/>
      <c r="VLK50" s="543"/>
      <c r="VLL50" s="543"/>
      <c r="VLM50" s="543"/>
      <c r="VLN50" s="543"/>
      <c r="VLO50" s="543"/>
      <c r="VLP50" s="543"/>
      <c r="VLQ50" s="543"/>
      <c r="VLR50" s="543"/>
      <c r="VLS50" s="543"/>
      <c r="VLT50" s="543"/>
      <c r="VLU50" s="543"/>
      <c r="VLV50" s="543"/>
      <c r="VLW50" s="543"/>
      <c r="VLX50" s="543"/>
      <c r="VLY50" s="543"/>
      <c r="VLZ50" s="543"/>
      <c r="VMA50" s="543"/>
      <c r="VMB50" s="543"/>
      <c r="VMC50" s="543"/>
      <c r="VMD50" s="543"/>
      <c r="VME50" s="543"/>
      <c r="VMF50" s="543"/>
      <c r="VMG50" s="543"/>
      <c r="VMH50" s="543"/>
      <c r="VMI50" s="543"/>
      <c r="VMJ50" s="543"/>
      <c r="VMK50" s="543"/>
      <c r="VML50" s="543"/>
      <c r="VMM50" s="543"/>
      <c r="VMN50" s="543"/>
      <c r="VMO50" s="543"/>
      <c r="VMP50" s="543"/>
      <c r="VMQ50" s="543"/>
      <c r="VMR50" s="543"/>
      <c r="VMS50" s="543"/>
      <c r="VMT50" s="543"/>
      <c r="VMU50" s="543"/>
      <c r="VMV50" s="543"/>
      <c r="VMW50" s="543"/>
      <c r="VMX50" s="543"/>
      <c r="VMY50" s="543"/>
      <c r="VMZ50" s="543"/>
      <c r="VNA50" s="543"/>
      <c r="VNB50" s="543"/>
      <c r="VNC50" s="543"/>
      <c r="VND50" s="543"/>
      <c r="VNE50" s="543"/>
      <c r="VNF50" s="543"/>
      <c r="VNG50" s="543"/>
      <c r="VNH50" s="543"/>
      <c r="VNI50" s="543"/>
      <c r="VNJ50" s="543"/>
      <c r="VNK50" s="543"/>
      <c r="VNL50" s="543"/>
      <c r="VNM50" s="543"/>
      <c r="VNN50" s="543"/>
      <c r="VNO50" s="543"/>
      <c r="VNP50" s="543"/>
      <c r="VNQ50" s="543"/>
      <c r="VNR50" s="543"/>
      <c r="VNS50" s="543"/>
      <c r="VNT50" s="543"/>
      <c r="VNU50" s="543"/>
      <c r="VNV50" s="543"/>
      <c r="VNW50" s="543"/>
      <c r="VNX50" s="543"/>
      <c r="VNY50" s="543"/>
      <c r="VNZ50" s="543"/>
      <c r="VOA50" s="543"/>
      <c r="VOB50" s="543"/>
      <c r="VOC50" s="543"/>
      <c r="VOD50" s="543"/>
      <c r="VOE50" s="543"/>
      <c r="VOF50" s="543"/>
      <c r="VOG50" s="543"/>
      <c r="VOH50" s="543"/>
      <c r="VOI50" s="543"/>
      <c r="VOJ50" s="543"/>
      <c r="VOK50" s="543"/>
      <c r="VOL50" s="543"/>
      <c r="VOM50" s="543"/>
      <c r="VON50" s="543"/>
      <c r="VOO50" s="543"/>
      <c r="VOP50" s="543"/>
      <c r="VOQ50" s="543"/>
      <c r="VOR50" s="543"/>
      <c r="VOS50" s="543"/>
      <c r="VOT50" s="543"/>
      <c r="VOU50" s="543"/>
      <c r="VOV50" s="543"/>
      <c r="VOW50" s="543"/>
      <c r="VOX50" s="543"/>
      <c r="VOY50" s="543"/>
      <c r="VOZ50" s="543"/>
      <c r="VPA50" s="543"/>
      <c r="VPB50" s="543"/>
      <c r="VPC50" s="543"/>
      <c r="VPD50" s="543"/>
      <c r="VPE50" s="543"/>
      <c r="VPF50" s="543"/>
      <c r="VPG50" s="543"/>
      <c r="VPH50" s="543"/>
      <c r="VPI50" s="543"/>
      <c r="VPJ50" s="543"/>
      <c r="VPK50" s="543"/>
      <c r="VPL50" s="543"/>
      <c r="VPM50" s="543"/>
      <c r="VPN50" s="543"/>
      <c r="VPO50" s="543"/>
      <c r="VPP50" s="543"/>
      <c r="VPQ50" s="543"/>
      <c r="VPR50" s="543"/>
      <c r="VPS50" s="543"/>
      <c r="VPT50" s="543"/>
      <c r="VPU50" s="543"/>
      <c r="VPV50" s="543"/>
      <c r="VPW50" s="543"/>
      <c r="VPX50" s="543"/>
      <c r="VPY50" s="543"/>
      <c r="VPZ50" s="543"/>
      <c r="VQA50" s="543"/>
      <c r="VQB50" s="543"/>
      <c r="VQC50" s="543"/>
      <c r="VQD50" s="543"/>
      <c r="VQE50" s="543"/>
      <c r="VQF50" s="543"/>
      <c r="VQG50" s="543"/>
      <c r="VQH50" s="543"/>
      <c r="VQI50" s="543"/>
      <c r="VQJ50" s="543"/>
      <c r="VQK50" s="543"/>
      <c r="VQL50" s="543"/>
      <c r="VQM50" s="543"/>
      <c r="VQN50" s="543"/>
      <c r="VQO50" s="543"/>
      <c r="VQP50" s="543"/>
      <c r="VQQ50" s="543"/>
      <c r="VQR50" s="543"/>
      <c r="VQS50" s="543"/>
      <c r="VQT50" s="543"/>
      <c r="VQU50" s="543"/>
      <c r="VQV50" s="543"/>
      <c r="VQW50" s="543"/>
      <c r="VQX50" s="543"/>
      <c r="VQY50" s="543"/>
      <c r="VQZ50" s="543"/>
      <c r="VRA50" s="543"/>
      <c r="VRB50" s="543"/>
      <c r="VRC50" s="543"/>
      <c r="VRD50" s="543"/>
      <c r="VRE50" s="543"/>
      <c r="VRF50" s="543"/>
      <c r="VRG50" s="543"/>
      <c r="VRH50" s="543"/>
      <c r="VRI50" s="543"/>
      <c r="VRJ50" s="543"/>
      <c r="VRK50" s="543"/>
      <c r="VRL50" s="543"/>
      <c r="VRM50" s="543"/>
      <c r="VRN50" s="543"/>
      <c r="VRO50" s="543"/>
      <c r="VRP50" s="543"/>
      <c r="VRQ50" s="543"/>
      <c r="VRR50" s="543"/>
      <c r="VRS50" s="543"/>
      <c r="VRT50" s="543"/>
      <c r="VRU50" s="543"/>
      <c r="VRV50" s="543"/>
      <c r="VRW50" s="543"/>
      <c r="VRX50" s="543"/>
      <c r="VRY50" s="543"/>
      <c r="VRZ50" s="543"/>
      <c r="VSA50" s="543"/>
      <c r="VSB50" s="543"/>
      <c r="VSC50" s="543"/>
      <c r="VSD50" s="543"/>
      <c r="VSE50" s="543"/>
      <c r="VSF50" s="543"/>
      <c r="VSG50" s="543"/>
      <c r="VSH50" s="543"/>
      <c r="VSI50" s="543"/>
      <c r="VSJ50" s="543"/>
      <c r="VSK50" s="543"/>
      <c r="VSL50" s="543"/>
      <c r="VSM50" s="543"/>
      <c r="VSN50" s="543"/>
      <c r="VSO50" s="543"/>
      <c r="VSP50" s="543"/>
      <c r="VSQ50" s="543"/>
      <c r="VSR50" s="543"/>
      <c r="VSS50" s="543"/>
      <c r="VST50" s="543"/>
      <c r="VSU50" s="543"/>
      <c r="VSV50" s="543"/>
      <c r="VSW50" s="543"/>
      <c r="VSX50" s="543"/>
      <c r="VSY50" s="543"/>
      <c r="VSZ50" s="543"/>
      <c r="VTA50" s="543"/>
      <c r="VTB50" s="543"/>
      <c r="VTC50" s="543"/>
      <c r="VTD50" s="543"/>
      <c r="VTE50" s="543"/>
      <c r="VTF50" s="543"/>
      <c r="VTG50" s="543"/>
      <c r="VTH50" s="543"/>
      <c r="VTI50" s="543"/>
      <c r="VTJ50" s="543"/>
      <c r="VTK50" s="543"/>
      <c r="VTL50" s="543"/>
      <c r="VTM50" s="543"/>
      <c r="VTN50" s="543"/>
      <c r="VTO50" s="543"/>
      <c r="VTP50" s="543"/>
      <c r="VTQ50" s="543"/>
      <c r="VTR50" s="543"/>
      <c r="VTS50" s="543"/>
      <c r="VTT50" s="543"/>
      <c r="VTU50" s="543"/>
      <c r="VTV50" s="543"/>
      <c r="VTW50" s="543"/>
      <c r="VTX50" s="543"/>
      <c r="VTY50" s="543"/>
      <c r="VTZ50" s="543"/>
      <c r="VUA50" s="543"/>
      <c r="VUB50" s="543"/>
      <c r="VUC50" s="543"/>
      <c r="VUD50" s="543"/>
      <c r="VUE50" s="543"/>
      <c r="VUF50" s="543"/>
      <c r="VUG50" s="543"/>
      <c r="VUH50" s="543"/>
      <c r="VUI50" s="543"/>
      <c r="VUJ50" s="543"/>
      <c r="VUK50" s="543"/>
      <c r="VUL50" s="543"/>
      <c r="VUM50" s="543"/>
      <c r="VUN50" s="543"/>
      <c r="VUO50" s="543"/>
      <c r="VUP50" s="543"/>
      <c r="VUQ50" s="543"/>
      <c r="VUR50" s="543"/>
      <c r="VUS50" s="543"/>
      <c r="VUT50" s="543"/>
      <c r="VUU50" s="543"/>
      <c r="VUV50" s="543"/>
      <c r="VUW50" s="543"/>
      <c r="VUX50" s="543"/>
      <c r="VUY50" s="543"/>
      <c r="VUZ50" s="543"/>
      <c r="VVA50" s="543"/>
      <c r="VVB50" s="543"/>
      <c r="VVC50" s="543"/>
      <c r="VVD50" s="543"/>
      <c r="VVE50" s="543"/>
      <c r="VVF50" s="543"/>
      <c r="VVG50" s="543"/>
      <c r="VVH50" s="543"/>
      <c r="VVI50" s="543"/>
      <c r="VVJ50" s="543"/>
      <c r="VVK50" s="543"/>
      <c r="VVL50" s="543"/>
      <c r="VVM50" s="543"/>
      <c r="VVN50" s="543"/>
      <c r="VVO50" s="543"/>
      <c r="VVP50" s="543"/>
      <c r="VVQ50" s="543"/>
      <c r="VVR50" s="543"/>
      <c r="VVS50" s="543"/>
      <c r="VVT50" s="543"/>
      <c r="VVU50" s="543"/>
      <c r="VVV50" s="543"/>
      <c r="VVW50" s="543"/>
      <c r="VVX50" s="543"/>
      <c r="VVY50" s="543"/>
      <c r="VVZ50" s="543"/>
      <c r="VWA50" s="543"/>
      <c r="VWB50" s="543"/>
      <c r="VWC50" s="543"/>
      <c r="VWD50" s="543"/>
      <c r="VWE50" s="543"/>
      <c r="VWF50" s="543"/>
      <c r="VWG50" s="543"/>
      <c r="VWH50" s="543"/>
      <c r="VWI50" s="543"/>
      <c r="VWJ50" s="543"/>
      <c r="VWK50" s="543"/>
      <c r="VWL50" s="543"/>
      <c r="VWM50" s="543"/>
      <c r="VWN50" s="543"/>
      <c r="VWO50" s="543"/>
      <c r="VWP50" s="543"/>
      <c r="VWQ50" s="543"/>
      <c r="VWR50" s="543"/>
      <c r="VWS50" s="543"/>
      <c r="VWT50" s="543"/>
      <c r="VWU50" s="543"/>
      <c r="VWV50" s="543"/>
      <c r="VWW50" s="543"/>
      <c r="VWX50" s="543"/>
      <c r="VWY50" s="543"/>
      <c r="VWZ50" s="543"/>
      <c r="VXA50" s="543"/>
      <c r="VXB50" s="543"/>
      <c r="VXC50" s="543"/>
      <c r="VXD50" s="543"/>
      <c r="VXE50" s="543"/>
      <c r="VXF50" s="543"/>
      <c r="VXG50" s="543"/>
      <c r="VXH50" s="543"/>
      <c r="VXI50" s="543"/>
      <c r="VXJ50" s="543"/>
      <c r="VXK50" s="543"/>
      <c r="VXL50" s="543"/>
      <c r="VXM50" s="543"/>
      <c r="VXN50" s="543"/>
      <c r="VXO50" s="543"/>
      <c r="VXP50" s="543"/>
      <c r="VXQ50" s="543"/>
      <c r="VXR50" s="543"/>
      <c r="VXS50" s="543"/>
      <c r="VXT50" s="543"/>
      <c r="VXU50" s="543"/>
      <c r="VXV50" s="543"/>
      <c r="VXW50" s="543"/>
      <c r="VXX50" s="543"/>
      <c r="VXY50" s="543"/>
      <c r="VXZ50" s="543"/>
      <c r="VYA50" s="543"/>
      <c r="VYB50" s="543"/>
      <c r="VYC50" s="543"/>
      <c r="VYD50" s="543"/>
      <c r="VYE50" s="543"/>
      <c r="VYF50" s="543"/>
      <c r="VYG50" s="543"/>
      <c r="VYH50" s="543"/>
      <c r="VYI50" s="543"/>
      <c r="VYJ50" s="543"/>
      <c r="VYK50" s="543"/>
      <c r="VYL50" s="543"/>
      <c r="VYM50" s="543"/>
      <c r="VYN50" s="543"/>
      <c r="VYO50" s="543"/>
      <c r="VYP50" s="543"/>
      <c r="VYQ50" s="543"/>
      <c r="VYR50" s="543"/>
      <c r="VYS50" s="543"/>
      <c r="VYT50" s="543"/>
      <c r="VYU50" s="543"/>
      <c r="VYV50" s="543"/>
      <c r="VYW50" s="543"/>
      <c r="VYX50" s="543"/>
      <c r="VYY50" s="543"/>
      <c r="VYZ50" s="543"/>
      <c r="VZA50" s="543"/>
      <c r="VZB50" s="543"/>
      <c r="VZC50" s="543"/>
      <c r="VZD50" s="543"/>
      <c r="VZE50" s="543"/>
      <c r="VZF50" s="543"/>
      <c r="VZG50" s="543"/>
      <c r="VZH50" s="543"/>
      <c r="VZI50" s="543"/>
      <c r="VZJ50" s="543"/>
      <c r="VZK50" s="543"/>
      <c r="VZL50" s="543"/>
      <c r="VZM50" s="543"/>
      <c r="VZN50" s="543"/>
      <c r="VZO50" s="543"/>
      <c r="VZP50" s="543"/>
      <c r="VZQ50" s="543"/>
      <c r="VZR50" s="543"/>
      <c r="VZS50" s="543"/>
      <c r="VZT50" s="543"/>
      <c r="VZU50" s="543"/>
      <c r="VZV50" s="543"/>
      <c r="VZW50" s="543"/>
      <c r="VZX50" s="543"/>
      <c r="VZY50" s="543"/>
      <c r="VZZ50" s="543"/>
      <c r="WAA50" s="543"/>
      <c r="WAB50" s="543"/>
      <c r="WAC50" s="543"/>
      <c r="WAD50" s="543"/>
      <c r="WAE50" s="543"/>
      <c r="WAF50" s="543"/>
      <c r="WAG50" s="543"/>
      <c r="WAH50" s="543"/>
      <c r="WAI50" s="543"/>
      <c r="WAJ50" s="543"/>
      <c r="WAK50" s="543"/>
      <c r="WAL50" s="543"/>
      <c r="WAM50" s="543"/>
      <c r="WAN50" s="543"/>
      <c r="WAO50" s="543"/>
      <c r="WAP50" s="543"/>
      <c r="WAQ50" s="543"/>
      <c r="WAR50" s="543"/>
      <c r="WAS50" s="543"/>
      <c r="WAT50" s="543"/>
      <c r="WAU50" s="543"/>
      <c r="WAV50" s="543"/>
      <c r="WAW50" s="543"/>
      <c r="WAX50" s="543"/>
      <c r="WAY50" s="543"/>
      <c r="WAZ50" s="543"/>
      <c r="WBA50" s="543"/>
      <c r="WBB50" s="543"/>
      <c r="WBC50" s="543"/>
      <c r="WBD50" s="543"/>
      <c r="WBE50" s="543"/>
      <c r="WBF50" s="543"/>
      <c r="WBG50" s="543"/>
      <c r="WBH50" s="543"/>
      <c r="WBI50" s="543"/>
      <c r="WBJ50" s="543"/>
      <c r="WBK50" s="543"/>
      <c r="WBL50" s="543"/>
      <c r="WBM50" s="543"/>
      <c r="WBN50" s="543"/>
      <c r="WBO50" s="543"/>
      <c r="WBP50" s="543"/>
      <c r="WBQ50" s="543"/>
      <c r="WBR50" s="543"/>
      <c r="WBS50" s="543"/>
      <c r="WBT50" s="543"/>
      <c r="WBU50" s="543"/>
      <c r="WBV50" s="543"/>
      <c r="WBW50" s="543"/>
      <c r="WBX50" s="543"/>
      <c r="WBY50" s="543"/>
      <c r="WBZ50" s="543"/>
      <c r="WCA50" s="543"/>
      <c r="WCB50" s="543"/>
      <c r="WCC50" s="543"/>
      <c r="WCD50" s="543"/>
      <c r="WCE50" s="543"/>
      <c r="WCF50" s="543"/>
      <c r="WCG50" s="543"/>
      <c r="WCH50" s="543"/>
      <c r="WCI50" s="543"/>
      <c r="WCJ50" s="543"/>
      <c r="WCK50" s="543"/>
      <c r="WCL50" s="543"/>
      <c r="WCM50" s="543"/>
      <c r="WCN50" s="543"/>
      <c r="WCO50" s="543"/>
      <c r="WCP50" s="543"/>
      <c r="WCQ50" s="543"/>
      <c r="WCR50" s="543"/>
      <c r="WCS50" s="543"/>
      <c r="WCT50" s="543"/>
      <c r="WCU50" s="543"/>
      <c r="WCV50" s="543"/>
      <c r="WCW50" s="543"/>
      <c r="WCX50" s="543"/>
      <c r="WCY50" s="543"/>
      <c r="WCZ50" s="543"/>
      <c r="WDA50" s="543"/>
      <c r="WDB50" s="543"/>
      <c r="WDC50" s="543"/>
      <c r="WDD50" s="543"/>
      <c r="WDE50" s="543"/>
      <c r="WDF50" s="543"/>
      <c r="WDG50" s="543"/>
      <c r="WDH50" s="543"/>
      <c r="WDI50" s="543"/>
      <c r="WDJ50" s="543"/>
      <c r="WDK50" s="543"/>
      <c r="WDL50" s="543"/>
      <c r="WDM50" s="543"/>
      <c r="WDN50" s="543"/>
      <c r="WDO50" s="543"/>
      <c r="WDP50" s="543"/>
      <c r="WDQ50" s="543"/>
      <c r="WDR50" s="543"/>
      <c r="WDS50" s="543"/>
      <c r="WDT50" s="543"/>
      <c r="WDU50" s="543"/>
      <c r="WDV50" s="543"/>
      <c r="WDW50" s="543"/>
      <c r="WDX50" s="543"/>
      <c r="WDY50" s="543"/>
      <c r="WDZ50" s="543"/>
      <c r="WEA50" s="543"/>
      <c r="WEB50" s="543"/>
      <c r="WEC50" s="543"/>
      <c r="WED50" s="543"/>
      <c r="WEE50" s="543"/>
      <c r="WEF50" s="543"/>
      <c r="WEG50" s="543"/>
      <c r="WEH50" s="543"/>
      <c r="WEI50" s="543"/>
      <c r="WEJ50" s="543"/>
      <c r="WEK50" s="543"/>
      <c r="WEL50" s="543"/>
      <c r="WEM50" s="543"/>
      <c r="WEN50" s="543"/>
      <c r="WEO50" s="543"/>
      <c r="WEP50" s="543"/>
      <c r="WEQ50" s="543"/>
      <c r="WER50" s="543"/>
      <c r="WES50" s="543"/>
      <c r="WET50" s="543"/>
      <c r="WEU50" s="543"/>
      <c r="WEV50" s="543"/>
      <c r="WEW50" s="543"/>
      <c r="WEX50" s="543"/>
      <c r="WEY50" s="543"/>
      <c r="WEZ50" s="543"/>
      <c r="WFA50" s="543"/>
      <c r="WFB50" s="543"/>
      <c r="WFC50" s="543"/>
      <c r="WFD50" s="543"/>
      <c r="WFE50" s="543"/>
      <c r="WFF50" s="543"/>
      <c r="WFG50" s="543"/>
      <c r="WFH50" s="543"/>
      <c r="WFI50" s="543"/>
      <c r="WFJ50" s="543"/>
      <c r="WFK50" s="543"/>
      <c r="WFL50" s="543"/>
      <c r="WFM50" s="543"/>
      <c r="WFN50" s="543"/>
      <c r="WFO50" s="543"/>
      <c r="WFP50" s="543"/>
      <c r="WFQ50" s="543"/>
      <c r="WFR50" s="543"/>
      <c r="WFS50" s="543"/>
      <c r="WFT50" s="543"/>
      <c r="WFU50" s="543"/>
      <c r="WFV50" s="543"/>
      <c r="WFW50" s="543"/>
      <c r="WFX50" s="543"/>
      <c r="WFY50" s="543"/>
      <c r="WFZ50" s="543"/>
      <c r="WGA50" s="543"/>
      <c r="WGB50" s="543"/>
      <c r="WGC50" s="543"/>
      <c r="WGD50" s="543"/>
      <c r="WGE50" s="543"/>
      <c r="WGF50" s="543"/>
      <c r="WGG50" s="543"/>
      <c r="WGH50" s="543"/>
      <c r="WGI50" s="543"/>
      <c r="WGJ50" s="543"/>
      <c r="WGK50" s="543"/>
      <c r="WGL50" s="543"/>
      <c r="WGM50" s="543"/>
      <c r="WGN50" s="543"/>
      <c r="WGO50" s="543"/>
      <c r="WGP50" s="543"/>
      <c r="WGQ50" s="543"/>
      <c r="WGR50" s="543"/>
      <c r="WGS50" s="543"/>
      <c r="WGT50" s="543"/>
      <c r="WGU50" s="543"/>
      <c r="WGV50" s="543"/>
      <c r="WGW50" s="543"/>
      <c r="WGX50" s="543"/>
      <c r="WGY50" s="543"/>
      <c r="WGZ50" s="543"/>
      <c r="WHA50" s="543"/>
      <c r="WHB50" s="543"/>
      <c r="WHC50" s="543"/>
      <c r="WHD50" s="543"/>
      <c r="WHE50" s="543"/>
      <c r="WHF50" s="543"/>
      <c r="WHG50" s="543"/>
      <c r="WHH50" s="543"/>
      <c r="WHI50" s="543"/>
      <c r="WHJ50" s="543"/>
      <c r="WHK50" s="543"/>
      <c r="WHL50" s="543"/>
      <c r="WHM50" s="543"/>
      <c r="WHN50" s="543"/>
      <c r="WHO50" s="543"/>
      <c r="WHP50" s="543"/>
      <c r="WHQ50" s="543"/>
      <c r="WHR50" s="543"/>
      <c r="WHS50" s="543"/>
      <c r="WHT50" s="543"/>
      <c r="WHU50" s="543"/>
      <c r="WHV50" s="543"/>
      <c r="WHW50" s="543"/>
      <c r="WHX50" s="543"/>
      <c r="WHY50" s="543"/>
      <c r="WHZ50" s="543"/>
      <c r="WIA50" s="543"/>
      <c r="WIB50" s="543"/>
      <c r="WIC50" s="543"/>
      <c r="WID50" s="543"/>
      <c r="WIE50" s="543"/>
      <c r="WIF50" s="543"/>
      <c r="WIG50" s="543"/>
      <c r="WIH50" s="543"/>
      <c r="WII50" s="543"/>
      <c r="WIJ50" s="543"/>
      <c r="WIK50" s="543"/>
      <c r="WIL50" s="543"/>
      <c r="WIM50" s="543"/>
      <c r="WIN50" s="543"/>
      <c r="WIO50" s="543"/>
      <c r="WIP50" s="543"/>
      <c r="WIQ50" s="543"/>
      <c r="WIR50" s="543"/>
      <c r="WIS50" s="543"/>
      <c r="WIT50" s="543"/>
      <c r="WIU50" s="543"/>
      <c r="WIV50" s="543"/>
      <c r="WIW50" s="543"/>
      <c r="WIX50" s="543"/>
      <c r="WIY50" s="543"/>
      <c r="WIZ50" s="543"/>
      <c r="WJA50" s="543"/>
      <c r="WJB50" s="543"/>
      <c r="WJC50" s="543"/>
      <c r="WJD50" s="543"/>
      <c r="WJE50" s="543"/>
      <c r="WJF50" s="543"/>
      <c r="WJG50" s="543"/>
      <c r="WJH50" s="543"/>
      <c r="WJI50" s="543"/>
      <c r="WJJ50" s="543"/>
      <c r="WJK50" s="543"/>
      <c r="WJL50" s="543"/>
      <c r="WJM50" s="543"/>
      <c r="WJN50" s="543"/>
      <c r="WJO50" s="543"/>
      <c r="WJP50" s="543"/>
      <c r="WJQ50" s="543"/>
      <c r="WJR50" s="543"/>
      <c r="WJS50" s="543"/>
      <c r="WJT50" s="543"/>
      <c r="WJU50" s="543"/>
      <c r="WJV50" s="543"/>
      <c r="WJW50" s="543"/>
      <c r="WJX50" s="543"/>
      <c r="WJY50" s="543"/>
      <c r="WJZ50" s="543"/>
      <c r="WKA50" s="543"/>
      <c r="WKB50" s="543"/>
      <c r="WKC50" s="543"/>
      <c r="WKD50" s="543"/>
      <c r="WKE50" s="543"/>
      <c r="WKF50" s="543"/>
      <c r="WKG50" s="543"/>
      <c r="WKH50" s="543"/>
      <c r="WKI50" s="543"/>
      <c r="WKJ50" s="543"/>
      <c r="WKK50" s="543"/>
      <c r="WKL50" s="543"/>
      <c r="WKM50" s="543"/>
      <c r="WKN50" s="543"/>
      <c r="WKO50" s="543"/>
      <c r="WKP50" s="543"/>
      <c r="WKQ50" s="543"/>
      <c r="WKR50" s="543"/>
      <c r="WKS50" s="543"/>
      <c r="WKT50" s="543"/>
      <c r="WKU50" s="543"/>
      <c r="WKV50" s="543"/>
      <c r="WKW50" s="543"/>
      <c r="WKX50" s="543"/>
      <c r="WKY50" s="543"/>
      <c r="WKZ50" s="543"/>
      <c r="WLA50" s="543"/>
      <c r="WLB50" s="543"/>
      <c r="WLC50" s="543"/>
      <c r="WLD50" s="543"/>
      <c r="WLE50" s="543"/>
      <c r="WLF50" s="543"/>
      <c r="WLG50" s="543"/>
      <c r="WLH50" s="543"/>
      <c r="WLI50" s="543"/>
      <c r="WLJ50" s="543"/>
      <c r="WLK50" s="543"/>
      <c r="WLL50" s="543"/>
      <c r="WLM50" s="543"/>
      <c r="WLN50" s="543"/>
      <c r="WLO50" s="543"/>
      <c r="WLP50" s="543"/>
      <c r="WLQ50" s="543"/>
      <c r="WLR50" s="543"/>
      <c r="WLS50" s="543"/>
      <c r="WLT50" s="543"/>
      <c r="WLU50" s="543"/>
      <c r="WLV50" s="543"/>
      <c r="WLW50" s="543"/>
      <c r="WLX50" s="543"/>
      <c r="WLY50" s="543"/>
      <c r="WLZ50" s="543"/>
      <c r="WMA50" s="543"/>
      <c r="WMB50" s="543"/>
      <c r="WMC50" s="543"/>
      <c r="WMD50" s="543"/>
      <c r="WME50" s="543"/>
      <c r="WMF50" s="543"/>
      <c r="WMG50" s="543"/>
      <c r="WMH50" s="543"/>
      <c r="WMI50" s="543"/>
      <c r="WMJ50" s="543"/>
      <c r="WMK50" s="543"/>
      <c r="WML50" s="543"/>
      <c r="WMM50" s="543"/>
      <c r="WMN50" s="543"/>
      <c r="WMO50" s="543"/>
      <c r="WMP50" s="543"/>
      <c r="WMQ50" s="543"/>
      <c r="WMR50" s="543"/>
      <c r="WMS50" s="543"/>
      <c r="WMT50" s="543"/>
      <c r="WMU50" s="543"/>
      <c r="WMV50" s="543"/>
      <c r="WMW50" s="543"/>
      <c r="WMX50" s="543"/>
      <c r="WMY50" s="543"/>
      <c r="WMZ50" s="543"/>
      <c r="WNA50" s="543"/>
      <c r="WNB50" s="543"/>
      <c r="WNC50" s="543"/>
      <c r="WND50" s="543"/>
      <c r="WNE50" s="543"/>
      <c r="WNF50" s="543"/>
      <c r="WNG50" s="543"/>
      <c r="WNH50" s="543"/>
      <c r="WNI50" s="543"/>
      <c r="WNJ50" s="543"/>
      <c r="WNK50" s="543"/>
      <c r="WNL50" s="543"/>
      <c r="WNM50" s="543"/>
      <c r="WNN50" s="543"/>
      <c r="WNO50" s="543"/>
      <c r="WNP50" s="543"/>
      <c r="WNQ50" s="543"/>
      <c r="WNR50" s="543"/>
      <c r="WNS50" s="543"/>
      <c r="WNT50" s="543"/>
      <c r="WNU50" s="543"/>
      <c r="WNV50" s="543"/>
      <c r="WNW50" s="543"/>
      <c r="WNX50" s="543"/>
      <c r="WNY50" s="543"/>
      <c r="WNZ50" s="543"/>
      <c r="WOA50" s="543"/>
      <c r="WOB50" s="543"/>
      <c r="WOC50" s="543"/>
      <c r="WOD50" s="543"/>
      <c r="WOE50" s="543"/>
      <c r="WOF50" s="543"/>
      <c r="WOG50" s="543"/>
      <c r="WOH50" s="543"/>
      <c r="WOI50" s="543"/>
      <c r="WOJ50" s="543"/>
      <c r="WOK50" s="543"/>
      <c r="WOL50" s="543"/>
      <c r="WOM50" s="543"/>
      <c r="WON50" s="543"/>
      <c r="WOO50" s="543"/>
      <c r="WOP50" s="543"/>
      <c r="WOQ50" s="543"/>
      <c r="WOR50" s="543"/>
      <c r="WOS50" s="543"/>
      <c r="WOT50" s="543"/>
      <c r="WOU50" s="543"/>
      <c r="WOV50" s="543"/>
      <c r="WOW50" s="543"/>
      <c r="WOX50" s="543"/>
      <c r="WOY50" s="543"/>
      <c r="WOZ50" s="543"/>
      <c r="WPA50" s="543"/>
      <c r="WPB50" s="543"/>
      <c r="WPC50" s="543"/>
      <c r="WPD50" s="543"/>
      <c r="WPE50" s="543"/>
      <c r="WPF50" s="543"/>
      <c r="WPG50" s="543"/>
      <c r="WPH50" s="543"/>
      <c r="WPI50" s="543"/>
      <c r="WPJ50" s="543"/>
      <c r="WPK50" s="543"/>
      <c r="WPL50" s="543"/>
      <c r="WPM50" s="543"/>
      <c r="WPN50" s="543"/>
      <c r="WPO50" s="543"/>
      <c r="WPP50" s="543"/>
      <c r="WPQ50" s="543"/>
      <c r="WPR50" s="543"/>
      <c r="WPS50" s="543"/>
      <c r="WPT50" s="543"/>
      <c r="WPU50" s="543"/>
      <c r="WPV50" s="543"/>
      <c r="WPW50" s="543"/>
      <c r="WPX50" s="543"/>
      <c r="WPY50" s="543"/>
      <c r="WPZ50" s="543"/>
      <c r="WQA50" s="543"/>
      <c r="WQB50" s="543"/>
      <c r="WQC50" s="543"/>
      <c r="WQD50" s="543"/>
      <c r="WQE50" s="543"/>
      <c r="WQF50" s="543"/>
      <c r="WQG50" s="543"/>
      <c r="WQH50" s="543"/>
      <c r="WQI50" s="543"/>
      <c r="WQJ50" s="543"/>
      <c r="WQK50" s="543"/>
      <c r="WQL50" s="543"/>
      <c r="WQM50" s="543"/>
      <c r="WQN50" s="543"/>
      <c r="WQO50" s="543"/>
      <c r="WQP50" s="543"/>
      <c r="WQQ50" s="543"/>
      <c r="WQR50" s="543"/>
      <c r="WQS50" s="543"/>
      <c r="WQT50" s="543"/>
      <c r="WQU50" s="543"/>
      <c r="WQV50" s="543"/>
      <c r="WQW50" s="543"/>
      <c r="WQX50" s="543"/>
      <c r="WQY50" s="543"/>
      <c r="WQZ50" s="543"/>
      <c r="WRA50" s="543"/>
      <c r="WRB50" s="543"/>
      <c r="WRC50" s="543"/>
      <c r="WRD50" s="543"/>
      <c r="WRE50" s="543"/>
      <c r="WRF50" s="543"/>
      <c r="WRG50" s="543"/>
      <c r="WRH50" s="543"/>
      <c r="WRI50" s="543"/>
      <c r="WRJ50" s="543"/>
      <c r="WRK50" s="543"/>
      <c r="WRL50" s="543"/>
      <c r="WRM50" s="543"/>
      <c r="WRN50" s="543"/>
      <c r="WRO50" s="543"/>
      <c r="WRP50" s="543"/>
      <c r="WRQ50" s="543"/>
      <c r="WRR50" s="543"/>
      <c r="WRS50" s="543"/>
      <c r="WRT50" s="543"/>
      <c r="WRU50" s="543"/>
      <c r="WRV50" s="543"/>
      <c r="WRW50" s="543"/>
      <c r="WRX50" s="543"/>
      <c r="WRY50" s="543"/>
      <c r="WRZ50" s="543"/>
      <c r="WSA50" s="543"/>
      <c r="WSB50" s="543"/>
      <c r="WSC50" s="543"/>
      <c r="WSD50" s="543"/>
      <c r="WSE50" s="543"/>
      <c r="WSF50" s="543"/>
      <c r="WSG50" s="543"/>
      <c r="WSH50" s="543"/>
      <c r="WSI50" s="543"/>
      <c r="WSJ50" s="543"/>
      <c r="WSK50" s="543"/>
      <c r="WSL50" s="543"/>
      <c r="WSM50" s="543"/>
      <c r="WSN50" s="543"/>
      <c r="WSO50" s="543"/>
      <c r="WSP50" s="543"/>
      <c r="WSQ50" s="543"/>
      <c r="WSR50" s="543"/>
      <c r="WSS50" s="543"/>
      <c r="WST50" s="543"/>
      <c r="WSU50" s="543"/>
      <c r="WSV50" s="543"/>
      <c r="WSW50" s="543"/>
      <c r="WSX50" s="543"/>
      <c r="WSY50" s="543"/>
      <c r="WSZ50" s="543"/>
      <c r="WTA50" s="543"/>
      <c r="WTB50" s="543"/>
      <c r="WTC50" s="543"/>
      <c r="WTD50" s="543"/>
      <c r="WTE50" s="543"/>
      <c r="WTF50" s="543"/>
      <c r="WTG50" s="543"/>
      <c r="WTH50" s="543"/>
      <c r="WTI50" s="543"/>
      <c r="WTJ50" s="543"/>
      <c r="WTK50" s="543"/>
      <c r="WTL50" s="543"/>
      <c r="WTM50" s="543"/>
      <c r="WTN50" s="543"/>
      <c r="WTO50" s="543"/>
      <c r="WTP50" s="543"/>
      <c r="WTQ50" s="543"/>
      <c r="WTR50" s="543"/>
      <c r="WTS50" s="543"/>
      <c r="WTT50" s="543"/>
      <c r="WTU50" s="543"/>
      <c r="WTV50" s="543"/>
      <c r="WTW50" s="543"/>
      <c r="WTX50" s="543"/>
      <c r="WTY50" s="543"/>
      <c r="WTZ50" s="543"/>
      <c r="WUA50" s="543"/>
      <c r="WUB50" s="543"/>
      <c r="WUC50" s="543"/>
      <c r="WUD50" s="543"/>
      <c r="WUE50" s="543"/>
      <c r="WUF50" s="543"/>
      <c r="WUG50" s="543"/>
      <c r="WUH50" s="543"/>
      <c r="WUI50" s="543"/>
      <c r="WUJ50" s="543"/>
      <c r="WUK50" s="543"/>
      <c r="WUL50" s="543"/>
      <c r="WUM50" s="543"/>
      <c r="WUN50" s="543"/>
      <c r="WUO50" s="543"/>
      <c r="WUP50" s="543"/>
      <c r="WUQ50" s="543"/>
      <c r="WUR50" s="543"/>
      <c r="WUS50" s="543"/>
      <c r="WUT50" s="543"/>
      <c r="WUU50" s="543"/>
      <c r="WUV50" s="543"/>
      <c r="WUW50" s="543"/>
      <c r="WUX50" s="543"/>
      <c r="WUY50" s="543"/>
      <c r="WUZ50" s="543"/>
      <c r="WVA50" s="543"/>
      <c r="WVB50" s="543"/>
      <c r="WVC50" s="543"/>
      <c r="WVD50" s="543"/>
      <c r="WVE50" s="543"/>
      <c r="WVF50" s="543"/>
      <c r="WVG50" s="543"/>
      <c r="WVH50" s="543"/>
      <c r="WVI50" s="543"/>
      <c r="WVJ50" s="543"/>
      <c r="WVK50" s="543"/>
      <c r="WVL50" s="543"/>
      <c r="WVM50" s="543"/>
      <c r="WVN50" s="543"/>
      <c r="WVO50" s="543"/>
      <c r="WVP50" s="543"/>
      <c r="WVQ50" s="543"/>
      <c r="WVR50" s="543"/>
      <c r="WVS50" s="543"/>
      <c r="WVT50" s="543"/>
      <c r="WVU50" s="543"/>
      <c r="WVV50" s="543"/>
      <c r="WVW50" s="543"/>
      <c r="WVX50" s="543"/>
      <c r="WVY50" s="543"/>
      <c r="WVZ50" s="543"/>
      <c r="WWA50" s="543"/>
      <c r="WWB50" s="543"/>
      <c r="WWC50" s="543"/>
      <c r="WWD50" s="543"/>
      <c r="WWE50" s="543"/>
      <c r="WWF50" s="543"/>
      <c r="WWG50" s="543"/>
      <c r="WWH50" s="543"/>
      <c r="WWI50" s="543"/>
      <c r="WWJ50" s="543"/>
      <c r="WWK50" s="543"/>
      <c r="WWL50" s="543"/>
      <c r="WWM50" s="543"/>
      <c r="WWN50" s="543"/>
      <c r="WWO50" s="543"/>
      <c r="WWP50" s="543"/>
      <c r="WWQ50" s="543"/>
      <c r="WWR50" s="543"/>
      <c r="WWS50" s="543"/>
      <c r="WWT50" s="543"/>
      <c r="WWU50" s="543"/>
      <c r="WWV50" s="543"/>
      <c r="WWW50" s="543"/>
      <c r="WWX50" s="543"/>
      <c r="WWY50" s="543"/>
      <c r="WWZ50" s="543"/>
      <c r="WXA50" s="543"/>
      <c r="WXB50" s="543"/>
      <c r="WXC50" s="543"/>
      <c r="WXD50" s="543"/>
      <c r="WXE50" s="543"/>
      <c r="WXF50" s="543"/>
      <c r="WXG50" s="543"/>
      <c r="WXH50" s="543"/>
      <c r="WXI50" s="543"/>
      <c r="WXJ50" s="543"/>
      <c r="WXK50" s="543"/>
      <c r="WXL50" s="543"/>
      <c r="WXM50" s="543"/>
      <c r="WXN50" s="543"/>
      <c r="WXO50" s="543"/>
      <c r="WXP50" s="543"/>
      <c r="WXQ50" s="543"/>
      <c r="WXR50" s="543"/>
      <c r="WXS50" s="543"/>
      <c r="WXT50" s="543"/>
      <c r="WXU50" s="543"/>
      <c r="WXV50" s="543"/>
      <c r="WXW50" s="543"/>
      <c r="WXX50" s="543"/>
      <c r="WXY50" s="543"/>
      <c r="WXZ50" s="543"/>
      <c r="WYA50" s="543"/>
      <c r="WYB50" s="543"/>
      <c r="WYC50" s="543"/>
      <c r="WYD50" s="543"/>
      <c r="WYE50" s="543"/>
      <c r="WYF50" s="543"/>
      <c r="WYG50" s="543"/>
      <c r="WYH50" s="543"/>
      <c r="WYI50" s="543"/>
      <c r="WYJ50" s="543"/>
      <c r="WYK50" s="543"/>
      <c r="WYL50" s="543"/>
      <c r="WYM50" s="543"/>
      <c r="WYN50" s="543"/>
      <c r="WYO50" s="543"/>
      <c r="WYP50" s="543"/>
      <c r="WYQ50" s="543"/>
      <c r="WYR50" s="543"/>
      <c r="WYS50" s="543"/>
      <c r="WYT50" s="543"/>
      <c r="WYU50" s="543"/>
      <c r="WYV50" s="543"/>
      <c r="WYW50" s="543"/>
      <c r="WYX50" s="543"/>
      <c r="WYY50" s="543"/>
      <c r="WYZ50" s="543"/>
      <c r="WZA50" s="543"/>
      <c r="WZB50" s="543"/>
      <c r="WZC50" s="543"/>
      <c r="WZD50" s="543"/>
      <c r="WZE50" s="543"/>
      <c r="WZF50" s="543"/>
      <c r="WZG50" s="543"/>
      <c r="WZH50" s="543"/>
      <c r="WZI50" s="543"/>
      <c r="WZJ50" s="543"/>
      <c r="WZK50" s="543"/>
      <c r="WZL50" s="543"/>
      <c r="WZM50" s="543"/>
      <c r="WZN50" s="543"/>
      <c r="WZO50" s="543"/>
      <c r="WZP50" s="543"/>
      <c r="WZQ50" s="543"/>
      <c r="WZR50" s="543"/>
      <c r="WZS50" s="543"/>
      <c r="WZT50" s="543"/>
      <c r="WZU50" s="543"/>
      <c r="WZV50" s="543"/>
      <c r="WZW50" s="543"/>
      <c r="WZX50" s="543"/>
      <c r="WZY50" s="543"/>
      <c r="WZZ50" s="543"/>
      <c r="XAA50" s="543"/>
      <c r="XAB50" s="543"/>
      <c r="XAC50" s="543"/>
      <c r="XAD50" s="543"/>
      <c r="XAE50" s="543"/>
      <c r="XAF50" s="543"/>
      <c r="XAG50" s="543"/>
      <c r="XAH50" s="543"/>
      <c r="XAI50" s="543"/>
      <c r="XAJ50" s="543"/>
      <c r="XAK50" s="543"/>
      <c r="XAL50" s="543"/>
      <c r="XAM50" s="543"/>
      <c r="XAN50" s="543"/>
      <c r="XAO50" s="543"/>
      <c r="XAP50" s="543"/>
      <c r="XAQ50" s="543"/>
      <c r="XAR50" s="543"/>
      <c r="XAS50" s="543"/>
      <c r="XAT50" s="543"/>
      <c r="XAU50" s="543"/>
      <c r="XAV50" s="543"/>
      <c r="XAW50" s="543"/>
      <c r="XAX50" s="543"/>
      <c r="XAY50" s="543"/>
      <c r="XAZ50" s="543"/>
      <c r="XBA50" s="543"/>
      <c r="XBB50" s="543"/>
      <c r="XBC50" s="543"/>
      <c r="XBD50" s="543"/>
      <c r="XBE50" s="543"/>
      <c r="XBF50" s="543"/>
      <c r="XBG50" s="543"/>
      <c r="XBH50" s="543"/>
      <c r="XBI50" s="543"/>
      <c r="XBJ50" s="543"/>
      <c r="XBK50" s="543"/>
      <c r="XBL50" s="543"/>
      <c r="XBM50" s="543"/>
      <c r="XBN50" s="543"/>
      <c r="XBO50" s="543"/>
      <c r="XBP50" s="543"/>
      <c r="XBQ50" s="543"/>
      <c r="XBR50" s="543"/>
      <c r="XBS50" s="543"/>
      <c r="XBT50" s="543"/>
      <c r="XBU50" s="543"/>
      <c r="XBV50" s="543"/>
      <c r="XBW50" s="543"/>
      <c r="XBX50" s="543"/>
      <c r="XBY50" s="543"/>
      <c r="XBZ50" s="543"/>
      <c r="XCA50" s="543"/>
      <c r="XCB50" s="543"/>
      <c r="XCC50" s="543"/>
      <c r="XCD50" s="543"/>
      <c r="XCE50" s="543"/>
      <c r="XCF50" s="543"/>
      <c r="XCG50" s="543"/>
      <c r="XCH50" s="543"/>
      <c r="XCI50" s="543"/>
      <c r="XCJ50" s="543"/>
      <c r="XCK50" s="543"/>
      <c r="XCL50" s="543"/>
      <c r="XCM50" s="543"/>
      <c r="XCN50" s="543"/>
      <c r="XCO50" s="543"/>
      <c r="XCP50" s="543"/>
      <c r="XCQ50" s="543"/>
      <c r="XCR50" s="543"/>
      <c r="XCS50" s="543"/>
      <c r="XCT50" s="543"/>
      <c r="XCU50" s="543"/>
      <c r="XCV50" s="543"/>
      <c r="XCW50" s="543"/>
      <c r="XCX50" s="543"/>
      <c r="XCY50" s="543"/>
      <c r="XCZ50" s="543"/>
      <c r="XDA50" s="543"/>
      <c r="XDB50" s="543"/>
      <c r="XDC50" s="543"/>
      <c r="XDD50" s="543"/>
      <c r="XDE50" s="543"/>
      <c r="XDF50" s="543"/>
      <c r="XDG50" s="543"/>
      <c r="XDH50" s="543"/>
      <c r="XDI50" s="543"/>
      <c r="XDJ50" s="543"/>
      <c r="XDK50" s="543"/>
      <c r="XDL50" s="543"/>
      <c r="XDM50" s="543"/>
      <c r="XDN50" s="543"/>
      <c r="XDO50" s="543"/>
      <c r="XDP50" s="543"/>
      <c r="XDQ50" s="543"/>
      <c r="XDR50" s="543"/>
      <c r="XDS50" s="543"/>
      <c r="XDT50" s="543"/>
      <c r="XDU50" s="543"/>
      <c r="XDV50" s="543"/>
      <c r="XDW50" s="543"/>
      <c r="XDX50" s="543"/>
      <c r="XDY50" s="543"/>
      <c r="XDZ50" s="543"/>
      <c r="XEA50" s="543"/>
      <c r="XEB50" s="543"/>
      <c r="XEC50" s="543"/>
      <c r="XED50" s="543"/>
      <c r="XEE50" s="543"/>
      <c r="XEF50" s="543"/>
      <c r="XEG50" s="543"/>
      <c r="XEH50" s="543"/>
      <c r="XEI50" s="543"/>
      <c r="XEJ50" s="543"/>
      <c r="XEK50" s="543"/>
      <c r="XEL50" s="543"/>
      <c r="XEM50" s="543"/>
      <c r="XEN50" s="543"/>
    </row>
    <row r="51" spans="1:16368" hidden="1" x14ac:dyDescent="0.2">
      <c r="A51" s="379">
        <v>42</v>
      </c>
      <c r="B51" s="380" t="s">
        <v>138</v>
      </c>
      <c r="C51" s="201">
        <f>C6+C12+C16</f>
        <v>10340.417812</v>
      </c>
      <c r="D51" s="201">
        <f>D6+D12+D16</f>
        <v>4659.6721879999996</v>
      </c>
      <c r="E51" s="201"/>
      <c r="F51" s="201">
        <f>SUM(C51:D51)</f>
        <v>15000.09</v>
      </c>
      <c r="G51" s="202">
        <f>G6+G12+G16</f>
        <v>10392.26368752441</v>
      </c>
      <c r="H51" s="202">
        <f>H6+H12+H16</f>
        <v>4683.4543047003681</v>
      </c>
      <c r="I51" s="202"/>
      <c r="J51" s="202">
        <f>SUM(G51:H51)</f>
        <v>15075.717992224778</v>
      </c>
      <c r="K51" s="201">
        <f>K6+K12+K16</f>
        <v>10442.892662029708</v>
      </c>
      <c r="L51" s="201">
        <f>L6+L12+L16</f>
        <v>4706.5425324450671</v>
      </c>
      <c r="M51" s="201"/>
      <c r="N51" s="201">
        <f>SUM(K51:L51)</f>
        <v>15149.435194474776</v>
      </c>
      <c r="O51" s="202">
        <f>O6+O12+O16</f>
        <v>10493.774781407534</v>
      </c>
      <c r="P51" s="202">
        <f>P6+P12+P16</f>
        <v>4729.7462013284903</v>
      </c>
      <c r="Q51" s="202"/>
      <c r="R51" s="202">
        <f>SUM(O51:P51)</f>
        <v>15223.520982736023</v>
      </c>
      <c r="S51" s="201">
        <f>S6+S12+S16</f>
        <v>10544.911311382248</v>
      </c>
      <c r="T51" s="201">
        <f>T6+T12+T16</f>
        <v>4753.0658885563307</v>
      </c>
      <c r="U51" s="201"/>
      <c r="V51" s="201">
        <f>SUM(S51:T51)</f>
        <v>15297.977199938578</v>
      </c>
      <c r="W51" s="202">
        <f>W6+W12+W16</f>
        <v>10596.303524006837</v>
      </c>
      <c r="X51" s="202">
        <f>X6+X12+X16</f>
        <v>4776.5021742203098</v>
      </c>
      <c r="Y51" s="202"/>
      <c r="Z51" s="202">
        <f>SUM(W51:X51)</f>
        <v>15372.805698227146</v>
      </c>
    </row>
    <row r="52" spans="1:16368" hidden="1" x14ac:dyDescent="0.2">
      <c r="A52" s="379">
        <v>43</v>
      </c>
      <c r="B52" s="380" t="s">
        <v>2426</v>
      </c>
      <c r="C52" s="26">
        <v>0.70320000000000005</v>
      </c>
      <c r="D52" s="26">
        <v>0.29679999999999995</v>
      </c>
      <c r="E52" s="11"/>
      <c r="F52" s="520">
        <f>SUM(C52:D52)</f>
        <v>1</v>
      </c>
      <c r="G52" s="30">
        <f>G51/J51</f>
        <v>0.6893378937496818</v>
      </c>
      <c r="H52" s="30">
        <f>H51/J51</f>
        <v>0.3106621062503182</v>
      </c>
      <c r="I52" s="30"/>
      <c r="J52" s="392">
        <f>SUM(G52:H52)</f>
        <v>1</v>
      </c>
      <c r="K52" s="26">
        <f>K51/N51</f>
        <v>0.68932554435022009</v>
      </c>
      <c r="L52" s="26">
        <f>L51/N51</f>
        <v>0.3106744556497798</v>
      </c>
      <c r="M52" s="201"/>
      <c r="N52" s="200">
        <f>SUM(K52:L52)</f>
        <v>0.99999999999999989</v>
      </c>
      <c r="O52" s="30">
        <f>O51/R51</f>
        <v>0.68931325370180929</v>
      </c>
      <c r="P52" s="30">
        <f>P51/R51</f>
        <v>0.31068674629819076</v>
      </c>
      <c r="Q52" s="30"/>
      <c r="R52" s="392">
        <f>SUM(O52:P52)</f>
        <v>1</v>
      </c>
      <c r="S52" s="26">
        <f>S51/V51</f>
        <v>0.68930102153797079</v>
      </c>
      <c r="T52" s="26">
        <f>T51/V51</f>
        <v>0.31069897846202926</v>
      </c>
      <c r="U52" s="201"/>
      <c r="V52" s="200">
        <f>SUM(S52:T52)</f>
        <v>1</v>
      </c>
      <c r="W52" s="30">
        <f>W51/Z51</f>
        <v>0.68928884759330855</v>
      </c>
      <c r="X52" s="30">
        <f>X51/Z51</f>
        <v>0.31071115240669145</v>
      </c>
      <c r="Y52" s="30"/>
      <c r="Z52" s="392">
        <f>SUM(W52:X52)</f>
        <v>1</v>
      </c>
    </row>
    <row r="53" spans="1:16368" hidden="1" x14ac:dyDescent="0.2">
      <c r="A53" s="379">
        <v>44</v>
      </c>
      <c r="B53" s="380" t="s">
        <v>2427</v>
      </c>
      <c r="C53" s="11">
        <f>-C52*E53</f>
        <v>-11945271.7608</v>
      </c>
      <c r="D53" s="11">
        <f>-D52*E53</f>
        <v>-5041747.2391999988</v>
      </c>
      <c r="E53" s="11">
        <f>E71-E54</f>
        <v>16987019</v>
      </c>
      <c r="F53" s="11">
        <v>0</v>
      </c>
      <c r="G53" s="13">
        <f>-G52*I53</f>
        <v>-15093410.757001529</v>
      </c>
      <c r="H53" s="13">
        <f>-H52*I53</f>
        <v>-6802107.9629984712</v>
      </c>
      <c r="I53" s="13">
        <f>I71-I54</f>
        <v>21895518.719999999</v>
      </c>
      <c r="J53" s="13">
        <v>0</v>
      </c>
      <c r="K53" s="11">
        <f>-K52*M53</f>
        <v>-15229005.252574366</v>
      </c>
      <c r="L53" s="11">
        <f>-L52*M53</f>
        <v>-6863611.7661808329</v>
      </c>
      <c r="M53" s="11">
        <f>M71-M54</f>
        <v>22092617.018755201</v>
      </c>
      <c r="N53" s="11">
        <v>0</v>
      </c>
      <c r="O53" s="13">
        <f>-O52*Q53</f>
        <v>-15367149.878368761</v>
      </c>
      <c r="P53" s="13">
        <f>-P52*Q53</f>
        <v>-6926270.1245729681</v>
      </c>
      <c r="Q53" s="13">
        <f>Q71-Q54</f>
        <v>22293420.002941728</v>
      </c>
      <c r="R53" s="13">
        <v>0</v>
      </c>
      <c r="S53" s="11">
        <f>-S52*U53</f>
        <v>-15507898.304111654</v>
      </c>
      <c r="T53" s="11">
        <f>-T52*U53</f>
        <v>-6990107.3850579038</v>
      </c>
      <c r="U53" s="11">
        <f>U71-U54</f>
        <v>22498005.689169556</v>
      </c>
      <c r="V53" s="11">
        <v>0</v>
      </c>
      <c r="W53" s="13">
        <f>-W52*Y53</f>
        <v>-15650274.000712302</v>
      </c>
      <c r="X53" s="13">
        <f>-X52*Y53</f>
        <v>-7054683.515075352</v>
      </c>
      <c r="Y53" s="13">
        <f>Y71-Y54</f>
        <v>22704957.515787654</v>
      </c>
      <c r="Z53" s="13">
        <v>0</v>
      </c>
    </row>
    <row r="54" spans="1:16368" hidden="1" x14ac:dyDescent="0.2">
      <c r="A54" s="379">
        <v>45</v>
      </c>
      <c r="B54" s="380" t="s">
        <v>2428</v>
      </c>
      <c r="C54" s="11">
        <f>-C52*E54</f>
        <v>-386760</v>
      </c>
      <c r="D54" s="11">
        <f>-D52*E54</f>
        <v>-163239.99999999997</v>
      </c>
      <c r="E54" s="11">
        <v>550000</v>
      </c>
      <c r="F54" s="11">
        <v>0</v>
      </c>
      <c r="G54" s="13">
        <f>-G52*I54</f>
        <v>-379135.84156232496</v>
      </c>
      <c r="H54" s="13">
        <f>-H52*I54</f>
        <v>-170864.15843767501</v>
      </c>
      <c r="I54" s="13">
        <v>550000</v>
      </c>
      <c r="J54" s="13">
        <v>0</v>
      </c>
      <c r="K54" s="11">
        <f>-K52*M54</f>
        <v>-379129.04939262103</v>
      </c>
      <c r="L54" s="11">
        <f>-L52*M54</f>
        <v>-170870.95060737888</v>
      </c>
      <c r="M54" s="11">
        <v>550000</v>
      </c>
      <c r="N54" s="11">
        <v>0</v>
      </c>
      <c r="O54" s="13">
        <f>-O52*Q54</f>
        <v>-379122.28953599511</v>
      </c>
      <c r="P54" s="13">
        <f>-P52*Q54</f>
        <v>-170877.71046400492</v>
      </c>
      <c r="Q54" s="13">
        <v>550000</v>
      </c>
      <c r="R54" s="13">
        <v>0</v>
      </c>
      <c r="S54" s="11">
        <f>-S52*U54</f>
        <v>-379115.56184588396</v>
      </c>
      <c r="T54" s="11">
        <f>-T52*U54</f>
        <v>-170884.4381541161</v>
      </c>
      <c r="U54" s="11">
        <v>550000</v>
      </c>
      <c r="V54" s="11">
        <v>0</v>
      </c>
      <c r="W54" s="13">
        <f>-W52*Y54</f>
        <v>-379108.86617631972</v>
      </c>
      <c r="X54" s="13">
        <f>-X52*Y54</f>
        <v>-170891.13382368028</v>
      </c>
      <c r="Y54" s="13">
        <v>550000</v>
      </c>
      <c r="Z54" s="13">
        <v>0</v>
      </c>
    </row>
    <row r="55" spans="1:16368" ht="12.75" hidden="1" customHeight="1" x14ac:dyDescent="0.2">
      <c r="A55" s="329">
        <v>46</v>
      </c>
      <c r="B55" s="330" t="s">
        <v>25</v>
      </c>
      <c r="C55" s="11">
        <v>0</v>
      </c>
      <c r="D55" s="11">
        <v>0</v>
      </c>
      <c r="E55" s="11">
        <f>-SUM(C55:D55)</f>
        <v>0</v>
      </c>
      <c r="F55" s="11">
        <f t="shared" ref="F55:F60" si="18">SUM(C55:E55)</f>
        <v>0</v>
      </c>
      <c r="G55" s="13"/>
      <c r="H55" s="13"/>
      <c r="I55" s="13"/>
      <c r="J55" s="13">
        <f t="shared" ref="J55:J59" si="19">SUM(G55:I55)</f>
        <v>0</v>
      </c>
      <c r="K55" s="11"/>
      <c r="L55" s="11"/>
      <c r="M55" s="11"/>
      <c r="N55" s="11">
        <f t="shared" ref="N55:N59" si="20">SUM(K55:M55)</f>
        <v>0</v>
      </c>
      <c r="O55" s="13"/>
      <c r="P55" s="13"/>
      <c r="Q55" s="13"/>
      <c r="R55" s="13">
        <f t="shared" ref="R55:R59" si="21">SUM(O55:Q55)</f>
        <v>0</v>
      </c>
      <c r="S55" s="11"/>
      <c r="T55" s="11"/>
      <c r="U55" s="11"/>
      <c r="V55" s="11">
        <f t="shared" ref="V55:V59" si="22">SUM(S55:U55)</f>
        <v>0</v>
      </c>
      <c r="W55" s="13"/>
      <c r="X55" s="13"/>
      <c r="Y55" s="13"/>
      <c r="Z55" s="13">
        <f t="shared" ref="Z55:Z59" si="23">SUM(W55:Y55)</f>
        <v>0</v>
      </c>
    </row>
    <row r="56" spans="1:16368" ht="12.75" hidden="1" customHeight="1" x14ac:dyDescent="0.2">
      <c r="A56" s="329">
        <v>47</v>
      </c>
      <c r="B56" s="330" t="s">
        <v>26</v>
      </c>
      <c r="C56" s="11">
        <f>-E56*C5</f>
        <v>0</v>
      </c>
      <c r="D56" s="11">
        <f>-E56*D5</f>
        <v>0</v>
      </c>
      <c r="E56" s="11">
        <v>0</v>
      </c>
      <c r="F56" s="11">
        <f t="shared" si="18"/>
        <v>0</v>
      </c>
      <c r="G56" s="13"/>
      <c r="H56" s="13"/>
      <c r="I56" s="13"/>
      <c r="J56" s="13">
        <f t="shared" si="19"/>
        <v>0</v>
      </c>
      <c r="K56" s="11"/>
      <c r="L56" s="11"/>
      <c r="M56" s="11"/>
      <c r="N56" s="11">
        <f t="shared" si="20"/>
        <v>0</v>
      </c>
      <c r="O56" s="13"/>
      <c r="P56" s="13"/>
      <c r="Q56" s="13"/>
      <c r="R56" s="13">
        <f t="shared" si="21"/>
        <v>0</v>
      </c>
      <c r="S56" s="11"/>
      <c r="T56" s="11"/>
      <c r="U56" s="11"/>
      <c r="V56" s="11">
        <f t="shared" si="22"/>
        <v>0</v>
      </c>
      <c r="W56" s="13"/>
      <c r="X56" s="13"/>
      <c r="Y56" s="13"/>
      <c r="Z56" s="13">
        <f t="shared" si="23"/>
        <v>0</v>
      </c>
    </row>
    <row r="57" spans="1:16368" ht="12.75" hidden="1" customHeight="1" x14ac:dyDescent="0.2">
      <c r="A57" s="332">
        <v>48</v>
      </c>
      <c r="B57" s="330" t="s">
        <v>34</v>
      </c>
      <c r="C57" s="11">
        <f>-C109</f>
        <v>0</v>
      </c>
      <c r="D57" s="11">
        <f t="shared" ref="D57:D58" si="24">-D109</f>
        <v>0</v>
      </c>
      <c r="E57" s="11">
        <f>-SUM(C57:D57)</f>
        <v>0</v>
      </c>
      <c r="F57" s="11">
        <f t="shared" si="18"/>
        <v>0</v>
      </c>
      <c r="G57" s="13"/>
      <c r="H57" s="13"/>
      <c r="I57" s="13"/>
      <c r="J57" s="13">
        <f t="shared" si="19"/>
        <v>0</v>
      </c>
      <c r="K57" s="11"/>
      <c r="L57" s="11"/>
      <c r="M57" s="11"/>
      <c r="N57" s="11">
        <f t="shared" si="20"/>
        <v>0</v>
      </c>
      <c r="O57" s="13"/>
      <c r="P57" s="13"/>
      <c r="Q57" s="13"/>
      <c r="R57" s="13">
        <f t="shared" si="21"/>
        <v>0</v>
      </c>
      <c r="S57" s="11"/>
      <c r="T57" s="11"/>
      <c r="U57" s="11"/>
      <c r="V57" s="11">
        <f t="shared" si="22"/>
        <v>0</v>
      </c>
      <c r="W57" s="13"/>
      <c r="X57" s="13"/>
      <c r="Y57" s="13"/>
      <c r="Z57" s="13">
        <f t="shared" si="23"/>
        <v>0</v>
      </c>
    </row>
    <row r="58" spans="1:16368" ht="25.5" hidden="1" customHeight="1" x14ac:dyDescent="0.2">
      <c r="A58" s="332">
        <v>49</v>
      </c>
      <c r="B58" s="330" t="s">
        <v>33</v>
      </c>
      <c r="C58" s="11">
        <f>-C110</f>
        <v>0</v>
      </c>
      <c r="D58" s="11">
        <f t="shared" si="24"/>
        <v>0</v>
      </c>
      <c r="E58" s="11">
        <f>-SUM(C58:D58)</f>
        <v>0</v>
      </c>
      <c r="F58" s="11">
        <f t="shared" si="18"/>
        <v>0</v>
      </c>
      <c r="G58" s="13"/>
      <c r="H58" s="13"/>
      <c r="I58" s="13"/>
      <c r="J58" s="13">
        <f t="shared" si="19"/>
        <v>0</v>
      </c>
      <c r="K58" s="11"/>
      <c r="L58" s="11"/>
      <c r="M58" s="11"/>
      <c r="N58" s="11">
        <f t="shared" si="20"/>
        <v>0</v>
      </c>
      <c r="O58" s="13"/>
      <c r="P58" s="13"/>
      <c r="Q58" s="13"/>
      <c r="R58" s="13">
        <f t="shared" si="21"/>
        <v>0</v>
      </c>
      <c r="S58" s="11"/>
      <c r="T58" s="11"/>
      <c r="U58" s="11"/>
      <c r="V58" s="11">
        <f t="shared" si="22"/>
        <v>0</v>
      </c>
      <c r="W58" s="13"/>
      <c r="X58" s="13"/>
      <c r="Y58" s="13"/>
      <c r="Z58" s="13">
        <f t="shared" si="23"/>
        <v>0</v>
      </c>
    </row>
    <row r="59" spans="1:16368" ht="12.75" hidden="1" customHeight="1" x14ac:dyDescent="0.2">
      <c r="A59" s="329">
        <v>50</v>
      </c>
      <c r="B59" s="330" t="s">
        <v>27</v>
      </c>
      <c r="C59" s="11">
        <f>-E59*C52</f>
        <v>0</v>
      </c>
      <c r="D59" s="11">
        <f>-E59*D52</f>
        <v>0</v>
      </c>
      <c r="E59" s="11">
        <v>0</v>
      </c>
      <c r="F59" s="11">
        <f t="shared" si="18"/>
        <v>0</v>
      </c>
      <c r="G59" s="13"/>
      <c r="H59" s="13"/>
      <c r="I59" s="13"/>
      <c r="J59" s="13">
        <f t="shared" si="19"/>
        <v>0</v>
      </c>
      <c r="K59" s="11"/>
      <c r="L59" s="11"/>
      <c r="M59" s="11"/>
      <c r="N59" s="11">
        <f t="shared" si="20"/>
        <v>0</v>
      </c>
      <c r="O59" s="13"/>
      <c r="P59" s="13"/>
      <c r="Q59" s="13"/>
      <c r="R59" s="13">
        <f t="shared" si="21"/>
        <v>0</v>
      </c>
      <c r="S59" s="11"/>
      <c r="T59" s="11"/>
      <c r="U59" s="11"/>
      <c r="V59" s="11">
        <f t="shared" si="22"/>
        <v>0</v>
      </c>
      <c r="W59" s="13"/>
      <c r="X59" s="13"/>
      <c r="Y59" s="13"/>
      <c r="Z59" s="13">
        <f t="shared" si="23"/>
        <v>0</v>
      </c>
    </row>
    <row r="60" spans="1:16368" ht="12.75" hidden="1" customHeight="1" x14ac:dyDescent="0.2">
      <c r="A60" s="329">
        <v>51</v>
      </c>
      <c r="B60" s="333" t="s">
        <v>28</v>
      </c>
      <c r="C60" s="11">
        <f>-E60*C5</f>
        <v>0</v>
      </c>
      <c r="D60" s="11">
        <f>-E60*D5</f>
        <v>0</v>
      </c>
      <c r="E60" s="18">
        <v>0</v>
      </c>
      <c r="F60" s="11">
        <f t="shared" si="18"/>
        <v>0</v>
      </c>
      <c r="G60" s="13"/>
      <c r="H60" s="13"/>
      <c r="I60" s="19"/>
      <c r="J60" s="13">
        <f t="shared" ref="J60" si="25">SUM(G60:I60)</f>
        <v>0</v>
      </c>
      <c r="K60" s="11"/>
      <c r="L60" s="11"/>
      <c r="M60" s="18"/>
      <c r="N60" s="11">
        <f t="shared" ref="N60" si="26">SUM(K60:M60)</f>
        <v>0</v>
      </c>
      <c r="O60" s="13"/>
      <c r="P60" s="13"/>
      <c r="Q60" s="19"/>
      <c r="R60" s="13">
        <f t="shared" ref="R60" si="27">SUM(O60:Q60)</f>
        <v>0</v>
      </c>
      <c r="S60" s="11"/>
      <c r="T60" s="11"/>
      <c r="U60" s="18"/>
      <c r="V60" s="11">
        <f t="shared" ref="V60" si="28">SUM(S60:U60)</f>
        <v>0</v>
      </c>
      <c r="W60" s="13"/>
      <c r="X60" s="13"/>
      <c r="Y60" s="19"/>
      <c r="Z60" s="13">
        <f t="shared" ref="Z60" si="29">SUM(W60:Y60)</f>
        <v>0</v>
      </c>
    </row>
    <row r="61" spans="1:16368" s="6" customFormat="1" x14ac:dyDescent="0.2">
      <c r="A61" s="544"/>
      <c r="B61" s="544"/>
      <c r="C61" s="542"/>
      <c r="D61" s="542"/>
      <c r="E61" s="542"/>
      <c r="F61" s="542"/>
      <c r="G61" s="542"/>
      <c r="H61" s="542"/>
      <c r="I61" s="542"/>
      <c r="J61" s="542"/>
      <c r="K61" s="542"/>
      <c r="L61" s="542"/>
      <c r="M61" s="542"/>
      <c r="N61" s="542"/>
      <c r="O61" s="542" t="s">
        <v>1927</v>
      </c>
      <c r="P61" s="542"/>
      <c r="Q61" s="542"/>
      <c r="R61" s="542"/>
      <c r="S61" s="542"/>
      <c r="T61" s="542"/>
      <c r="U61" s="542"/>
      <c r="V61" s="542"/>
      <c r="W61" s="542"/>
      <c r="X61" s="542"/>
      <c r="Y61" s="542"/>
      <c r="Z61" s="542"/>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c r="IT61" s="543"/>
      <c r="IU61" s="543"/>
      <c r="IV61" s="543"/>
      <c r="IW61" s="543"/>
      <c r="IX61" s="543"/>
      <c r="IY61" s="543"/>
      <c r="IZ61" s="543"/>
      <c r="JA61" s="543"/>
      <c r="JB61" s="543"/>
      <c r="JC61" s="543"/>
      <c r="JD61" s="543"/>
      <c r="JE61" s="543"/>
      <c r="JF61" s="543"/>
      <c r="JG61" s="543"/>
      <c r="JH61" s="543"/>
      <c r="JI61" s="543"/>
      <c r="JJ61" s="543"/>
      <c r="JK61" s="543"/>
      <c r="JL61" s="543"/>
      <c r="JM61" s="543"/>
      <c r="JN61" s="543"/>
      <c r="JO61" s="543"/>
      <c r="JP61" s="543"/>
      <c r="JQ61" s="543"/>
      <c r="JR61" s="543"/>
      <c r="JS61" s="543"/>
      <c r="JT61" s="543"/>
      <c r="JU61" s="543"/>
      <c r="JV61" s="543"/>
      <c r="JW61" s="543"/>
      <c r="JX61" s="543"/>
      <c r="JY61" s="543"/>
      <c r="JZ61" s="543"/>
      <c r="KA61" s="543"/>
      <c r="KB61" s="543"/>
      <c r="KC61" s="543"/>
      <c r="KD61" s="543"/>
      <c r="KE61" s="543"/>
      <c r="KF61" s="543"/>
      <c r="KG61" s="543"/>
      <c r="KH61" s="543"/>
      <c r="KI61" s="543"/>
      <c r="KJ61" s="543"/>
      <c r="KK61" s="543"/>
      <c r="KL61" s="543"/>
      <c r="KM61" s="543"/>
      <c r="KN61" s="543"/>
      <c r="KO61" s="543"/>
      <c r="KP61" s="543"/>
      <c r="KQ61" s="543"/>
      <c r="KR61" s="543"/>
      <c r="KS61" s="543"/>
      <c r="KT61" s="543"/>
      <c r="KU61" s="543"/>
      <c r="KV61" s="543"/>
      <c r="KW61" s="543"/>
      <c r="KX61" s="543"/>
      <c r="KY61" s="543"/>
      <c r="KZ61" s="543"/>
      <c r="LA61" s="543"/>
      <c r="LB61" s="543"/>
      <c r="LC61" s="543"/>
      <c r="LD61" s="543"/>
      <c r="LE61" s="543"/>
      <c r="LF61" s="543"/>
      <c r="LG61" s="543"/>
      <c r="LH61" s="543"/>
      <c r="LI61" s="543"/>
      <c r="LJ61" s="543"/>
      <c r="LK61" s="543"/>
      <c r="LL61" s="543"/>
      <c r="LM61" s="543"/>
      <c r="LN61" s="543"/>
      <c r="LO61" s="543"/>
      <c r="LP61" s="543"/>
      <c r="LQ61" s="543"/>
      <c r="LR61" s="543"/>
      <c r="LS61" s="543"/>
      <c r="LT61" s="543"/>
      <c r="LU61" s="543"/>
      <c r="LV61" s="543"/>
      <c r="LW61" s="543"/>
      <c r="LX61" s="543"/>
      <c r="LY61" s="543"/>
      <c r="LZ61" s="543"/>
      <c r="MA61" s="543"/>
      <c r="MB61" s="543"/>
      <c r="MC61" s="543"/>
      <c r="MD61" s="543"/>
      <c r="ME61" s="543"/>
      <c r="MF61" s="543"/>
      <c r="MG61" s="543"/>
      <c r="MH61" s="543"/>
      <c r="MI61" s="543"/>
      <c r="MJ61" s="543"/>
      <c r="MK61" s="543"/>
      <c r="ML61" s="543"/>
      <c r="MM61" s="543"/>
      <c r="MN61" s="543"/>
      <c r="MO61" s="543"/>
      <c r="MP61" s="543"/>
      <c r="MQ61" s="543"/>
      <c r="MR61" s="543"/>
      <c r="MS61" s="543"/>
      <c r="MT61" s="543"/>
      <c r="MU61" s="543"/>
      <c r="MV61" s="543"/>
      <c r="MW61" s="543"/>
      <c r="MX61" s="543"/>
      <c r="MY61" s="543"/>
      <c r="MZ61" s="543"/>
      <c r="NA61" s="543"/>
      <c r="NB61" s="543"/>
      <c r="NC61" s="543"/>
      <c r="ND61" s="543"/>
      <c r="NE61" s="543"/>
      <c r="NF61" s="543"/>
      <c r="NG61" s="543"/>
      <c r="NH61" s="543"/>
      <c r="NI61" s="543"/>
      <c r="NJ61" s="543"/>
      <c r="NK61" s="543"/>
      <c r="NL61" s="543"/>
      <c r="NM61" s="543"/>
      <c r="NN61" s="543"/>
      <c r="NO61" s="543"/>
      <c r="NP61" s="543"/>
      <c r="NQ61" s="543"/>
      <c r="NR61" s="543"/>
      <c r="NS61" s="543"/>
      <c r="NT61" s="543"/>
      <c r="NU61" s="543"/>
      <c r="NV61" s="543"/>
      <c r="NW61" s="543"/>
      <c r="NX61" s="543"/>
      <c r="NY61" s="543"/>
      <c r="NZ61" s="543"/>
      <c r="OA61" s="543"/>
      <c r="OB61" s="543"/>
      <c r="OC61" s="543"/>
      <c r="OD61" s="543"/>
      <c r="OE61" s="543"/>
      <c r="OF61" s="543"/>
      <c r="OG61" s="543"/>
      <c r="OH61" s="543"/>
      <c r="OI61" s="543"/>
      <c r="OJ61" s="543"/>
      <c r="OK61" s="543"/>
      <c r="OL61" s="543"/>
      <c r="OM61" s="543"/>
      <c r="ON61" s="543"/>
      <c r="OO61" s="543"/>
      <c r="OP61" s="543"/>
      <c r="OQ61" s="543"/>
      <c r="OR61" s="543"/>
      <c r="OS61" s="543"/>
      <c r="OT61" s="543"/>
      <c r="OU61" s="543"/>
      <c r="OV61" s="543"/>
      <c r="OW61" s="543"/>
      <c r="OX61" s="543"/>
      <c r="OY61" s="543"/>
      <c r="OZ61" s="543"/>
      <c r="PA61" s="543"/>
      <c r="PB61" s="543"/>
      <c r="PC61" s="543"/>
      <c r="PD61" s="543"/>
      <c r="PE61" s="543"/>
      <c r="PF61" s="543"/>
      <c r="PG61" s="543"/>
      <c r="PH61" s="543"/>
      <c r="PI61" s="543"/>
      <c r="PJ61" s="543"/>
      <c r="PK61" s="543"/>
      <c r="PL61" s="543"/>
      <c r="PM61" s="543"/>
      <c r="PN61" s="543"/>
      <c r="PO61" s="543"/>
      <c r="PP61" s="543"/>
      <c r="PQ61" s="543"/>
      <c r="PR61" s="543"/>
      <c r="PS61" s="543"/>
      <c r="PT61" s="543"/>
      <c r="PU61" s="543"/>
      <c r="PV61" s="543"/>
      <c r="PW61" s="543"/>
      <c r="PX61" s="543"/>
      <c r="PY61" s="543"/>
      <c r="PZ61" s="543"/>
      <c r="QA61" s="543"/>
      <c r="QB61" s="543"/>
      <c r="QC61" s="543"/>
      <c r="QD61" s="543"/>
      <c r="QE61" s="543"/>
      <c r="QF61" s="543"/>
      <c r="QG61" s="543"/>
      <c r="QH61" s="543"/>
      <c r="QI61" s="543"/>
      <c r="QJ61" s="543"/>
      <c r="QK61" s="543"/>
      <c r="QL61" s="543"/>
      <c r="QM61" s="543"/>
      <c r="QN61" s="543"/>
      <c r="QO61" s="543"/>
      <c r="QP61" s="543"/>
      <c r="QQ61" s="543"/>
      <c r="QR61" s="543"/>
      <c r="QS61" s="543"/>
      <c r="QT61" s="543"/>
      <c r="QU61" s="543"/>
      <c r="QV61" s="543"/>
      <c r="QW61" s="543"/>
      <c r="QX61" s="543"/>
      <c r="QY61" s="543"/>
      <c r="QZ61" s="543"/>
      <c r="RA61" s="543"/>
      <c r="RB61" s="543"/>
      <c r="RC61" s="543"/>
      <c r="RD61" s="543"/>
      <c r="RE61" s="543"/>
      <c r="RF61" s="543"/>
      <c r="RG61" s="543"/>
      <c r="RH61" s="543"/>
      <c r="RI61" s="543"/>
      <c r="RJ61" s="543"/>
      <c r="RK61" s="543"/>
      <c r="RL61" s="543"/>
      <c r="RM61" s="543"/>
      <c r="RN61" s="543"/>
      <c r="RO61" s="543"/>
      <c r="RP61" s="543"/>
      <c r="RQ61" s="543"/>
      <c r="RR61" s="543"/>
      <c r="RS61" s="543"/>
      <c r="RT61" s="543"/>
      <c r="RU61" s="543"/>
      <c r="RV61" s="543"/>
      <c r="RW61" s="543"/>
      <c r="RX61" s="543"/>
      <c r="RY61" s="543"/>
      <c r="RZ61" s="543"/>
      <c r="SA61" s="543"/>
      <c r="SB61" s="543"/>
      <c r="SC61" s="543"/>
      <c r="SD61" s="543"/>
      <c r="SE61" s="543"/>
      <c r="SF61" s="543"/>
      <c r="SG61" s="543"/>
      <c r="SH61" s="543"/>
      <c r="SI61" s="543"/>
      <c r="SJ61" s="543"/>
      <c r="SK61" s="543"/>
      <c r="SL61" s="543"/>
      <c r="SM61" s="543"/>
      <c r="SN61" s="543"/>
      <c r="SO61" s="543"/>
      <c r="SP61" s="543"/>
      <c r="SQ61" s="543"/>
      <c r="SR61" s="543"/>
      <c r="SS61" s="543"/>
      <c r="ST61" s="543"/>
      <c r="SU61" s="543"/>
      <c r="SV61" s="543"/>
      <c r="SW61" s="543"/>
      <c r="SX61" s="543"/>
      <c r="SY61" s="543"/>
      <c r="SZ61" s="543"/>
      <c r="TA61" s="543"/>
      <c r="TB61" s="543"/>
      <c r="TC61" s="543"/>
      <c r="TD61" s="543"/>
      <c r="TE61" s="543"/>
      <c r="TF61" s="543"/>
      <c r="TG61" s="543"/>
      <c r="TH61" s="543"/>
      <c r="TI61" s="543"/>
      <c r="TJ61" s="543"/>
      <c r="TK61" s="543"/>
      <c r="TL61" s="543"/>
      <c r="TM61" s="543"/>
      <c r="TN61" s="543"/>
      <c r="TO61" s="543"/>
      <c r="TP61" s="543"/>
      <c r="TQ61" s="543"/>
      <c r="TR61" s="543"/>
      <c r="TS61" s="543"/>
      <c r="TT61" s="543"/>
      <c r="TU61" s="543"/>
      <c r="TV61" s="543"/>
      <c r="TW61" s="543"/>
      <c r="TX61" s="543"/>
      <c r="TY61" s="543"/>
      <c r="TZ61" s="543"/>
      <c r="UA61" s="543"/>
      <c r="UB61" s="543"/>
      <c r="UC61" s="543"/>
      <c r="UD61" s="543"/>
      <c r="UE61" s="543"/>
      <c r="UF61" s="543"/>
      <c r="UG61" s="543"/>
      <c r="UH61" s="543"/>
      <c r="UI61" s="543"/>
      <c r="UJ61" s="543"/>
      <c r="UK61" s="543"/>
      <c r="UL61" s="543"/>
      <c r="UM61" s="543"/>
      <c r="UN61" s="543"/>
      <c r="UO61" s="543"/>
      <c r="UP61" s="543"/>
      <c r="UQ61" s="543"/>
      <c r="UR61" s="543"/>
      <c r="US61" s="543"/>
      <c r="UT61" s="543"/>
      <c r="UU61" s="543"/>
      <c r="UV61" s="543"/>
      <c r="UW61" s="543"/>
      <c r="UX61" s="543"/>
      <c r="UY61" s="543"/>
      <c r="UZ61" s="543"/>
      <c r="VA61" s="543"/>
      <c r="VB61" s="543"/>
      <c r="VC61" s="543"/>
      <c r="VD61" s="543"/>
      <c r="VE61" s="543"/>
      <c r="VF61" s="543"/>
      <c r="VG61" s="543"/>
      <c r="VH61" s="543"/>
      <c r="VI61" s="543"/>
      <c r="VJ61" s="543"/>
      <c r="VK61" s="543"/>
      <c r="VL61" s="543"/>
      <c r="VM61" s="543"/>
      <c r="VN61" s="543"/>
      <c r="VO61" s="543"/>
      <c r="VP61" s="543"/>
      <c r="VQ61" s="543"/>
      <c r="VR61" s="543"/>
      <c r="VS61" s="543"/>
      <c r="VT61" s="543"/>
      <c r="VU61" s="543"/>
      <c r="VV61" s="543"/>
      <c r="VW61" s="543"/>
      <c r="VX61" s="543"/>
      <c r="VY61" s="543"/>
      <c r="VZ61" s="543"/>
      <c r="WA61" s="543"/>
      <c r="WB61" s="543"/>
      <c r="WC61" s="543"/>
      <c r="WD61" s="543"/>
      <c r="WE61" s="543"/>
      <c r="WF61" s="543"/>
      <c r="WG61" s="543"/>
      <c r="WH61" s="543"/>
      <c r="WI61" s="543"/>
      <c r="WJ61" s="543"/>
      <c r="WK61" s="543"/>
      <c r="WL61" s="543"/>
      <c r="WM61" s="543"/>
      <c r="WN61" s="543"/>
      <c r="WO61" s="543"/>
      <c r="WP61" s="543"/>
      <c r="WQ61" s="543"/>
      <c r="WR61" s="543"/>
      <c r="WS61" s="543"/>
      <c r="WT61" s="543"/>
      <c r="WU61" s="543"/>
      <c r="WV61" s="543"/>
      <c r="WW61" s="543"/>
      <c r="WX61" s="543"/>
      <c r="WY61" s="543"/>
      <c r="WZ61" s="543"/>
      <c r="XA61" s="543"/>
      <c r="XB61" s="543"/>
      <c r="XC61" s="543"/>
      <c r="XD61" s="543"/>
      <c r="XE61" s="543"/>
      <c r="XF61" s="543"/>
      <c r="XG61" s="543"/>
      <c r="XH61" s="543"/>
      <c r="XI61" s="543"/>
      <c r="XJ61" s="543"/>
      <c r="XK61" s="543"/>
      <c r="XL61" s="543"/>
      <c r="XM61" s="543"/>
      <c r="XN61" s="543"/>
      <c r="XO61" s="543"/>
      <c r="XP61" s="543"/>
      <c r="XQ61" s="543"/>
      <c r="XR61" s="543"/>
      <c r="XS61" s="543"/>
      <c r="XT61" s="543"/>
      <c r="XU61" s="543"/>
      <c r="XV61" s="543"/>
      <c r="XW61" s="543"/>
      <c r="XX61" s="543"/>
      <c r="XY61" s="543"/>
      <c r="XZ61" s="543"/>
      <c r="YA61" s="543"/>
      <c r="YB61" s="543"/>
      <c r="YC61" s="543"/>
      <c r="YD61" s="543"/>
      <c r="YE61" s="543"/>
      <c r="YF61" s="543"/>
      <c r="YG61" s="543"/>
      <c r="YH61" s="543"/>
      <c r="YI61" s="543"/>
      <c r="YJ61" s="543"/>
      <c r="YK61" s="543"/>
      <c r="YL61" s="543"/>
      <c r="YM61" s="543"/>
      <c r="YN61" s="543"/>
      <c r="YO61" s="543"/>
      <c r="YP61" s="543"/>
      <c r="YQ61" s="543"/>
      <c r="YR61" s="543"/>
      <c r="YS61" s="543"/>
      <c r="YT61" s="543"/>
      <c r="YU61" s="543"/>
      <c r="YV61" s="543"/>
      <c r="YW61" s="543"/>
      <c r="YX61" s="543"/>
      <c r="YY61" s="543"/>
      <c r="YZ61" s="543"/>
      <c r="ZA61" s="543"/>
      <c r="ZB61" s="543"/>
      <c r="ZC61" s="543"/>
      <c r="ZD61" s="543"/>
      <c r="ZE61" s="543"/>
      <c r="ZF61" s="543"/>
      <c r="ZG61" s="543"/>
      <c r="ZH61" s="543"/>
      <c r="ZI61" s="543"/>
      <c r="ZJ61" s="543"/>
      <c r="ZK61" s="543"/>
      <c r="ZL61" s="543"/>
      <c r="ZM61" s="543"/>
      <c r="ZN61" s="543"/>
      <c r="ZO61" s="543"/>
      <c r="ZP61" s="543"/>
      <c r="ZQ61" s="543"/>
      <c r="ZR61" s="543"/>
      <c r="ZS61" s="543"/>
      <c r="ZT61" s="543"/>
      <c r="ZU61" s="543"/>
      <c r="ZV61" s="543"/>
      <c r="ZW61" s="543"/>
      <c r="ZX61" s="543"/>
      <c r="ZY61" s="543"/>
      <c r="ZZ61" s="543"/>
      <c r="AAA61" s="543"/>
      <c r="AAB61" s="543"/>
      <c r="AAC61" s="543"/>
      <c r="AAD61" s="543"/>
      <c r="AAE61" s="543"/>
      <c r="AAF61" s="543"/>
      <c r="AAG61" s="543"/>
      <c r="AAH61" s="543"/>
      <c r="AAI61" s="543"/>
      <c r="AAJ61" s="543"/>
      <c r="AAK61" s="543"/>
      <c r="AAL61" s="543"/>
      <c r="AAM61" s="543"/>
      <c r="AAN61" s="543"/>
      <c r="AAO61" s="543"/>
      <c r="AAP61" s="543"/>
      <c r="AAQ61" s="543"/>
      <c r="AAR61" s="543"/>
      <c r="AAS61" s="543"/>
      <c r="AAT61" s="543"/>
      <c r="AAU61" s="543"/>
      <c r="AAV61" s="543"/>
      <c r="AAW61" s="543"/>
      <c r="AAX61" s="543"/>
      <c r="AAY61" s="543"/>
      <c r="AAZ61" s="543"/>
      <c r="ABA61" s="543"/>
      <c r="ABB61" s="543"/>
      <c r="ABC61" s="543"/>
      <c r="ABD61" s="543"/>
      <c r="ABE61" s="543"/>
      <c r="ABF61" s="543"/>
      <c r="ABG61" s="543"/>
      <c r="ABH61" s="543"/>
      <c r="ABI61" s="543"/>
      <c r="ABJ61" s="543"/>
      <c r="ABK61" s="543"/>
      <c r="ABL61" s="543"/>
      <c r="ABM61" s="543"/>
      <c r="ABN61" s="543"/>
      <c r="ABO61" s="543"/>
      <c r="ABP61" s="543"/>
      <c r="ABQ61" s="543"/>
      <c r="ABR61" s="543"/>
      <c r="ABS61" s="543"/>
      <c r="ABT61" s="543"/>
      <c r="ABU61" s="543"/>
      <c r="ABV61" s="543"/>
      <c r="ABW61" s="543"/>
      <c r="ABX61" s="543"/>
      <c r="ABY61" s="543"/>
      <c r="ABZ61" s="543"/>
      <c r="ACA61" s="543"/>
      <c r="ACB61" s="543"/>
      <c r="ACC61" s="543"/>
      <c r="ACD61" s="543"/>
      <c r="ACE61" s="543"/>
      <c r="ACF61" s="543"/>
      <c r="ACG61" s="543"/>
      <c r="ACH61" s="543"/>
      <c r="ACI61" s="543"/>
      <c r="ACJ61" s="543"/>
      <c r="ACK61" s="543"/>
      <c r="ACL61" s="543"/>
      <c r="ACM61" s="543"/>
      <c r="ACN61" s="543"/>
      <c r="ACO61" s="543"/>
      <c r="ACP61" s="543"/>
      <c r="ACQ61" s="543"/>
      <c r="ACR61" s="543"/>
      <c r="ACS61" s="543"/>
      <c r="ACT61" s="543"/>
      <c r="ACU61" s="543"/>
      <c r="ACV61" s="543"/>
      <c r="ACW61" s="543"/>
      <c r="ACX61" s="543"/>
      <c r="ACY61" s="543"/>
      <c r="ACZ61" s="543"/>
      <c r="ADA61" s="543"/>
      <c r="ADB61" s="543"/>
      <c r="ADC61" s="543"/>
      <c r="ADD61" s="543"/>
      <c r="ADE61" s="543"/>
      <c r="ADF61" s="543"/>
      <c r="ADG61" s="543"/>
      <c r="ADH61" s="543"/>
      <c r="ADI61" s="543"/>
      <c r="ADJ61" s="543"/>
      <c r="ADK61" s="543"/>
      <c r="ADL61" s="543"/>
      <c r="ADM61" s="543"/>
      <c r="ADN61" s="543"/>
      <c r="ADO61" s="543"/>
      <c r="ADP61" s="543"/>
      <c r="ADQ61" s="543"/>
      <c r="ADR61" s="543"/>
      <c r="ADS61" s="543"/>
      <c r="ADT61" s="543"/>
      <c r="ADU61" s="543"/>
      <c r="ADV61" s="543"/>
      <c r="ADW61" s="543"/>
      <c r="ADX61" s="543"/>
      <c r="ADY61" s="543"/>
      <c r="ADZ61" s="543"/>
      <c r="AEA61" s="543"/>
      <c r="AEB61" s="543"/>
      <c r="AEC61" s="543"/>
      <c r="AED61" s="543"/>
      <c r="AEE61" s="543"/>
      <c r="AEF61" s="543"/>
      <c r="AEG61" s="543"/>
      <c r="AEH61" s="543"/>
      <c r="AEI61" s="543"/>
      <c r="AEJ61" s="543"/>
      <c r="AEK61" s="543"/>
      <c r="AEL61" s="543"/>
      <c r="AEM61" s="543"/>
      <c r="AEN61" s="543"/>
      <c r="AEO61" s="543"/>
      <c r="AEP61" s="543"/>
      <c r="AEQ61" s="543"/>
      <c r="AER61" s="543"/>
      <c r="AES61" s="543"/>
      <c r="AET61" s="543"/>
      <c r="AEU61" s="543"/>
      <c r="AEV61" s="543"/>
      <c r="AEW61" s="543"/>
      <c r="AEX61" s="543"/>
      <c r="AEY61" s="543"/>
      <c r="AEZ61" s="543"/>
      <c r="AFA61" s="543"/>
      <c r="AFB61" s="543"/>
      <c r="AFC61" s="543"/>
      <c r="AFD61" s="543"/>
      <c r="AFE61" s="543"/>
      <c r="AFF61" s="543"/>
      <c r="AFG61" s="543"/>
      <c r="AFH61" s="543"/>
      <c r="AFI61" s="543"/>
      <c r="AFJ61" s="543"/>
      <c r="AFK61" s="543"/>
      <c r="AFL61" s="543"/>
      <c r="AFM61" s="543"/>
      <c r="AFN61" s="543"/>
      <c r="AFO61" s="543"/>
      <c r="AFP61" s="543"/>
      <c r="AFQ61" s="543"/>
      <c r="AFR61" s="543"/>
      <c r="AFS61" s="543"/>
      <c r="AFT61" s="543"/>
      <c r="AFU61" s="543"/>
      <c r="AFV61" s="543"/>
      <c r="AFW61" s="543"/>
      <c r="AFX61" s="543"/>
      <c r="AFY61" s="543"/>
      <c r="AFZ61" s="543"/>
      <c r="AGA61" s="543"/>
      <c r="AGB61" s="543"/>
      <c r="AGC61" s="543"/>
      <c r="AGD61" s="543"/>
      <c r="AGE61" s="543"/>
      <c r="AGF61" s="543"/>
      <c r="AGG61" s="543"/>
      <c r="AGH61" s="543"/>
      <c r="AGI61" s="543"/>
      <c r="AGJ61" s="543"/>
      <c r="AGK61" s="543"/>
      <c r="AGL61" s="543"/>
      <c r="AGM61" s="543"/>
      <c r="AGN61" s="543"/>
      <c r="AGO61" s="543"/>
      <c r="AGP61" s="543"/>
      <c r="AGQ61" s="543"/>
      <c r="AGR61" s="543"/>
      <c r="AGS61" s="543"/>
      <c r="AGT61" s="543"/>
      <c r="AGU61" s="543"/>
      <c r="AGV61" s="543"/>
      <c r="AGW61" s="543"/>
      <c r="AGX61" s="543"/>
      <c r="AGY61" s="543"/>
      <c r="AGZ61" s="543"/>
      <c r="AHA61" s="543"/>
      <c r="AHB61" s="543"/>
      <c r="AHC61" s="543"/>
      <c r="AHD61" s="543"/>
      <c r="AHE61" s="543"/>
      <c r="AHF61" s="543"/>
      <c r="AHG61" s="543"/>
      <c r="AHH61" s="543"/>
      <c r="AHI61" s="543"/>
      <c r="AHJ61" s="543"/>
      <c r="AHK61" s="543"/>
      <c r="AHL61" s="543"/>
      <c r="AHM61" s="543"/>
      <c r="AHN61" s="543"/>
      <c r="AHO61" s="543"/>
      <c r="AHP61" s="543"/>
      <c r="AHQ61" s="543"/>
      <c r="AHR61" s="543"/>
      <c r="AHS61" s="543"/>
      <c r="AHT61" s="543"/>
      <c r="AHU61" s="543"/>
      <c r="AHV61" s="543"/>
      <c r="AHW61" s="543"/>
      <c r="AHX61" s="543"/>
      <c r="AHY61" s="543"/>
      <c r="AHZ61" s="543"/>
      <c r="AIA61" s="543"/>
      <c r="AIB61" s="543"/>
      <c r="AIC61" s="543"/>
      <c r="AID61" s="543"/>
      <c r="AIE61" s="543"/>
      <c r="AIF61" s="543"/>
      <c r="AIG61" s="543"/>
      <c r="AIH61" s="543"/>
      <c r="AII61" s="543"/>
      <c r="AIJ61" s="543"/>
      <c r="AIK61" s="543"/>
      <c r="AIL61" s="543"/>
      <c r="AIM61" s="543"/>
      <c r="AIN61" s="543"/>
      <c r="AIO61" s="543"/>
      <c r="AIP61" s="543"/>
      <c r="AIQ61" s="543"/>
      <c r="AIR61" s="543"/>
      <c r="AIS61" s="543"/>
      <c r="AIT61" s="543"/>
      <c r="AIU61" s="543"/>
      <c r="AIV61" s="543"/>
      <c r="AIW61" s="543"/>
      <c r="AIX61" s="543"/>
      <c r="AIY61" s="543"/>
      <c r="AIZ61" s="543"/>
      <c r="AJA61" s="543"/>
      <c r="AJB61" s="543"/>
      <c r="AJC61" s="543"/>
      <c r="AJD61" s="543"/>
      <c r="AJE61" s="543"/>
      <c r="AJF61" s="543"/>
      <c r="AJG61" s="543"/>
      <c r="AJH61" s="543"/>
      <c r="AJI61" s="543"/>
      <c r="AJJ61" s="543"/>
      <c r="AJK61" s="543"/>
      <c r="AJL61" s="543"/>
      <c r="AJM61" s="543"/>
      <c r="AJN61" s="543"/>
      <c r="AJO61" s="543"/>
      <c r="AJP61" s="543"/>
      <c r="AJQ61" s="543"/>
      <c r="AJR61" s="543"/>
      <c r="AJS61" s="543"/>
      <c r="AJT61" s="543"/>
      <c r="AJU61" s="543"/>
      <c r="AJV61" s="543"/>
      <c r="AJW61" s="543"/>
      <c r="AJX61" s="543"/>
      <c r="AJY61" s="543"/>
      <c r="AJZ61" s="543"/>
      <c r="AKA61" s="543"/>
      <c r="AKB61" s="543"/>
      <c r="AKC61" s="543"/>
      <c r="AKD61" s="543"/>
      <c r="AKE61" s="543"/>
      <c r="AKF61" s="543"/>
      <c r="AKG61" s="543"/>
      <c r="AKH61" s="543"/>
      <c r="AKI61" s="543"/>
      <c r="AKJ61" s="543"/>
      <c r="AKK61" s="543"/>
      <c r="AKL61" s="543"/>
      <c r="AKM61" s="543"/>
      <c r="AKN61" s="543"/>
      <c r="AKO61" s="543"/>
      <c r="AKP61" s="543"/>
      <c r="AKQ61" s="543"/>
      <c r="AKR61" s="543"/>
      <c r="AKS61" s="543"/>
      <c r="AKT61" s="543"/>
      <c r="AKU61" s="543"/>
      <c r="AKV61" s="543"/>
      <c r="AKW61" s="543"/>
      <c r="AKX61" s="543"/>
      <c r="AKY61" s="543"/>
      <c r="AKZ61" s="543"/>
      <c r="ALA61" s="543"/>
      <c r="ALB61" s="543"/>
      <c r="ALC61" s="543"/>
      <c r="ALD61" s="543"/>
      <c r="ALE61" s="543"/>
      <c r="ALF61" s="543"/>
      <c r="ALG61" s="543"/>
      <c r="ALH61" s="543"/>
      <c r="ALI61" s="543"/>
      <c r="ALJ61" s="543"/>
      <c r="ALK61" s="543"/>
      <c r="ALL61" s="543"/>
      <c r="ALM61" s="543"/>
      <c r="ALN61" s="543"/>
      <c r="ALO61" s="543"/>
      <c r="ALP61" s="543"/>
      <c r="ALQ61" s="543"/>
      <c r="ALR61" s="543"/>
      <c r="ALS61" s="543"/>
      <c r="ALT61" s="543"/>
      <c r="ALU61" s="543"/>
      <c r="ALV61" s="543"/>
      <c r="ALW61" s="543"/>
      <c r="ALX61" s="543"/>
      <c r="ALY61" s="543"/>
      <c r="ALZ61" s="543"/>
      <c r="AMA61" s="543"/>
      <c r="AMB61" s="543"/>
      <c r="AMC61" s="543"/>
      <c r="AMD61" s="543"/>
      <c r="AME61" s="543"/>
      <c r="AMF61" s="543"/>
      <c r="AMG61" s="543"/>
      <c r="AMH61" s="543"/>
      <c r="AMI61" s="543"/>
      <c r="AMJ61" s="543"/>
      <c r="AMK61" s="543"/>
      <c r="AML61" s="543"/>
      <c r="AMM61" s="543"/>
      <c r="AMN61" s="543"/>
      <c r="AMO61" s="543"/>
      <c r="AMP61" s="543"/>
      <c r="AMQ61" s="543"/>
      <c r="AMR61" s="543"/>
      <c r="AMS61" s="543"/>
      <c r="AMT61" s="543"/>
      <c r="AMU61" s="543"/>
      <c r="AMV61" s="543"/>
      <c r="AMW61" s="543"/>
      <c r="AMX61" s="543"/>
      <c r="AMY61" s="543"/>
      <c r="AMZ61" s="543"/>
      <c r="ANA61" s="543"/>
      <c r="ANB61" s="543"/>
      <c r="ANC61" s="543"/>
      <c r="AND61" s="543"/>
      <c r="ANE61" s="543"/>
      <c r="ANF61" s="543"/>
      <c r="ANG61" s="543"/>
      <c r="ANH61" s="543"/>
      <c r="ANI61" s="543"/>
      <c r="ANJ61" s="543"/>
      <c r="ANK61" s="543"/>
      <c r="ANL61" s="543"/>
      <c r="ANM61" s="543"/>
      <c r="ANN61" s="543"/>
      <c r="ANO61" s="543"/>
      <c r="ANP61" s="543"/>
      <c r="ANQ61" s="543"/>
      <c r="ANR61" s="543"/>
      <c r="ANS61" s="543"/>
      <c r="ANT61" s="543"/>
      <c r="ANU61" s="543"/>
      <c r="ANV61" s="543"/>
      <c r="ANW61" s="543"/>
      <c r="ANX61" s="543"/>
      <c r="ANY61" s="543"/>
      <c r="ANZ61" s="543"/>
      <c r="AOA61" s="543"/>
      <c r="AOB61" s="543"/>
      <c r="AOC61" s="543"/>
      <c r="AOD61" s="543"/>
      <c r="AOE61" s="543"/>
      <c r="AOF61" s="543"/>
      <c r="AOG61" s="543"/>
      <c r="AOH61" s="543"/>
      <c r="AOI61" s="543"/>
      <c r="AOJ61" s="543"/>
      <c r="AOK61" s="543"/>
      <c r="AOL61" s="543"/>
      <c r="AOM61" s="543"/>
      <c r="AON61" s="543"/>
      <c r="AOO61" s="543"/>
      <c r="AOP61" s="543"/>
      <c r="AOQ61" s="543"/>
      <c r="AOR61" s="543"/>
      <c r="AOS61" s="543"/>
      <c r="AOT61" s="543"/>
      <c r="AOU61" s="543"/>
      <c r="AOV61" s="543"/>
      <c r="AOW61" s="543"/>
      <c r="AOX61" s="543"/>
      <c r="AOY61" s="543"/>
      <c r="AOZ61" s="543"/>
      <c r="APA61" s="543"/>
      <c r="APB61" s="543"/>
      <c r="APC61" s="543"/>
      <c r="APD61" s="543"/>
      <c r="APE61" s="543"/>
      <c r="APF61" s="543"/>
      <c r="APG61" s="543"/>
      <c r="APH61" s="543"/>
      <c r="API61" s="543"/>
      <c r="APJ61" s="543"/>
      <c r="APK61" s="543"/>
      <c r="APL61" s="543"/>
      <c r="APM61" s="543"/>
      <c r="APN61" s="543"/>
      <c r="APO61" s="543"/>
      <c r="APP61" s="543"/>
      <c r="APQ61" s="543"/>
      <c r="APR61" s="543"/>
      <c r="APS61" s="543"/>
      <c r="APT61" s="543"/>
      <c r="APU61" s="543"/>
      <c r="APV61" s="543"/>
      <c r="APW61" s="543"/>
      <c r="APX61" s="543"/>
      <c r="APY61" s="543"/>
      <c r="APZ61" s="543"/>
      <c r="AQA61" s="543"/>
      <c r="AQB61" s="543"/>
      <c r="AQC61" s="543"/>
      <c r="AQD61" s="543"/>
      <c r="AQE61" s="543"/>
      <c r="AQF61" s="543"/>
      <c r="AQG61" s="543"/>
      <c r="AQH61" s="543"/>
      <c r="AQI61" s="543"/>
      <c r="AQJ61" s="543"/>
      <c r="AQK61" s="543"/>
      <c r="AQL61" s="543"/>
      <c r="AQM61" s="543"/>
      <c r="AQN61" s="543"/>
      <c r="AQO61" s="543"/>
      <c r="AQP61" s="543"/>
      <c r="AQQ61" s="543"/>
      <c r="AQR61" s="543"/>
      <c r="AQS61" s="543"/>
      <c r="AQT61" s="543"/>
      <c r="AQU61" s="543"/>
      <c r="AQV61" s="543"/>
      <c r="AQW61" s="543"/>
      <c r="AQX61" s="543"/>
      <c r="AQY61" s="543"/>
      <c r="AQZ61" s="543"/>
      <c r="ARA61" s="543"/>
      <c r="ARB61" s="543"/>
      <c r="ARC61" s="543"/>
      <c r="ARD61" s="543"/>
      <c r="ARE61" s="543"/>
      <c r="ARF61" s="543"/>
      <c r="ARG61" s="543"/>
      <c r="ARH61" s="543"/>
      <c r="ARI61" s="543"/>
      <c r="ARJ61" s="543"/>
      <c r="ARK61" s="543"/>
      <c r="ARL61" s="543"/>
      <c r="ARM61" s="543"/>
      <c r="ARN61" s="543"/>
      <c r="ARO61" s="543"/>
      <c r="ARP61" s="543"/>
      <c r="ARQ61" s="543"/>
      <c r="ARR61" s="543"/>
      <c r="ARS61" s="543"/>
      <c r="ART61" s="543"/>
      <c r="ARU61" s="543"/>
      <c r="ARV61" s="543"/>
      <c r="ARW61" s="543"/>
      <c r="ARX61" s="543"/>
      <c r="ARY61" s="543"/>
      <c r="ARZ61" s="543"/>
      <c r="ASA61" s="543"/>
      <c r="ASB61" s="543"/>
      <c r="ASC61" s="543"/>
      <c r="ASD61" s="543"/>
      <c r="ASE61" s="543"/>
      <c r="ASF61" s="543"/>
      <c r="ASG61" s="543"/>
      <c r="ASH61" s="543"/>
      <c r="ASI61" s="543"/>
      <c r="ASJ61" s="543"/>
      <c r="ASK61" s="543"/>
      <c r="ASL61" s="543"/>
      <c r="ASM61" s="543"/>
      <c r="ASN61" s="543"/>
      <c r="ASO61" s="543"/>
      <c r="ASP61" s="543"/>
      <c r="ASQ61" s="543"/>
      <c r="ASR61" s="543"/>
      <c r="ASS61" s="543"/>
      <c r="AST61" s="543"/>
      <c r="ASU61" s="543"/>
      <c r="ASV61" s="543"/>
      <c r="ASW61" s="543"/>
      <c r="ASX61" s="543"/>
      <c r="ASY61" s="543"/>
      <c r="ASZ61" s="543"/>
      <c r="ATA61" s="543"/>
      <c r="ATB61" s="543"/>
      <c r="ATC61" s="543"/>
      <c r="ATD61" s="543"/>
      <c r="ATE61" s="543"/>
      <c r="ATF61" s="543"/>
      <c r="ATG61" s="543"/>
      <c r="ATH61" s="543"/>
      <c r="ATI61" s="543"/>
      <c r="ATJ61" s="543"/>
      <c r="ATK61" s="543"/>
      <c r="ATL61" s="543"/>
      <c r="ATM61" s="543"/>
      <c r="ATN61" s="543"/>
      <c r="ATO61" s="543"/>
      <c r="ATP61" s="543"/>
      <c r="ATQ61" s="543"/>
      <c r="ATR61" s="543"/>
      <c r="ATS61" s="543"/>
      <c r="ATT61" s="543"/>
      <c r="ATU61" s="543"/>
      <c r="ATV61" s="543"/>
      <c r="ATW61" s="543"/>
      <c r="ATX61" s="543"/>
      <c r="ATY61" s="543"/>
      <c r="ATZ61" s="543"/>
      <c r="AUA61" s="543"/>
      <c r="AUB61" s="543"/>
      <c r="AUC61" s="543"/>
      <c r="AUD61" s="543"/>
      <c r="AUE61" s="543"/>
      <c r="AUF61" s="543"/>
      <c r="AUG61" s="543"/>
      <c r="AUH61" s="543"/>
      <c r="AUI61" s="543"/>
      <c r="AUJ61" s="543"/>
      <c r="AUK61" s="543"/>
      <c r="AUL61" s="543"/>
      <c r="AUM61" s="543"/>
      <c r="AUN61" s="543"/>
      <c r="AUO61" s="543"/>
      <c r="AUP61" s="543"/>
      <c r="AUQ61" s="543"/>
      <c r="AUR61" s="543"/>
      <c r="AUS61" s="543"/>
      <c r="AUT61" s="543"/>
      <c r="AUU61" s="543"/>
      <c r="AUV61" s="543"/>
      <c r="AUW61" s="543"/>
      <c r="AUX61" s="543"/>
      <c r="AUY61" s="543"/>
      <c r="AUZ61" s="543"/>
      <c r="AVA61" s="543"/>
      <c r="AVB61" s="543"/>
      <c r="AVC61" s="543"/>
      <c r="AVD61" s="543"/>
      <c r="AVE61" s="543"/>
      <c r="AVF61" s="543"/>
      <c r="AVG61" s="543"/>
      <c r="AVH61" s="543"/>
      <c r="AVI61" s="543"/>
      <c r="AVJ61" s="543"/>
      <c r="AVK61" s="543"/>
      <c r="AVL61" s="543"/>
      <c r="AVM61" s="543"/>
      <c r="AVN61" s="543"/>
      <c r="AVO61" s="543"/>
      <c r="AVP61" s="543"/>
      <c r="AVQ61" s="543"/>
      <c r="AVR61" s="543"/>
      <c r="AVS61" s="543"/>
      <c r="AVT61" s="543"/>
      <c r="AVU61" s="543"/>
      <c r="AVV61" s="543"/>
      <c r="AVW61" s="543"/>
      <c r="AVX61" s="543"/>
      <c r="AVY61" s="543"/>
      <c r="AVZ61" s="543"/>
      <c r="AWA61" s="543"/>
      <c r="AWB61" s="543"/>
      <c r="AWC61" s="543"/>
      <c r="AWD61" s="543"/>
      <c r="AWE61" s="543"/>
      <c r="AWF61" s="543"/>
      <c r="AWG61" s="543"/>
      <c r="AWH61" s="543"/>
      <c r="AWI61" s="543"/>
      <c r="AWJ61" s="543"/>
      <c r="AWK61" s="543"/>
      <c r="AWL61" s="543"/>
      <c r="AWM61" s="543"/>
      <c r="AWN61" s="543"/>
      <c r="AWO61" s="543"/>
      <c r="AWP61" s="543"/>
      <c r="AWQ61" s="543"/>
      <c r="AWR61" s="543"/>
      <c r="AWS61" s="543"/>
      <c r="AWT61" s="543"/>
      <c r="AWU61" s="543"/>
      <c r="AWV61" s="543"/>
      <c r="AWW61" s="543"/>
      <c r="AWX61" s="543"/>
      <c r="AWY61" s="543"/>
      <c r="AWZ61" s="543"/>
      <c r="AXA61" s="543"/>
      <c r="AXB61" s="543"/>
      <c r="AXC61" s="543"/>
      <c r="AXD61" s="543"/>
      <c r="AXE61" s="543"/>
      <c r="AXF61" s="543"/>
      <c r="AXG61" s="543"/>
      <c r="AXH61" s="543"/>
      <c r="AXI61" s="543"/>
      <c r="AXJ61" s="543"/>
      <c r="AXK61" s="543"/>
      <c r="AXL61" s="543"/>
      <c r="AXM61" s="543"/>
      <c r="AXN61" s="543"/>
      <c r="AXO61" s="543"/>
      <c r="AXP61" s="543"/>
      <c r="AXQ61" s="543"/>
      <c r="AXR61" s="543"/>
      <c r="AXS61" s="543"/>
      <c r="AXT61" s="543"/>
      <c r="AXU61" s="543"/>
      <c r="AXV61" s="543"/>
      <c r="AXW61" s="543"/>
      <c r="AXX61" s="543"/>
      <c r="AXY61" s="543"/>
      <c r="AXZ61" s="543"/>
      <c r="AYA61" s="543"/>
      <c r="AYB61" s="543"/>
      <c r="AYC61" s="543"/>
      <c r="AYD61" s="543"/>
      <c r="AYE61" s="543"/>
      <c r="AYF61" s="543"/>
      <c r="AYG61" s="543"/>
      <c r="AYH61" s="543"/>
      <c r="AYI61" s="543"/>
      <c r="AYJ61" s="543"/>
      <c r="AYK61" s="543"/>
      <c r="AYL61" s="543"/>
      <c r="AYM61" s="543"/>
      <c r="AYN61" s="543"/>
      <c r="AYO61" s="543"/>
      <c r="AYP61" s="543"/>
      <c r="AYQ61" s="543"/>
      <c r="AYR61" s="543"/>
      <c r="AYS61" s="543"/>
      <c r="AYT61" s="543"/>
      <c r="AYU61" s="543"/>
      <c r="AYV61" s="543"/>
      <c r="AYW61" s="543"/>
      <c r="AYX61" s="543"/>
      <c r="AYY61" s="543"/>
      <c r="AYZ61" s="543"/>
      <c r="AZA61" s="543"/>
      <c r="AZB61" s="543"/>
      <c r="AZC61" s="543"/>
      <c r="AZD61" s="543"/>
      <c r="AZE61" s="543"/>
      <c r="AZF61" s="543"/>
      <c r="AZG61" s="543"/>
      <c r="AZH61" s="543"/>
      <c r="AZI61" s="543"/>
      <c r="AZJ61" s="543"/>
      <c r="AZK61" s="543"/>
      <c r="AZL61" s="543"/>
      <c r="AZM61" s="543"/>
      <c r="AZN61" s="543"/>
      <c r="AZO61" s="543"/>
      <c r="AZP61" s="543"/>
      <c r="AZQ61" s="543"/>
      <c r="AZR61" s="543"/>
      <c r="AZS61" s="543"/>
      <c r="AZT61" s="543"/>
      <c r="AZU61" s="543"/>
      <c r="AZV61" s="543"/>
      <c r="AZW61" s="543"/>
      <c r="AZX61" s="543"/>
      <c r="AZY61" s="543"/>
      <c r="AZZ61" s="543"/>
      <c r="BAA61" s="543"/>
      <c r="BAB61" s="543"/>
      <c r="BAC61" s="543"/>
      <c r="BAD61" s="543"/>
      <c r="BAE61" s="543"/>
      <c r="BAF61" s="543"/>
      <c r="BAG61" s="543"/>
      <c r="BAH61" s="543"/>
      <c r="BAI61" s="543"/>
      <c r="BAJ61" s="543"/>
      <c r="BAK61" s="543"/>
      <c r="BAL61" s="543"/>
      <c r="BAM61" s="543"/>
      <c r="BAN61" s="543"/>
      <c r="BAO61" s="543"/>
      <c r="BAP61" s="543"/>
      <c r="BAQ61" s="543"/>
      <c r="BAR61" s="543"/>
      <c r="BAS61" s="543"/>
      <c r="BAT61" s="543"/>
      <c r="BAU61" s="543"/>
      <c r="BAV61" s="543"/>
      <c r="BAW61" s="543"/>
      <c r="BAX61" s="543"/>
      <c r="BAY61" s="543"/>
      <c r="BAZ61" s="543"/>
      <c r="BBA61" s="543"/>
      <c r="BBB61" s="543"/>
      <c r="BBC61" s="543"/>
      <c r="BBD61" s="543"/>
      <c r="BBE61" s="543"/>
      <c r="BBF61" s="543"/>
      <c r="BBG61" s="543"/>
      <c r="BBH61" s="543"/>
      <c r="BBI61" s="543"/>
      <c r="BBJ61" s="543"/>
      <c r="BBK61" s="543"/>
      <c r="BBL61" s="543"/>
      <c r="BBM61" s="543"/>
      <c r="BBN61" s="543"/>
      <c r="BBO61" s="543"/>
      <c r="BBP61" s="543"/>
      <c r="BBQ61" s="543"/>
      <c r="BBR61" s="543"/>
      <c r="BBS61" s="543"/>
      <c r="BBT61" s="543"/>
      <c r="BBU61" s="543"/>
      <c r="BBV61" s="543"/>
      <c r="BBW61" s="543"/>
      <c r="BBX61" s="543"/>
      <c r="BBY61" s="543"/>
      <c r="BBZ61" s="543"/>
      <c r="BCA61" s="543"/>
      <c r="BCB61" s="543"/>
      <c r="BCC61" s="543"/>
      <c r="BCD61" s="543"/>
      <c r="BCE61" s="543"/>
      <c r="BCF61" s="543"/>
      <c r="BCG61" s="543"/>
      <c r="BCH61" s="543"/>
      <c r="BCI61" s="543"/>
      <c r="BCJ61" s="543"/>
      <c r="BCK61" s="543"/>
      <c r="BCL61" s="543"/>
      <c r="BCM61" s="543"/>
      <c r="BCN61" s="543"/>
      <c r="BCO61" s="543"/>
      <c r="BCP61" s="543"/>
      <c r="BCQ61" s="543"/>
      <c r="BCR61" s="543"/>
      <c r="BCS61" s="543"/>
      <c r="BCT61" s="543"/>
      <c r="BCU61" s="543"/>
      <c r="BCV61" s="543"/>
      <c r="BCW61" s="543"/>
      <c r="BCX61" s="543"/>
      <c r="BCY61" s="543"/>
      <c r="BCZ61" s="543"/>
      <c r="BDA61" s="543"/>
      <c r="BDB61" s="543"/>
      <c r="BDC61" s="543"/>
      <c r="BDD61" s="543"/>
      <c r="BDE61" s="543"/>
      <c r="BDF61" s="543"/>
      <c r="BDG61" s="543"/>
      <c r="BDH61" s="543"/>
      <c r="BDI61" s="543"/>
      <c r="BDJ61" s="543"/>
      <c r="BDK61" s="543"/>
      <c r="BDL61" s="543"/>
      <c r="BDM61" s="543"/>
      <c r="BDN61" s="543"/>
      <c r="BDO61" s="543"/>
      <c r="BDP61" s="543"/>
      <c r="BDQ61" s="543"/>
      <c r="BDR61" s="543"/>
      <c r="BDS61" s="543"/>
      <c r="BDT61" s="543"/>
      <c r="BDU61" s="543"/>
      <c r="BDV61" s="543"/>
      <c r="BDW61" s="543"/>
      <c r="BDX61" s="543"/>
      <c r="BDY61" s="543"/>
      <c r="BDZ61" s="543"/>
      <c r="BEA61" s="543"/>
      <c r="BEB61" s="543"/>
      <c r="BEC61" s="543"/>
      <c r="BED61" s="543"/>
      <c r="BEE61" s="543"/>
      <c r="BEF61" s="543"/>
      <c r="BEG61" s="543"/>
      <c r="BEH61" s="543"/>
      <c r="BEI61" s="543"/>
      <c r="BEJ61" s="543"/>
      <c r="BEK61" s="543"/>
      <c r="BEL61" s="543"/>
      <c r="BEM61" s="543"/>
      <c r="BEN61" s="543"/>
      <c r="BEO61" s="543"/>
      <c r="BEP61" s="543"/>
      <c r="BEQ61" s="543"/>
      <c r="BER61" s="543"/>
      <c r="BES61" s="543"/>
      <c r="BET61" s="543"/>
      <c r="BEU61" s="543"/>
      <c r="BEV61" s="543"/>
      <c r="BEW61" s="543"/>
      <c r="BEX61" s="543"/>
      <c r="BEY61" s="543"/>
      <c r="BEZ61" s="543"/>
      <c r="BFA61" s="543"/>
      <c r="BFB61" s="543"/>
      <c r="BFC61" s="543"/>
      <c r="BFD61" s="543"/>
      <c r="BFE61" s="543"/>
      <c r="BFF61" s="543"/>
      <c r="BFG61" s="543"/>
      <c r="BFH61" s="543"/>
      <c r="BFI61" s="543"/>
      <c r="BFJ61" s="543"/>
      <c r="BFK61" s="543"/>
      <c r="BFL61" s="543"/>
      <c r="BFM61" s="543"/>
      <c r="BFN61" s="543"/>
      <c r="BFO61" s="543"/>
      <c r="BFP61" s="543"/>
      <c r="BFQ61" s="543"/>
      <c r="BFR61" s="543"/>
      <c r="BFS61" s="543"/>
      <c r="BFT61" s="543"/>
      <c r="BFU61" s="543"/>
      <c r="BFV61" s="543"/>
      <c r="BFW61" s="543"/>
      <c r="BFX61" s="543"/>
      <c r="BFY61" s="543"/>
      <c r="BFZ61" s="543"/>
      <c r="BGA61" s="543"/>
      <c r="BGB61" s="543"/>
      <c r="BGC61" s="543"/>
      <c r="BGD61" s="543"/>
      <c r="BGE61" s="543"/>
      <c r="BGF61" s="543"/>
      <c r="BGG61" s="543"/>
      <c r="BGH61" s="543"/>
      <c r="BGI61" s="543"/>
      <c r="BGJ61" s="543"/>
      <c r="BGK61" s="543"/>
      <c r="BGL61" s="543"/>
      <c r="BGM61" s="543"/>
      <c r="BGN61" s="543"/>
      <c r="BGO61" s="543"/>
      <c r="BGP61" s="543"/>
      <c r="BGQ61" s="543"/>
      <c r="BGR61" s="543"/>
      <c r="BGS61" s="543"/>
      <c r="BGT61" s="543"/>
      <c r="BGU61" s="543"/>
      <c r="BGV61" s="543"/>
      <c r="BGW61" s="543"/>
      <c r="BGX61" s="543"/>
      <c r="BGY61" s="543"/>
      <c r="BGZ61" s="543"/>
      <c r="BHA61" s="543"/>
      <c r="BHB61" s="543"/>
      <c r="BHC61" s="543"/>
      <c r="BHD61" s="543"/>
      <c r="BHE61" s="543"/>
      <c r="BHF61" s="543"/>
      <c r="BHG61" s="543"/>
      <c r="BHH61" s="543"/>
      <c r="BHI61" s="543"/>
      <c r="BHJ61" s="543"/>
      <c r="BHK61" s="543"/>
      <c r="BHL61" s="543"/>
      <c r="BHM61" s="543"/>
      <c r="BHN61" s="543"/>
      <c r="BHO61" s="543"/>
      <c r="BHP61" s="543"/>
      <c r="BHQ61" s="543"/>
      <c r="BHR61" s="543"/>
      <c r="BHS61" s="543"/>
      <c r="BHT61" s="543"/>
      <c r="BHU61" s="543"/>
      <c r="BHV61" s="543"/>
      <c r="BHW61" s="543"/>
      <c r="BHX61" s="543"/>
      <c r="BHY61" s="543"/>
      <c r="BHZ61" s="543"/>
      <c r="BIA61" s="543"/>
      <c r="BIB61" s="543"/>
      <c r="BIC61" s="543"/>
      <c r="BID61" s="543"/>
      <c r="BIE61" s="543"/>
      <c r="BIF61" s="543"/>
      <c r="BIG61" s="543"/>
      <c r="BIH61" s="543"/>
      <c r="BII61" s="543"/>
      <c r="BIJ61" s="543"/>
      <c r="BIK61" s="543"/>
      <c r="BIL61" s="543"/>
      <c r="BIM61" s="543"/>
      <c r="BIN61" s="543"/>
      <c r="BIO61" s="543"/>
      <c r="BIP61" s="543"/>
      <c r="BIQ61" s="543"/>
      <c r="BIR61" s="543"/>
      <c r="BIS61" s="543"/>
      <c r="BIT61" s="543"/>
      <c r="BIU61" s="543"/>
      <c r="BIV61" s="543"/>
      <c r="BIW61" s="543"/>
      <c r="BIX61" s="543"/>
      <c r="BIY61" s="543"/>
      <c r="BIZ61" s="543"/>
      <c r="BJA61" s="543"/>
      <c r="BJB61" s="543"/>
      <c r="BJC61" s="543"/>
      <c r="BJD61" s="543"/>
      <c r="BJE61" s="543"/>
      <c r="BJF61" s="543"/>
      <c r="BJG61" s="543"/>
      <c r="BJH61" s="543"/>
      <c r="BJI61" s="543"/>
      <c r="BJJ61" s="543"/>
      <c r="BJK61" s="543"/>
      <c r="BJL61" s="543"/>
      <c r="BJM61" s="543"/>
      <c r="BJN61" s="543"/>
      <c r="BJO61" s="543"/>
      <c r="BJP61" s="543"/>
      <c r="BJQ61" s="543"/>
      <c r="BJR61" s="543"/>
      <c r="BJS61" s="543"/>
      <c r="BJT61" s="543"/>
      <c r="BJU61" s="543"/>
      <c r="BJV61" s="543"/>
      <c r="BJW61" s="543"/>
      <c r="BJX61" s="543"/>
      <c r="BJY61" s="543"/>
      <c r="BJZ61" s="543"/>
      <c r="BKA61" s="543"/>
      <c r="BKB61" s="543"/>
      <c r="BKC61" s="543"/>
      <c r="BKD61" s="543"/>
      <c r="BKE61" s="543"/>
      <c r="BKF61" s="543"/>
      <c r="BKG61" s="543"/>
      <c r="BKH61" s="543"/>
      <c r="BKI61" s="543"/>
      <c r="BKJ61" s="543"/>
      <c r="BKK61" s="543"/>
      <c r="BKL61" s="543"/>
      <c r="BKM61" s="543"/>
      <c r="BKN61" s="543"/>
      <c r="BKO61" s="543"/>
      <c r="BKP61" s="543"/>
      <c r="BKQ61" s="543"/>
      <c r="BKR61" s="543"/>
      <c r="BKS61" s="543"/>
      <c r="BKT61" s="543"/>
      <c r="BKU61" s="543"/>
      <c r="BKV61" s="543"/>
      <c r="BKW61" s="543"/>
      <c r="BKX61" s="543"/>
      <c r="BKY61" s="543"/>
      <c r="BKZ61" s="543"/>
      <c r="BLA61" s="543"/>
      <c r="BLB61" s="543"/>
      <c r="BLC61" s="543"/>
      <c r="BLD61" s="543"/>
      <c r="BLE61" s="543"/>
      <c r="BLF61" s="543"/>
      <c r="BLG61" s="543"/>
      <c r="BLH61" s="543"/>
      <c r="BLI61" s="543"/>
      <c r="BLJ61" s="543"/>
      <c r="BLK61" s="543"/>
      <c r="BLL61" s="543"/>
      <c r="BLM61" s="543"/>
      <c r="BLN61" s="543"/>
      <c r="BLO61" s="543"/>
      <c r="BLP61" s="543"/>
      <c r="BLQ61" s="543"/>
      <c r="BLR61" s="543"/>
      <c r="BLS61" s="543"/>
      <c r="BLT61" s="543"/>
      <c r="BLU61" s="543"/>
      <c r="BLV61" s="543"/>
      <c r="BLW61" s="543"/>
      <c r="BLX61" s="543"/>
      <c r="BLY61" s="543"/>
      <c r="BLZ61" s="543"/>
      <c r="BMA61" s="543"/>
      <c r="BMB61" s="543"/>
      <c r="BMC61" s="543"/>
      <c r="BMD61" s="543"/>
      <c r="BME61" s="543"/>
      <c r="BMF61" s="543"/>
      <c r="BMG61" s="543"/>
      <c r="BMH61" s="543"/>
      <c r="BMI61" s="543"/>
      <c r="BMJ61" s="543"/>
      <c r="BMK61" s="543"/>
      <c r="BML61" s="543"/>
      <c r="BMM61" s="543"/>
      <c r="BMN61" s="543"/>
      <c r="BMO61" s="543"/>
      <c r="BMP61" s="543"/>
      <c r="BMQ61" s="543"/>
      <c r="BMR61" s="543"/>
      <c r="BMS61" s="543"/>
      <c r="BMT61" s="543"/>
      <c r="BMU61" s="543"/>
      <c r="BMV61" s="543"/>
      <c r="BMW61" s="543"/>
      <c r="BMX61" s="543"/>
      <c r="BMY61" s="543"/>
      <c r="BMZ61" s="543"/>
      <c r="BNA61" s="543"/>
      <c r="BNB61" s="543"/>
      <c r="BNC61" s="543"/>
      <c r="BND61" s="543"/>
      <c r="BNE61" s="543"/>
      <c r="BNF61" s="543"/>
      <c r="BNG61" s="543"/>
      <c r="BNH61" s="543"/>
      <c r="BNI61" s="543"/>
      <c r="BNJ61" s="543"/>
      <c r="BNK61" s="543"/>
      <c r="BNL61" s="543"/>
      <c r="BNM61" s="543"/>
      <c r="BNN61" s="543"/>
      <c r="BNO61" s="543"/>
      <c r="BNP61" s="543"/>
      <c r="BNQ61" s="543"/>
      <c r="BNR61" s="543"/>
      <c r="BNS61" s="543"/>
      <c r="BNT61" s="543"/>
      <c r="BNU61" s="543"/>
      <c r="BNV61" s="543"/>
      <c r="BNW61" s="543"/>
      <c r="BNX61" s="543"/>
      <c r="BNY61" s="543"/>
      <c r="BNZ61" s="543"/>
      <c r="BOA61" s="543"/>
      <c r="BOB61" s="543"/>
      <c r="BOC61" s="543"/>
      <c r="BOD61" s="543"/>
      <c r="BOE61" s="543"/>
      <c r="BOF61" s="543"/>
      <c r="BOG61" s="543"/>
      <c r="BOH61" s="543"/>
      <c r="BOI61" s="543"/>
      <c r="BOJ61" s="543"/>
      <c r="BOK61" s="543"/>
      <c r="BOL61" s="543"/>
      <c r="BOM61" s="543"/>
      <c r="BON61" s="543"/>
      <c r="BOO61" s="543"/>
      <c r="BOP61" s="543"/>
      <c r="BOQ61" s="543"/>
      <c r="BOR61" s="543"/>
      <c r="BOS61" s="543"/>
      <c r="BOT61" s="543"/>
      <c r="BOU61" s="543"/>
      <c r="BOV61" s="543"/>
      <c r="BOW61" s="543"/>
      <c r="BOX61" s="543"/>
      <c r="BOY61" s="543"/>
      <c r="BOZ61" s="543"/>
      <c r="BPA61" s="543"/>
      <c r="BPB61" s="543"/>
      <c r="BPC61" s="543"/>
      <c r="BPD61" s="543"/>
      <c r="BPE61" s="543"/>
      <c r="BPF61" s="543"/>
      <c r="BPG61" s="543"/>
      <c r="BPH61" s="543"/>
      <c r="BPI61" s="543"/>
      <c r="BPJ61" s="543"/>
      <c r="BPK61" s="543"/>
      <c r="BPL61" s="543"/>
      <c r="BPM61" s="543"/>
      <c r="BPN61" s="543"/>
      <c r="BPO61" s="543"/>
      <c r="BPP61" s="543"/>
      <c r="BPQ61" s="543"/>
      <c r="BPR61" s="543"/>
      <c r="BPS61" s="543"/>
      <c r="BPT61" s="543"/>
      <c r="BPU61" s="543"/>
      <c r="BPV61" s="543"/>
      <c r="BPW61" s="543"/>
      <c r="BPX61" s="543"/>
      <c r="BPY61" s="543"/>
      <c r="BPZ61" s="543"/>
      <c r="BQA61" s="543"/>
      <c r="BQB61" s="543"/>
      <c r="BQC61" s="543"/>
      <c r="BQD61" s="543"/>
      <c r="BQE61" s="543"/>
      <c r="BQF61" s="543"/>
      <c r="BQG61" s="543"/>
      <c r="BQH61" s="543"/>
      <c r="BQI61" s="543"/>
      <c r="BQJ61" s="543"/>
      <c r="BQK61" s="543"/>
      <c r="BQL61" s="543"/>
      <c r="BQM61" s="543"/>
      <c r="BQN61" s="543"/>
      <c r="BQO61" s="543"/>
      <c r="BQP61" s="543"/>
      <c r="BQQ61" s="543"/>
      <c r="BQR61" s="543"/>
      <c r="BQS61" s="543"/>
      <c r="BQT61" s="543"/>
      <c r="BQU61" s="543"/>
      <c r="BQV61" s="543"/>
      <c r="BQW61" s="543"/>
      <c r="BQX61" s="543"/>
      <c r="BQY61" s="543"/>
      <c r="BQZ61" s="543"/>
      <c r="BRA61" s="543"/>
      <c r="BRB61" s="543"/>
      <c r="BRC61" s="543"/>
      <c r="BRD61" s="543"/>
      <c r="BRE61" s="543"/>
      <c r="BRF61" s="543"/>
      <c r="BRG61" s="543"/>
      <c r="BRH61" s="543"/>
      <c r="BRI61" s="543"/>
      <c r="BRJ61" s="543"/>
      <c r="BRK61" s="543"/>
      <c r="BRL61" s="543"/>
      <c r="BRM61" s="543"/>
      <c r="BRN61" s="543"/>
      <c r="BRO61" s="543"/>
      <c r="BRP61" s="543"/>
      <c r="BRQ61" s="543"/>
      <c r="BRR61" s="543"/>
      <c r="BRS61" s="543"/>
      <c r="BRT61" s="543"/>
      <c r="BRU61" s="543"/>
      <c r="BRV61" s="543"/>
      <c r="BRW61" s="543"/>
      <c r="BRX61" s="543"/>
      <c r="BRY61" s="543"/>
      <c r="BRZ61" s="543"/>
      <c r="BSA61" s="543"/>
      <c r="BSB61" s="543"/>
      <c r="BSC61" s="543"/>
      <c r="BSD61" s="543"/>
      <c r="BSE61" s="543"/>
      <c r="BSF61" s="543"/>
      <c r="BSG61" s="543"/>
      <c r="BSH61" s="543"/>
      <c r="BSI61" s="543"/>
      <c r="BSJ61" s="543"/>
      <c r="BSK61" s="543"/>
      <c r="BSL61" s="543"/>
      <c r="BSM61" s="543"/>
      <c r="BSN61" s="543"/>
      <c r="BSO61" s="543"/>
      <c r="BSP61" s="543"/>
      <c r="BSQ61" s="543"/>
      <c r="BSR61" s="543"/>
      <c r="BSS61" s="543"/>
      <c r="BST61" s="543"/>
      <c r="BSU61" s="543"/>
      <c r="BSV61" s="543"/>
      <c r="BSW61" s="543"/>
      <c r="BSX61" s="543"/>
      <c r="BSY61" s="543"/>
      <c r="BSZ61" s="543"/>
      <c r="BTA61" s="543"/>
      <c r="BTB61" s="543"/>
      <c r="BTC61" s="543"/>
      <c r="BTD61" s="543"/>
      <c r="BTE61" s="543"/>
      <c r="BTF61" s="543"/>
      <c r="BTG61" s="543"/>
      <c r="BTH61" s="543"/>
      <c r="BTI61" s="543"/>
      <c r="BTJ61" s="543"/>
      <c r="BTK61" s="543"/>
      <c r="BTL61" s="543"/>
      <c r="BTM61" s="543"/>
      <c r="BTN61" s="543"/>
      <c r="BTO61" s="543"/>
      <c r="BTP61" s="543"/>
      <c r="BTQ61" s="543"/>
      <c r="BTR61" s="543"/>
      <c r="BTS61" s="543"/>
      <c r="BTT61" s="543"/>
      <c r="BTU61" s="543"/>
      <c r="BTV61" s="543"/>
      <c r="BTW61" s="543"/>
      <c r="BTX61" s="543"/>
      <c r="BTY61" s="543"/>
      <c r="BTZ61" s="543"/>
      <c r="BUA61" s="543"/>
      <c r="BUB61" s="543"/>
      <c r="BUC61" s="543"/>
      <c r="BUD61" s="543"/>
      <c r="BUE61" s="543"/>
      <c r="BUF61" s="543"/>
      <c r="BUG61" s="543"/>
      <c r="BUH61" s="543"/>
      <c r="BUI61" s="543"/>
      <c r="BUJ61" s="543"/>
      <c r="BUK61" s="543"/>
      <c r="BUL61" s="543"/>
      <c r="BUM61" s="543"/>
      <c r="BUN61" s="543"/>
      <c r="BUO61" s="543"/>
      <c r="BUP61" s="543"/>
      <c r="BUQ61" s="543"/>
      <c r="BUR61" s="543"/>
      <c r="BUS61" s="543"/>
      <c r="BUT61" s="543"/>
      <c r="BUU61" s="543"/>
      <c r="BUV61" s="543"/>
      <c r="BUW61" s="543"/>
      <c r="BUX61" s="543"/>
      <c r="BUY61" s="543"/>
      <c r="BUZ61" s="543"/>
      <c r="BVA61" s="543"/>
      <c r="BVB61" s="543"/>
      <c r="BVC61" s="543"/>
      <c r="BVD61" s="543"/>
      <c r="BVE61" s="543"/>
      <c r="BVF61" s="543"/>
      <c r="BVG61" s="543"/>
      <c r="BVH61" s="543"/>
      <c r="BVI61" s="543"/>
      <c r="BVJ61" s="543"/>
      <c r="BVK61" s="543"/>
      <c r="BVL61" s="543"/>
      <c r="BVM61" s="543"/>
      <c r="BVN61" s="543"/>
      <c r="BVO61" s="543"/>
      <c r="BVP61" s="543"/>
      <c r="BVQ61" s="543"/>
      <c r="BVR61" s="543"/>
      <c r="BVS61" s="543"/>
      <c r="BVT61" s="543"/>
      <c r="BVU61" s="543"/>
      <c r="BVV61" s="543"/>
      <c r="BVW61" s="543"/>
      <c r="BVX61" s="543"/>
      <c r="BVY61" s="543"/>
      <c r="BVZ61" s="543"/>
      <c r="BWA61" s="543"/>
      <c r="BWB61" s="543"/>
      <c r="BWC61" s="543"/>
      <c r="BWD61" s="543"/>
      <c r="BWE61" s="543"/>
      <c r="BWF61" s="543"/>
      <c r="BWG61" s="543"/>
      <c r="BWH61" s="543"/>
      <c r="BWI61" s="543"/>
      <c r="BWJ61" s="543"/>
      <c r="BWK61" s="543"/>
      <c r="BWL61" s="543"/>
      <c r="BWM61" s="543"/>
      <c r="BWN61" s="543"/>
      <c r="BWO61" s="543"/>
      <c r="BWP61" s="543"/>
      <c r="BWQ61" s="543"/>
      <c r="BWR61" s="543"/>
      <c r="BWS61" s="543"/>
      <c r="BWT61" s="543"/>
      <c r="BWU61" s="543"/>
      <c r="BWV61" s="543"/>
      <c r="BWW61" s="543"/>
      <c r="BWX61" s="543"/>
      <c r="BWY61" s="543"/>
      <c r="BWZ61" s="543"/>
      <c r="BXA61" s="543"/>
      <c r="BXB61" s="543"/>
      <c r="BXC61" s="543"/>
      <c r="BXD61" s="543"/>
      <c r="BXE61" s="543"/>
      <c r="BXF61" s="543"/>
      <c r="BXG61" s="543"/>
      <c r="BXH61" s="543"/>
      <c r="BXI61" s="543"/>
      <c r="BXJ61" s="543"/>
      <c r="BXK61" s="543"/>
      <c r="BXL61" s="543"/>
      <c r="BXM61" s="543"/>
      <c r="BXN61" s="543"/>
      <c r="BXO61" s="543"/>
      <c r="BXP61" s="543"/>
      <c r="BXQ61" s="543"/>
      <c r="BXR61" s="543"/>
      <c r="BXS61" s="543"/>
      <c r="BXT61" s="543"/>
      <c r="BXU61" s="543"/>
      <c r="BXV61" s="543"/>
      <c r="BXW61" s="543"/>
      <c r="BXX61" s="543"/>
      <c r="BXY61" s="543"/>
      <c r="BXZ61" s="543"/>
      <c r="BYA61" s="543"/>
      <c r="BYB61" s="543"/>
      <c r="BYC61" s="543"/>
      <c r="BYD61" s="543"/>
      <c r="BYE61" s="543"/>
      <c r="BYF61" s="543"/>
      <c r="BYG61" s="543"/>
      <c r="BYH61" s="543"/>
      <c r="BYI61" s="543"/>
      <c r="BYJ61" s="543"/>
      <c r="BYK61" s="543"/>
      <c r="BYL61" s="543"/>
      <c r="BYM61" s="543"/>
      <c r="BYN61" s="543"/>
      <c r="BYO61" s="543"/>
      <c r="BYP61" s="543"/>
      <c r="BYQ61" s="543"/>
      <c r="BYR61" s="543"/>
      <c r="BYS61" s="543"/>
      <c r="BYT61" s="543"/>
      <c r="BYU61" s="543"/>
      <c r="BYV61" s="543"/>
      <c r="BYW61" s="543"/>
      <c r="BYX61" s="543"/>
      <c r="BYY61" s="543"/>
      <c r="BYZ61" s="543"/>
      <c r="BZA61" s="543"/>
      <c r="BZB61" s="543"/>
      <c r="BZC61" s="543"/>
      <c r="BZD61" s="543"/>
      <c r="BZE61" s="543"/>
      <c r="BZF61" s="543"/>
      <c r="BZG61" s="543"/>
      <c r="BZH61" s="543"/>
      <c r="BZI61" s="543"/>
      <c r="BZJ61" s="543"/>
      <c r="BZK61" s="543"/>
      <c r="BZL61" s="543"/>
      <c r="BZM61" s="543"/>
      <c r="BZN61" s="543"/>
      <c r="BZO61" s="543"/>
      <c r="BZP61" s="543"/>
      <c r="BZQ61" s="543"/>
      <c r="BZR61" s="543"/>
      <c r="BZS61" s="543"/>
      <c r="BZT61" s="543"/>
      <c r="BZU61" s="543"/>
      <c r="BZV61" s="543"/>
      <c r="BZW61" s="543"/>
      <c r="BZX61" s="543"/>
      <c r="BZY61" s="543"/>
      <c r="BZZ61" s="543"/>
      <c r="CAA61" s="543"/>
      <c r="CAB61" s="543"/>
      <c r="CAC61" s="543"/>
      <c r="CAD61" s="543"/>
      <c r="CAE61" s="543"/>
      <c r="CAF61" s="543"/>
      <c r="CAG61" s="543"/>
      <c r="CAH61" s="543"/>
      <c r="CAI61" s="543"/>
      <c r="CAJ61" s="543"/>
      <c r="CAK61" s="543"/>
      <c r="CAL61" s="543"/>
      <c r="CAM61" s="543"/>
      <c r="CAN61" s="543"/>
      <c r="CAO61" s="543"/>
      <c r="CAP61" s="543"/>
      <c r="CAQ61" s="543"/>
      <c r="CAR61" s="543"/>
      <c r="CAS61" s="543"/>
      <c r="CAT61" s="543"/>
      <c r="CAU61" s="543"/>
      <c r="CAV61" s="543"/>
      <c r="CAW61" s="543"/>
      <c r="CAX61" s="543"/>
      <c r="CAY61" s="543"/>
      <c r="CAZ61" s="543"/>
      <c r="CBA61" s="543"/>
      <c r="CBB61" s="543"/>
      <c r="CBC61" s="543"/>
      <c r="CBD61" s="543"/>
      <c r="CBE61" s="543"/>
      <c r="CBF61" s="543"/>
      <c r="CBG61" s="543"/>
      <c r="CBH61" s="543"/>
      <c r="CBI61" s="543"/>
      <c r="CBJ61" s="543"/>
      <c r="CBK61" s="543"/>
      <c r="CBL61" s="543"/>
      <c r="CBM61" s="543"/>
      <c r="CBN61" s="543"/>
      <c r="CBO61" s="543"/>
      <c r="CBP61" s="543"/>
      <c r="CBQ61" s="543"/>
      <c r="CBR61" s="543"/>
      <c r="CBS61" s="543"/>
      <c r="CBT61" s="543"/>
      <c r="CBU61" s="543"/>
      <c r="CBV61" s="543"/>
      <c r="CBW61" s="543"/>
      <c r="CBX61" s="543"/>
      <c r="CBY61" s="543"/>
      <c r="CBZ61" s="543"/>
      <c r="CCA61" s="543"/>
      <c r="CCB61" s="543"/>
      <c r="CCC61" s="543"/>
      <c r="CCD61" s="543"/>
      <c r="CCE61" s="543"/>
      <c r="CCF61" s="543"/>
      <c r="CCG61" s="543"/>
      <c r="CCH61" s="543"/>
      <c r="CCI61" s="543"/>
      <c r="CCJ61" s="543"/>
      <c r="CCK61" s="543"/>
      <c r="CCL61" s="543"/>
      <c r="CCM61" s="543"/>
      <c r="CCN61" s="543"/>
      <c r="CCO61" s="543"/>
      <c r="CCP61" s="543"/>
      <c r="CCQ61" s="543"/>
      <c r="CCR61" s="543"/>
      <c r="CCS61" s="543"/>
      <c r="CCT61" s="543"/>
      <c r="CCU61" s="543"/>
      <c r="CCV61" s="543"/>
      <c r="CCW61" s="543"/>
      <c r="CCX61" s="543"/>
      <c r="CCY61" s="543"/>
      <c r="CCZ61" s="543"/>
      <c r="CDA61" s="543"/>
      <c r="CDB61" s="543"/>
      <c r="CDC61" s="543"/>
      <c r="CDD61" s="543"/>
      <c r="CDE61" s="543"/>
      <c r="CDF61" s="543"/>
      <c r="CDG61" s="543"/>
      <c r="CDH61" s="543"/>
      <c r="CDI61" s="543"/>
      <c r="CDJ61" s="543"/>
      <c r="CDK61" s="543"/>
      <c r="CDL61" s="543"/>
      <c r="CDM61" s="543"/>
      <c r="CDN61" s="543"/>
      <c r="CDO61" s="543"/>
      <c r="CDP61" s="543"/>
      <c r="CDQ61" s="543"/>
      <c r="CDR61" s="543"/>
      <c r="CDS61" s="543"/>
      <c r="CDT61" s="543"/>
      <c r="CDU61" s="543"/>
      <c r="CDV61" s="543"/>
      <c r="CDW61" s="543"/>
      <c r="CDX61" s="543"/>
      <c r="CDY61" s="543"/>
      <c r="CDZ61" s="543"/>
      <c r="CEA61" s="543"/>
      <c r="CEB61" s="543"/>
      <c r="CEC61" s="543"/>
      <c r="CED61" s="543"/>
      <c r="CEE61" s="543"/>
      <c r="CEF61" s="543"/>
      <c r="CEG61" s="543"/>
      <c r="CEH61" s="543"/>
      <c r="CEI61" s="543"/>
      <c r="CEJ61" s="543"/>
      <c r="CEK61" s="543"/>
      <c r="CEL61" s="543"/>
      <c r="CEM61" s="543"/>
      <c r="CEN61" s="543"/>
      <c r="CEO61" s="543"/>
      <c r="CEP61" s="543"/>
      <c r="CEQ61" s="543"/>
      <c r="CER61" s="543"/>
      <c r="CES61" s="543"/>
      <c r="CET61" s="543"/>
      <c r="CEU61" s="543"/>
      <c r="CEV61" s="543"/>
      <c r="CEW61" s="543"/>
      <c r="CEX61" s="543"/>
      <c r="CEY61" s="543"/>
      <c r="CEZ61" s="543"/>
      <c r="CFA61" s="543"/>
      <c r="CFB61" s="543"/>
      <c r="CFC61" s="543"/>
      <c r="CFD61" s="543"/>
      <c r="CFE61" s="543"/>
      <c r="CFF61" s="543"/>
      <c r="CFG61" s="543"/>
      <c r="CFH61" s="543"/>
      <c r="CFI61" s="543"/>
      <c r="CFJ61" s="543"/>
      <c r="CFK61" s="543"/>
      <c r="CFL61" s="543"/>
      <c r="CFM61" s="543"/>
      <c r="CFN61" s="543"/>
      <c r="CFO61" s="543"/>
      <c r="CFP61" s="543"/>
      <c r="CFQ61" s="543"/>
      <c r="CFR61" s="543"/>
      <c r="CFS61" s="543"/>
      <c r="CFT61" s="543"/>
      <c r="CFU61" s="543"/>
      <c r="CFV61" s="543"/>
      <c r="CFW61" s="543"/>
      <c r="CFX61" s="543"/>
      <c r="CFY61" s="543"/>
      <c r="CFZ61" s="543"/>
      <c r="CGA61" s="543"/>
      <c r="CG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V61" s="543"/>
      <c r="CGW61" s="543"/>
      <c r="CGX61" s="543"/>
      <c r="CGY61" s="543"/>
      <c r="CGZ61" s="543"/>
      <c r="CHA61" s="543"/>
      <c r="CHB61" s="543"/>
      <c r="CHC61" s="543"/>
      <c r="CHD61" s="543"/>
      <c r="CHE61" s="543"/>
      <c r="CHF61" s="543"/>
      <c r="CHG61" s="543"/>
      <c r="CHH61" s="543"/>
      <c r="CHI61" s="543"/>
      <c r="CHJ61" s="543"/>
      <c r="CHK61" s="543"/>
      <c r="CHL61" s="543"/>
      <c r="CHM61" s="543"/>
      <c r="CHN61" s="543"/>
      <c r="CHO61" s="543"/>
      <c r="CHP61" s="543"/>
      <c r="CHQ61" s="543"/>
      <c r="CHR61" s="543"/>
      <c r="CHS61" s="543"/>
      <c r="CHT61" s="543"/>
      <c r="CHU61" s="543"/>
      <c r="CHV61" s="543"/>
      <c r="CHW61" s="543"/>
      <c r="CHX61" s="543"/>
      <c r="CHY61" s="543"/>
      <c r="CHZ61" s="543"/>
      <c r="CIA61" s="543"/>
      <c r="CIB61" s="543"/>
      <c r="CIC61" s="543"/>
      <c r="CID61" s="543"/>
      <c r="CIE61" s="543"/>
      <c r="CIF61" s="543"/>
      <c r="CIG61" s="543"/>
      <c r="CIH61" s="543"/>
      <c r="CII61" s="543"/>
      <c r="CIJ61" s="543"/>
      <c r="CIK61" s="543"/>
      <c r="CIL61" s="543"/>
      <c r="CIM61" s="543"/>
      <c r="CIN61" s="543"/>
      <c r="CIO61" s="543"/>
      <c r="CIP61" s="543"/>
      <c r="CIQ61" s="543"/>
      <c r="CIR61" s="543"/>
      <c r="CIS61" s="543"/>
      <c r="CIT61" s="543"/>
      <c r="CIU61" s="543"/>
      <c r="CIV61" s="543"/>
      <c r="CIW61" s="543"/>
      <c r="CIX61" s="543"/>
      <c r="CIY61" s="543"/>
      <c r="CIZ61" s="543"/>
      <c r="CJA61" s="543"/>
      <c r="CJB61" s="543"/>
      <c r="CJC61" s="543"/>
      <c r="CJD61" s="543"/>
      <c r="CJE61" s="543"/>
      <c r="CJF61" s="543"/>
      <c r="CJG61" s="543"/>
      <c r="CJH61" s="543"/>
      <c r="CJI61" s="543"/>
      <c r="CJJ61" s="543"/>
      <c r="CJK61" s="543"/>
      <c r="CJL61" s="543"/>
      <c r="CJM61" s="543"/>
      <c r="CJN61" s="543"/>
      <c r="CJO61" s="543"/>
      <c r="CJP61" s="543"/>
      <c r="CJQ61" s="543"/>
      <c r="CJR61" s="543"/>
      <c r="CJS61" s="543"/>
      <c r="CJT61" s="543"/>
      <c r="CJU61" s="543"/>
      <c r="CJV61" s="543"/>
      <c r="CJW61" s="543"/>
      <c r="CJX61" s="543"/>
      <c r="CJY61" s="543"/>
      <c r="CJZ61" s="543"/>
      <c r="CKA61" s="543"/>
      <c r="CKB61" s="543"/>
      <c r="CKC61" s="543"/>
      <c r="CKD61" s="543"/>
      <c r="CKE61" s="543"/>
      <c r="CKF61" s="543"/>
      <c r="CKG61" s="543"/>
      <c r="CKH61" s="543"/>
      <c r="CKI61" s="543"/>
      <c r="CKJ61" s="543"/>
      <c r="CKK61" s="543"/>
      <c r="CKL61" s="543"/>
      <c r="CKM61" s="543"/>
      <c r="CKN61" s="543"/>
      <c r="CKO61" s="543"/>
      <c r="CKP61" s="543"/>
      <c r="CKQ61" s="543"/>
      <c r="CKR61" s="543"/>
      <c r="CKS61" s="543"/>
      <c r="CKT61" s="543"/>
      <c r="CKU61" s="543"/>
      <c r="CKV61" s="543"/>
      <c r="CKW61" s="543"/>
      <c r="CKX61" s="543"/>
      <c r="CKY61" s="543"/>
      <c r="CKZ61" s="543"/>
      <c r="CLA61" s="543"/>
      <c r="CLB61" s="543"/>
      <c r="CLC61" s="543"/>
      <c r="CLD61" s="543"/>
      <c r="CLE61" s="543"/>
      <c r="CLF61" s="543"/>
      <c r="CLG61" s="543"/>
      <c r="CLH61" s="543"/>
      <c r="CLI61" s="543"/>
      <c r="CLJ61" s="543"/>
      <c r="CLK61" s="543"/>
      <c r="CLL61" s="543"/>
      <c r="CLM61" s="543"/>
      <c r="CLN61" s="543"/>
      <c r="CLO61" s="543"/>
      <c r="CLP61" s="543"/>
      <c r="CLQ61" s="543"/>
      <c r="CLR61" s="543"/>
      <c r="CLS61" s="543"/>
      <c r="CLT61" s="543"/>
      <c r="CLU61" s="543"/>
      <c r="CLV61" s="543"/>
      <c r="CLW61" s="543"/>
      <c r="CLX61" s="543"/>
      <c r="CLY61" s="543"/>
      <c r="CLZ61" s="543"/>
      <c r="CMA61" s="543"/>
      <c r="CMB61" s="543"/>
      <c r="CMC61" s="543"/>
      <c r="CMD61" s="543"/>
      <c r="CME61" s="543"/>
      <c r="CMF61" s="543"/>
      <c r="CMG61" s="543"/>
      <c r="CMH61" s="543"/>
      <c r="CMI61" s="543"/>
      <c r="CMJ61" s="543"/>
      <c r="CMK61" s="543"/>
      <c r="CML61" s="543"/>
      <c r="CMM61" s="543"/>
      <c r="CMN61" s="543"/>
      <c r="CMO61" s="543"/>
      <c r="CMP61" s="543"/>
      <c r="CMQ61" s="543"/>
      <c r="CMR61" s="543"/>
      <c r="CMS61" s="543"/>
      <c r="CMT61" s="543"/>
      <c r="CMU61" s="543"/>
      <c r="CMV61" s="543"/>
      <c r="CMW61" s="543"/>
      <c r="CMX61" s="543"/>
      <c r="CMY61" s="543"/>
      <c r="CMZ61" s="543"/>
      <c r="CNA61" s="543"/>
      <c r="CNB61" s="543"/>
      <c r="CNC61" s="543"/>
      <c r="CND61" s="543"/>
      <c r="CNE61" s="543"/>
      <c r="CNF61" s="543"/>
      <c r="CNG61" s="543"/>
      <c r="CNH61" s="543"/>
      <c r="CNI61" s="543"/>
      <c r="CNJ61" s="543"/>
      <c r="CNK61" s="543"/>
      <c r="CNL61" s="543"/>
      <c r="CNM61" s="543"/>
      <c r="CNN61" s="543"/>
      <c r="CNO61" s="543"/>
      <c r="CNP61" s="543"/>
      <c r="CNQ61" s="543"/>
      <c r="CNR61" s="543"/>
      <c r="CNS61" s="543"/>
      <c r="CNT61" s="543"/>
      <c r="CNU61" s="543"/>
      <c r="CNV61" s="543"/>
      <c r="CNW61" s="543"/>
      <c r="CNX61" s="543"/>
      <c r="CNY61" s="543"/>
      <c r="CNZ61" s="543"/>
      <c r="COA61" s="543"/>
      <c r="COB61" s="543"/>
      <c r="COC61" s="543"/>
      <c r="COD61" s="543"/>
      <c r="COE61" s="543"/>
      <c r="COF61" s="543"/>
      <c r="COG61" s="543"/>
      <c r="COH61" s="543"/>
      <c r="COI61" s="543"/>
      <c r="COJ61" s="543"/>
      <c r="COK61" s="543"/>
      <c r="COL61" s="543"/>
      <c r="COM61" s="543"/>
      <c r="CON61" s="543"/>
      <c r="COO61" s="543"/>
      <c r="COP61" s="543"/>
      <c r="COQ61" s="543"/>
      <c r="COR61" s="543"/>
      <c r="COS61" s="543"/>
      <c r="COT61" s="543"/>
      <c r="COU61" s="543"/>
      <c r="COV61" s="543"/>
      <c r="COW61" s="543"/>
      <c r="COX61" s="543"/>
      <c r="COY61" s="543"/>
      <c r="COZ61" s="543"/>
      <c r="CPA61" s="543"/>
      <c r="CPB61" s="543"/>
      <c r="CPC61" s="543"/>
      <c r="CPD61" s="543"/>
      <c r="CPE61" s="543"/>
      <c r="CPF61" s="543"/>
      <c r="CPG61" s="543"/>
      <c r="CPH61" s="543"/>
      <c r="CPI61" s="543"/>
      <c r="CPJ61" s="543"/>
      <c r="CPK61" s="543"/>
      <c r="CPL61" s="543"/>
      <c r="CPM61" s="543"/>
      <c r="CPN61" s="543"/>
      <c r="CPO61" s="543"/>
      <c r="CPP61" s="543"/>
      <c r="CPQ61" s="543"/>
      <c r="CPR61" s="543"/>
      <c r="CPS61" s="543"/>
      <c r="CPT61" s="543"/>
      <c r="CPU61" s="543"/>
      <c r="CPV61" s="543"/>
      <c r="CPW61" s="543"/>
      <c r="CPX61" s="543"/>
      <c r="CPY61" s="543"/>
      <c r="CPZ61" s="543"/>
      <c r="CQA61" s="543"/>
      <c r="CQB61" s="543"/>
      <c r="CQC61" s="543"/>
      <c r="CQD61" s="543"/>
      <c r="CQE61" s="543"/>
      <c r="CQF61" s="543"/>
      <c r="CQG61" s="543"/>
      <c r="CQH61" s="543"/>
      <c r="CQI61" s="543"/>
      <c r="CQJ61" s="543"/>
      <c r="CQK61" s="543"/>
      <c r="CQL61" s="543"/>
      <c r="CQM61" s="543"/>
      <c r="CQN61" s="543"/>
      <c r="CQO61" s="543"/>
      <c r="CQP61" s="543"/>
      <c r="CQQ61" s="543"/>
      <c r="CQR61" s="543"/>
      <c r="CQS61" s="543"/>
      <c r="CQT61" s="543"/>
      <c r="CQU61" s="543"/>
      <c r="CQV61" s="543"/>
      <c r="CQW61" s="543"/>
      <c r="CQX61" s="543"/>
      <c r="CQY61" s="543"/>
      <c r="CQZ61" s="543"/>
      <c r="CRA61" s="543"/>
      <c r="CRB61" s="543"/>
      <c r="CRC61" s="543"/>
      <c r="CRD61" s="543"/>
      <c r="CRE61" s="543"/>
      <c r="CRF61" s="543"/>
      <c r="CRG61" s="543"/>
      <c r="CRH61" s="543"/>
      <c r="CRI61" s="543"/>
      <c r="CRJ61" s="543"/>
      <c r="CRK61" s="543"/>
      <c r="CRL61" s="543"/>
      <c r="CRM61" s="543"/>
      <c r="CRN61" s="543"/>
      <c r="CRO61" s="543"/>
      <c r="CRP61" s="543"/>
      <c r="CRQ61" s="543"/>
      <c r="CRR61" s="543"/>
      <c r="CRS61" s="543"/>
      <c r="CRT61" s="543"/>
      <c r="CRU61" s="543"/>
      <c r="CRV61" s="543"/>
      <c r="CRW61" s="543"/>
      <c r="CRX61" s="543"/>
      <c r="CRY61" s="543"/>
      <c r="CRZ61" s="543"/>
      <c r="CSA61" s="543"/>
      <c r="CSB61" s="543"/>
      <c r="CSC61" s="543"/>
      <c r="CSD61" s="543"/>
      <c r="CSE61" s="543"/>
      <c r="CSF61" s="543"/>
      <c r="CSG61" s="543"/>
      <c r="CSH61" s="543"/>
      <c r="CSI61" s="543"/>
      <c r="CSJ61" s="543"/>
      <c r="CSK61" s="543"/>
      <c r="CSL61" s="543"/>
      <c r="CSM61" s="543"/>
      <c r="CSN61" s="543"/>
      <c r="CSO61" s="543"/>
      <c r="CSP61" s="543"/>
      <c r="CSQ61" s="543"/>
      <c r="CSR61" s="543"/>
      <c r="CSS61" s="543"/>
      <c r="CST61" s="543"/>
      <c r="CSU61" s="543"/>
      <c r="CSV61" s="543"/>
      <c r="CSW61" s="543"/>
      <c r="CSX61" s="543"/>
      <c r="CSY61" s="543"/>
      <c r="CSZ61" s="543"/>
      <c r="CTA61" s="543"/>
      <c r="CTB61" s="543"/>
      <c r="CTC61" s="543"/>
      <c r="CTD61" s="543"/>
      <c r="CTE61" s="543"/>
      <c r="CTF61" s="543"/>
      <c r="CTG61" s="543"/>
      <c r="CTH61" s="543"/>
      <c r="CTI61" s="543"/>
      <c r="CTJ61" s="543"/>
      <c r="CTK61" s="543"/>
      <c r="CTL61" s="543"/>
      <c r="CTM61" s="543"/>
      <c r="CTN61" s="543"/>
      <c r="CTO61" s="543"/>
      <c r="CTP61" s="543"/>
      <c r="CTQ61" s="543"/>
      <c r="CTR61" s="543"/>
      <c r="CTS61" s="543"/>
      <c r="CTT61" s="543"/>
      <c r="CTU61" s="543"/>
      <c r="CTV61" s="543"/>
      <c r="CTW61" s="543"/>
      <c r="CTX61" s="543"/>
      <c r="CTY61" s="543"/>
      <c r="CTZ61" s="543"/>
      <c r="CUA61" s="543"/>
      <c r="CUB61" s="543"/>
      <c r="CUC61" s="543"/>
      <c r="CUD61" s="543"/>
      <c r="CUE61" s="543"/>
      <c r="CUF61" s="543"/>
      <c r="CUG61" s="543"/>
      <c r="CUH61" s="543"/>
      <c r="CUI61" s="543"/>
      <c r="CUJ61" s="543"/>
      <c r="CUK61" s="543"/>
      <c r="CUL61" s="543"/>
      <c r="CUM61" s="543"/>
      <c r="CUN61" s="543"/>
      <c r="CUO61" s="543"/>
      <c r="CUP61" s="543"/>
      <c r="CUQ61" s="543"/>
      <c r="CUR61" s="543"/>
      <c r="CUS61" s="543"/>
      <c r="CUT61" s="543"/>
      <c r="CUU61" s="543"/>
      <c r="CUV61" s="543"/>
      <c r="CUW61" s="543"/>
      <c r="CUX61" s="543"/>
      <c r="CUY61" s="543"/>
      <c r="CUZ61" s="543"/>
      <c r="CVA61" s="543"/>
      <c r="CVB61" s="543"/>
      <c r="CVC61" s="543"/>
      <c r="CVD61" s="543"/>
      <c r="CVE61" s="543"/>
      <c r="CVF61" s="543"/>
      <c r="CVG61" s="543"/>
      <c r="CVH61" s="543"/>
      <c r="CVI61" s="543"/>
      <c r="CVJ61" s="543"/>
      <c r="CVK61" s="543"/>
      <c r="CVL61" s="543"/>
      <c r="CVM61" s="543"/>
      <c r="CVN61" s="543"/>
      <c r="CVO61" s="543"/>
      <c r="CVP61" s="543"/>
      <c r="CVQ61" s="543"/>
      <c r="CVR61" s="543"/>
      <c r="CVS61" s="543"/>
      <c r="CVT61" s="543"/>
      <c r="CVU61" s="543"/>
      <c r="CVV61" s="543"/>
      <c r="CVW61" s="543"/>
      <c r="CVX61" s="543"/>
      <c r="CVY61" s="543"/>
      <c r="CVZ61" s="543"/>
      <c r="CWA61" s="543"/>
      <c r="CWB61" s="543"/>
      <c r="CWC61" s="543"/>
      <c r="CWD61" s="543"/>
      <c r="CWE61" s="543"/>
      <c r="CWF61" s="543"/>
      <c r="CWG61" s="543"/>
      <c r="CWH61" s="543"/>
      <c r="CWI61" s="543"/>
      <c r="CWJ61" s="543"/>
      <c r="CWK61" s="543"/>
      <c r="CWL61" s="543"/>
      <c r="CWM61" s="543"/>
      <c r="CWN61" s="543"/>
      <c r="CWO61" s="543"/>
      <c r="CWP61" s="543"/>
      <c r="CWQ61" s="543"/>
      <c r="CWR61" s="543"/>
      <c r="CWS61" s="543"/>
      <c r="CWT61" s="543"/>
      <c r="CWU61" s="543"/>
      <c r="CWV61" s="543"/>
      <c r="CWW61" s="543"/>
      <c r="CWX61" s="543"/>
      <c r="CWY61" s="543"/>
      <c r="CWZ61" s="543"/>
      <c r="CXA61" s="543"/>
      <c r="CXB61" s="543"/>
      <c r="CXC61" s="543"/>
      <c r="CXD61" s="543"/>
      <c r="CXE61" s="543"/>
      <c r="CXF61" s="543"/>
      <c r="CXG61" s="543"/>
      <c r="CXH61" s="543"/>
      <c r="CXI61" s="543"/>
      <c r="CXJ61" s="543"/>
      <c r="CXK61" s="543"/>
      <c r="CXL61" s="543"/>
      <c r="CXM61" s="543"/>
      <c r="CXN61" s="543"/>
      <c r="CXO61" s="543"/>
      <c r="CXP61" s="543"/>
      <c r="CXQ61" s="543"/>
      <c r="CXR61" s="543"/>
      <c r="CXS61" s="543"/>
      <c r="CXT61" s="543"/>
      <c r="CXU61" s="543"/>
      <c r="CXV61" s="543"/>
      <c r="CXW61" s="543"/>
      <c r="CXX61" s="543"/>
      <c r="CXY61" s="543"/>
      <c r="CXZ61" s="543"/>
      <c r="CYA61" s="543"/>
      <c r="CYB61" s="543"/>
      <c r="CYC61" s="543"/>
      <c r="CYD61" s="543"/>
      <c r="CYE61" s="543"/>
      <c r="CYF61" s="543"/>
      <c r="CYG61" s="543"/>
      <c r="CYH61" s="543"/>
      <c r="CYI61" s="543"/>
      <c r="CYJ61" s="543"/>
      <c r="CYK61" s="543"/>
      <c r="CYL61" s="543"/>
      <c r="CYM61" s="543"/>
      <c r="CYN61" s="543"/>
      <c r="CYO61" s="543"/>
      <c r="CYP61" s="543"/>
      <c r="CYQ61" s="543"/>
      <c r="CYR61" s="543"/>
      <c r="CYS61" s="543"/>
      <c r="CYT61" s="543"/>
      <c r="CYU61" s="543"/>
      <c r="CYV61" s="543"/>
      <c r="CYW61" s="543"/>
      <c r="CYX61" s="543"/>
      <c r="CYY61" s="543"/>
      <c r="CYZ61" s="543"/>
      <c r="CZA61" s="543"/>
      <c r="CZB61" s="543"/>
      <c r="CZC61" s="543"/>
      <c r="CZD61" s="543"/>
      <c r="CZE61" s="543"/>
      <c r="CZF61" s="543"/>
      <c r="CZG61" s="543"/>
      <c r="CZH61" s="543"/>
      <c r="CZI61" s="543"/>
      <c r="CZJ61" s="543"/>
      <c r="CZK61" s="543"/>
      <c r="CZL61" s="543"/>
      <c r="CZM61" s="543"/>
      <c r="CZN61" s="543"/>
      <c r="CZO61" s="543"/>
      <c r="CZP61" s="543"/>
      <c r="CZQ61" s="543"/>
      <c r="CZR61" s="543"/>
      <c r="CZS61" s="543"/>
      <c r="CZT61" s="543"/>
      <c r="CZU61" s="543"/>
      <c r="CZV61" s="543"/>
      <c r="CZW61" s="543"/>
      <c r="CZX61" s="543"/>
      <c r="CZY61" s="543"/>
      <c r="CZZ61" s="543"/>
      <c r="DAA61" s="543"/>
      <c r="DAB61" s="543"/>
      <c r="DAC61" s="543"/>
      <c r="DAD61" s="543"/>
      <c r="DAE61" s="543"/>
      <c r="DAF61" s="543"/>
      <c r="DAG61" s="543"/>
      <c r="DAH61" s="543"/>
      <c r="DAI61" s="543"/>
      <c r="DAJ61" s="543"/>
      <c r="DAK61" s="543"/>
      <c r="DAL61" s="543"/>
      <c r="DAM61" s="543"/>
      <c r="DAN61" s="543"/>
      <c r="DAO61" s="543"/>
      <c r="DAP61" s="543"/>
      <c r="DAQ61" s="543"/>
      <c r="DAR61" s="543"/>
      <c r="DAS61" s="543"/>
      <c r="DAT61" s="543"/>
      <c r="DAU61" s="543"/>
      <c r="DAV61" s="543"/>
      <c r="DAW61" s="543"/>
      <c r="DAX61" s="543"/>
      <c r="DAY61" s="543"/>
      <c r="DAZ61" s="543"/>
      <c r="DBA61" s="543"/>
      <c r="DBB61" s="543"/>
      <c r="DBC61" s="543"/>
      <c r="DBD61" s="543"/>
      <c r="DBE61" s="543"/>
      <c r="DBF61" s="543"/>
      <c r="DBG61" s="543"/>
      <c r="DBH61" s="543"/>
      <c r="DBI61" s="543"/>
      <c r="DBJ61" s="543"/>
      <c r="DBK61" s="543"/>
      <c r="DBL61" s="543"/>
      <c r="DBM61" s="543"/>
      <c r="DBN61" s="543"/>
      <c r="DBO61" s="543"/>
      <c r="DBP61" s="543"/>
      <c r="DBQ61" s="543"/>
      <c r="DBR61" s="543"/>
      <c r="DBS61" s="543"/>
      <c r="DBT61" s="543"/>
      <c r="DBU61" s="543"/>
      <c r="DBV61" s="543"/>
      <c r="DBW61" s="543"/>
      <c r="DBX61" s="543"/>
      <c r="DBY61" s="543"/>
      <c r="DBZ61" s="543"/>
      <c r="DCA61" s="543"/>
      <c r="DCB61" s="543"/>
      <c r="DCC61" s="543"/>
      <c r="DCD61" s="543"/>
      <c r="DCE61" s="543"/>
      <c r="DCF61" s="543"/>
      <c r="DCG61" s="543"/>
      <c r="DCH61" s="543"/>
      <c r="DCI61" s="543"/>
      <c r="DCJ61" s="543"/>
      <c r="DCK61" s="543"/>
      <c r="DCL61" s="543"/>
      <c r="DCM61" s="543"/>
      <c r="DCN61" s="543"/>
      <c r="DCO61" s="543"/>
      <c r="DCP61" s="543"/>
      <c r="DCQ61" s="543"/>
      <c r="DCR61" s="543"/>
      <c r="DCS61" s="543"/>
      <c r="DCT61" s="543"/>
      <c r="DCU61" s="543"/>
      <c r="DCV61" s="543"/>
      <c r="DCW61" s="543"/>
      <c r="DCX61" s="543"/>
      <c r="DCY61" s="543"/>
      <c r="DCZ61" s="543"/>
      <c r="DDA61" s="543"/>
      <c r="DDB61" s="543"/>
      <c r="DDC61" s="543"/>
      <c r="DDD61" s="543"/>
      <c r="DDE61" s="543"/>
      <c r="DDF61" s="543"/>
      <c r="DDG61" s="543"/>
      <c r="DDH61" s="543"/>
      <c r="DDI61" s="543"/>
      <c r="DDJ61" s="543"/>
      <c r="DDK61" s="543"/>
      <c r="DDL61" s="543"/>
      <c r="DDM61" s="543"/>
      <c r="DDN61" s="543"/>
      <c r="DDO61" s="543"/>
      <c r="DDP61" s="543"/>
      <c r="DDQ61" s="543"/>
      <c r="DDR61" s="543"/>
      <c r="DDS61" s="543"/>
      <c r="DDT61" s="543"/>
      <c r="DDU61" s="543"/>
      <c r="DDV61" s="543"/>
      <c r="DDW61" s="543"/>
      <c r="DDX61" s="543"/>
      <c r="DDY61" s="543"/>
      <c r="DDZ61" s="543"/>
      <c r="DEA61" s="543"/>
      <c r="DEB61" s="543"/>
      <c r="DEC61" s="543"/>
      <c r="DED61" s="543"/>
      <c r="DEE61" s="543"/>
      <c r="DEF61" s="543"/>
      <c r="DEG61" s="543"/>
      <c r="DEH61" s="543"/>
      <c r="DEI61" s="543"/>
      <c r="DEJ61" s="543"/>
      <c r="DEK61" s="543"/>
      <c r="DEL61" s="543"/>
      <c r="DEM61" s="543"/>
      <c r="DEN61" s="543"/>
      <c r="DEO61" s="543"/>
      <c r="DEP61" s="543"/>
      <c r="DEQ61" s="543"/>
      <c r="DER61" s="543"/>
      <c r="DES61" s="543"/>
      <c r="DET61" s="543"/>
      <c r="DEU61" s="543"/>
      <c r="DEV61" s="543"/>
      <c r="DEW61" s="543"/>
      <c r="DEX61" s="543"/>
      <c r="DEY61" s="543"/>
      <c r="DEZ61" s="543"/>
      <c r="DFA61" s="543"/>
      <c r="DFB61" s="543"/>
      <c r="DFC61" s="543"/>
      <c r="DFD61" s="543"/>
      <c r="DFE61" s="543"/>
      <c r="DFF61" s="543"/>
      <c r="DFG61" s="543"/>
      <c r="DFH61" s="543"/>
      <c r="DFI61" s="543"/>
      <c r="DFJ61" s="543"/>
      <c r="DFK61" s="543"/>
      <c r="DFL61" s="543"/>
      <c r="DFM61" s="543"/>
      <c r="DFN61" s="543"/>
      <c r="DFO61" s="543"/>
      <c r="DFP61" s="543"/>
      <c r="DFQ61" s="543"/>
      <c r="DFR61" s="543"/>
      <c r="DFS61" s="543"/>
      <c r="DFT61" s="543"/>
      <c r="DFU61" s="543"/>
      <c r="DFV61" s="543"/>
      <c r="DFW61" s="543"/>
      <c r="DFX61" s="543"/>
      <c r="DFY61" s="543"/>
      <c r="DFZ61" s="543"/>
      <c r="DGA61" s="543"/>
      <c r="DGB61" s="543"/>
      <c r="DGC61" s="543"/>
      <c r="DGD61" s="543"/>
      <c r="DGE61" s="543"/>
      <c r="DGF61" s="543"/>
      <c r="DGG61" s="543"/>
      <c r="DGH61" s="543"/>
      <c r="DGI61" s="543"/>
      <c r="DGJ61" s="543"/>
      <c r="DGK61" s="543"/>
      <c r="DGL61" s="543"/>
      <c r="DGM61" s="543"/>
      <c r="DGN61" s="543"/>
      <c r="DGO61" s="543"/>
      <c r="DGP61" s="543"/>
      <c r="DGQ61" s="543"/>
      <c r="DGR61" s="543"/>
      <c r="DGS61" s="543"/>
      <c r="DGT61" s="543"/>
      <c r="DGU61" s="543"/>
      <c r="DGV61" s="543"/>
      <c r="DGW61" s="543"/>
      <c r="DGX61" s="543"/>
      <c r="DGY61" s="543"/>
      <c r="DGZ61" s="543"/>
      <c r="DHA61" s="543"/>
      <c r="DHB61" s="543"/>
      <c r="DHC61" s="543"/>
      <c r="DHD61" s="543"/>
      <c r="DHE61" s="543"/>
      <c r="DHF61" s="543"/>
      <c r="DHG61" s="543"/>
      <c r="DHH61" s="543"/>
      <c r="DHI61" s="543"/>
      <c r="DHJ61" s="543"/>
      <c r="DHK61" s="543"/>
      <c r="DHL61" s="543"/>
      <c r="DHM61" s="543"/>
      <c r="DHN61" s="543"/>
      <c r="DHO61" s="543"/>
      <c r="DHP61" s="543"/>
      <c r="DHQ61" s="543"/>
      <c r="DHR61" s="543"/>
      <c r="DHS61" s="543"/>
      <c r="DHT61" s="543"/>
      <c r="DHU61" s="543"/>
      <c r="DHV61" s="543"/>
      <c r="DHW61" s="543"/>
      <c r="DHX61" s="543"/>
      <c r="DHY61" s="543"/>
      <c r="DHZ61" s="543"/>
      <c r="DIA61" s="543"/>
      <c r="DIB61" s="543"/>
      <c r="DIC61" s="543"/>
      <c r="DID61" s="543"/>
      <c r="DIE61" s="543"/>
      <c r="DIF61" s="543"/>
      <c r="DIG61" s="543"/>
      <c r="DIH61" s="543"/>
      <c r="DII61" s="543"/>
      <c r="DIJ61" s="543"/>
      <c r="DIK61" s="543"/>
      <c r="DIL61" s="543"/>
      <c r="DIM61" s="543"/>
      <c r="DIN61" s="543"/>
      <c r="DIO61" s="543"/>
      <c r="DIP61" s="543"/>
      <c r="DIQ61" s="543"/>
      <c r="DIR61" s="543"/>
      <c r="DIS61" s="543"/>
      <c r="DIT61" s="543"/>
      <c r="DIU61" s="543"/>
      <c r="DIV61" s="543"/>
      <c r="DIW61" s="543"/>
      <c r="DIX61" s="543"/>
      <c r="DIY61" s="543"/>
      <c r="DIZ61" s="543"/>
      <c r="DJA61" s="543"/>
      <c r="DJB61" s="543"/>
      <c r="DJC61" s="543"/>
      <c r="DJD61" s="543"/>
      <c r="DJE61" s="543"/>
      <c r="DJF61" s="543"/>
      <c r="DJG61" s="543"/>
      <c r="DJH61" s="543"/>
      <c r="DJI61" s="543"/>
      <c r="DJJ61" s="543"/>
      <c r="DJK61" s="543"/>
      <c r="DJL61" s="543"/>
      <c r="DJM61" s="543"/>
      <c r="DJN61" s="543"/>
      <c r="DJO61" s="543"/>
      <c r="DJP61" s="543"/>
      <c r="DJQ61" s="543"/>
      <c r="DJR61" s="543"/>
      <c r="DJS61" s="543"/>
      <c r="DJT61" s="543"/>
      <c r="DJU61" s="543"/>
      <c r="DJV61" s="543"/>
      <c r="DJW61" s="543"/>
      <c r="DJX61" s="543"/>
      <c r="DJY61" s="543"/>
      <c r="DJZ61" s="543"/>
      <c r="DKA61" s="543"/>
      <c r="DKB61" s="543"/>
      <c r="DKC61" s="543"/>
      <c r="DKD61" s="543"/>
      <c r="DKE61" s="543"/>
      <c r="DKF61" s="543"/>
      <c r="DKG61" s="543"/>
      <c r="DKH61" s="543"/>
      <c r="DKI61" s="543"/>
      <c r="DKJ61" s="543"/>
      <c r="DKK61" s="543"/>
      <c r="DKL61" s="543"/>
      <c r="DKM61" s="543"/>
      <c r="DKN61" s="543"/>
      <c r="DKO61" s="543"/>
      <c r="DKP61" s="543"/>
      <c r="DKQ61" s="543"/>
      <c r="DKR61" s="543"/>
      <c r="DKS61" s="543"/>
      <c r="DKT61" s="543"/>
      <c r="DKU61" s="543"/>
      <c r="DKV61" s="543"/>
      <c r="DKW61" s="543"/>
      <c r="DKX61" s="543"/>
      <c r="DKY61" s="543"/>
      <c r="DKZ61" s="543"/>
      <c r="DLA61" s="543"/>
      <c r="DLB61" s="543"/>
      <c r="DLC61" s="543"/>
      <c r="DLD61" s="543"/>
      <c r="DLE61" s="543"/>
      <c r="DLF61" s="543"/>
      <c r="DLG61" s="543"/>
      <c r="DLH61" s="543"/>
      <c r="DLI61" s="543"/>
      <c r="DLJ61" s="543"/>
      <c r="DLK61" s="543"/>
      <c r="DLL61" s="543"/>
      <c r="DLM61" s="543"/>
      <c r="DLN61" s="543"/>
      <c r="DLO61" s="543"/>
      <c r="DLP61" s="543"/>
      <c r="DLQ61" s="543"/>
      <c r="DLR61" s="543"/>
      <c r="DLS61" s="543"/>
      <c r="DLT61" s="543"/>
      <c r="DLU61" s="543"/>
      <c r="DLV61" s="543"/>
      <c r="DLW61" s="543"/>
      <c r="DLX61" s="543"/>
      <c r="DLY61" s="543"/>
      <c r="DLZ61" s="543"/>
      <c r="DMA61" s="543"/>
      <c r="DMB61" s="543"/>
      <c r="DMC61" s="543"/>
      <c r="DMD61" s="543"/>
      <c r="DME61" s="543"/>
      <c r="DMF61" s="543"/>
      <c r="DMG61" s="543"/>
      <c r="DMH61" s="543"/>
      <c r="DMI61" s="543"/>
      <c r="DMJ61" s="543"/>
      <c r="DMK61" s="543"/>
      <c r="DML61" s="543"/>
      <c r="DMM61" s="543"/>
      <c r="DMN61" s="543"/>
      <c r="DMO61" s="543"/>
      <c r="DMP61" s="543"/>
      <c r="DMQ61" s="543"/>
      <c r="DMR61" s="543"/>
      <c r="DMS61" s="543"/>
      <c r="DMT61" s="543"/>
      <c r="DMU61" s="543"/>
      <c r="DMV61" s="543"/>
      <c r="DMW61" s="543"/>
      <c r="DMX61" s="543"/>
      <c r="DMY61" s="543"/>
      <c r="DMZ61" s="543"/>
      <c r="DNA61" s="543"/>
      <c r="DNB61" s="543"/>
      <c r="DNC61" s="543"/>
      <c r="DND61" s="543"/>
      <c r="DNE61" s="543"/>
      <c r="DNF61" s="543"/>
      <c r="DNG61" s="543"/>
      <c r="DNH61" s="543"/>
      <c r="DNI61" s="543"/>
      <c r="DNJ61" s="543"/>
      <c r="DNK61" s="543"/>
      <c r="DNL61" s="543"/>
      <c r="DNM61" s="543"/>
      <c r="DNN61" s="543"/>
      <c r="DNO61" s="543"/>
      <c r="DNP61" s="543"/>
      <c r="DNQ61" s="543"/>
      <c r="DNR61" s="543"/>
      <c r="DNS61" s="543"/>
      <c r="DNT61" s="543"/>
      <c r="DNU61" s="543"/>
      <c r="DNV61" s="543"/>
      <c r="DNW61" s="543"/>
      <c r="DNX61" s="543"/>
      <c r="DNY61" s="543"/>
      <c r="DNZ61" s="543"/>
      <c r="DOA61" s="543"/>
      <c r="DOB61" s="543"/>
      <c r="DOC61" s="543"/>
      <c r="DOD61" s="543"/>
      <c r="DOE61" s="543"/>
      <c r="DOF61" s="543"/>
      <c r="DOG61" s="543"/>
      <c r="DOH61" s="543"/>
      <c r="DOI61" s="543"/>
      <c r="DOJ61" s="543"/>
      <c r="DOK61" s="543"/>
      <c r="DOL61" s="543"/>
      <c r="DOM61" s="543"/>
      <c r="DON61" s="543"/>
      <c r="DOO61" s="543"/>
      <c r="DOP61" s="543"/>
      <c r="DOQ61" s="543"/>
      <c r="DOR61" s="543"/>
      <c r="DOS61" s="543"/>
      <c r="DOT61" s="543"/>
      <c r="DOU61" s="543"/>
      <c r="DOV61" s="543"/>
      <c r="DOW61" s="543"/>
      <c r="DOX61" s="543"/>
      <c r="DOY61" s="543"/>
      <c r="DOZ61" s="543"/>
      <c r="DPA61" s="543"/>
      <c r="DPB61" s="543"/>
      <c r="DPC61" s="543"/>
      <c r="DPD61" s="543"/>
      <c r="DPE61" s="543"/>
      <c r="DPF61" s="543"/>
      <c r="DPG61" s="543"/>
      <c r="DPH61" s="543"/>
      <c r="DPI61" s="543"/>
      <c r="DPJ61" s="543"/>
      <c r="DPK61" s="543"/>
      <c r="DPL61" s="543"/>
      <c r="DPM61" s="543"/>
      <c r="DPN61" s="543"/>
      <c r="DPO61" s="543"/>
      <c r="DPP61" s="543"/>
      <c r="DPQ61" s="543"/>
      <c r="DPR61" s="543"/>
      <c r="DPS61" s="543"/>
      <c r="DPT61" s="543"/>
      <c r="DPU61" s="543"/>
      <c r="DPV61" s="543"/>
      <c r="DPW61" s="543"/>
      <c r="DPX61" s="543"/>
      <c r="DPY61" s="543"/>
      <c r="DPZ61" s="543"/>
      <c r="DQA61" s="543"/>
      <c r="DQB61" s="543"/>
      <c r="DQC61" s="543"/>
      <c r="DQD61" s="543"/>
      <c r="DQE61" s="543"/>
      <c r="DQF61" s="543"/>
      <c r="DQG61" s="543"/>
      <c r="DQH61" s="543"/>
      <c r="DQI61" s="543"/>
      <c r="DQJ61" s="543"/>
      <c r="DQK61" s="543"/>
      <c r="DQL61" s="543"/>
      <c r="DQM61" s="543"/>
      <c r="DQN61" s="543"/>
      <c r="DQO61" s="543"/>
      <c r="DQP61" s="543"/>
      <c r="DQQ61" s="543"/>
      <c r="DQR61" s="543"/>
      <c r="DQS61" s="543"/>
      <c r="DQT61" s="543"/>
      <c r="DQU61" s="543"/>
      <c r="DQV61" s="543"/>
      <c r="DQW61" s="543"/>
      <c r="DQX61" s="543"/>
      <c r="DQY61" s="543"/>
      <c r="DQZ61" s="543"/>
      <c r="DRA61" s="543"/>
      <c r="DRB61" s="543"/>
      <c r="DRC61" s="543"/>
      <c r="DRD61" s="543"/>
      <c r="DRE61" s="543"/>
      <c r="DRF61" s="543"/>
      <c r="DRG61" s="543"/>
      <c r="DRH61" s="543"/>
      <c r="DRI61" s="543"/>
      <c r="DRJ61" s="543"/>
      <c r="DRK61" s="543"/>
      <c r="DRL61" s="543"/>
      <c r="DRM61" s="543"/>
      <c r="DRN61" s="543"/>
      <c r="DRO61" s="543"/>
      <c r="DRP61" s="543"/>
      <c r="DRQ61" s="543"/>
      <c r="DRR61" s="543"/>
      <c r="DRS61" s="543"/>
      <c r="DRT61" s="543"/>
      <c r="DRU61" s="543"/>
      <c r="DRV61" s="543"/>
      <c r="DRW61" s="543"/>
      <c r="DRX61" s="543"/>
      <c r="DRY61" s="543"/>
      <c r="DRZ61" s="543"/>
      <c r="DSA61" s="543"/>
      <c r="DSB61" s="543"/>
      <c r="DSC61" s="543"/>
      <c r="DSD61" s="543"/>
      <c r="DSE61" s="543"/>
      <c r="DSF61" s="543"/>
      <c r="DSG61" s="543"/>
      <c r="DSH61" s="543"/>
      <c r="DSI61" s="543"/>
      <c r="DSJ61" s="543"/>
      <c r="DSK61" s="543"/>
      <c r="DSL61" s="543"/>
      <c r="DSM61" s="543"/>
      <c r="DSN61" s="543"/>
      <c r="DSO61" s="543"/>
      <c r="DSP61" s="543"/>
      <c r="DSQ61" s="543"/>
      <c r="DSR61" s="543"/>
      <c r="DSS61" s="543"/>
      <c r="DST61" s="543"/>
      <c r="DSU61" s="543"/>
      <c r="DSV61" s="543"/>
      <c r="DSW61" s="543"/>
      <c r="DSX61" s="543"/>
      <c r="DSY61" s="543"/>
      <c r="DSZ61" s="543"/>
      <c r="DTA61" s="543"/>
      <c r="DTB61" s="543"/>
      <c r="DTC61" s="543"/>
      <c r="DTD61" s="543"/>
      <c r="DTE61" s="543"/>
      <c r="DTF61" s="543"/>
      <c r="DTG61" s="543"/>
      <c r="DTH61" s="543"/>
      <c r="DTI61" s="543"/>
      <c r="DTJ61" s="543"/>
      <c r="DTK61" s="543"/>
      <c r="DTL61" s="543"/>
      <c r="DTM61" s="543"/>
      <c r="DTN61" s="543"/>
      <c r="DTO61" s="543"/>
      <c r="DTP61" s="543"/>
      <c r="DTQ61" s="543"/>
      <c r="DTR61" s="543"/>
      <c r="DTS61" s="543"/>
      <c r="DTT61" s="543"/>
      <c r="DTU61" s="543"/>
      <c r="DTV61" s="543"/>
      <c r="DTW61" s="543"/>
      <c r="DTX61" s="543"/>
      <c r="DTY61" s="543"/>
      <c r="DTZ61" s="543"/>
      <c r="DUA61" s="543"/>
      <c r="DUB61" s="543"/>
      <c r="DUC61" s="543"/>
      <c r="DUD61" s="543"/>
      <c r="DUE61" s="543"/>
      <c r="DUF61" s="543"/>
      <c r="DUG61" s="543"/>
      <c r="DUH61" s="543"/>
      <c r="DUI61" s="543"/>
      <c r="DUJ61" s="543"/>
      <c r="DUK61" s="543"/>
      <c r="DUL61" s="543"/>
      <c r="DUM61" s="543"/>
      <c r="DUN61" s="543"/>
      <c r="DUO61" s="543"/>
      <c r="DUP61" s="543"/>
      <c r="DUQ61" s="543"/>
      <c r="DUR61" s="543"/>
      <c r="DUS61" s="543"/>
      <c r="DUT61" s="543"/>
      <c r="DUU61" s="543"/>
      <c r="DUV61" s="543"/>
      <c r="DUW61" s="543"/>
      <c r="DUX61" s="543"/>
      <c r="DUY61" s="543"/>
      <c r="DUZ61" s="543"/>
      <c r="DVA61" s="543"/>
      <c r="DVB61" s="543"/>
      <c r="DVC61" s="543"/>
      <c r="DVD61" s="543"/>
      <c r="DVE61" s="543"/>
      <c r="DVF61" s="543"/>
      <c r="DVG61" s="543"/>
      <c r="DVH61" s="543"/>
      <c r="DVI61" s="543"/>
      <c r="DVJ61" s="543"/>
      <c r="DVK61" s="543"/>
      <c r="DVL61" s="543"/>
      <c r="DVM61" s="543"/>
      <c r="DVN61" s="543"/>
      <c r="DVO61" s="543"/>
      <c r="DVP61" s="543"/>
      <c r="DVQ61" s="543"/>
      <c r="DVR61" s="543"/>
      <c r="DVS61" s="543"/>
      <c r="DVT61" s="543"/>
      <c r="DVU61" s="543"/>
      <c r="DVV61" s="543"/>
      <c r="DVW61" s="543"/>
      <c r="DVX61" s="543"/>
      <c r="DVY61" s="543"/>
      <c r="DVZ61" s="543"/>
      <c r="DWA61" s="543"/>
      <c r="DWB61" s="543"/>
      <c r="DWC61" s="543"/>
      <c r="DWD61" s="543"/>
      <c r="DWE61" s="543"/>
      <c r="DWF61" s="543"/>
      <c r="DWG61" s="543"/>
      <c r="DWH61" s="543"/>
      <c r="DWI61" s="543"/>
      <c r="DWJ61" s="543"/>
      <c r="DWK61" s="543"/>
      <c r="DWL61" s="543"/>
      <c r="DWM61" s="543"/>
      <c r="DWN61" s="543"/>
      <c r="DWO61" s="543"/>
      <c r="DWP61" s="543"/>
      <c r="DWQ61" s="543"/>
      <c r="DWR61" s="543"/>
      <c r="DWS61" s="543"/>
      <c r="DWT61" s="543"/>
      <c r="DWU61" s="543"/>
      <c r="DWV61" s="543"/>
      <c r="DWW61" s="543"/>
      <c r="DWX61" s="543"/>
      <c r="DWY61" s="543"/>
      <c r="DWZ61" s="543"/>
      <c r="DXA61" s="543"/>
      <c r="DXB61" s="543"/>
      <c r="DXC61" s="543"/>
      <c r="DXD61" s="543"/>
      <c r="DXE61" s="543"/>
      <c r="DXF61" s="543"/>
      <c r="DXG61" s="543"/>
      <c r="DXH61" s="543"/>
      <c r="DXI61" s="543"/>
      <c r="DXJ61" s="543"/>
      <c r="DXK61" s="543"/>
      <c r="DXL61" s="543"/>
      <c r="DXM61" s="543"/>
      <c r="DXN61" s="543"/>
      <c r="DXO61" s="543"/>
      <c r="DXP61" s="543"/>
      <c r="DXQ61" s="543"/>
      <c r="DXR61" s="543"/>
      <c r="DXS61" s="543"/>
      <c r="DXT61" s="543"/>
      <c r="DXU61" s="543"/>
      <c r="DXV61" s="543"/>
      <c r="DXW61" s="543"/>
      <c r="DXX61" s="543"/>
      <c r="DXY61" s="543"/>
      <c r="DXZ61" s="543"/>
      <c r="DYA61" s="543"/>
      <c r="DYB61" s="543"/>
      <c r="DYC61" s="543"/>
      <c r="DYD61" s="543"/>
      <c r="DYE61" s="543"/>
      <c r="DYF61" s="543"/>
      <c r="DYG61" s="543"/>
      <c r="DYH61" s="543"/>
      <c r="DYI61" s="543"/>
      <c r="DYJ61" s="543"/>
      <c r="DYK61" s="543"/>
      <c r="DYL61" s="543"/>
      <c r="DYM61" s="543"/>
      <c r="DYN61" s="543"/>
      <c r="DYO61" s="543"/>
      <c r="DYP61" s="543"/>
      <c r="DYQ61" s="543"/>
      <c r="DYR61" s="543"/>
      <c r="DYS61" s="543"/>
      <c r="DYT61" s="543"/>
      <c r="DYU61" s="543"/>
      <c r="DYV61" s="543"/>
      <c r="DYW61" s="543"/>
      <c r="DYX61" s="543"/>
      <c r="DYY61" s="543"/>
      <c r="DYZ61" s="543"/>
      <c r="DZA61" s="543"/>
      <c r="DZB61" s="543"/>
      <c r="DZC61" s="543"/>
      <c r="DZD61" s="543"/>
      <c r="DZE61" s="543"/>
      <c r="DZF61" s="543"/>
      <c r="DZG61" s="543"/>
      <c r="DZH61" s="543"/>
      <c r="DZI61" s="543"/>
      <c r="DZJ61" s="543"/>
      <c r="DZK61" s="543"/>
      <c r="DZL61" s="543"/>
      <c r="DZM61" s="543"/>
      <c r="DZN61" s="543"/>
      <c r="DZO61" s="543"/>
      <c r="DZP61" s="543"/>
      <c r="DZQ61" s="543"/>
      <c r="DZR61" s="543"/>
      <c r="DZS61" s="543"/>
      <c r="DZT61" s="543"/>
      <c r="DZU61" s="543"/>
      <c r="DZV61" s="543"/>
      <c r="DZW61" s="543"/>
      <c r="DZX61" s="543"/>
      <c r="DZY61" s="543"/>
      <c r="DZZ61" s="543"/>
      <c r="EAA61" s="543"/>
      <c r="EAB61" s="543"/>
      <c r="EAC61" s="543"/>
      <c r="EAD61" s="543"/>
      <c r="EAE61" s="543"/>
      <c r="EAF61" s="543"/>
      <c r="EAG61" s="543"/>
      <c r="EAH61" s="543"/>
      <c r="EAI61" s="543"/>
      <c r="EAJ61" s="543"/>
      <c r="EAK61" s="543"/>
      <c r="EAL61" s="543"/>
      <c r="EAM61" s="543"/>
      <c r="EAN61" s="543"/>
      <c r="EAO61" s="543"/>
      <c r="EAP61" s="543"/>
      <c r="EAQ61" s="543"/>
      <c r="EAR61" s="543"/>
      <c r="EAS61" s="543"/>
      <c r="EAT61" s="543"/>
      <c r="EAU61" s="543"/>
      <c r="EAV61" s="543"/>
      <c r="EAW61" s="543"/>
      <c r="EAX61" s="543"/>
      <c r="EAY61" s="543"/>
      <c r="EAZ61" s="543"/>
      <c r="EBA61" s="543"/>
      <c r="EBB61" s="543"/>
      <c r="EBC61" s="543"/>
      <c r="EBD61" s="543"/>
      <c r="EBE61" s="543"/>
      <c r="EBF61" s="543"/>
      <c r="EBG61" s="543"/>
      <c r="EBH61" s="543"/>
      <c r="EBI61" s="543"/>
      <c r="EBJ61" s="543"/>
      <c r="EBK61" s="543"/>
      <c r="EBL61" s="543"/>
      <c r="EBM61" s="543"/>
      <c r="EBN61" s="543"/>
      <c r="EBO61" s="543"/>
      <c r="EBP61" s="543"/>
      <c r="EBQ61" s="543"/>
      <c r="EBR61" s="543"/>
      <c r="EBS61" s="543"/>
      <c r="EBT61" s="543"/>
      <c r="EBU61" s="543"/>
      <c r="EBV61" s="543"/>
      <c r="EBW61" s="543"/>
      <c r="EBX61" s="543"/>
      <c r="EBY61" s="543"/>
      <c r="EBZ61" s="543"/>
      <c r="ECA61" s="543"/>
      <c r="ECB61" s="543"/>
      <c r="ECC61" s="543"/>
      <c r="ECD61" s="543"/>
      <c r="ECE61" s="543"/>
      <c r="ECF61" s="543"/>
      <c r="ECG61" s="543"/>
      <c r="ECH61" s="543"/>
      <c r="ECI61" s="543"/>
      <c r="ECJ61" s="543"/>
      <c r="ECK61" s="543"/>
      <c r="ECL61" s="543"/>
      <c r="ECM61" s="543"/>
      <c r="ECN61" s="543"/>
      <c r="ECO61" s="543"/>
      <c r="ECP61" s="543"/>
      <c r="ECQ61" s="543"/>
      <c r="ECR61" s="543"/>
      <c r="ECS61" s="543"/>
      <c r="ECT61" s="543"/>
      <c r="ECU61" s="543"/>
      <c r="ECV61" s="543"/>
      <c r="ECW61" s="543"/>
      <c r="ECX61" s="543"/>
      <c r="ECY61" s="543"/>
      <c r="ECZ61" s="543"/>
      <c r="EDA61" s="543"/>
      <c r="EDB61" s="543"/>
      <c r="EDC61" s="543"/>
      <c r="EDD61" s="543"/>
      <c r="EDE61" s="543"/>
      <c r="EDF61" s="543"/>
      <c r="EDG61" s="543"/>
      <c r="EDH61" s="543"/>
      <c r="EDI61" s="543"/>
      <c r="EDJ61" s="543"/>
      <c r="EDK61" s="543"/>
      <c r="EDL61" s="543"/>
      <c r="EDM61" s="543"/>
      <c r="EDN61" s="543"/>
      <c r="EDO61" s="543"/>
      <c r="EDP61" s="543"/>
      <c r="EDQ61" s="543"/>
      <c r="EDR61" s="543"/>
      <c r="EDS61" s="543"/>
      <c r="EDT61" s="543"/>
      <c r="EDU61" s="543"/>
      <c r="EDV61" s="543"/>
      <c r="EDW61" s="543"/>
      <c r="EDX61" s="543"/>
      <c r="EDY61" s="543"/>
      <c r="EDZ61" s="543"/>
      <c r="EEA61" s="543"/>
      <c r="EEB61" s="543"/>
      <c r="EEC61" s="543"/>
      <c r="EED61" s="543"/>
      <c r="EEE61" s="543"/>
      <c r="EEF61" s="543"/>
      <c r="EEG61" s="543"/>
      <c r="EEH61" s="543"/>
      <c r="EEI61" s="543"/>
      <c r="EEJ61" s="543"/>
      <c r="EEK61" s="543"/>
      <c r="EEL61" s="543"/>
      <c r="EEM61" s="543"/>
      <c r="EEN61" s="543"/>
      <c r="EEO61" s="543"/>
      <c r="EEP61" s="543"/>
      <c r="EEQ61" s="543"/>
      <c r="EER61" s="543"/>
      <c r="EES61" s="543"/>
      <c r="EET61" s="543"/>
      <c r="EEU61" s="543"/>
      <c r="EEV61" s="543"/>
      <c r="EEW61" s="543"/>
      <c r="EEX61" s="543"/>
      <c r="EEY61" s="543"/>
      <c r="EEZ61" s="543"/>
      <c r="EFA61" s="543"/>
      <c r="EFB61" s="543"/>
      <c r="EFC61" s="543"/>
      <c r="EFD61" s="543"/>
      <c r="EFE61" s="543"/>
      <c r="EFF61" s="543"/>
      <c r="EFG61" s="543"/>
      <c r="EFH61" s="543"/>
      <c r="EFI61" s="543"/>
      <c r="EFJ61" s="543"/>
      <c r="EFK61" s="543"/>
      <c r="EFL61" s="543"/>
      <c r="EFM61" s="543"/>
      <c r="EFN61" s="543"/>
      <c r="EFO61" s="543"/>
      <c r="EFP61" s="543"/>
      <c r="EFQ61" s="543"/>
      <c r="EFR61" s="543"/>
      <c r="EFS61" s="543"/>
      <c r="EFT61" s="543"/>
      <c r="EFU61" s="543"/>
      <c r="EFV61" s="543"/>
      <c r="EFW61" s="543"/>
      <c r="EFX61" s="543"/>
      <c r="EFY61" s="543"/>
      <c r="EFZ61" s="543"/>
      <c r="EGA61" s="543"/>
      <c r="EGB61" s="543"/>
      <c r="EGC61" s="543"/>
      <c r="EGD61" s="543"/>
      <c r="EGE61" s="543"/>
      <c r="EGF61" s="543"/>
      <c r="EGG61" s="543"/>
      <c r="EGH61" s="543"/>
      <c r="EGI61" s="543"/>
      <c r="EGJ61" s="543"/>
      <c r="EGK61" s="543"/>
      <c r="EGL61" s="543"/>
      <c r="EGM61" s="543"/>
      <c r="EGN61" s="543"/>
      <c r="EGO61" s="543"/>
      <c r="EGP61" s="543"/>
      <c r="EGQ61" s="543"/>
      <c r="EGR61" s="543"/>
      <c r="EGS61" s="543"/>
      <c r="EGT61" s="543"/>
      <c r="EGU61" s="543"/>
      <c r="EGV61" s="543"/>
      <c r="EGW61" s="543"/>
      <c r="EGX61" s="543"/>
      <c r="EGY61" s="543"/>
      <c r="EGZ61" s="543"/>
      <c r="EHA61" s="543"/>
      <c r="EHB61" s="543"/>
      <c r="EHC61" s="543"/>
      <c r="EHD61" s="543"/>
      <c r="EHE61" s="543"/>
      <c r="EHF61" s="543"/>
      <c r="EHG61" s="543"/>
      <c r="EHH61" s="543"/>
      <c r="EHI61" s="543"/>
      <c r="EHJ61" s="543"/>
      <c r="EHK61" s="543"/>
      <c r="EHL61" s="543"/>
      <c r="EHM61" s="543"/>
      <c r="EHN61" s="543"/>
      <c r="EHO61" s="543"/>
      <c r="EHP61" s="543"/>
      <c r="EHQ61" s="543"/>
      <c r="EHR61" s="543"/>
      <c r="EHS61" s="543"/>
      <c r="EHT61" s="543"/>
      <c r="EHU61" s="543"/>
      <c r="EHV61" s="543"/>
      <c r="EHW61" s="543"/>
      <c r="EHX61" s="543"/>
      <c r="EHY61" s="543"/>
      <c r="EHZ61" s="543"/>
      <c r="EIA61" s="543"/>
      <c r="EIB61" s="543"/>
      <c r="EIC61" s="543"/>
      <c r="EID61" s="543"/>
      <c r="EIE61" s="543"/>
      <c r="EIF61" s="543"/>
      <c r="EIG61" s="543"/>
      <c r="EIH61" s="543"/>
      <c r="EII61" s="543"/>
      <c r="EIJ61" s="543"/>
      <c r="EIK61" s="543"/>
      <c r="EIL61" s="543"/>
      <c r="EIM61" s="543"/>
      <c r="EIN61" s="543"/>
      <c r="EIO61" s="543"/>
      <c r="EIP61" s="543"/>
      <c r="EIQ61" s="543"/>
      <c r="EIR61" s="543"/>
      <c r="EIS61" s="543"/>
      <c r="EIT61" s="543"/>
      <c r="EIU61" s="543"/>
      <c r="EIV61" s="543"/>
      <c r="EIW61" s="543"/>
      <c r="EIX61" s="543"/>
      <c r="EIY61" s="543"/>
      <c r="EIZ61" s="543"/>
      <c r="EJA61" s="543"/>
      <c r="EJB61" s="543"/>
      <c r="EJC61" s="543"/>
      <c r="EJD61" s="543"/>
      <c r="EJE61" s="543"/>
      <c r="EJF61" s="543"/>
      <c r="EJG61" s="543"/>
      <c r="EJH61" s="543"/>
      <c r="EJI61" s="543"/>
      <c r="EJJ61" s="543"/>
      <c r="EJK61" s="543"/>
      <c r="EJL61" s="543"/>
      <c r="EJM61" s="543"/>
      <c r="EJN61" s="543"/>
      <c r="EJO61" s="543"/>
      <c r="EJP61" s="543"/>
      <c r="EJQ61" s="543"/>
      <c r="EJR61" s="543"/>
      <c r="EJS61" s="543"/>
      <c r="EJT61" s="543"/>
      <c r="EJU61" s="543"/>
      <c r="EJV61" s="543"/>
      <c r="EJW61" s="543"/>
      <c r="EJX61" s="543"/>
      <c r="EJY61" s="543"/>
      <c r="EJZ61" s="543"/>
      <c r="EKA61" s="543"/>
      <c r="EKB61" s="543"/>
      <c r="EKC61" s="543"/>
      <c r="EKD61" s="543"/>
      <c r="EKE61" s="543"/>
      <c r="EKF61" s="543"/>
      <c r="EKG61" s="543"/>
      <c r="EKH61" s="543"/>
      <c r="EKI61" s="543"/>
      <c r="EKJ61" s="543"/>
      <c r="EKK61" s="543"/>
      <c r="EKL61" s="543"/>
      <c r="EKM61" s="543"/>
      <c r="EKN61" s="543"/>
      <c r="EKO61" s="543"/>
      <c r="EKP61" s="543"/>
      <c r="EKQ61" s="543"/>
      <c r="EKR61" s="543"/>
      <c r="EKS61" s="543"/>
      <c r="EKT61" s="543"/>
      <c r="EKU61" s="543"/>
      <c r="EKV61" s="543"/>
      <c r="EKW61" s="543"/>
      <c r="EKX61" s="543"/>
      <c r="EKY61" s="543"/>
      <c r="EKZ61" s="543"/>
      <c r="ELA61" s="543"/>
      <c r="ELB61" s="543"/>
      <c r="ELC61" s="543"/>
      <c r="ELD61" s="543"/>
      <c r="ELE61" s="543"/>
      <c r="ELF61" s="543"/>
      <c r="ELG61" s="543"/>
      <c r="ELH61" s="543"/>
      <c r="ELI61" s="543"/>
      <c r="ELJ61" s="543"/>
      <c r="ELK61" s="543"/>
      <c r="ELL61" s="543"/>
      <c r="ELM61" s="543"/>
      <c r="ELN61" s="543"/>
      <c r="ELO61" s="543"/>
      <c r="ELP61" s="543"/>
      <c r="ELQ61" s="543"/>
      <c r="ELR61" s="543"/>
      <c r="ELS61" s="543"/>
      <c r="ELT61" s="543"/>
      <c r="ELU61" s="543"/>
      <c r="ELV61" s="543"/>
      <c r="ELW61" s="543"/>
      <c r="ELX61" s="543"/>
      <c r="ELY61" s="543"/>
      <c r="ELZ61" s="543"/>
      <c r="EMA61" s="543"/>
      <c r="EMB61" s="543"/>
      <c r="EMC61" s="543"/>
      <c r="EMD61" s="543"/>
      <c r="EME61" s="543"/>
      <c r="EMF61" s="543"/>
      <c r="EMG61" s="543"/>
      <c r="EMH61" s="543"/>
      <c r="EMI61" s="543"/>
      <c r="EMJ61" s="543"/>
      <c r="EMK61" s="543"/>
      <c r="EML61" s="543"/>
      <c r="EMM61" s="543"/>
      <c r="EMN61" s="543"/>
      <c r="EMO61" s="543"/>
      <c r="EMP61" s="543"/>
      <c r="EMQ61" s="543"/>
      <c r="EMR61" s="543"/>
      <c r="EMS61" s="543"/>
      <c r="EMT61" s="543"/>
      <c r="EMU61" s="543"/>
      <c r="EMV61" s="543"/>
      <c r="EMW61" s="543"/>
      <c r="EMX61" s="543"/>
      <c r="EMY61" s="543"/>
      <c r="EMZ61" s="543"/>
      <c r="ENA61" s="543"/>
      <c r="ENB61" s="543"/>
      <c r="ENC61" s="543"/>
      <c r="END61" s="543"/>
      <c r="ENE61" s="543"/>
      <c r="ENF61" s="543"/>
      <c r="ENG61" s="543"/>
      <c r="ENH61" s="543"/>
      <c r="ENI61" s="543"/>
      <c r="ENJ61" s="543"/>
      <c r="ENK61" s="543"/>
      <c r="ENL61" s="543"/>
      <c r="ENM61" s="543"/>
      <c r="ENN61" s="543"/>
      <c r="ENO61" s="543"/>
      <c r="ENP61" s="543"/>
      <c r="ENQ61" s="543"/>
      <c r="ENR61" s="543"/>
      <c r="ENS61" s="543"/>
      <c r="ENT61" s="543"/>
      <c r="ENU61" s="543"/>
      <c r="ENV61" s="543"/>
      <c r="ENW61" s="543"/>
      <c r="ENX61" s="543"/>
      <c r="ENY61" s="543"/>
      <c r="ENZ61" s="543"/>
      <c r="EOA61" s="543"/>
      <c r="EOB61" s="543"/>
      <c r="EOC61" s="543"/>
      <c r="EOD61" s="543"/>
      <c r="EOE61" s="543"/>
      <c r="EOF61" s="543"/>
      <c r="EOG61" s="543"/>
      <c r="EOH61" s="543"/>
      <c r="EOI61" s="543"/>
      <c r="EOJ61" s="543"/>
      <c r="EOK61" s="543"/>
      <c r="EOL61" s="543"/>
      <c r="EOM61" s="543"/>
      <c r="EON61" s="543"/>
      <c r="EOO61" s="543"/>
      <c r="EOP61" s="543"/>
      <c r="EOQ61" s="543"/>
      <c r="EOR61" s="543"/>
      <c r="EOS61" s="543"/>
      <c r="EOT61" s="543"/>
      <c r="EOU61" s="543"/>
      <c r="EOV61" s="543"/>
      <c r="EOW61" s="543"/>
      <c r="EOX61" s="543"/>
      <c r="EOY61" s="543"/>
      <c r="EOZ61" s="543"/>
      <c r="EPA61" s="543"/>
      <c r="EPB61" s="543"/>
      <c r="EPC61" s="543"/>
      <c r="EPD61" s="543"/>
      <c r="EPE61" s="543"/>
      <c r="EPF61" s="543"/>
      <c r="EPG61" s="543"/>
      <c r="EPH61" s="543"/>
      <c r="EPI61" s="543"/>
      <c r="EPJ61" s="543"/>
      <c r="EPK61" s="543"/>
      <c r="EPL61" s="543"/>
      <c r="EPM61" s="543"/>
      <c r="EPN61" s="543"/>
      <c r="EPO61" s="543"/>
      <c r="EPP61" s="543"/>
      <c r="EPQ61" s="543"/>
      <c r="EPR61" s="543"/>
      <c r="EPS61" s="543"/>
      <c r="EPT61" s="543"/>
      <c r="EPU61" s="543"/>
      <c r="EPV61" s="543"/>
      <c r="EPW61" s="543"/>
      <c r="EPX61" s="543"/>
      <c r="EPY61" s="543"/>
      <c r="EPZ61" s="543"/>
      <c r="EQA61" s="543"/>
      <c r="EQB61" s="543"/>
      <c r="EQC61" s="543"/>
      <c r="EQD61" s="543"/>
      <c r="EQE61" s="543"/>
      <c r="EQF61" s="543"/>
      <c r="EQG61" s="543"/>
      <c r="EQH61" s="543"/>
      <c r="EQI61" s="543"/>
      <c r="EQJ61" s="543"/>
      <c r="EQK61" s="543"/>
      <c r="EQL61" s="543"/>
      <c r="EQM61" s="543"/>
      <c r="EQN61" s="543"/>
      <c r="EQO61" s="543"/>
      <c r="EQP61" s="543"/>
      <c r="EQQ61" s="543"/>
      <c r="EQR61" s="543"/>
      <c r="EQS61" s="543"/>
      <c r="EQT61" s="543"/>
      <c r="EQU61" s="543"/>
      <c r="EQV61" s="543"/>
      <c r="EQW61" s="543"/>
      <c r="EQX61" s="543"/>
      <c r="EQY61" s="543"/>
      <c r="EQZ61" s="543"/>
      <c r="ERA61" s="543"/>
      <c r="ERB61" s="543"/>
      <c r="ERC61" s="543"/>
      <c r="ERD61" s="543"/>
      <c r="ERE61" s="543"/>
      <c r="ERF61" s="543"/>
      <c r="ERG61" s="543"/>
      <c r="ERH61" s="543"/>
      <c r="ERI61" s="543"/>
      <c r="ERJ61" s="543"/>
      <c r="ERK61" s="543"/>
      <c r="ERL61" s="543"/>
      <c r="ERM61" s="543"/>
      <c r="ERN61" s="543"/>
      <c r="ERO61" s="543"/>
      <c r="ERP61" s="543"/>
      <c r="ERQ61" s="543"/>
      <c r="ERR61" s="543"/>
      <c r="ERS61" s="543"/>
      <c r="ERT61" s="543"/>
      <c r="ERU61" s="543"/>
      <c r="ERV61" s="543"/>
      <c r="ERW61" s="543"/>
      <c r="ERX61" s="543"/>
      <c r="ERY61" s="543"/>
      <c r="ERZ61" s="543"/>
      <c r="ESA61" s="543"/>
      <c r="ESB61" s="543"/>
      <c r="ESC61" s="543"/>
      <c r="ESD61" s="543"/>
      <c r="ESE61" s="543"/>
      <c r="ESF61" s="543"/>
      <c r="ESG61" s="543"/>
      <c r="ESH61" s="543"/>
      <c r="ESI61" s="543"/>
      <c r="ESJ61" s="543"/>
      <c r="ESK61" s="543"/>
      <c r="ESL61" s="543"/>
      <c r="ESM61" s="543"/>
      <c r="ESN61" s="543"/>
      <c r="ESO61" s="543"/>
      <c r="ESP61" s="543"/>
      <c r="ESQ61" s="543"/>
      <c r="ESR61" s="543"/>
      <c r="ESS61" s="543"/>
      <c r="EST61" s="543"/>
      <c r="ESU61" s="543"/>
      <c r="ESV61" s="543"/>
      <c r="ESW61" s="543"/>
      <c r="ESX61" s="543"/>
      <c r="ESY61" s="543"/>
      <c r="ESZ61" s="543"/>
      <c r="ETA61" s="543"/>
      <c r="ETB61" s="543"/>
      <c r="ETC61" s="543"/>
      <c r="ETD61" s="543"/>
      <c r="ETE61" s="543"/>
      <c r="ETF61" s="543"/>
      <c r="ETG61" s="543"/>
      <c r="ETH61" s="543"/>
      <c r="ETI61" s="543"/>
      <c r="ETJ61" s="543"/>
      <c r="ETK61" s="543"/>
      <c r="ETL61" s="543"/>
      <c r="ETM61" s="543"/>
      <c r="ETN61" s="543"/>
      <c r="ETO61" s="543"/>
      <c r="ETP61" s="543"/>
      <c r="ETQ61" s="543"/>
      <c r="ETR61" s="543"/>
      <c r="ETS61" s="543"/>
      <c r="ETT61" s="543"/>
      <c r="ETU61" s="543"/>
      <c r="ETV61" s="543"/>
      <c r="ETW61" s="543"/>
      <c r="ETX61" s="543"/>
      <c r="ETY61" s="543"/>
      <c r="ETZ61" s="543"/>
      <c r="EUA61" s="543"/>
      <c r="EUB61" s="543"/>
      <c r="EUC61" s="543"/>
      <c r="EUD61" s="543"/>
      <c r="EUE61" s="543"/>
      <c r="EUF61" s="543"/>
      <c r="EUG61" s="543"/>
      <c r="EUH61" s="543"/>
      <c r="EUI61" s="543"/>
      <c r="EUJ61" s="543"/>
      <c r="EUK61" s="543"/>
      <c r="EUL61" s="543"/>
      <c r="EUM61" s="543"/>
      <c r="EUN61" s="543"/>
      <c r="EUO61" s="543"/>
      <c r="EUP61" s="543"/>
      <c r="EUQ61" s="543"/>
      <c r="EUR61" s="543"/>
      <c r="EUS61" s="543"/>
      <c r="EUT61" s="543"/>
      <c r="EUU61" s="543"/>
      <c r="EUV61" s="543"/>
      <c r="EUW61" s="543"/>
      <c r="EUX61" s="543"/>
      <c r="EUY61" s="543"/>
      <c r="EUZ61" s="543"/>
      <c r="EVA61" s="543"/>
      <c r="EVB61" s="543"/>
      <c r="EVC61" s="543"/>
      <c r="EVD61" s="543"/>
      <c r="EVE61" s="543"/>
      <c r="EVF61" s="543"/>
      <c r="EVG61" s="543"/>
      <c r="EVH61" s="543"/>
      <c r="EVI61" s="543"/>
      <c r="EVJ61" s="543"/>
      <c r="EVK61" s="543"/>
      <c r="EVL61" s="543"/>
      <c r="EVM61" s="543"/>
      <c r="EVN61" s="543"/>
      <c r="EVO61" s="543"/>
      <c r="EVP61" s="543"/>
      <c r="EVQ61" s="543"/>
      <c r="EVR61" s="543"/>
      <c r="EVS61" s="543"/>
      <c r="EVT61" s="543"/>
      <c r="EVU61" s="543"/>
      <c r="EVV61" s="543"/>
      <c r="EVW61" s="543"/>
      <c r="EVX61" s="543"/>
      <c r="EVY61" s="543"/>
      <c r="EVZ61" s="543"/>
      <c r="EWA61" s="543"/>
      <c r="EWB61" s="543"/>
      <c r="EWC61" s="543"/>
      <c r="EWD61" s="543"/>
      <c r="EWE61" s="543"/>
      <c r="EWF61" s="543"/>
      <c r="EWG61" s="543"/>
      <c r="EWH61" s="543"/>
      <c r="EWI61" s="543"/>
      <c r="EWJ61" s="543"/>
      <c r="EWK61" s="543"/>
      <c r="EWL61" s="543"/>
      <c r="EWM61" s="543"/>
      <c r="EWN61" s="543"/>
      <c r="EWO61" s="543"/>
      <c r="EWP61" s="543"/>
      <c r="EWQ61" s="543"/>
      <c r="EWR61" s="543"/>
      <c r="EWS61" s="543"/>
      <c r="EWT61" s="543"/>
      <c r="EWU61" s="543"/>
      <c r="EWV61" s="543"/>
      <c r="EWW61" s="543"/>
      <c r="EWX61" s="543"/>
      <c r="EWY61" s="543"/>
      <c r="EWZ61" s="543"/>
      <c r="EXA61" s="543"/>
      <c r="EXB61" s="543"/>
      <c r="EXC61" s="543"/>
      <c r="EXD61" s="543"/>
      <c r="EXE61" s="543"/>
      <c r="EXF61" s="543"/>
      <c r="EXG61" s="543"/>
      <c r="EXH61" s="543"/>
      <c r="EXI61" s="543"/>
      <c r="EXJ61" s="543"/>
      <c r="EXK61" s="543"/>
      <c r="EXL61" s="543"/>
      <c r="EXM61" s="543"/>
      <c r="EXN61" s="543"/>
      <c r="EXO61" s="543"/>
      <c r="EXP61" s="543"/>
      <c r="EXQ61" s="543"/>
      <c r="EXR61" s="543"/>
      <c r="EXS61" s="543"/>
      <c r="EXT61" s="543"/>
      <c r="EXU61" s="543"/>
      <c r="EXV61" s="543"/>
      <c r="EXW61" s="543"/>
      <c r="EXX61" s="543"/>
      <c r="EXY61" s="543"/>
      <c r="EXZ61" s="543"/>
      <c r="EYA61" s="543"/>
      <c r="EYB61" s="543"/>
      <c r="EYC61" s="543"/>
      <c r="EYD61" s="543"/>
      <c r="EYE61" s="543"/>
      <c r="EYF61" s="543"/>
      <c r="EYG61" s="543"/>
      <c r="EYH61" s="543"/>
      <c r="EYI61" s="543"/>
      <c r="EYJ61" s="543"/>
      <c r="EYK61" s="543"/>
      <c r="EYL61" s="543"/>
      <c r="EYM61" s="543"/>
      <c r="EYN61" s="543"/>
      <c r="EYO61" s="543"/>
      <c r="EYP61" s="543"/>
      <c r="EYQ61" s="543"/>
      <c r="EYR61" s="543"/>
      <c r="EYS61" s="543"/>
      <c r="EYT61" s="543"/>
      <c r="EYU61" s="543"/>
      <c r="EYV61" s="543"/>
      <c r="EYW61" s="543"/>
      <c r="EYX61" s="543"/>
      <c r="EYY61" s="543"/>
      <c r="EYZ61" s="543"/>
      <c r="EZA61" s="543"/>
      <c r="EZB61" s="543"/>
      <c r="EZC61" s="543"/>
      <c r="EZD61" s="543"/>
      <c r="EZE61" s="543"/>
      <c r="EZF61" s="543"/>
      <c r="EZG61" s="543"/>
      <c r="EZH61" s="543"/>
      <c r="EZI61" s="543"/>
      <c r="EZJ61" s="543"/>
      <c r="EZK61" s="543"/>
      <c r="EZL61" s="543"/>
      <c r="EZM61" s="543"/>
      <c r="EZN61" s="543"/>
      <c r="EZO61" s="543"/>
      <c r="EZP61" s="543"/>
      <c r="EZQ61" s="543"/>
      <c r="EZR61" s="543"/>
      <c r="EZS61" s="543"/>
      <c r="EZT61" s="543"/>
      <c r="EZU61" s="543"/>
      <c r="EZV61" s="543"/>
      <c r="EZW61" s="543"/>
      <c r="EZX61" s="543"/>
      <c r="EZY61" s="543"/>
      <c r="EZZ61" s="543"/>
      <c r="FAA61" s="543"/>
      <c r="FAB61" s="543"/>
      <c r="FAC61" s="543"/>
      <c r="FAD61" s="543"/>
      <c r="FAE61" s="543"/>
      <c r="FAF61" s="543"/>
      <c r="FAG61" s="543"/>
      <c r="FAH61" s="543"/>
      <c r="FAI61" s="543"/>
      <c r="FAJ61" s="543"/>
      <c r="FAK61" s="543"/>
      <c r="FAL61" s="543"/>
      <c r="FAM61" s="543"/>
      <c r="FAN61" s="543"/>
      <c r="FAO61" s="543"/>
      <c r="FAP61" s="543"/>
      <c r="FAQ61" s="543"/>
      <c r="FAR61" s="543"/>
      <c r="FAS61" s="543"/>
      <c r="FAT61" s="543"/>
      <c r="FAU61" s="543"/>
      <c r="FAV61" s="543"/>
      <c r="FAW61" s="543"/>
      <c r="FAX61" s="543"/>
      <c r="FAY61" s="543"/>
      <c r="FAZ61" s="543"/>
      <c r="FBA61" s="543"/>
      <c r="FBB61" s="543"/>
      <c r="FBC61" s="543"/>
      <c r="FBD61" s="543"/>
      <c r="FBE61" s="543"/>
      <c r="FBF61" s="543"/>
      <c r="FBG61" s="543"/>
      <c r="FBH61" s="543"/>
      <c r="FBI61" s="543"/>
      <c r="FBJ61" s="543"/>
      <c r="FBK61" s="543"/>
      <c r="FBL61" s="543"/>
      <c r="FBM61" s="543"/>
      <c r="FBN61" s="543"/>
      <c r="FBO61" s="543"/>
      <c r="FBP61" s="543"/>
      <c r="FBQ61" s="543"/>
      <c r="FBR61" s="543"/>
      <c r="FBS61" s="543"/>
      <c r="FBT61" s="543"/>
      <c r="FBU61" s="543"/>
      <c r="FBV61" s="543"/>
      <c r="FBW61" s="543"/>
      <c r="FBX61" s="543"/>
      <c r="FBY61" s="543"/>
      <c r="FBZ61" s="543"/>
      <c r="FCA61" s="543"/>
      <c r="FCB61" s="543"/>
      <c r="FCC61" s="543"/>
      <c r="FCD61" s="543"/>
      <c r="FCE61" s="543"/>
      <c r="FCF61" s="543"/>
      <c r="FCG61" s="543"/>
      <c r="FCH61" s="543"/>
      <c r="FCI61" s="543"/>
      <c r="FCJ61" s="543"/>
      <c r="FCK61" s="543"/>
      <c r="FCL61" s="543"/>
      <c r="FCM61" s="543"/>
      <c r="FCN61" s="543"/>
      <c r="FCO61" s="543"/>
      <c r="FCP61" s="543"/>
      <c r="FCQ61" s="543"/>
      <c r="FCR61" s="543"/>
      <c r="FCS61" s="543"/>
      <c r="FCT61" s="543"/>
      <c r="FCU61" s="543"/>
      <c r="FCV61" s="543"/>
      <c r="FCW61" s="543"/>
      <c r="FCX61" s="543"/>
      <c r="FCY61" s="543"/>
      <c r="FCZ61" s="543"/>
      <c r="FDA61" s="543"/>
      <c r="FDB61" s="543"/>
      <c r="FDC61" s="543"/>
      <c r="FDD61" s="543"/>
      <c r="FDE61" s="543"/>
      <c r="FDF61" s="543"/>
      <c r="FDG61" s="543"/>
      <c r="FDH61" s="543"/>
      <c r="FDI61" s="543"/>
      <c r="FDJ61" s="543"/>
      <c r="FDK61" s="543"/>
      <c r="FDL61" s="543"/>
      <c r="FDM61" s="543"/>
      <c r="FDN61" s="543"/>
      <c r="FDO61" s="543"/>
      <c r="FDP61" s="543"/>
      <c r="FDQ61" s="543"/>
      <c r="FDR61" s="543"/>
      <c r="FDS61" s="543"/>
      <c r="FDT61" s="543"/>
      <c r="FDU61" s="543"/>
      <c r="FDV61" s="543"/>
      <c r="FDW61" s="543"/>
      <c r="FDX61" s="543"/>
      <c r="FDY61" s="543"/>
      <c r="FDZ61" s="543"/>
      <c r="FEA61" s="543"/>
      <c r="FEB61" s="543"/>
      <c r="FEC61" s="543"/>
      <c r="FED61" s="543"/>
      <c r="FEE61" s="543"/>
      <c r="FEF61" s="543"/>
      <c r="FEG61" s="543"/>
      <c r="FEH61" s="543"/>
      <c r="FEI61" s="543"/>
      <c r="FEJ61" s="543"/>
      <c r="FEK61" s="543"/>
      <c r="FEL61" s="543"/>
      <c r="FEM61" s="543"/>
      <c r="FEN61" s="543"/>
      <c r="FEO61" s="543"/>
      <c r="FEP61" s="543"/>
      <c r="FEQ61" s="543"/>
      <c r="FER61" s="543"/>
      <c r="FES61" s="543"/>
      <c r="FET61" s="543"/>
      <c r="FEU61" s="543"/>
      <c r="FEV61" s="543"/>
      <c r="FEW61" s="543"/>
      <c r="FEX61" s="543"/>
      <c r="FEY61" s="543"/>
      <c r="FEZ61" s="543"/>
      <c r="FFA61" s="543"/>
      <c r="FFB61" s="543"/>
      <c r="FFC61" s="543"/>
      <c r="FFD61" s="543"/>
      <c r="FFE61" s="543"/>
      <c r="FFF61" s="543"/>
      <c r="FFG61" s="543"/>
      <c r="FFH61" s="543"/>
      <c r="FFI61" s="543"/>
      <c r="FFJ61" s="543"/>
      <c r="FFK61" s="543"/>
      <c r="FFL61" s="543"/>
      <c r="FFM61" s="543"/>
      <c r="FFN61" s="543"/>
      <c r="FFO61" s="543"/>
      <c r="FFP61" s="543"/>
      <c r="FFQ61" s="543"/>
      <c r="FFR61" s="543"/>
      <c r="FFS61" s="543"/>
      <c r="FFT61" s="543"/>
      <c r="FFU61" s="543"/>
      <c r="FFV61" s="543"/>
      <c r="FFW61" s="543"/>
      <c r="FFX61" s="543"/>
      <c r="FFY61" s="543"/>
      <c r="FFZ61" s="543"/>
      <c r="FGA61" s="543"/>
      <c r="FGB61" s="543"/>
      <c r="FGC61" s="543"/>
      <c r="FGD61" s="543"/>
      <c r="FGE61" s="543"/>
      <c r="FGF61" s="543"/>
      <c r="FGG61" s="543"/>
      <c r="FGH61" s="543"/>
      <c r="FGI61" s="543"/>
      <c r="FGJ61" s="543"/>
      <c r="FGK61" s="543"/>
      <c r="FGL61" s="543"/>
      <c r="FGM61" s="543"/>
      <c r="FGN61" s="543"/>
      <c r="FGO61" s="543"/>
      <c r="FGP61" s="543"/>
      <c r="FGQ61" s="543"/>
      <c r="FGR61" s="543"/>
      <c r="FGS61" s="543"/>
      <c r="FGT61" s="543"/>
      <c r="FGU61" s="543"/>
      <c r="FGV61" s="543"/>
      <c r="FGW61" s="543"/>
      <c r="FGX61" s="543"/>
      <c r="FGY61" s="543"/>
      <c r="FGZ61" s="543"/>
      <c r="FHA61" s="543"/>
      <c r="FHB61" s="543"/>
      <c r="FHC61" s="543"/>
      <c r="FHD61" s="543"/>
      <c r="FHE61" s="543"/>
      <c r="FHF61" s="543"/>
      <c r="FHG61" s="543"/>
      <c r="FHH61" s="543"/>
      <c r="FHI61" s="543"/>
      <c r="FHJ61" s="543"/>
      <c r="FHK61" s="543"/>
      <c r="FHL61" s="543"/>
      <c r="FHM61" s="543"/>
      <c r="FHN61" s="543"/>
      <c r="FHO61" s="543"/>
      <c r="FHP61" s="543"/>
      <c r="FHQ61" s="543"/>
      <c r="FHR61" s="543"/>
      <c r="FHS61" s="543"/>
      <c r="FHT61" s="543"/>
      <c r="FHU61" s="543"/>
      <c r="FHV61" s="543"/>
      <c r="FHW61" s="543"/>
      <c r="FHX61" s="543"/>
      <c r="FHY61" s="543"/>
      <c r="FHZ61" s="543"/>
      <c r="FIA61" s="543"/>
      <c r="FIB61" s="543"/>
      <c r="FIC61" s="543"/>
      <c r="FID61" s="543"/>
      <c r="FIE61" s="543"/>
      <c r="FIF61" s="543"/>
      <c r="FIG61" s="543"/>
      <c r="FIH61" s="543"/>
      <c r="FII61" s="543"/>
      <c r="FIJ61" s="543"/>
      <c r="FIK61" s="543"/>
      <c r="FIL61" s="543"/>
      <c r="FIM61" s="543"/>
      <c r="FIN61" s="543"/>
      <c r="FIO61" s="543"/>
      <c r="FIP61" s="543"/>
      <c r="FIQ61" s="543"/>
      <c r="FIR61" s="543"/>
      <c r="FIS61" s="543"/>
      <c r="FIT61" s="543"/>
      <c r="FIU61" s="543"/>
      <c r="FIV61" s="543"/>
      <c r="FIW61" s="543"/>
      <c r="FIX61" s="543"/>
      <c r="FIY61" s="543"/>
      <c r="FIZ61" s="543"/>
      <c r="FJA61" s="543"/>
      <c r="FJB61" s="543"/>
      <c r="FJC61" s="543"/>
      <c r="FJD61" s="543"/>
      <c r="FJE61" s="543"/>
      <c r="FJF61" s="543"/>
      <c r="FJG61" s="543"/>
      <c r="FJH61" s="543"/>
      <c r="FJI61" s="543"/>
      <c r="FJJ61" s="543"/>
      <c r="FJK61" s="543"/>
      <c r="FJL61" s="543"/>
      <c r="FJM61" s="543"/>
      <c r="FJN61" s="543"/>
      <c r="FJO61" s="543"/>
      <c r="FJP61" s="543"/>
      <c r="FJQ61" s="543"/>
      <c r="FJR61" s="543"/>
      <c r="FJS61" s="543"/>
      <c r="FJT61" s="543"/>
      <c r="FJU61" s="543"/>
      <c r="FJV61" s="543"/>
      <c r="FJW61" s="543"/>
      <c r="FJX61" s="543"/>
      <c r="FJY61" s="543"/>
      <c r="FJZ61" s="543"/>
      <c r="FKA61" s="543"/>
      <c r="FKB61" s="543"/>
      <c r="FKC61" s="543"/>
      <c r="FKD61" s="543"/>
      <c r="FKE61" s="543"/>
      <c r="FKF61" s="543"/>
      <c r="FKG61" s="543"/>
      <c r="FKH61" s="543"/>
      <c r="FKI61" s="543"/>
      <c r="FKJ61" s="543"/>
      <c r="FKK61" s="543"/>
      <c r="FKL61" s="543"/>
      <c r="FKM61" s="543"/>
      <c r="FKN61" s="543"/>
      <c r="FKO61" s="543"/>
      <c r="FKP61" s="543"/>
      <c r="FKQ61" s="543"/>
      <c r="FKR61" s="543"/>
      <c r="FKS61" s="543"/>
      <c r="FKT61" s="543"/>
      <c r="FKU61" s="543"/>
      <c r="FKV61" s="543"/>
      <c r="FKW61" s="543"/>
      <c r="FKX61" s="543"/>
      <c r="FKY61" s="543"/>
      <c r="FKZ61" s="543"/>
      <c r="FLA61" s="543"/>
      <c r="FLB61" s="543"/>
      <c r="FLC61" s="543"/>
      <c r="FLD61" s="543"/>
      <c r="FLE61" s="543"/>
      <c r="FLF61" s="543"/>
      <c r="FLG61" s="543"/>
      <c r="FLH61" s="543"/>
      <c r="FLI61" s="543"/>
      <c r="FLJ61" s="543"/>
      <c r="FLK61" s="543"/>
      <c r="FLL61" s="543"/>
      <c r="FLM61" s="543"/>
      <c r="FLN61" s="543"/>
      <c r="FLO61" s="543"/>
      <c r="FLP61" s="543"/>
      <c r="FLQ61" s="543"/>
      <c r="FLR61" s="543"/>
      <c r="FLS61" s="543"/>
      <c r="FLT61" s="543"/>
      <c r="FLU61" s="543"/>
      <c r="FLV61" s="543"/>
      <c r="FLW61" s="543"/>
      <c r="FLX61" s="543"/>
      <c r="FLY61" s="543"/>
      <c r="FLZ61" s="543"/>
      <c r="FMA61" s="543"/>
      <c r="FMB61" s="543"/>
      <c r="FMC61" s="543"/>
      <c r="FMD61" s="543"/>
      <c r="FME61" s="543"/>
      <c r="FMF61" s="543"/>
      <c r="FMG61" s="543"/>
      <c r="FMH61" s="543"/>
      <c r="FMI61" s="543"/>
      <c r="FMJ61" s="543"/>
      <c r="FMK61" s="543"/>
      <c r="FML61" s="543"/>
      <c r="FMM61" s="543"/>
      <c r="FMN61" s="543"/>
      <c r="FMO61" s="543"/>
      <c r="FMP61" s="543"/>
      <c r="FMQ61" s="543"/>
      <c r="FMR61" s="543"/>
      <c r="FMS61" s="543"/>
      <c r="FMT61" s="543"/>
      <c r="FMU61" s="543"/>
      <c r="FMV61" s="543"/>
      <c r="FMW61" s="543"/>
      <c r="FMX61" s="543"/>
      <c r="FMY61" s="543"/>
      <c r="FMZ61" s="543"/>
      <c r="FNA61" s="543"/>
      <c r="FNB61" s="543"/>
      <c r="FNC61" s="543"/>
      <c r="FND61" s="543"/>
      <c r="FNE61" s="543"/>
      <c r="FNF61" s="543"/>
      <c r="FNG61" s="543"/>
      <c r="FNH61" s="543"/>
      <c r="FNI61" s="543"/>
      <c r="FNJ61" s="543"/>
      <c r="FNK61" s="543"/>
      <c r="FNL61" s="543"/>
      <c r="FNM61" s="543"/>
      <c r="FNN61" s="543"/>
      <c r="FNO61" s="543"/>
      <c r="FNP61" s="543"/>
      <c r="FNQ61" s="543"/>
      <c r="FNR61" s="543"/>
      <c r="FNS61" s="543"/>
      <c r="FNT61" s="543"/>
      <c r="FNU61" s="543"/>
      <c r="FNV61" s="543"/>
      <c r="FNW61" s="543"/>
      <c r="FNX61" s="543"/>
      <c r="FNY61" s="543"/>
      <c r="FNZ61" s="543"/>
      <c r="FOA61" s="543"/>
      <c r="FOB61" s="543"/>
      <c r="FOC61" s="543"/>
      <c r="FOD61" s="543"/>
      <c r="FOE61" s="543"/>
      <c r="FOF61" s="543"/>
      <c r="FOG61" s="543"/>
      <c r="FOH61" s="543"/>
      <c r="FOI61" s="543"/>
      <c r="FOJ61" s="543"/>
      <c r="FOK61" s="543"/>
      <c r="FOL61" s="543"/>
      <c r="FOM61" s="543"/>
      <c r="FON61" s="543"/>
      <c r="FOO61" s="543"/>
      <c r="FOP61" s="543"/>
      <c r="FOQ61" s="543"/>
      <c r="FOR61" s="543"/>
      <c r="FOS61" s="543"/>
      <c r="FOT61" s="543"/>
      <c r="FOU61" s="543"/>
      <c r="FOV61" s="543"/>
      <c r="FOW61" s="543"/>
      <c r="FOX61" s="543"/>
      <c r="FOY61" s="543"/>
      <c r="FOZ61" s="543"/>
      <c r="FPA61" s="543"/>
      <c r="FPB61" s="543"/>
      <c r="FPC61" s="543"/>
      <c r="FPD61" s="543"/>
      <c r="FPE61" s="543"/>
      <c r="FPF61" s="543"/>
      <c r="FPG61" s="543"/>
      <c r="FPH61" s="543"/>
      <c r="FPI61" s="543"/>
      <c r="FPJ61" s="543"/>
      <c r="FPK61" s="543"/>
      <c r="FPL61" s="543"/>
      <c r="FPM61" s="543"/>
      <c r="FPN61" s="543"/>
      <c r="FPO61" s="543"/>
      <c r="FPP61" s="543"/>
      <c r="FPQ61" s="543"/>
      <c r="FPR61" s="543"/>
      <c r="FPS61" s="543"/>
      <c r="FPT61" s="543"/>
      <c r="FPU61" s="543"/>
      <c r="FPV61" s="543"/>
      <c r="FPW61" s="543"/>
      <c r="FPX61" s="543"/>
      <c r="FPY61" s="543"/>
      <c r="FPZ61" s="543"/>
      <c r="FQA61" s="543"/>
      <c r="FQB61" s="543"/>
      <c r="FQC61" s="543"/>
      <c r="FQD61" s="543"/>
      <c r="FQE61" s="543"/>
      <c r="FQF61" s="543"/>
      <c r="FQG61" s="543"/>
      <c r="FQH61" s="543"/>
      <c r="FQI61" s="543"/>
      <c r="FQJ61" s="543"/>
      <c r="FQK61" s="543"/>
      <c r="FQL61" s="543"/>
      <c r="FQM61" s="543"/>
      <c r="FQN61" s="543"/>
      <c r="FQO61" s="543"/>
      <c r="FQP61" s="543"/>
      <c r="FQQ61" s="543"/>
      <c r="FQR61" s="543"/>
      <c r="FQS61" s="543"/>
      <c r="FQT61" s="543"/>
      <c r="FQU61" s="543"/>
      <c r="FQV61" s="543"/>
      <c r="FQW61" s="543"/>
      <c r="FQX61" s="543"/>
      <c r="FQY61" s="543"/>
      <c r="FQZ61" s="543"/>
      <c r="FRA61" s="543"/>
      <c r="FRB61" s="543"/>
      <c r="FRC61" s="543"/>
      <c r="FRD61" s="543"/>
      <c r="FRE61" s="543"/>
      <c r="FRF61" s="543"/>
      <c r="FRG61" s="543"/>
      <c r="FRH61" s="543"/>
      <c r="FRI61" s="543"/>
      <c r="FRJ61" s="543"/>
      <c r="FRK61" s="543"/>
      <c r="FRL61" s="543"/>
      <c r="FRM61" s="543"/>
      <c r="FRN61" s="543"/>
      <c r="FRO61" s="543"/>
      <c r="FRP61" s="543"/>
      <c r="FRQ61" s="543"/>
      <c r="FRR61" s="543"/>
      <c r="FRS61" s="543"/>
      <c r="FRT61" s="543"/>
      <c r="FRU61" s="543"/>
      <c r="FRV61" s="543"/>
      <c r="FRW61" s="543"/>
      <c r="FRX61" s="543"/>
      <c r="FRY61" s="543"/>
      <c r="FRZ61" s="543"/>
      <c r="FSA61" s="543"/>
      <c r="FSB61" s="543"/>
      <c r="FSC61" s="543"/>
      <c r="FSD61" s="543"/>
      <c r="FSE61" s="543"/>
      <c r="FSF61" s="543"/>
      <c r="FSG61" s="543"/>
      <c r="FSH61" s="543"/>
      <c r="FSI61" s="543"/>
      <c r="FSJ61" s="543"/>
      <c r="FSK61" s="543"/>
      <c r="FSL61" s="543"/>
      <c r="FSM61" s="543"/>
      <c r="FSN61" s="543"/>
      <c r="FSO61" s="543"/>
      <c r="FSP61" s="543"/>
      <c r="FSQ61" s="543"/>
      <c r="FSR61" s="543"/>
      <c r="FSS61" s="543"/>
      <c r="FST61" s="543"/>
      <c r="FSU61" s="543"/>
      <c r="FSV61" s="543"/>
      <c r="FSW61" s="543"/>
      <c r="FSX61" s="543"/>
      <c r="FSY61" s="543"/>
      <c r="FSZ61" s="543"/>
      <c r="FTA61" s="543"/>
      <c r="FTB61" s="543"/>
      <c r="FTC61" s="543"/>
      <c r="FTD61" s="543"/>
      <c r="FTE61" s="543"/>
      <c r="FTF61" s="543"/>
      <c r="FTG61" s="543"/>
      <c r="FTH61" s="543"/>
      <c r="FTI61" s="543"/>
      <c r="FTJ61" s="543"/>
      <c r="FTK61" s="543"/>
      <c r="FTL61" s="543"/>
      <c r="FTM61" s="543"/>
      <c r="FTN61" s="543"/>
      <c r="FTO61" s="543"/>
      <c r="FTP61" s="543"/>
      <c r="FTQ61" s="543"/>
      <c r="FTR61" s="543"/>
      <c r="FTS61" s="543"/>
      <c r="FTT61" s="543"/>
      <c r="FTU61" s="543"/>
      <c r="FTV61" s="543"/>
      <c r="FTW61" s="543"/>
      <c r="FTX61" s="543"/>
      <c r="FTY61" s="543"/>
      <c r="FTZ61" s="543"/>
      <c r="FUA61" s="543"/>
      <c r="FUB61" s="543"/>
      <c r="FUC61" s="543"/>
      <c r="FUD61" s="543"/>
      <c r="FUE61" s="543"/>
      <c r="FUF61" s="543"/>
      <c r="FUG61" s="543"/>
      <c r="FUH61" s="543"/>
      <c r="FUI61" s="543"/>
      <c r="FUJ61" s="543"/>
      <c r="FUK61" s="543"/>
      <c r="FUL61" s="543"/>
      <c r="FUM61" s="543"/>
      <c r="FUN61" s="543"/>
      <c r="FUO61" s="543"/>
      <c r="FUP61" s="543"/>
      <c r="FUQ61" s="543"/>
      <c r="FUR61" s="543"/>
      <c r="FUS61" s="543"/>
      <c r="FUT61" s="543"/>
      <c r="FUU61" s="543"/>
      <c r="FUV61" s="543"/>
      <c r="FUW61" s="543"/>
      <c r="FUX61" s="543"/>
      <c r="FUY61" s="543"/>
      <c r="FUZ61" s="543"/>
      <c r="FVA61" s="543"/>
      <c r="FVB61" s="543"/>
      <c r="FVC61" s="543"/>
      <c r="FVD61" s="543"/>
      <c r="FVE61" s="543"/>
      <c r="FVF61" s="543"/>
      <c r="FVG61" s="543"/>
      <c r="FVH61" s="543"/>
      <c r="FVI61" s="543"/>
      <c r="FVJ61" s="543"/>
      <c r="FVK61" s="543"/>
      <c r="FVL61" s="543"/>
      <c r="FVM61" s="543"/>
      <c r="FVN61" s="543"/>
      <c r="FVO61" s="543"/>
      <c r="FVP61" s="543"/>
      <c r="FVQ61" s="543"/>
      <c r="FVR61" s="543"/>
      <c r="FVS61" s="543"/>
      <c r="FVT61" s="543"/>
      <c r="FVU61" s="543"/>
      <c r="FVV61" s="543"/>
      <c r="FVW61" s="543"/>
      <c r="FVX61" s="543"/>
      <c r="FVY61" s="543"/>
      <c r="FVZ61" s="543"/>
      <c r="FWA61" s="543"/>
      <c r="FWB61" s="543"/>
      <c r="FWC61" s="543"/>
      <c r="FWD61" s="543"/>
      <c r="FWE61" s="543"/>
      <c r="FWF61" s="543"/>
      <c r="FWG61" s="543"/>
      <c r="FWH61" s="543"/>
      <c r="FWI61" s="543"/>
      <c r="FWJ61" s="543"/>
      <c r="FWK61" s="543"/>
      <c r="FWL61" s="543"/>
      <c r="FWM61" s="543"/>
      <c r="FWN61" s="543"/>
      <c r="FWO61" s="543"/>
      <c r="FWP61" s="543"/>
      <c r="FWQ61" s="543"/>
      <c r="FWR61" s="543"/>
      <c r="FWS61" s="543"/>
      <c r="FWT61" s="543"/>
      <c r="FWU61" s="543"/>
      <c r="FWV61" s="543"/>
      <c r="FWW61" s="543"/>
      <c r="FWX61" s="543"/>
      <c r="FWY61" s="543"/>
      <c r="FWZ61" s="543"/>
      <c r="FXA61" s="543"/>
      <c r="FXB61" s="543"/>
      <c r="FXC61" s="543"/>
      <c r="FXD61" s="543"/>
      <c r="FXE61" s="543"/>
      <c r="FXF61" s="543"/>
      <c r="FXG61" s="543"/>
      <c r="FXH61" s="543"/>
      <c r="FXI61" s="543"/>
      <c r="FXJ61" s="543"/>
      <c r="FXK61" s="543"/>
      <c r="FXL61" s="543"/>
      <c r="FXM61" s="543"/>
      <c r="FXN61" s="543"/>
      <c r="FXO61" s="543"/>
      <c r="FXP61" s="543"/>
      <c r="FXQ61" s="543"/>
      <c r="FXR61" s="543"/>
      <c r="FXS61" s="543"/>
      <c r="FXT61" s="543"/>
      <c r="FXU61" s="543"/>
      <c r="FXV61" s="543"/>
      <c r="FXW61" s="543"/>
      <c r="FXX61" s="543"/>
      <c r="FXY61" s="543"/>
      <c r="FXZ61" s="543"/>
      <c r="FYA61" s="543"/>
      <c r="FYB61" s="543"/>
      <c r="FYC61" s="543"/>
      <c r="FYD61" s="543"/>
      <c r="FYE61" s="543"/>
      <c r="FYF61" s="543"/>
      <c r="FYG61" s="543"/>
      <c r="FYH61" s="543"/>
      <c r="FYI61" s="543"/>
      <c r="FYJ61" s="543"/>
      <c r="FYK61" s="543"/>
      <c r="FYL61" s="543"/>
      <c r="FYM61" s="543"/>
      <c r="FYN61" s="543"/>
      <c r="FYO61" s="543"/>
      <c r="FYP61" s="543"/>
      <c r="FYQ61" s="543"/>
      <c r="FYR61" s="543"/>
      <c r="FYS61" s="543"/>
      <c r="FYT61" s="543"/>
      <c r="FYU61" s="543"/>
      <c r="FYV61" s="543"/>
      <c r="FYW61" s="543"/>
      <c r="FYX61" s="543"/>
      <c r="FYY61" s="543"/>
      <c r="FYZ61" s="543"/>
      <c r="FZA61" s="543"/>
      <c r="FZB61" s="543"/>
      <c r="FZC61" s="543"/>
      <c r="FZD61" s="543"/>
      <c r="FZE61" s="543"/>
      <c r="FZF61" s="543"/>
      <c r="FZG61" s="543"/>
      <c r="FZH61" s="543"/>
      <c r="FZI61" s="543"/>
      <c r="FZJ61" s="543"/>
      <c r="FZK61" s="543"/>
      <c r="FZL61" s="543"/>
      <c r="FZM61" s="543"/>
      <c r="FZN61" s="543"/>
      <c r="FZO61" s="543"/>
      <c r="FZP61" s="543"/>
      <c r="FZQ61" s="543"/>
      <c r="FZR61" s="543"/>
      <c r="FZS61" s="543"/>
      <c r="FZT61" s="543"/>
      <c r="FZU61" s="543"/>
      <c r="FZV61" s="543"/>
      <c r="FZW61" s="543"/>
      <c r="FZX61" s="543"/>
      <c r="FZY61" s="543"/>
      <c r="FZZ61" s="543"/>
      <c r="GAA61" s="543"/>
      <c r="GAB61" s="543"/>
      <c r="GAC61" s="543"/>
      <c r="GAD61" s="543"/>
      <c r="GAE61" s="543"/>
      <c r="GAF61" s="543"/>
      <c r="GAG61" s="543"/>
      <c r="GAH61" s="543"/>
      <c r="GAI61" s="543"/>
      <c r="GAJ61" s="543"/>
      <c r="GAK61" s="543"/>
      <c r="GAL61" s="543"/>
      <c r="GAM61" s="543"/>
      <c r="GAN61" s="543"/>
      <c r="GAO61" s="543"/>
      <c r="GAP61" s="543"/>
      <c r="GAQ61" s="543"/>
      <c r="GAR61" s="543"/>
      <c r="GAS61" s="543"/>
      <c r="GAT61" s="543"/>
      <c r="GAU61" s="543"/>
      <c r="GAV61" s="543"/>
      <c r="GAW61" s="543"/>
      <c r="GAX61" s="543"/>
      <c r="GAY61" s="543"/>
      <c r="GAZ61" s="543"/>
      <c r="GBA61" s="543"/>
      <c r="GBB61" s="543"/>
      <c r="GBC61" s="543"/>
      <c r="GBD61" s="543"/>
      <c r="GBE61" s="543"/>
      <c r="GBF61" s="543"/>
      <c r="GBG61" s="543"/>
      <c r="GBH61" s="543"/>
      <c r="GBI61" s="543"/>
      <c r="GBJ61" s="543"/>
      <c r="GBK61" s="543"/>
      <c r="GBL61" s="543"/>
      <c r="GBM61" s="543"/>
      <c r="GBN61" s="543"/>
      <c r="GBO61" s="543"/>
      <c r="GBP61" s="543"/>
      <c r="GBQ61" s="543"/>
      <c r="GBR61" s="543"/>
      <c r="GBS61" s="543"/>
      <c r="GBT61" s="543"/>
      <c r="GBU61" s="543"/>
      <c r="GBV61" s="543"/>
      <c r="GBW61" s="543"/>
      <c r="GBX61" s="543"/>
      <c r="GBY61" s="543"/>
      <c r="GBZ61" s="543"/>
      <c r="GCA61" s="543"/>
      <c r="GCB61" s="543"/>
      <c r="GCC61" s="543"/>
      <c r="GCD61" s="543"/>
      <c r="GCE61" s="543"/>
      <c r="GCF61" s="543"/>
      <c r="GCG61" s="543"/>
      <c r="GCH61" s="543"/>
      <c r="GCI61" s="543"/>
      <c r="GCJ61" s="543"/>
      <c r="GCK61" s="543"/>
      <c r="GCL61" s="543"/>
      <c r="GCM61" s="543"/>
      <c r="GCN61" s="543"/>
      <c r="GCO61" s="543"/>
      <c r="GCP61" s="543"/>
      <c r="GCQ61" s="543"/>
      <c r="GCR61" s="543"/>
      <c r="GCS61" s="543"/>
      <c r="GCT61" s="543"/>
      <c r="GCU61" s="543"/>
      <c r="GCV61" s="543"/>
      <c r="GCW61" s="543"/>
      <c r="GCX61" s="543"/>
      <c r="GCY61" s="543"/>
      <c r="GCZ61" s="543"/>
      <c r="GDA61" s="543"/>
      <c r="GDB61" s="543"/>
      <c r="GDC61" s="543"/>
      <c r="GDD61" s="543"/>
      <c r="GDE61" s="543"/>
      <c r="GDF61" s="543"/>
      <c r="GDG61" s="543"/>
      <c r="GDH61" s="543"/>
      <c r="GDI61" s="543"/>
      <c r="GDJ61" s="543"/>
      <c r="GDK61" s="543"/>
      <c r="GDL61" s="543"/>
      <c r="GDM61" s="543"/>
      <c r="GDN61" s="543"/>
      <c r="GDO61" s="543"/>
      <c r="GDP61" s="543"/>
      <c r="GDQ61" s="543"/>
      <c r="GDR61" s="543"/>
      <c r="GDS61" s="543"/>
      <c r="GDT61" s="543"/>
      <c r="GDU61" s="543"/>
      <c r="GDV61" s="543"/>
      <c r="GDW61" s="543"/>
      <c r="GDX61" s="543"/>
      <c r="GDY61" s="543"/>
      <c r="GDZ61" s="543"/>
      <c r="GEA61" s="543"/>
      <c r="GEB61" s="543"/>
      <c r="GEC61" s="543"/>
      <c r="GED61" s="543"/>
      <c r="GEE61" s="543"/>
      <c r="GEF61" s="543"/>
      <c r="GEG61" s="543"/>
      <c r="GEH61" s="543"/>
      <c r="GEI61" s="543"/>
      <c r="GEJ61" s="543"/>
      <c r="GEK61" s="543"/>
      <c r="GEL61" s="543"/>
      <c r="GEM61" s="543"/>
      <c r="GEN61" s="543"/>
      <c r="GEO61" s="543"/>
      <c r="GEP61" s="543"/>
      <c r="GEQ61" s="543"/>
      <c r="GER61" s="543"/>
      <c r="GES61" s="543"/>
      <c r="GET61" s="543"/>
      <c r="GEU61" s="543"/>
      <c r="GEV61" s="543"/>
      <c r="GEW61" s="543"/>
      <c r="GEX61" s="543"/>
      <c r="GEY61" s="543"/>
      <c r="GEZ61" s="543"/>
      <c r="GFA61" s="543"/>
      <c r="GFB61" s="543"/>
      <c r="GFC61" s="543"/>
      <c r="GFD61" s="543"/>
      <c r="GFE61" s="543"/>
      <c r="GFF61" s="543"/>
      <c r="GFG61" s="543"/>
      <c r="GFH61" s="543"/>
      <c r="GFI61" s="543"/>
      <c r="GFJ61" s="543"/>
      <c r="GFK61" s="543"/>
      <c r="GFL61" s="543"/>
      <c r="GFM61" s="543"/>
      <c r="GFN61" s="543"/>
      <c r="GFO61" s="543"/>
      <c r="GFP61" s="543"/>
      <c r="GFQ61" s="543"/>
      <c r="GFR61" s="543"/>
      <c r="GFS61" s="543"/>
      <c r="GFT61" s="543"/>
      <c r="GFU61" s="543"/>
      <c r="GFV61" s="543"/>
      <c r="GFW61" s="543"/>
      <c r="GFX61" s="543"/>
      <c r="GFY61" s="543"/>
      <c r="GFZ61" s="543"/>
      <c r="GGA61" s="543"/>
      <c r="GGB61" s="543"/>
      <c r="GGC61" s="543"/>
      <c r="GGD61" s="543"/>
      <c r="GGE61" s="543"/>
      <c r="GGF61" s="543"/>
      <c r="GGG61" s="543"/>
      <c r="GGH61" s="543"/>
      <c r="GGI61" s="543"/>
      <c r="GGJ61" s="543"/>
      <c r="GGK61" s="543"/>
      <c r="GGL61" s="543"/>
      <c r="GGM61" s="543"/>
      <c r="GGN61" s="543"/>
      <c r="GGO61" s="543"/>
      <c r="GGP61" s="543"/>
      <c r="GGQ61" s="543"/>
      <c r="GGR61" s="543"/>
      <c r="GGS61" s="543"/>
      <c r="GGT61" s="543"/>
      <c r="GGU61" s="543"/>
      <c r="GGV61" s="543"/>
      <c r="GGW61" s="543"/>
      <c r="GGX61" s="543"/>
      <c r="GGY61" s="543"/>
      <c r="GGZ61" s="543"/>
      <c r="GHA61" s="543"/>
      <c r="GHB61" s="543"/>
      <c r="GHC61" s="543"/>
      <c r="GHD61" s="543"/>
      <c r="GHE61" s="543"/>
      <c r="GHF61" s="543"/>
      <c r="GHG61" s="543"/>
      <c r="GHH61" s="543"/>
      <c r="GHI61" s="543"/>
      <c r="GHJ61" s="543"/>
      <c r="GHK61" s="543"/>
      <c r="GHL61" s="543"/>
      <c r="GHM61" s="543"/>
      <c r="GHN61" s="543"/>
      <c r="GHO61" s="543"/>
      <c r="GHP61" s="543"/>
      <c r="GHQ61" s="543"/>
      <c r="GHR61" s="543"/>
      <c r="GHS61" s="543"/>
      <c r="GHT61" s="543"/>
      <c r="GHU61" s="543"/>
      <c r="GHV61" s="543"/>
      <c r="GHW61" s="543"/>
      <c r="GHX61" s="543"/>
      <c r="GHY61" s="543"/>
      <c r="GHZ61" s="543"/>
      <c r="GIA61" s="543"/>
      <c r="GIB61" s="543"/>
      <c r="GIC61" s="543"/>
      <c r="GID61" s="543"/>
      <c r="GIE61" s="543"/>
      <c r="GIF61" s="543"/>
      <c r="GIG61" s="543"/>
      <c r="GIH61" s="543"/>
      <c r="GII61" s="543"/>
      <c r="GIJ61" s="543"/>
      <c r="GIK61" s="543"/>
      <c r="GIL61" s="543"/>
      <c r="GIM61" s="543"/>
      <c r="GIN61" s="543"/>
      <c r="GIO61" s="543"/>
      <c r="GIP61" s="543"/>
      <c r="GIQ61" s="543"/>
      <c r="GIR61" s="543"/>
      <c r="GIS61" s="543"/>
      <c r="GIT61" s="543"/>
      <c r="GIU61" s="543"/>
      <c r="GIV61" s="543"/>
      <c r="GIW61" s="543"/>
      <c r="GIX61" s="543"/>
      <c r="GIY61" s="543"/>
      <c r="GIZ61" s="543"/>
      <c r="GJA61" s="543"/>
      <c r="GJB61" s="543"/>
      <c r="GJC61" s="543"/>
      <c r="GJD61" s="543"/>
      <c r="GJE61" s="543"/>
      <c r="GJF61" s="543"/>
      <c r="GJG61" s="543"/>
      <c r="GJH61" s="543"/>
      <c r="GJI61" s="543"/>
      <c r="GJJ61" s="543"/>
      <c r="GJK61" s="543"/>
      <c r="GJL61" s="543"/>
      <c r="GJM61" s="543"/>
      <c r="GJN61" s="543"/>
      <c r="GJO61" s="543"/>
      <c r="GJP61" s="543"/>
      <c r="GJQ61" s="543"/>
      <c r="GJR61" s="543"/>
      <c r="GJS61" s="543"/>
      <c r="GJT61" s="543"/>
      <c r="GJU61" s="543"/>
      <c r="GJV61" s="543"/>
      <c r="GJW61" s="543"/>
      <c r="GJX61" s="543"/>
      <c r="GJY61" s="543"/>
      <c r="GJZ61" s="543"/>
      <c r="GKA61" s="543"/>
      <c r="GKB61" s="543"/>
      <c r="GKC61" s="543"/>
      <c r="GKD61" s="543"/>
      <c r="GKE61" s="543"/>
      <c r="GKF61" s="543"/>
      <c r="GKG61" s="543"/>
      <c r="GKH61" s="543"/>
      <c r="GKI61" s="543"/>
      <c r="GKJ61" s="543"/>
      <c r="GKK61" s="543"/>
      <c r="GKL61" s="543"/>
      <c r="GKM61" s="543"/>
      <c r="GKN61" s="543"/>
      <c r="GKO61" s="543"/>
      <c r="GKP61" s="543"/>
      <c r="GKQ61" s="543"/>
      <c r="GKR61" s="543"/>
      <c r="GKS61" s="543"/>
      <c r="GKT61" s="543"/>
      <c r="GKU61" s="543"/>
      <c r="GKV61" s="543"/>
      <c r="GKW61" s="543"/>
      <c r="GKX61" s="543"/>
      <c r="GKY61" s="543"/>
      <c r="GKZ61" s="543"/>
      <c r="GLA61" s="543"/>
      <c r="GLB61" s="543"/>
      <c r="GLC61" s="543"/>
      <c r="GLD61" s="543"/>
      <c r="GLE61" s="543"/>
      <c r="GLF61" s="543"/>
      <c r="GLG61" s="543"/>
      <c r="GLH61" s="543"/>
      <c r="GLI61" s="543"/>
      <c r="GLJ61" s="543"/>
      <c r="GLK61" s="543"/>
      <c r="GLL61" s="543"/>
      <c r="GLM61" s="543"/>
      <c r="GLN61" s="543"/>
      <c r="GLO61" s="543"/>
      <c r="GLP61" s="543"/>
      <c r="GLQ61" s="543"/>
      <c r="GLR61" s="543"/>
      <c r="GLS61" s="543"/>
      <c r="GLT61" s="543"/>
      <c r="GLU61" s="543"/>
      <c r="GLV61" s="543"/>
      <c r="GLW61" s="543"/>
      <c r="GLX61" s="543"/>
      <c r="GLY61" s="543"/>
      <c r="GLZ61" s="543"/>
      <c r="GMA61" s="543"/>
      <c r="GMB61" s="543"/>
      <c r="GMC61" s="543"/>
      <c r="GMD61" s="543"/>
      <c r="GME61" s="543"/>
      <c r="GMF61" s="543"/>
      <c r="GMG61" s="543"/>
      <c r="GMH61" s="543"/>
      <c r="GMI61" s="543"/>
      <c r="GMJ61" s="543"/>
      <c r="GMK61" s="543"/>
      <c r="GML61" s="543"/>
      <c r="GMM61" s="543"/>
      <c r="GMN61" s="543"/>
      <c r="GMO61" s="543"/>
      <c r="GMP61" s="543"/>
      <c r="GMQ61" s="543"/>
      <c r="GMR61" s="543"/>
      <c r="GMS61" s="543"/>
      <c r="GMT61" s="543"/>
      <c r="GMU61" s="543"/>
      <c r="GMV61" s="543"/>
      <c r="GMW61" s="543"/>
      <c r="GMX61" s="543"/>
      <c r="GMY61" s="543"/>
      <c r="GMZ61" s="543"/>
      <c r="GNA61" s="543"/>
      <c r="GNB61" s="543"/>
      <c r="GNC61" s="543"/>
      <c r="GND61" s="543"/>
      <c r="GNE61" s="543"/>
      <c r="GNF61" s="543"/>
      <c r="GNG61" s="543"/>
      <c r="GNH61" s="543"/>
      <c r="GNI61" s="543"/>
      <c r="GNJ61" s="543"/>
      <c r="GNK61" s="543"/>
      <c r="GNL61" s="543"/>
      <c r="GNM61" s="543"/>
      <c r="GNN61" s="543"/>
      <c r="GNO61" s="543"/>
      <c r="GNP61" s="543"/>
      <c r="GNQ61" s="543"/>
      <c r="GNR61" s="543"/>
      <c r="GNS61" s="543"/>
      <c r="GNT61" s="543"/>
      <c r="GNU61" s="543"/>
      <c r="GNV61" s="543"/>
      <c r="GNW61" s="543"/>
      <c r="GNX61" s="543"/>
      <c r="GNY61" s="543"/>
      <c r="GNZ61" s="543"/>
      <c r="GOA61" s="543"/>
      <c r="GOB61" s="543"/>
      <c r="GOC61" s="543"/>
      <c r="GOD61" s="543"/>
      <c r="GOE61" s="543"/>
      <c r="GOF61" s="543"/>
      <c r="GOG61" s="543"/>
      <c r="GOH61" s="543"/>
      <c r="GOI61" s="543"/>
      <c r="GOJ61" s="543"/>
      <c r="GOK61" s="543"/>
      <c r="GOL61" s="543"/>
      <c r="GOM61" s="543"/>
      <c r="GON61" s="543"/>
      <c r="GOO61" s="543"/>
      <c r="GOP61" s="543"/>
      <c r="GOQ61" s="543"/>
      <c r="GOR61" s="543"/>
      <c r="GOS61" s="543"/>
      <c r="GOT61" s="543"/>
      <c r="GOU61" s="543"/>
      <c r="GOV61" s="543"/>
      <c r="GOW61" s="543"/>
      <c r="GOX61" s="543"/>
      <c r="GOY61" s="543"/>
      <c r="GOZ61" s="543"/>
      <c r="GPA61" s="543"/>
      <c r="GPB61" s="543"/>
      <c r="GPC61" s="543"/>
      <c r="GPD61" s="543"/>
      <c r="GPE61" s="543"/>
      <c r="GPF61" s="543"/>
      <c r="GPG61" s="543"/>
      <c r="GPH61" s="543"/>
      <c r="GPI61" s="543"/>
      <c r="GPJ61" s="543"/>
      <c r="GPK61" s="543"/>
      <c r="GPL61" s="543"/>
      <c r="GPM61" s="543"/>
      <c r="GPN61" s="543"/>
      <c r="GPO61" s="543"/>
      <c r="GPP61" s="543"/>
      <c r="GPQ61" s="543"/>
      <c r="GPR61" s="543"/>
      <c r="GPS61" s="543"/>
      <c r="GPT61" s="543"/>
      <c r="GPU61" s="543"/>
      <c r="GPV61" s="543"/>
      <c r="GPW61" s="543"/>
      <c r="GPX61" s="543"/>
      <c r="GPY61" s="543"/>
      <c r="GPZ61" s="543"/>
      <c r="GQA61" s="543"/>
      <c r="GQB61" s="543"/>
      <c r="GQC61" s="543"/>
      <c r="GQD61" s="543"/>
      <c r="GQE61" s="543"/>
      <c r="GQF61" s="543"/>
      <c r="GQG61" s="543"/>
      <c r="GQH61" s="543"/>
      <c r="GQI61" s="543"/>
      <c r="GQJ61" s="543"/>
      <c r="GQK61" s="543"/>
      <c r="GQL61" s="543"/>
      <c r="GQM61" s="543"/>
      <c r="GQN61" s="543"/>
      <c r="GQO61" s="543"/>
      <c r="GQP61" s="543"/>
      <c r="GQQ61" s="543"/>
      <c r="GQR61" s="543"/>
      <c r="GQS61" s="543"/>
      <c r="GQT61" s="543"/>
      <c r="GQU61" s="543"/>
      <c r="GQV61" s="543"/>
      <c r="GQW61" s="543"/>
      <c r="GQX61" s="543"/>
      <c r="GQY61" s="543"/>
      <c r="GQZ61" s="543"/>
      <c r="GRA61" s="543"/>
      <c r="GRB61" s="543"/>
      <c r="GRC61" s="543"/>
      <c r="GRD61" s="543"/>
      <c r="GRE61" s="543"/>
      <c r="GRF61" s="543"/>
      <c r="GRG61" s="543"/>
      <c r="GRH61" s="543"/>
      <c r="GRI61" s="543"/>
      <c r="GRJ61" s="543"/>
      <c r="GRK61" s="543"/>
      <c r="GRL61" s="543"/>
      <c r="GRM61" s="543"/>
      <c r="GRN61" s="543"/>
      <c r="GRO61" s="543"/>
      <c r="GRP61" s="543"/>
      <c r="GRQ61" s="543"/>
      <c r="GRR61" s="543"/>
      <c r="GRS61" s="543"/>
      <c r="GRT61" s="543"/>
      <c r="GRU61" s="543"/>
      <c r="GRV61" s="543"/>
      <c r="GRW61" s="543"/>
      <c r="GRX61" s="543"/>
      <c r="GRY61" s="543"/>
      <c r="GRZ61" s="543"/>
      <c r="GSA61" s="543"/>
      <c r="GSB61" s="543"/>
      <c r="GSC61" s="543"/>
      <c r="GSD61" s="543"/>
      <c r="GSE61" s="543"/>
      <c r="GSF61" s="543"/>
      <c r="GSG61" s="543"/>
      <c r="GSH61" s="543"/>
      <c r="GSI61" s="543"/>
      <c r="GSJ61" s="543"/>
      <c r="GSK61" s="543"/>
      <c r="GSL61" s="543"/>
      <c r="GSM61" s="543"/>
      <c r="GSN61" s="543"/>
      <c r="GSO61" s="543"/>
      <c r="GSP61" s="543"/>
      <c r="GSQ61" s="543"/>
      <c r="GSR61" s="543"/>
      <c r="GSS61" s="543"/>
      <c r="GST61" s="543"/>
      <c r="GSU61" s="543"/>
      <c r="GSV61" s="543"/>
      <c r="GSW61" s="543"/>
      <c r="GSX61" s="543"/>
      <c r="GSY61" s="543"/>
      <c r="GSZ61" s="543"/>
      <c r="GTA61" s="543"/>
      <c r="GTB61" s="543"/>
      <c r="GTC61" s="543"/>
      <c r="GTD61" s="543"/>
      <c r="GTE61" s="543"/>
      <c r="GTF61" s="543"/>
      <c r="GTG61" s="543"/>
      <c r="GTH61" s="543"/>
      <c r="GTI61" s="543"/>
      <c r="GTJ61" s="543"/>
      <c r="GTK61" s="543"/>
      <c r="GTL61" s="543"/>
      <c r="GTM61" s="543"/>
      <c r="GTN61" s="543"/>
      <c r="GTO61" s="543"/>
      <c r="GTP61" s="543"/>
      <c r="GTQ61" s="543"/>
      <c r="GTR61" s="543"/>
      <c r="GTS61" s="543"/>
      <c r="GTT61" s="543"/>
      <c r="GTU61" s="543"/>
      <c r="GTV61" s="543"/>
      <c r="GTW61" s="543"/>
      <c r="GTX61" s="543"/>
      <c r="GTY61" s="543"/>
      <c r="GTZ61" s="543"/>
      <c r="GUA61" s="543"/>
      <c r="GUB61" s="543"/>
      <c r="GUC61" s="543"/>
      <c r="GUD61" s="543"/>
      <c r="GUE61" s="543"/>
      <c r="GUF61" s="543"/>
      <c r="GUG61" s="543"/>
      <c r="GUH61" s="543"/>
      <c r="GUI61" s="543"/>
      <c r="GUJ61" s="543"/>
      <c r="GUK61" s="543"/>
      <c r="GUL61" s="543"/>
      <c r="GUM61" s="543"/>
      <c r="GUN61" s="543"/>
      <c r="GUO61" s="543"/>
      <c r="GUP61" s="543"/>
      <c r="GUQ61" s="543"/>
      <c r="GUR61" s="543"/>
      <c r="GUS61" s="543"/>
      <c r="GUT61" s="543"/>
      <c r="GUU61" s="543"/>
      <c r="GUV61" s="543"/>
      <c r="GUW61" s="543"/>
      <c r="GUX61" s="543"/>
      <c r="GUY61" s="543"/>
      <c r="GUZ61" s="543"/>
      <c r="GVA61" s="543"/>
      <c r="GVB61" s="543"/>
      <c r="GVC61" s="543"/>
      <c r="GVD61" s="543"/>
      <c r="GVE61" s="543"/>
      <c r="GVF61" s="543"/>
      <c r="GVG61" s="543"/>
      <c r="GVH61" s="543"/>
      <c r="GVI61" s="543"/>
      <c r="GVJ61" s="543"/>
      <c r="GVK61" s="543"/>
      <c r="GVL61" s="543"/>
      <c r="GVM61" s="543"/>
      <c r="GVN61" s="543"/>
      <c r="GVO61" s="543"/>
      <c r="GVP61" s="543"/>
      <c r="GVQ61" s="543"/>
      <c r="GVR61" s="543"/>
      <c r="GVS61" s="543"/>
      <c r="GVT61" s="543"/>
      <c r="GVU61" s="543"/>
      <c r="GVV61" s="543"/>
      <c r="GVW61" s="543"/>
      <c r="GVX61" s="543"/>
      <c r="GVY61" s="543"/>
      <c r="GVZ61" s="543"/>
      <c r="GWA61" s="543"/>
      <c r="GWB61" s="543"/>
      <c r="GWC61" s="543"/>
      <c r="GWD61" s="543"/>
      <c r="GWE61" s="543"/>
      <c r="GWF61" s="543"/>
      <c r="GWG61" s="543"/>
      <c r="GWH61" s="543"/>
      <c r="GWI61" s="543"/>
      <c r="GWJ61" s="543"/>
      <c r="GWK61" s="543"/>
      <c r="GWL61" s="543"/>
      <c r="GWM61" s="543"/>
      <c r="GWN61" s="543"/>
      <c r="GWO61" s="543"/>
      <c r="GWP61" s="543"/>
      <c r="GWQ61" s="543"/>
      <c r="GWR61" s="543"/>
      <c r="GWS61" s="543"/>
      <c r="GWT61" s="543"/>
      <c r="GWU61" s="543"/>
      <c r="GWV61" s="543"/>
      <c r="GWW61" s="543"/>
      <c r="GWX61" s="543"/>
      <c r="GWY61" s="543"/>
      <c r="GWZ61" s="543"/>
      <c r="GXA61" s="543"/>
      <c r="GXB61" s="543"/>
      <c r="GXC61" s="543"/>
      <c r="GXD61" s="543"/>
      <c r="GXE61" s="543"/>
      <c r="GXF61" s="543"/>
      <c r="GXG61" s="543"/>
      <c r="GXH61" s="543"/>
      <c r="GXI61" s="543"/>
      <c r="GXJ61" s="543"/>
      <c r="GXK61" s="543"/>
      <c r="GXL61" s="543"/>
      <c r="GXM61" s="543"/>
      <c r="GXN61" s="543"/>
      <c r="GXO61" s="543"/>
      <c r="GXP61" s="543"/>
      <c r="GXQ61" s="543"/>
      <c r="GXR61" s="543"/>
      <c r="GXS61" s="543"/>
      <c r="GXT61" s="543"/>
      <c r="GXU61" s="543"/>
      <c r="GXV61" s="543"/>
      <c r="GXW61" s="543"/>
      <c r="GXX61" s="543"/>
      <c r="GXY61" s="543"/>
      <c r="GXZ61" s="543"/>
      <c r="GYA61" s="543"/>
      <c r="GYB61" s="543"/>
      <c r="GYC61" s="543"/>
      <c r="GYD61" s="543"/>
      <c r="GYE61" s="543"/>
      <c r="GYF61" s="543"/>
      <c r="GYG61" s="543"/>
      <c r="GYH61" s="543"/>
      <c r="GYI61" s="543"/>
      <c r="GYJ61" s="543"/>
      <c r="GYK61" s="543"/>
      <c r="GYL61" s="543"/>
      <c r="GYM61" s="543"/>
      <c r="GYN61" s="543"/>
      <c r="GYO61" s="543"/>
      <c r="GYP61" s="543"/>
      <c r="GYQ61" s="543"/>
      <c r="GYR61" s="543"/>
      <c r="GYS61" s="543"/>
      <c r="GYT61" s="543"/>
      <c r="GYU61" s="543"/>
      <c r="GYV61" s="543"/>
      <c r="GYW61" s="543"/>
      <c r="GYX61" s="543"/>
      <c r="GYY61" s="543"/>
      <c r="GYZ61" s="543"/>
      <c r="GZA61" s="543"/>
      <c r="GZB61" s="543"/>
      <c r="GZC61" s="543"/>
      <c r="GZD61" s="543"/>
      <c r="GZE61" s="543"/>
      <c r="GZF61" s="543"/>
      <c r="GZG61" s="543"/>
      <c r="GZH61" s="543"/>
      <c r="GZI61" s="543"/>
      <c r="GZJ61" s="543"/>
      <c r="GZK61" s="543"/>
      <c r="GZL61" s="543"/>
      <c r="GZM61" s="543"/>
      <c r="GZN61" s="543"/>
      <c r="GZO61" s="543"/>
      <c r="GZP61" s="543"/>
      <c r="GZQ61" s="543"/>
      <c r="GZR61" s="543"/>
      <c r="GZS61" s="543"/>
      <c r="GZT61" s="543"/>
      <c r="GZU61" s="543"/>
      <c r="GZV61" s="543"/>
      <c r="GZW61" s="543"/>
      <c r="GZX61" s="543"/>
      <c r="GZY61" s="543"/>
      <c r="GZZ61" s="543"/>
      <c r="HAA61" s="543"/>
      <c r="HAB61" s="543"/>
      <c r="HAC61" s="543"/>
      <c r="HAD61" s="543"/>
      <c r="HAE61" s="543"/>
      <c r="HAF61" s="543"/>
      <c r="HAG61" s="543"/>
      <c r="HAH61" s="543"/>
      <c r="HAI61" s="543"/>
      <c r="HAJ61" s="543"/>
      <c r="HAK61" s="543"/>
      <c r="HAL61" s="543"/>
      <c r="HAM61" s="543"/>
      <c r="HAN61" s="543"/>
      <c r="HAO61" s="543"/>
      <c r="HAP61" s="543"/>
      <c r="HAQ61" s="543"/>
      <c r="HAR61" s="543"/>
      <c r="HAS61" s="543"/>
      <c r="HAT61" s="543"/>
      <c r="HAU61" s="543"/>
      <c r="HAV61" s="543"/>
      <c r="HAW61" s="543"/>
      <c r="HAX61" s="543"/>
      <c r="HAY61" s="543"/>
      <c r="HAZ61" s="543"/>
      <c r="HBA61" s="543"/>
      <c r="HBB61" s="543"/>
      <c r="HBC61" s="543"/>
      <c r="HBD61" s="543"/>
      <c r="HBE61" s="543"/>
      <c r="HBF61" s="543"/>
      <c r="HBG61" s="543"/>
      <c r="HBH61" s="543"/>
      <c r="HBI61" s="543"/>
      <c r="HBJ61" s="543"/>
      <c r="HBK61" s="543"/>
      <c r="HBL61" s="543"/>
      <c r="HBM61" s="543"/>
      <c r="HBN61" s="543"/>
      <c r="HBO61" s="543"/>
      <c r="HBP61" s="543"/>
      <c r="HBQ61" s="543"/>
      <c r="HBR61" s="543"/>
      <c r="HBS61" s="543"/>
      <c r="HBT61" s="543"/>
      <c r="HBU61" s="543"/>
      <c r="HBV61" s="543"/>
      <c r="HBW61" s="543"/>
      <c r="HBX61" s="543"/>
      <c r="HBY61" s="543"/>
      <c r="HBZ61" s="543"/>
      <c r="HCA61" s="543"/>
      <c r="HCB61" s="543"/>
      <c r="HCC61" s="543"/>
      <c r="HCD61" s="543"/>
      <c r="HCE61" s="543"/>
      <c r="HCF61" s="543"/>
      <c r="HCG61" s="543"/>
      <c r="HCH61" s="543"/>
      <c r="HCI61" s="543"/>
      <c r="HCJ61" s="543"/>
      <c r="HCK61" s="543"/>
      <c r="HCL61" s="543"/>
      <c r="HCM61" s="543"/>
      <c r="HCN61" s="543"/>
      <c r="HCO61" s="543"/>
      <c r="HCP61" s="543"/>
      <c r="HCQ61" s="543"/>
      <c r="HCR61" s="543"/>
      <c r="HCS61" s="543"/>
      <c r="HCT61" s="543"/>
      <c r="HCU61" s="543"/>
      <c r="HCV61" s="543"/>
      <c r="HCW61" s="543"/>
      <c r="HCX61" s="543"/>
      <c r="HCY61" s="543"/>
      <c r="HCZ61" s="543"/>
      <c r="HDA61" s="543"/>
      <c r="HDB61" s="543"/>
      <c r="HDC61" s="543"/>
      <c r="HDD61" s="543"/>
      <c r="HDE61" s="543"/>
      <c r="HDF61" s="543"/>
      <c r="HDG61" s="543"/>
      <c r="HDH61" s="543"/>
      <c r="HDI61" s="543"/>
      <c r="HDJ61" s="543"/>
      <c r="HDK61" s="543"/>
      <c r="HDL61" s="543"/>
      <c r="HDM61" s="543"/>
      <c r="HDN61" s="543"/>
      <c r="HDO61" s="543"/>
      <c r="HDP61" s="543"/>
      <c r="HDQ61" s="543"/>
      <c r="HDR61" s="543"/>
      <c r="HDS61" s="543"/>
      <c r="HDT61" s="543"/>
      <c r="HDU61" s="543"/>
      <c r="HDV61" s="543"/>
      <c r="HDW61" s="543"/>
      <c r="HDX61" s="543"/>
      <c r="HDY61" s="543"/>
      <c r="HDZ61" s="543"/>
      <c r="HEA61" s="543"/>
      <c r="HEB61" s="543"/>
      <c r="HEC61" s="543"/>
      <c r="HED61" s="543"/>
      <c r="HEE61" s="543"/>
      <c r="HEF61" s="543"/>
      <c r="HEG61" s="543"/>
      <c r="HEH61" s="543"/>
      <c r="HEI61" s="543"/>
      <c r="HEJ61" s="543"/>
      <c r="HEK61" s="543"/>
      <c r="HEL61" s="543"/>
      <c r="HEM61" s="543"/>
      <c r="HEN61" s="543"/>
      <c r="HEO61" s="543"/>
      <c r="HEP61" s="543"/>
      <c r="HEQ61" s="543"/>
      <c r="HER61" s="543"/>
      <c r="HES61" s="543"/>
      <c r="HET61" s="543"/>
      <c r="HEU61" s="543"/>
      <c r="HEV61" s="543"/>
      <c r="HEW61" s="543"/>
      <c r="HEX61" s="543"/>
      <c r="HEY61" s="543"/>
      <c r="HEZ61" s="543"/>
      <c r="HFA61" s="543"/>
      <c r="HFB61" s="543"/>
      <c r="HFC61" s="543"/>
      <c r="HFD61" s="543"/>
      <c r="HFE61" s="543"/>
      <c r="HFF61" s="543"/>
      <c r="HFG61" s="543"/>
      <c r="HFH61" s="543"/>
      <c r="HFI61" s="543"/>
      <c r="HFJ61" s="543"/>
      <c r="HFK61" s="543"/>
      <c r="HFL61" s="543"/>
      <c r="HFM61" s="543"/>
      <c r="HFN61" s="543"/>
      <c r="HFO61" s="543"/>
      <c r="HFP61" s="543"/>
      <c r="HFQ61" s="543"/>
      <c r="HFR61" s="543"/>
      <c r="HFS61" s="543"/>
      <c r="HFT61" s="543"/>
      <c r="HFU61" s="543"/>
      <c r="HFV61" s="543"/>
      <c r="HFW61" s="543"/>
      <c r="HFX61" s="543"/>
      <c r="HFY61" s="543"/>
      <c r="HFZ61" s="543"/>
      <c r="HGA61" s="543"/>
      <c r="HGB61" s="543"/>
      <c r="HGC61" s="543"/>
      <c r="HGD61" s="543"/>
      <c r="HGE61" s="543"/>
      <c r="HGF61" s="543"/>
      <c r="HGG61" s="543"/>
      <c r="HGH61" s="543"/>
      <c r="HGI61" s="543"/>
      <c r="HGJ61" s="543"/>
      <c r="HGK61" s="543"/>
      <c r="HGL61" s="543"/>
      <c r="HGM61" s="543"/>
      <c r="HGN61" s="543"/>
      <c r="HGO61" s="543"/>
      <c r="HGP61" s="543"/>
      <c r="HGQ61" s="543"/>
      <c r="HGR61" s="543"/>
      <c r="HGS61" s="543"/>
      <c r="HGT61" s="543"/>
      <c r="HGU61" s="543"/>
      <c r="HGV61" s="543"/>
      <c r="HGW61" s="543"/>
      <c r="HGX61" s="543"/>
      <c r="HGY61" s="543"/>
      <c r="HGZ61" s="543"/>
      <c r="HHA61" s="543"/>
      <c r="HHB61" s="543"/>
      <c r="HHC61" s="543"/>
      <c r="HHD61" s="543"/>
      <c r="HHE61" s="543"/>
      <c r="HHF61" s="543"/>
      <c r="HHG61" s="543"/>
      <c r="HHH61" s="543"/>
      <c r="HHI61" s="543"/>
      <c r="HHJ61" s="543"/>
      <c r="HHK61" s="543"/>
      <c r="HHL61" s="543"/>
      <c r="HHM61" s="543"/>
      <c r="HHN61" s="543"/>
      <c r="HHO61" s="543"/>
      <c r="HHP61" s="543"/>
      <c r="HHQ61" s="543"/>
      <c r="HHR61" s="543"/>
      <c r="HHS61" s="543"/>
      <c r="HHT61" s="543"/>
      <c r="HHU61" s="543"/>
      <c r="HHV61" s="543"/>
      <c r="HHW61" s="543"/>
      <c r="HHX61" s="543"/>
      <c r="HHY61" s="543"/>
      <c r="HHZ61" s="543"/>
      <c r="HIA61" s="543"/>
      <c r="HIB61" s="543"/>
      <c r="HIC61" s="543"/>
      <c r="HID61" s="543"/>
      <c r="HIE61" s="543"/>
      <c r="HIF61" s="543"/>
      <c r="HIG61" s="543"/>
      <c r="HIH61" s="543"/>
      <c r="HII61" s="543"/>
      <c r="HIJ61" s="543"/>
      <c r="HIK61" s="543"/>
      <c r="HIL61" s="543"/>
      <c r="HIM61" s="543"/>
      <c r="HIN61" s="543"/>
      <c r="HIO61" s="543"/>
      <c r="HIP61" s="543"/>
      <c r="HIQ61" s="543"/>
      <c r="HIR61" s="543"/>
      <c r="HIS61" s="543"/>
      <c r="HIT61" s="543"/>
      <c r="HIU61" s="543"/>
      <c r="HIV61" s="543"/>
      <c r="HIW61" s="543"/>
      <c r="HIX61" s="543"/>
      <c r="HIY61" s="543"/>
      <c r="HIZ61" s="543"/>
      <c r="HJA61" s="543"/>
      <c r="HJB61" s="543"/>
      <c r="HJC61" s="543"/>
      <c r="HJD61" s="543"/>
      <c r="HJE61" s="543"/>
      <c r="HJF61" s="543"/>
      <c r="HJG61" s="543"/>
      <c r="HJH61" s="543"/>
      <c r="HJI61" s="543"/>
      <c r="HJJ61" s="543"/>
      <c r="HJK61" s="543"/>
      <c r="HJL61" s="543"/>
      <c r="HJM61" s="543"/>
      <c r="HJN61" s="543"/>
      <c r="HJO61" s="543"/>
      <c r="HJP61" s="543"/>
      <c r="HJQ61" s="543"/>
      <c r="HJR61" s="543"/>
      <c r="HJS61" s="543"/>
      <c r="HJT61" s="543"/>
      <c r="HJU61" s="543"/>
      <c r="HJV61" s="543"/>
      <c r="HJW61" s="543"/>
      <c r="HJX61" s="543"/>
      <c r="HJY61" s="543"/>
      <c r="HJZ61" s="543"/>
      <c r="HKA61" s="543"/>
      <c r="HKB61" s="543"/>
      <c r="HKC61" s="543"/>
      <c r="HKD61" s="543"/>
      <c r="HKE61" s="543"/>
      <c r="HKF61" s="543"/>
      <c r="HKG61" s="543"/>
      <c r="HKH61" s="543"/>
      <c r="HKI61" s="543"/>
      <c r="HKJ61" s="543"/>
      <c r="HKK61" s="543"/>
      <c r="HKL61" s="543"/>
      <c r="HKM61" s="543"/>
      <c r="HKN61" s="543"/>
      <c r="HKO61" s="543"/>
      <c r="HKP61" s="543"/>
      <c r="HKQ61" s="543"/>
      <c r="HKR61" s="543"/>
      <c r="HKS61" s="543"/>
      <c r="HKT61" s="543"/>
      <c r="HKU61" s="543"/>
      <c r="HKV61" s="543"/>
      <c r="HKW61" s="543"/>
      <c r="HKX61" s="543"/>
      <c r="HKY61" s="543"/>
      <c r="HKZ61" s="543"/>
      <c r="HLA61" s="543"/>
      <c r="HLB61" s="543"/>
      <c r="HLC61" s="543"/>
      <c r="HLD61" s="543"/>
      <c r="HLE61" s="543"/>
      <c r="HLF61" s="543"/>
      <c r="HLG61" s="543"/>
      <c r="HLH61" s="543"/>
      <c r="HLI61" s="543"/>
      <c r="HLJ61" s="543"/>
      <c r="HLK61" s="543"/>
      <c r="HLL61" s="543"/>
      <c r="HLM61" s="543"/>
      <c r="HLN61" s="543"/>
      <c r="HLO61" s="543"/>
      <c r="HLP61" s="543"/>
      <c r="HLQ61" s="543"/>
      <c r="HLR61" s="543"/>
      <c r="HLS61" s="543"/>
      <c r="HLT61" s="543"/>
      <c r="HLU61" s="543"/>
      <c r="HLV61" s="543"/>
      <c r="HLW61" s="543"/>
      <c r="HLX61" s="543"/>
      <c r="HLY61" s="543"/>
      <c r="HLZ61" s="543"/>
      <c r="HMA61" s="543"/>
      <c r="HMB61" s="543"/>
      <c r="HMC61" s="543"/>
      <c r="HMD61" s="543"/>
      <c r="HME61" s="543"/>
      <c r="HMF61" s="543"/>
      <c r="HMG61" s="543"/>
      <c r="HMH61" s="543"/>
      <c r="HMI61" s="543"/>
      <c r="HMJ61" s="543"/>
      <c r="HMK61" s="543"/>
      <c r="HML61" s="543"/>
      <c r="HMM61" s="543"/>
      <c r="HMN61" s="543"/>
      <c r="HMO61" s="543"/>
      <c r="HMP61" s="543"/>
      <c r="HMQ61" s="543"/>
      <c r="HMR61" s="543"/>
      <c r="HMS61" s="543"/>
      <c r="HMT61" s="543"/>
      <c r="HMU61" s="543"/>
      <c r="HMV61" s="543"/>
      <c r="HMW61" s="543"/>
      <c r="HMX61" s="543"/>
      <c r="HMY61" s="543"/>
      <c r="HMZ61" s="543"/>
      <c r="HNA61" s="543"/>
      <c r="HNB61" s="543"/>
      <c r="HNC61" s="543"/>
      <c r="HND61" s="543"/>
      <c r="HNE61" s="543"/>
      <c r="HNF61" s="543"/>
      <c r="HNG61" s="543"/>
      <c r="HNH61" s="543"/>
      <c r="HNI61" s="543"/>
      <c r="HNJ61" s="543"/>
      <c r="HNK61" s="543"/>
      <c r="HNL61" s="543"/>
      <c r="HNM61" s="543"/>
      <c r="HNN61" s="543"/>
      <c r="HNO61" s="543"/>
      <c r="HNP61" s="543"/>
      <c r="HNQ61" s="543"/>
      <c r="HNR61" s="543"/>
      <c r="HNS61" s="543"/>
      <c r="HNT61" s="543"/>
      <c r="HNU61" s="543"/>
      <c r="HNV61" s="543"/>
      <c r="HNW61" s="543"/>
      <c r="HNX61" s="543"/>
      <c r="HNY61" s="543"/>
      <c r="HNZ61" s="543"/>
      <c r="HOA61" s="543"/>
      <c r="HOB61" s="543"/>
      <c r="HOC61" s="543"/>
      <c r="HOD61" s="543"/>
      <c r="HOE61" s="543"/>
      <c r="HOF61" s="543"/>
      <c r="HOG61" s="543"/>
      <c r="HOH61" s="543"/>
      <c r="HOI61" s="543"/>
      <c r="HOJ61" s="543"/>
      <c r="HOK61" s="543"/>
      <c r="HOL61" s="543"/>
      <c r="HOM61" s="543"/>
      <c r="HON61" s="543"/>
      <c r="HOO61" s="543"/>
      <c r="HOP61" s="543"/>
      <c r="HOQ61" s="543"/>
      <c r="HOR61" s="543"/>
      <c r="HOS61" s="543"/>
      <c r="HOT61" s="543"/>
      <c r="HOU61" s="543"/>
      <c r="HOV61" s="543"/>
      <c r="HOW61" s="543"/>
      <c r="HOX61" s="543"/>
      <c r="HOY61" s="543"/>
      <c r="HOZ61" s="543"/>
      <c r="HPA61" s="543"/>
      <c r="HPB61" s="543"/>
      <c r="HPC61" s="543"/>
      <c r="HPD61" s="543"/>
      <c r="HPE61" s="543"/>
      <c r="HPF61" s="543"/>
      <c r="HPG61" s="543"/>
      <c r="HPH61" s="543"/>
      <c r="HPI61" s="543"/>
      <c r="HPJ61" s="543"/>
      <c r="HPK61" s="543"/>
      <c r="HPL61" s="543"/>
      <c r="HPM61" s="543"/>
      <c r="HPN61" s="543"/>
      <c r="HPO61" s="543"/>
      <c r="HPP61" s="543"/>
      <c r="HPQ61" s="543"/>
      <c r="HPR61" s="543"/>
      <c r="HPS61" s="543"/>
      <c r="HPT61" s="543"/>
      <c r="HPU61" s="543"/>
      <c r="HPV61" s="543"/>
      <c r="HPW61" s="543"/>
      <c r="HPX61" s="543"/>
      <c r="HPY61" s="543"/>
      <c r="HPZ61" s="543"/>
      <c r="HQA61" s="543"/>
      <c r="HQB61" s="543"/>
      <c r="HQC61" s="543"/>
      <c r="HQD61" s="543"/>
      <c r="HQE61" s="543"/>
      <c r="HQF61" s="543"/>
      <c r="HQG61" s="543"/>
      <c r="HQH61" s="543"/>
      <c r="HQI61" s="543"/>
      <c r="HQJ61" s="543"/>
      <c r="HQK61" s="543"/>
      <c r="HQL61" s="543"/>
      <c r="HQM61" s="543"/>
      <c r="HQN61" s="543"/>
      <c r="HQO61" s="543"/>
      <c r="HQP61" s="543"/>
      <c r="HQQ61" s="543"/>
      <c r="HQR61" s="543"/>
      <c r="HQS61" s="543"/>
      <c r="HQT61" s="543"/>
      <c r="HQU61" s="543"/>
      <c r="HQV61" s="543"/>
      <c r="HQW61" s="543"/>
      <c r="HQX61" s="543"/>
      <c r="HQY61" s="543"/>
      <c r="HQZ61" s="543"/>
      <c r="HRA61" s="543"/>
      <c r="HRB61" s="543"/>
      <c r="HRC61" s="543"/>
      <c r="HRD61" s="543"/>
      <c r="HRE61" s="543"/>
      <c r="HRF61" s="543"/>
      <c r="HRG61" s="543"/>
      <c r="HRH61" s="543"/>
      <c r="HRI61" s="543"/>
      <c r="HRJ61" s="543"/>
      <c r="HRK61" s="543"/>
      <c r="HRL61" s="543"/>
      <c r="HRM61" s="543"/>
      <c r="HRN61" s="543"/>
      <c r="HRO61" s="543"/>
      <c r="HRP61" s="543"/>
      <c r="HRQ61" s="543"/>
      <c r="HRR61" s="543"/>
      <c r="HRS61" s="543"/>
      <c r="HRT61" s="543"/>
      <c r="HRU61" s="543"/>
      <c r="HRV61" s="543"/>
      <c r="HRW61" s="543"/>
      <c r="HRX61" s="543"/>
      <c r="HRY61" s="543"/>
      <c r="HRZ61" s="543"/>
      <c r="HSA61" s="543"/>
      <c r="HSB61" s="543"/>
      <c r="HSC61" s="543"/>
      <c r="HSD61" s="543"/>
      <c r="HSE61" s="543"/>
      <c r="HSF61" s="543"/>
      <c r="HSG61" s="543"/>
      <c r="HSH61" s="543"/>
      <c r="HSI61" s="543"/>
      <c r="HSJ61" s="543"/>
      <c r="HSK61" s="543"/>
      <c r="HSL61" s="543"/>
      <c r="HSM61" s="543"/>
      <c r="HSN61" s="543"/>
      <c r="HSO61" s="543"/>
      <c r="HSP61" s="543"/>
      <c r="HSQ61" s="543"/>
      <c r="HSR61" s="543"/>
      <c r="HSS61" s="543"/>
      <c r="HST61" s="543"/>
      <c r="HSU61" s="543"/>
      <c r="HSV61" s="543"/>
      <c r="HSW61" s="543"/>
      <c r="HSX61" s="543"/>
      <c r="HSY61" s="543"/>
      <c r="HSZ61" s="543"/>
      <c r="HTA61" s="543"/>
      <c r="HTB61" s="543"/>
      <c r="HTC61" s="543"/>
      <c r="HTD61" s="543"/>
      <c r="HTE61" s="543"/>
      <c r="HTF61" s="543"/>
      <c r="HTG61" s="543"/>
      <c r="HTH61" s="543"/>
      <c r="HTI61" s="543"/>
      <c r="HTJ61" s="543"/>
      <c r="HTK61" s="543"/>
      <c r="HTL61" s="543"/>
      <c r="HTM61" s="543"/>
      <c r="HTN61" s="543"/>
      <c r="HTO61" s="543"/>
      <c r="HTP61" s="543"/>
      <c r="HTQ61" s="543"/>
      <c r="HTR61" s="543"/>
      <c r="HTS61" s="543"/>
      <c r="HTT61" s="543"/>
      <c r="HTU61" s="543"/>
      <c r="HTV61" s="543"/>
      <c r="HTW61" s="543"/>
      <c r="HTX61" s="543"/>
      <c r="HTY61" s="543"/>
      <c r="HTZ61" s="543"/>
      <c r="HUA61" s="543"/>
      <c r="HUB61" s="543"/>
      <c r="HUC61" s="543"/>
      <c r="HUD61" s="543"/>
      <c r="HUE61" s="543"/>
      <c r="HUF61" s="543"/>
      <c r="HUG61" s="543"/>
      <c r="HUH61" s="543"/>
      <c r="HUI61" s="543"/>
      <c r="HUJ61" s="543"/>
      <c r="HUK61" s="543"/>
      <c r="HUL61" s="543"/>
      <c r="HUM61" s="543"/>
      <c r="HUN61" s="543"/>
      <c r="HUO61" s="543"/>
      <c r="HUP61" s="543"/>
      <c r="HUQ61" s="543"/>
      <c r="HUR61" s="543"/>
      <c r="HUS61" s="543"/>
      <c r="HUT61" s="543"/>
      <c r="HUU61" s="543"/>
      <c r="HUV61" s="543"/>
      <c r="HUW61" s="543"/>
      <c r="HUX61" s="543"/>
      <c r="HUY61" s="543"/>
      <c r="HUZ61" s="543"/>
      <c r="HVA61" s="543"/>
      <c r="HVB61" s="543"/>
      <c r="HVC61" s="543"/>
      <c r="HVD61" s="543"/>
      <c r="HVE61" s="543"/>
      <c r="HVF61" s="543"/>
      <c r="HVG61" s="543"/>
      <c r="HVH61" s="543"/>
      <c r="HVI61" s="543"/>
      <c r="HVJ61" s="543"/>
      <c r="HVK61" s="543"/>
      <c r="HVL61" s="543"/>
      <c r="HVM61" s="543"/>
      <c r="HVN61" s="543"/>
      <c r="HVO61" s="543"/>
      <c r="HVP61" s="543"/>
      <c r="HVQ61" s="543"/>
      <c r="HVR61" s="543"/>
      <c r="HVS61" s="543"/>
      <c r="HVT61" s="543"/>
      <c r="HVU61" s="543"/>
      <c r="HVV61" s="543"/>
      <c r="HVW61" s="543"/>
      <c r="HVX61" s="543"/>
      <c r="HVY61" s="543"/>
      <c r="HVZ61" s="543"/>
      <c r="HWA61" s="543"/>
      <c r="HWB61" s="543"/>
      <c r="HWC61" s="543"/>
      <c r="HWD61" s="543"/>
      <c r="HWE61" s="543"/>
      <c r="HWF61" s="543"/>
      <c r="HWG61" s="543"/>
      <c r="HWH61" s="543"/>
      <c r="HWI61" s="543"/>
      <c r="HWJ61" s="543"/>
      <c r="HWK61" s="543"/>
      <c r="HWL61" s="543"/>
      <c r="HWM61" s="543"/>
      <c r="HWN61" s="543"/>
      <c r="HWO61" s="543"/>
      <c r="HWP61" s="543"/>
      <c r="HWQ61" s="543"/>
      <c r="HWR61" s="543"/>
      <c r="HWS61" s="543"/>
      <c r="HWT61" s="543"/>
      <c r="HWU61" s="543"/>
      <c r="HWV61" s="543"/>
      <c r="HWW61" s="543"/>
      <c r="HWX61" s="543"/>
      <c r="HWY61" s="543"/>
      <c r="HWZ61" s="543"/>
      <c r="HXA61" s="543"/>
      <c r="HXB61" s="543"/>
      <c r="HXC61" s="543"/>
      <c r="HXD61" s="543"/>
      <c r="HXE61" s="543"/>
      <c r="HXF61" s="543"/>
      <c r="HXG61" s="543"/>
      <c r="HXH61" s="543"/>
      <c r="HXI61" s="543"/>
      <c r="HXJ61" s="543"/>
      <c r="HXK61" s="543"/>
      <c r="HXL61" s="543"/>
      <c r="HXM61" s="543"/>
      <c r="HXN61" s="543"/>
      <c r="HXO61" s="543"/>
      <c r="HXP61" s="543"/>
      <c r="HXQ61" s="543"/>
      <c r="HXR61" s="543"/>
      <c r="HXS61" s="543"/>
      <c r="HXT61" s="543"/>
      <c r="HXU61" s="543"/>
      <c r="HXV61" s="543"/>
      <c r="HXW61" s="543"/>
      <c r="HXX61" s="543"/>
      <c r="HXY61" s="543"/>
      <c r="HXZ61" s="543"/>
      <c r="HYA61" s="543"/>
      <c r="HYB61" s="543"/>
      <c r="HYC61" s="543"/>
      <c r="HYD61" s="543"/>
      <c r="HYE61" s="543"/>
      <c r="HYF61" s="543"/>
      <c r="HYG61" s="543"/>
      <c r="HYH61" s="543"/>
      <c r="HYI61" s="543"/>
      <c r="HYJ61" s="543"/>
      <c r="HYK61" s="543"/>
      <c r="HYL61" s="543"/>
      <c r="HYM61" s="543"/>
      <c r="HYN61" s="543"/>
      <c r="HYO61" s="543"/>
      <c r="HYP61" s="543"/>
      <c r="HYQ61" s="543"/>
      <c r="HYR61" s="543"/>
      <c r="HYS61" s="543"/>
      <c r="HYT61" s="543"/>
      <c r="HYU61" s="543"/>
      <c r="HYV61" s="543"/>
      <c r="HYW61" s="543"/>
      <c r="HYX61" s="543"/>
      <c r="HYY61" s="543"/>
      <c r="HYZ61" s="543"/>
      <c r="HZA61" s="543"/>
      <c r="HZB61" s="543"/>
      <c r="HZC61" s="543"/>
      <c r="HZD61" s="543"/>
      <c r="HZE61" s="543"/>
      <c r="HZF61" s="543"/>
      <c r="HZG61" s="543"/>
      <c r="HZH61" s="543"/>
      <c r="HZI61" s="543"/>
      <c r="HZJ61" s="543"/>
      <c r="HZK61" s="543"/>
      <c r="HZL61" s="543"/>
      <c r="HZM61" s="543"/>
      <c r="HZN61" s="543"/>
      <c r="HZO61" s="543"/>
      <c r="HZP61" s="543"/>
      <c r="HZQ61" s="543"/>
      <c r="HZR61" s="543"/>
      <c r="HZS61" s="543"/>
      <c r="HZT61" s="543"/>
      <c r="HZU61" s="543"/>
      <c r="HZV61" s="543"/>
      <c r="HZW61" s="543"/>
      <c r="HZX61" s="543"/>
      <c r="HZY61" s="543"/>
      <c r="HZZ61" s="543"/>
      <c r="IAA61" s="543"/>
      <c r="IAB61" s="543"/>
      <c r="IAC61" s="543"/>
      <c r="IAD61" s="543"/>
      <c r="IAE61" s="543"/>
      <c r="IAF61" s="543"/>
      <c r="IAG61" s="543"/>
      <c r="IAH61" s="543"/>
      <c r="IAI61" s="543"/>
      <c r="IAJ61" s="543"/>
      <c r="IAK61" s="543"/>
      <c r="IAL61" s="543"/>
      <c r="IAM61" s="543"/>
      <c r="IAN61" s="543"/>
      <c r="IAO61" s="543"/>
      <c r="IAP61" s="543"/>
      <c r="IAQ61" s="543"/>
      <c r="IAR61" s="543"/>
      <c r="IAS61" s="543"/>
      <c r="IAT61" s="543"/>
      <c r="IAU61" s="543"/>
      <c r="IAV61" s="543"/>
      <c r="IAW61" s="543"/>
      <c r="IAX61" s="543"/>
      <c r="IAY61" s="543"/>
      <c r="IAZ61" s="543"/>
      <c r="IBA61" s="543"/>
      <c r="IBB61" s="543"/>
      <c r="IBC61" s="543"/>
      <c r="IBD61" s="543"/>
      <c r="IBE61" s="543"/>
      <c r="IBF61" s="543"/>
      <c r="IBG61" s="543"/>
      <c r="IBH61" s="543"/>
      <c r="IBI61" s="543"/>
      <c r="IBJ61" s="543"/>
      <c r="IBK61" s="543"/>
      <c r="IBL61" s="543"/>
      <c r="IBM61" s="543"/>
      <c r="IBN61" s="543"/>
      <c r="IBO61" s="543"/>
      <c r="IBP61" s="543"/>
      <c r="IBQ61" s="543"/>
      <c r="IBR61" s="543"/>
      <c r="IBS61" s="543"/>
      <c r="IBT61" s="543"/>
      <c r="IBU61" s="543"/>
      <c r="IBV61" s="543"/>
      <c r="IBW61" s="543"/>
      <c r="IBX61" s="543"/>
      <c r="IBY61" s="543"/>
      <c r="IBZ61" s="543"/>
      <c r="ICA61" s="543"/>
      <c r="ICB61" s="543"/>
      <c r="ICC61" s="543"/>
      <c r="ICD61" s="543"/>
      <c r="ICE61" s="543"/>
      <c r="ICF61" s="543"/>
      <c r="ICG61" s="543"/>
      <c r="ICH61" s="543"/>
      <c r="ICI61" s="543"/>
      <c r="ICJ61" s="543"/>
      <c r="ICK61" s="543"/>
      <c r="ICL61" s="543"/>
      <c r="ICM61" s="543"/>
      <c r="ICN61" s="543"/>
      <c r="ICO61" s="543"/>
      <c r="ICP61" s="543"/>
      <c r="ICQ61" s="543"/>
      <c r="ICR61" s="543"/>
      <c r="ICS61" s="543"/>
      <c r="ICT61" s="543"/>
      <c r="ICU61" s="543"/>
      <c r="ICV61" s="543"/>
      <c r="ICW61" s="543"/>
      <c r="ICX61" s="543"/>
      <c r="ICY61" s="543"/>
      <c r="ICZ61" s="543"/>
      <c r="IDA61" s="543"/>
      <c r="IDB61" s="543"/>
      <c r="IDC61" s="543"/>
      <c r="IDD61" s="543"/>
      <c r="IDE61" s="543"/>
      <c r="IDF61" s="543"/>
      <c r="IDG61" s="543"/>
      <c r="IDH61" s="543"/>
      <c r="IDI61" s="543"/>
      <c r="IDJ61" s="543"/>
      <c r="IDK61" s="543"/>
      <c r="IDL61" s="543"/>
      <c r="IDM61" s="543"/>
      <c r="IDN61" s="543"/>
      <c r="IDO61" s="543"/>
      <c r="IDP61" s="543"/>
      <c r="IDQ61" s="543"/>
      <c r="IDR61" s="543"/>
      <c r="IDS61" s="543"/>
      <c r="IDT61" s="543"/>
      <c r="IDU61" s="543"/>
      <c r="IDV61" s="543"/>
      <c r="IDW61" s="543"/>
      <c r="IDX61" s="543"/>
      <c r="IDY61" s="543"/>
      <c r="IDZ61" s="543"/>
      <c r="IEA61" s="543"/>
      <c r="IEB61" s="543"/>
      <c r="IEC61" s="543"/>
      <c r="IED61" s="543"/>
      <c r="IEE61" s="543"/>
      <c r="IEF61" s="543"/>
      <c r="IEG61" s="543"/>
      <c r="IEH61" s="543"/>
      <c r="IEI61" s="543"/>
      <c r="IEJ61" s="543"/>
      <c r="IEK61" s="543"/>
      <c r="IEL61" s="543"/>
      <c r="IEM61" s="543"/>
      <c r="IEN61" s="543"/>
      <c r="IEO61" s="543"/>
      <c r="IEP61" s="543"/>
      <c r="IEQ61" s="543"/>
      <c r="IER61" s="543"/>
      <c r="IES61" s="543"/>
      <c r="IET61" s="543"/>
      <c r="IEU61" s="543"/>
      <c r="IEV61" s="543"/>
      <c r="IEW61" s="543"/>
      <c r="IEX61" s="543"/>
      <c r="IEY61" s="543"/>
      <c r="IEZ61" s="543"/>
      <c r="IFA61" s="543"/>
      <c r="IFB61" s="543"/>
      <c r="IFC61" s="543"/>
      <c r="IFD61" s="543"/>
      <c r="IFE61" s="543"/>
      <c r="IFF61" s="543"/>
      <c r="IFG61" s="543"/>
      <c r="IFH61" s="543"/>
      <c r="IFI61" s="543"/>
      <c r="IFJ61" s="543"/>
      <c r="IFK61" s="543"/>
      <c r="IFL61" s="543"/>
      <c r="IFM61" s="543"/>
      <c r="IFN61" s="543"/>
      <c r="IFO61" s="543"/>
      <c r="IFP61" s="543"/>
      <c r="IFQ61" s="543"/>
      <c r="IFR61" s="543"/>
      <c r="IFS61" s="543"/>
      <c r="IFT61" s="543"/>
      <c r="IFU61" s="543"/>
      <c r="IFV61" s="543"/>
      <c r="IFW61" s="543"/>
      <c r="IFX61" s="543"/>
      <c r="IFY61" s="543"/>
      <c r="IFZ61" s="543"/>
      <c r="IGA61" s="543"/>
      <c r="IGB61" s="543"/>
      <c r="IGC61" s="543"/>
      <c r="IGD61" s="543"/>
      <c r="IGE61" s="543"/>
      <c r="IGF61" s="543"/>
      <c r="IGG61" s="543"/>
      <c r="IGH61" s="543"/>
      <c r="IGI61" s="543"/>
      <c r="IGJ61" s="543"/>
      <c r="IGK61" s="543"/>
      <c r="IGL61" s="543"/>
      <c r="IGM61" s="543"/>
      <c r="IGN61" s="543"/>
      <c r="IGO61" s="543"/>
      <c r="IGP61" s="543"/>
      <c r="IGQ61" s="543"/>
      <c r="IGR61" s="543"/>
      <c r="IGS61" s="543"/>
      <c r="IGT61" s="543"/>
      <c r="IGU61" s="543"/>
      <c r="IGV61" s="543"/>
      <c r="IGW61" s="543"/>
      <c r="IGX61" s="543"/>
      <c r="IGY61" s="543"/>
      <c r="IGZ61" s="543"/>
      <c r="IHA61" s="543"/>
      <c r="IHB61" s="543"/>
      <c r="IHC61" s="543"/>
      <c r="IHD61" s="543"/>
      <c r="IHE61" s="543"/>
      <c r="IHF61" s="543"/>
      <c r="IHG61" s="543"/>
      <c r="IHH61" s="543"/>
      <c r="IHI61" s="543"/>
      <c r="IHJ61" s="543"/>
      <c r="IHK61" s="543"/>
      <c r="IHL61" s="543"/>
      <c r="IHM61" s="543"/>
      <c r="IHN61" s="543"/>
      <c r="IHO61" s="543"/>
      <c r="IHP61" s="543"/>
      <c r="IHQ61" s="543"/>
      <c r="IHR61" s="543"/>
      <c r="IHS61" s="543"/>
      <c r="IHT61" s="543"/>
      <c r="IHU61" s="543"/>
      <c r="IHV61" s="543"/>
      <c r="IHW61" s="543"/>
      <c r="IHX61" s="543"/>
      <c r="IHY61" s="543"/>
      <c r="IHZ61" s="543"/>
      <c r="IIA61" s="543"/>
      <c r="IIB61" s="543"/>
      <c r="IIC61" s="543"/>
      <c r="IID61" s="543"/>
      <c r="IIE61" s="543"/>
      <c r="IIF61" s="543"/>
      <c r="IIG61" s="543"/>
      <c r="IIH61" s="543"/>
      <c r="III61" s="543"/>
      <c r="IIJ61" s="543"/>
      <c r="IIK61" s="543"/>
      <c r="IIL61" s="543"/>
      <c r="IIM61" s="543"/>
      <c r="IIN61" s="543"/>
      <c r="IIO61" s="543"/>
      <c r="IIP61" s="543"/>
      <c r="IIQ61" s="543"/>
      <c r="IIR61" s="543"/>
      <c r="IIS61" s="543"/>
      <c r="IIT61" s="543"/>
      <c r="IIU61" s="543"/>
      <c r="IIV61" s="543"/>
      <c r="IIW61" s="543"/>
      <c r="IIX61" s="543"/>
      <c r="IIY61" s="543"/>
      <c r="IIZ61" s="543"/>
      <c r="IJA61" s="543"/>
      <c r="IJB61" s="543"/>
      <c r="IJC61" s="543"/>
      <c r="IJD61" s="543"/>
      <c r="IJE61" s="543"/>
      <c r="IJF61" s="543"/>
      <c r="IJG61" s="543"/>
      <c r="IJH61" s="543"/>
      <c r="IJI61" s="543"/>
      <c r="IJJ61" s="543"/>
      <c r="IJK61" s="543"/>
      <c r="IJL61" s="543"/>
      <c r="IJM61" s="543"/>
      <c r="IJN61" s="543"/>
      <c r="IJO61" s="543"/>
      <c r="IJP61" s="543"/>
      <c r="IJQ61" s="543"/>
      <c r="IJR61" s="543"/>
      <c r="IJS61" s="543"/>
      <c r="IJT61" s="543"/>
      <c r="IJU61" s="543"/>
      <c r="IJV61" s="543"/>
      <c r="IJW61" s="543"/>
      <c r="IJX61" s="543"/>
      <c r="IJY61" s="543"/>
      <c r="IJZ61" s="543"/>
      <c r="IKA61" s="543"/>
      <c r="IKB61" s="543"/>
      <c r="IKC61" s="543"/>
      <c r="IKD61" s="543"/>
      <c r="IKE61" s="543"/>
      <c r="IKF61" s="543"/>
      <c r="IKG61" s="543"/>
      <c r="IKH61" s="543"/>
      <c r="IKI61" s="543"/>
      <c r="IKJ61" s="543"/>
      <c r="IKK61" s="543"/>
      <c r="IKL61" s="543"/>
      <c r="IKM61" s="543"/>
      <c r="IKN61" s="543"/>
      <c r="IKO61" s="543"/>
      <c r="IKP61" s="543"/>
      <c r="IKQ61" s="543"/>
      <c r="IKR61" s="543"/>
      <c r="IKS61" s="543"/>
      <c r="IKT61" s="543"/>
      <c r="IKU61" s="543"/>
      <c r="IKV61" s="543"/>
      <c r="IKW61" s="543"/>
      <c r="IKX61" s="543"/>
      <c r="IKY61" s="543"/>
      <c r="IKZ61" s="543"/>
      <c r="ILA61" s="543"/>
      <c r="ILB61" s="543"/>
      <c r="ILC61" s="543"/>
      <c r="ILD61" s="543"/>
      <c r="ILE61" s="543"/>
      <c r="ILF61" s="543"/>
      <c r="ILG61" s="543"/>
      <c r="ILH61" s="543"/>
      <c r="ILI61" s="543"/>
      <c r="ILJ61" s="543"/>
      <c r="ILK61" s="543"/>
      <c r="ILL61" s="543"/>
      <c r="ILM61" s="543"/>
      <c r="ILN61" s="543"/>
      <c r="ILO61" s="543"/>
      <c r="ILP61" s="543"/>
      <c r="ILQ61" s="543"/>
      <c r="ILR61" s="543"/>
      <c r="ILS61" s="543"/>
      <c r="ILT61" s="543"/>
      <c r="ILU61" s="543"/>
      <c r="ILV61" s="543"/>
      <c r="ILW61" s="543"/>
      <c r="ILX61" s="543"/>
      <c r="ILY61" s="543"/>
      <c r="ILZ61" s="543"/>
      <c r="IMA61" s="543"/>
      <c r="IMB61" s="543"/>
      <c r="IMC61" s="543"/>
      <c r="IMD61" s="543"/>
      <c r="IME61" s="543"/>
      <c r="IMF61" s="543"/>
      <c r="IMG61" s="543"/>
      <c r="IMH61" s="543"/>
      <c r="IMI61" s="543"/>
      <c r="IMJ61" s="543"/>
      <c r="IMK61" s="543"/>
      <c r="IML61" s="543"/>
      <c r="IMM61" s="543"/>
      <c r="IMN61" s="543"/>
      <c r="IMO61" s="543"/>
      <c r="IMP61" s="543"/>
      <c r="IMQ61" s="543"/>
      <c r="IMR61" s="543"/>
      <c r="IMS61" s="543"/>
      <c r="IMT61" s="543"/>
      <c r="IMU61" s="543"/>
      <c r="IMV61" s="543"/>
      <c r="IMW61" s="543"/>
      <c r="IMX61" s="543"/>
      <c r="IMY61" s="543"/>
      <c r="IMZ61" s="543"/>
      <c r="INA61" s="543"/>
      <c r="INB61" s="543"/>
      <c r="INC61" s="543"/>
      <c r="IND61" s="543"/>
      <c r="INE61" s="543"/>
      <c r="INF61" s="543"/>
      <c r="ING61" s="543"/>
      <c r="INH61" s="543"/>
      <c r="INI61" s="543"/>
      <c r="INJ61" s="543"/>
      <c r="INK61" s="543"/>
      <c r="INL61" s="543"/>
      <c r="INM61" s="543"/>
      <c r="INN61" s="543"/>
      <c r="INO61" s="543"/>
      <c r="INP61" s="543"/>
      <c r="INQ61" s="543"/>
      <c r="INR61" s="543"/>
      <c r="INS61" s="543"/>
      <c r="INT61" s="543"/>
      <c r="INU61" s="543"/>
      <c r="INV61" s="543"/>
      <c r="INW61" s="543"/>
      <c r="INX61" s="543"/>
      <c r="INY61" s="543"/>
      <c r="INZ61" s="543"/>
      <c r="IOA61" s="543"/>
      <c r="IOB61" s="543"/>
      <c r="IOC61" s="543"/>
      <c r="IOD61" s="543"/>
      <c r="IOE61" s="543"/>
      <c r="IOF61" s="543"/>
      <c r="IOG61" s="543"/>
      <c r="IOH61" s="543"/>
      <c r="IOI61" s="543"/>
      <c r="IOJ61" s="543"/>
      <c r="IOK61" s="543"/>
      <c r="IOL61" s="543"/>
      <c r="IOM61" s="543"/>
      <c r="ION61" s="543"/>
      <c r="IOO61" s="543"/>
      <c r="IOP61" s="543"/>
      <c r="IOQ61" s="543"/>
      <c r="IOR61" s="543"/>
      <c r="IOS61" s="543"/>
      <c r="IOT61" s="543"/>
      <c r="IOU61" s="543"/>
      <c r="IOV61" s="543"/>
      <c r="IOW61" s="543"/>
      <c r="IOX61" s="543"/>
      <c r="IOY61" s="543"/>
      <c r="IOZ61" s="543"/>
      <c r="IPA61" s="543"/>
      <c r="IPB61" s="543"/>
      <c r="IPC61" s="543"/>
      <c r="IPD61" s="543"/>
      <c r="IPE61" s="543"/>
      <c r="IPF61" s="543"/>
      <c r="IPG61" s="543"/>
      <c r="IPH61" s="543"/>
      <c r="IPI61" s="543"/>
      <c r="IPJ61" s="543"/>
      <c r="IPK61" s="543"/>
      <c r="IPL61" s="543"/>
      <c r="IPM61" s="543"/>
      <c r="IPN61" s="543"/>
      <c r="IPO61" s="543"/>
      <c r="IPP61" s="543"/>
      <c r="IPQ61" s="543"/>
      <c r="IPR61" s="543"/>
      <c r="IPS61" s="543"/>
      <c r="IPT61" s="543"/>
      <c r="IPU61" s="543"/>
      <c r="IPV61" s="543"/>
      <c r="IPW61" s="543"/>
      <c r="IPX61" s="543"/>
      <c r="IPY61" s="543"/>
      <c r="IPZ61" s="543"/>
      <c r="IQA61" s="543"/>
      <c r="IQB61" s="543"/>
      <c r="IQC61" s="543"/>
      <c r="IQD61" s="543"/>
      <c r="IQE61" s="543"/>
      <c r="IQF61" s="543"/>
      <c r="IQG61" s="543"/>
      <c r="IQH61" s="543"/>
      <c r="IQI61" s="543"/>
      <c r="IQJ61" s="543"/>
      <c r="IQK61" s="543"/>
      <c r="IQL61" s="543"/>
      <c r="IQM61" s="543"/>
      <c r="IQN61" s="543"/>
      <c r="IQO61" s="543"/>
      <c r="IQP61" s="543"/>
      <c r="IQQ61" s="543"/>
      <c r="IQR61" s="543"/>
      <c r="IQS61" s="543"/>
      <c r="IQT61" s="543"/>
      <c r="IQU61" s="543"/>
      <c r="IQV61" s="543"/>
      <c r="IQW61" s="543"/>
      <c r="IQX61" s="543"/>
      <c r="IQY61" s="543"/>
      <c r="IQZ61" s="543"/>
      <c r="IRA61" s="543"/>
      <c r="IRB61" s="543"/>
      <c r="IRC61" s="543"/>
      <c r="IRD61" s="543"/>
      <c r="IRE61" s="543"/>
      <c r="IRF61" s="543"/>
      <c r="IRG61" s="543"/>
      <c r="IRH61" s="543"/>
      <c r="IRI61" s="543"/>
      <c r="IRJ61" s="543"/>
      <c r="IRK61" s="543"/>
      <c r="IRL61" s="543"/>
      <c r="IRM61" s="543"/>
      <c r="IRN61" s="543"/>
      <c r="IRO61" s="543"/>
      <c r="IRP61" s="543"/>
      <c r="IRQ61" s="543"/>
      <c r="IRR61" s="543"/>
      <c r="IRS61" s="543"/>
      <c r="IRT61" s="543"/>
      <c r="IRU61" s="543"/>
      <c r="IRV61" s="543"/>
      <c r="IRW61" s="543"/>
      <c r="IRX61" s="543"/>
      <c r="IRY61" s="543"/>
      <c r="IRZ61" s="543"/>
      <c r="ISA61" s="543"/>
      <c r="ISB61" s="543"/>
      <c r="ISC61" s="543"/>
      <c r="ISD61" s="543"/>
      <c r="ISE61" s="543"/>
      <c r="ISF61" s="543"/>
      <c r="ISG61" s="543"/>
      <c r="ISH61" s="543"/>
      <c r="ISI61" s="543"/>
      <c r="ISJ61" s="543"/>
      <c r="ISK61" s="543"/>
      <c r="ISL61" s="543"/>
      <c r="ISM61" s="543"/>
      <c r="ISN61" s="543"/>
      <c r="ISO61" s="543"/>
      <c r="ISP61" s="543"/>
      <c r="ISQ61" s="543"/>
      <c r="ISR61" s="543"/>
      <c r="ISS61" s="543"/>
      <c r="IST61" s="543"/>
      <c r="ISU61" s="543"/>
      <c r="ISV61" s="543"/>
      <c r="ISW61" s="543"/>
      <c r="ISX61" s="543"/>
      <c r="ISY61" s="543"/>
      <c r="ISZ61" s="543"/>
      <c r="ITA61" s="543"/>
      <c r="ITB61" s="543"/>
      <c r="ITC61" s="543"/>
      <c r="ITD61" s="543"/>
      <c r="ITE61" s="543"/>
      <c r="ITF61" s="543"/>
      <c r="ITG61" s="543"/>
      <c r="ITH61" s="543"/>
      <c r="ITI61" s="543"/>
      <c r="ITJ61" s="543"/>
      <c r="ITK61" s="543"/>
      <c r="ITL61" s="543"/>
      <c r="ITM61" s="543"/>
      <c r="ITN61" s="543"/>
      <c r="ITO61" s="543"/>
      <c r="ITP61" s="543"/>
      <c r="ITQ61" s="543"/>
      <c r="ITR61" s="543"/>
      <c r="ITS61" s="543"/>
      <c r="ITT61" s="543"/>
      <c r="ITU61" s="543"/>
      <c r="ITV61" s="543"/>
      <c r="ITW61" s="543"/>
      <c r="ITX61" s="543"/>
      <c r="ITY61" s="543"/>
      <c r="ITZ61" s="543"/>
      <c r="IUA61" s="543"/>
      <c r="IUB61" s="543"/>
      <c r="IUC61" s="543"/>
      <c r="IUD61" s="543"/>
      <c r="IUE61" s="543"/>
      <c r="IUF61" s="543"/>
      <c r="IUG61" s="543"/>
      <c r="IUH61" s="543"/>
      <c r="IUI61" s="543"/>
      <c r="IUJ61" s="543"/>
      <c r="IUK61" s="543"/>
      <c r="IUL61" s="543"/>
      <c r="IUM61" s="543"/>
      <c r="IUN61" s="543"/>
      <c r="IUO61" s="543"/>
      <c r="IUP61" s="543"/>
      <c r="IUQ61" s="543"/>
      <c r="IUR61" s="543"/>
      <c r="IUS61" s="543"/>
      <c r="IUT61" s="543"/>
      <c r="IUU61" s="543"/>
      <c r="IUV61" s="543"/>
      <c r="IUW61" s="543"/>
      <c r="IUX61" s="543"/>
      <c r="IUY61" s="543"/>
      <c r="IUZ61" s="543"/>
      <c r="IVA61" s="543"/>
      <c r="IVB61" s="543"/>
      <c r="IVC61" s="543"/>
      <c r="IVD61" s="543"/>
      <c r="IVE61" s="543"/>
      <c r="IVF61" s="543"/>
      <c r="IVG61" s="543"/>
      <c r="IVH61" s="543"/>
      <c r="IVI61" s="543"/>
      <c r="IVJ61" s="543"/>
      <c r="IVK61" s="543"/>
      <c r="IVL61" s="543"/>
      <c r="IVM61" s="543"/>
      <c r="IVN61" s="543"/>
      <c r="IVO61" s="543"/>
      <c r="IVP61" s="543"/>
      <c r="IVQ61" s="543"/>
      <c r="IVR61" s="543"/>
      <c r="IVS61" s="543"/>
      <c r="IVT61" s="543"/>
      <c r="IVU61" s="543"/>
      <c r="IVV61" s="543"/>
      <c r="IVW61" s="543"/>
      <c r="IVX61" s="543"/>
      <c r="IVY61" s="543"/>
      <c r="IVZ61" s="543"/>
      <c r="IWA61" s="543"/>
      <c r="IWB61" s="543"/>
      <c r="IWC61" s="543"/>
      <c r="IWD61" s="543"/>
      <c r="IWE61" s="543"/>
      <c r="IWF61" s="543"/>
      <c r="IWG61" s="543"/>
      <c r="IWH61" s="543"/>
      <c r="IWI61" s="543"/>
      <c r="IWJ61" s="543"/>
      <c r="IWK61" s="543"/>
      <c r="IWL61" s="543"/>
      <c r="IWM61" s="543"/>
      <c r="IWN61" s="543"/>
      <c r="IWO61" s="543"/>
      <c r="IWP61" s="543"/>
      <c r="IWQ61" s="543"/>
      <c r="IWR61" s="543"/>
      <c r="IWS61" s="543"/>
      <c r="IWT61" s="543"/>
      <c r="IWU61" s="543"/>
      <c r="IWV61" s="543"/>
      <c r="IWW61" s="543"/>
      <c r="IWX61" s="543"/>
      <c r="IWY61" s="543"/>
      <c r="IWZ61" s="543"/>
      <c r="IXA61" s="543"/>
      <c r="IXB61" s="543"/>
      <c r="IXC61" s="543"/>
      <c r="IXD61" s="543"/>
      <c r="IXE61" s="543"/>
      <c r="IXF61" s="543"/>
      <c r="IXG61" s="543"/>
      <c r="IXH61" s="543"/>
      <c r="IXI61" s="543"/>
      <c r="IXJ61" s="543"/>
      <c r="IXK61" s="543"/>
      <c r="IXL61" s="543"/>
      <c r="IXM61" s="543"/>
      <c r="IXN61" s="543"/>
      <c r="IXO61" s="543"/>
      <c r="IXP61" s="543"/>
      <c r="IXQ61" s="543"/>
      <c r="IXR61" s="543"/>
      <c r="IXS61" s="543"/>
      <c r="IXT61" s="543"/>
      <c r="IXU61" s="543"/>
      <c r="IXV61" s="543"/>
      <c r="IXW61" s="543"/>
      <c r="IXX61" s="543"/>
      <c r="IXY61" s="543"/>
      <c r="IXZ61" s="543"/>
      <c r="IYA61" s="543"/>
      <c r="IYB61" s="543"/>
      <c r="IYC61" s="543"/>
      <c r="IYD61" s="543"/>
      <c r="IYE61" s="543"/>
      <c r="IYF61" s="543"/>
      <c r="IYG61" s="543"/>
      <c r="IYH61" s="543"/>
      <c r="IYI61" s="543"/>
      <c r="IYJ61" s="543"/>
      <c r="IYK61" s="543"/>
      <c r="IYL61" s="543"/>
      <c r="IYM61" s="543"/>
      <c r="IYN61" s="543"/>
      <c r="IYO61" s="543"/>
      <c r="IYP61" s="543"/>
      <c r="IYQ61" s="543"/>
      <c r="IYR61" s="543"/>
      <c r="IYS61" s="543"/>
      <c r="IYT61" s="543"/>
      <c r="IYU61" s="543"/>
      <c r="IYV61" s="543"/>
      <c r="IYW61" s="543"/>
      <c r="IYX61" s="543"/>
      <c r="IYY61" s="543"/>
      <c r="IYZ61" s="543"/>
      <c r="IZA61" s="543"/>
      <c r="IZB61" s="543"/>
      <c r="IZC61" s="543"/>
      <c r="IZD61" s="543"/>
      <c r="IZE61" s="543"/>
      <c r="IZF61" s="543"/>
      <c r="IZG61" s="543"/>
      <c r="IZH61" s="543"/>
      <c r="IZI61" s="543"/>
      <c r="IZJ61" s="543"/>
      <c r="IZK61" s="543"/>
      <c r="IZL61" s="543"/>
      <c r="IZM61" s="543"/>
      <c r="IZN61" s="543"/>
      <c r="IZO61" s="543"/>
      <c r="IZP61" s="543"/>
      <c r="IZQ61" s="543"/>
      <c r="IZR61" s="543"/>
      <c r="IZS61" s="543"/>
      <c r="IZT61" s="543"/>
      <c r="IZU61" s="543"/>
      <c r="IZV61" s="543"/>
      <c r="IZW61" s="543"/>
      <c r="IZX61" s="543"/>
      <c r="IZY61" s="543"/>
      <c r="IZZ61" s="543"/>
      <c r="JAA61" s="543"/>
      <c r="JAB61" s="543"/>
      <c r="JAC61" s="543"/>
      <c r="JAD61" s="543"/>
      <c r="JAE61" s="543"/>
      <c r="JAF61" s="543"/>
      <c r="JAG61" s="543"/>
      <c r="JAH61" s="543"/>
      <c r="JAI61" s="543"/>
      <c r="JAJ61" s="543"/>
      <c r="JAK61" s="543"/>
      <c r="JAL61" s="543"/>
      <c r="JAM61" s="543"/>
      <c r="JAN61" s="543"/>
      <c r="JAO61" s="543"/>
      <c r="JAP61" s="543"/>
      <c r="JAQ61" s="543"/>
      <c r="JAR61" s="543"/>
      <c r="JAS61" s="543"/>
      <c r="JAT61" s="543"/>
      <c r="JAU61" s="543"/>
      <c r="JAV61" s="543"/>
      <c r="JAW61" s="543"/>
      <c r="JAX61" s="543"/>
      <c r="JAY61" s="543"/>
      <c r="JAZ61" s="543"/>
      <c r="JBA61" s="543"/>
      <c r="JBB61" s="543"/>
      <c r="JBC61" s="543"/>
      <c r="JBD61" s="543"/>
      <c r="JBE61" s="543"/>
      <c r="JBF61" s="543"/>
      <c r="JBG61" s="543"/>
      <c r="JBH61" s="543"/>
      <c r="JBI61" s="543"/>
      <c r="JBJ61" s="543"/>
      <c r="JBK61" s="543"/>
      <c r="JBL61" s="543"/>
      <c r="JBM61" s="543"/>
      <c r="JBN61" s="543"/>
      <c r="JBO61" s="543"/>
      <c r="JBP61" s="543"/>
      <c r="JBQ61" s="543"/>
      <c r="JBR61" s="543"/>
      <c r="JBS61" s="543"/>
      <c r="JBT61" s="543"/>
      <c r="JBU61" s="543"/>
      <c r="JBV61" s="543"/>
      <c r="JBW61" s="543"/>
      <c r="JBX61" s="543"/>
      <c r="JBY61" s="543"/>
      <c r="JBZ61" s="543"/>
      <c r="JCA61" s="543"/>
      <c r="JCB61" s="543"/>
      <c r="JCC61" s="543"/>
      <c r="JCD61" s="543"/>
      <c r="JCE61" s="543"/>
      <c r="JCF61" s="543"/>
      <c r="JCG61" s="543"/>
      <c r="JCH61" s="543"/>
      <c r="JCI61" s="543"/>
      <c r="JCJ61" s="543"/>
      <c r="JCK61" s="543"/>
      <c r="JCL61" s="543"/>
      <c r="JCM61" s="543"/>
      <c r="JCN61" s="543"/>
      <c r="JCO61" s="543"/>
      <c r="JCP61" s="543"/>
      <c r="JCQ61" s="543"/>
      <c r="JCR61" s="543"/>
      <c r="JCS61" s="543"/>
      <c r="JCT61" s="543"/>
      <c r="JCU61" s="543"/>
      <c r="JCV61" s="543"/>
      <c r="JCW61" s="543"/>
      <c r="JCX61" s="543"/>
      <c r="JCY61" s="543"/>
      <c r="JCZ61" s="543"/>
      <c r="JDA61" s="543"/>
      <c r="JDB61" s="543"/>
      <c r="JDC61" s="543"/>
      <c r="JDD61" s="543"/>
      <c r="JDE61" s="543"/>
      <c r="JDF61" s="543"/>
      <c r="JDG61" s="543"/>
      <c r="JDH61" s="543"/>
      <c r="JDI61" s="543"/>
      <c r="JDJ61" s="543"/>
      <c r="JDK61" s="543"/>
      <c r="JDL61" s="543"/>
      <c r="JDM61" s="543"/>
      <c r="JDN61" s="543"/>
      <c r="JDO61" s="543"/>
      <c r="JDP61" s="543"/>
      <c r="JDQ61" s="543"/>
      <c r="JDR61" s="543"/>
      <c r="JDS61" s="543"/>
      <c r="JDT61" s="543"/>
      <c r="JDU61" s="543"/>
      <c r="JDV61" s="543"/>
      <c r="JDW61" s="543"/>
      <c r="JDX61" s="543"/>
      <c r="JDY61" s="543"/>
      <c r="JDZ61" s="543"/>
      <c r="JEA61" s="543"/>
      <c r="JEB61" s="543"/>
      <c r="JEC61" s="543"/>
      <c r="JED61" s="543"/>
      <c r="JEE61" s="543"/>
      <c r="JEF61" s="543"/>
      <c r="JEG61" s="543"/>
      <c r="JEH61" s="543"/>
      <c r="JEI61" s="543"/>
      <c r="JEJ61" s="543"/>
      <c r="JEK61" s="543"/>
      <c r="JEL61" s="543"/>
      <c r="JEM61" s="543"/>
      <c r="JEN61" s="543"/>
      <c r="JEO61" s="543"/>
      <c r="JEP61" s="543"/>
      <c r="JEQ61" s="543"/>
      <c r="JER61" s="543"/>
      <c r="JES61" s="543"/>
      <c r="JET61" s="543"/>
      <c r="JEU61" s="543"/>
      <c r="JEV61" s="543"/>
      <c r="JEW61" s="543"/>
      <c r="JEX61" s="543"/>
      <c r="JEY61" s="543"/>
      <c r="JEZ61" s="543"/>
      <c r="JFA61" s="543"/>
      <c r="JFB61" s="543"/>
      <c r="JFC61" s="543"/>
      <c r="JFD61" s="543"/>
      <c r="JFE61" s="543"/>
      <c r="JFF61" s="543"/>
      <c r="JFG61" s="543"/>
      <c r="JFH61" s="543"/>
      <c r="JFI61" s="543"/>
      <c r="JFJ61" s="543"/>
      <c r="JFK61" s="543"/>
      <c r="JFL61" s="543"/>
      <c r="JFM61" s="543"/>
      <c r="JFN61" s="543"/>
      <c r="JFO61" s="543"/>
      <c r="JFP61" s="543"/>
      <c r="JFQ61" s="543"/>
      <c r="JFR61" s="543"/>
      <c r="JFS61" s="543"/>
      <c r="JFT61" s="543"/>
      <c r="JFU61" s="543"/>
      <c r="JFV61" s="543"/>
      <c r="JFW61" s="543"/>
      <c r="JFX61" s="543"/>
      <c r="JFY61" s="543"/>
      <c r="JFZ61" s="543"/>
      <c r="JGA61" s="543"/>
      <c r="JGB61" s="543"/>
      <c r="JGC61" s="543"/>
      <c r="JGD61" s="543"/>
      <c r="JGE61" s="543"/>
      <c r="JGF61" s="543"/>
      <c r="JGG61" s="543"/>
      <c r="JGH61" s="543"/>
      <c r="JGI61" s="543"/>
      <c r="JGJ61" s="543"/>
      <c r="JGK61" s="543"/>
      <c r="JGL61" s="543"/>
      <c r="JGM61" s="543"/>
      <c r="JGN61" s="543"/>
      <c r="JGO61" s="543"/>
      <c r="JGP61" s="543"/>
      <c r="JGQ61" s="543"/>
      <c r="JGR61" s="543"/>
      <c r="JGS61" s="543"/>
      <c r="JGT61" s="543"/>
      <c r="JGU61" s="543"/>
      <c r="JGV61" s="543"/>
      <c r="JGW61" s="543"/>
      <c r="JGX61" s="543"/>
      <c r="JGY61" s="543"/>
      <c r="JGZ61" s="543"/>
      <c r="JHA61" s="543"/>
      <c r="JHB61" s="543"/>
      <c r="JHC61" s="543"/>
      <c r="JHD61" s="543"/>
      <c r="JHE61" s="543"/>
      <c r="JHF61" s="543"/>
      <c r="JHG61" s="543"/>
      <c r="JHH61" s="543"/>
      <c r="JHI61" s="543"/>
      <c r="JHJ61" s="543"/>
      <c r="JHK61" s="543"/>
      <c r="JHL61" s="543"/>
      <c r="JHM61" s="543"/>
      <c r="JHN61" s="543"/>
      <c r="JHO61" s="543"/>
      <c r="JHP61" s="543"/>
      <c r="JHQ61" s="543"/>
      <c r="JHR61" s="543"/>
      <c r="JHS61" s="543"/>
      <c r="JHT61" s="543"/>
      <c r="JHU61" s="543"/>
      <c r="JHV61" s="543"/>
      <c r="JHW61" s="543"/>
      <c r="JHX61" s="543"/>
      <c r="JHY61" s="543"/>
      <c r="JHZ61" s="543"/>
      <c r="JIA61" s="543"/>
      <c r="JIB61" s="543"/>
      <c r="JIC61" s="543"/>
      <c r="JID61" s="543"/>
      <c r="JIE61" s="543"/>
      <c r="JIF61" s="543"/>
      <c r="JIG61" s="543"/>
      <c r="JIH61" s="543"/>
      <c r="JII61" s="543"/>
      <c r="JIJ61" s="543"/>
      <c r="JIK61" s="543"/>
      <c r="JIL61" s="543"/>
      <c r="JIM61" s="543"/>
      <c r="JIN61" s="543"/>
      <c r="JIO61" s="543"/>
      <c r="JIP61" s="543"/>
      <c r="JIQ61" s="543"/>
      <c r="JIR61" s="543"/>
      <c r="JIS61" s="543"/>
      <c r="JIT61" s="543"/>
      <c r="JIU61" s="543"/>
      <c r="JIV61" s="543"/>
      <c r="JIW61" s="543"/>
      <c r="JIX61" s="543"/>
      <c r="JIY61" s="543"/>
      <c r="JIZ61" s="543"/>
      <c r="JJA61" s="543"/>
      <c r="JJB61" s="543"/>
      <c r="JJC61" s="543"/>
      <c r="JJD61" s="543"/>
      <c r="JJE61" s="543"/>
      <c r="JJF61" s="543"/>
      <c r="JJG61" s="543"/>
      <c r="JJH61" s="543"/>
      <c r="JJI61" s="543"/>
      <c r="JJJ61" s="543"/>
      <c r="JJK61" s="543"/>
      <c r="JJL61" s="543"/>
      <c r="JJM61" s="543"/>
      <c r="JJN61" s="543"/>
      <c r="JJO61" s="543"/>
      <c r="JJP61" s="543"/>
      <c r="JJQ61" s="543"/>
      <c r="JJR61" s="543"/>
      <c r="JJS61" s="543"/>
      <c r="JJT61" s="543"/>
      <c r="JJU61" s="543"/>
      <c r="JJV61" s="543"/>
      <c r="JJW61" s="543"/>
      <c r="JJX61" s="543"/>
      <c r="JJY61" s="543"/>
      <c r="JJZ61" s="543"/>
      <c r="JKA61" s="543"/>
      <c r="JKB61" s="543"/>
      <c r="JKC61" s="543"/>
      <c r="JKD61" s="543"/>
      <c r="JKE61" s="543"/>
      <c r="JKF61" s="543"/>
      <c r="JKG61" s="543"/>
      <c r="JKH61" s="543"/>
      <c r="JKI61" s="543"/>
      <c r="JKJ61" s="543"/>
      <c r="JKK61" s="543"/>
      <c r="JKL61" s="543"/>
      <c r="JKM61" s="543"/>
      <c r="JKN61" s="543"/>
      <c r="JKO61" s="543"/>
      <c r="JKP61" s="543"/>
      <c r="JKQ61" s="543"/>
      <c r="JKR61" s="543"/>
      <c r="JKS61" s="543"/>
      <c r="JKT61" s="543"/>
      <c r="JKU61" s="543"/>
      <c r="JKV61" s="543"/>
      <c r="JKW61" s="543"/>
      <c r="JKX61" s="543"/>
      <c r="JKY61" s="543"/>
      <c r="JKZ61" s="543"/>
      <c r="JLA61" s="543"/>
      <c r="JLB61" s="543"/>
      <c r="JLC61" s="543"/>
      <c r="JLD61" s="543"/>
      <c r="JLE61" s="543"/>
      <c r="JLF61" s="543"/>
      <c r="JLG61" s="543"/>
      <c r="JLH61" s="543"/>
      <c r="JLI61" s="543"/>
      <c r="JLJ61" s="543"/>
      <c r="JLK61" s="543"/>
      <c r="JLL61" s="543"/>
      <c r="JLM61" s="543"/>
      <c r="JLN61" s="543"/>
      <c r="JLO61" s="543"/>
      <c r="JLP61" s="543"/>
      <c r="JLQ61" s="543"/>
      <c r="JLR61" s="543"/>
      <c r="JLS61" s="543"/>
      <c r="JLT61" s="543"/>
      <c r="JLU61" s="543"/>
      <c r="JLV61" s="543"/>
      <c r="JLW61" s="543"/>
      <c r="JLX61" s="543"/>
      <c r="JLY61" s="543"/>
      <c r="JLZ61" s="543"/>
      <c r="JMA61" s="543"/>
      <c r="JMB61" s="543"/>
      <c r="JMC61" s="543"/>
      <c r="JMD61" s="543"/>
      <c r="JME61" s="543"/>
      <c r="JMF61" s="543"/>
      <c r="JMG61" s="543"/>
      <c r="JMH61" s="543"/>
      <c r="JMI61" s="543"/>
      <c r="JMJ61" s="543"/>
      <c r="JMK61" s="543"/>
      <c r="JML61" s="543"/>
      <c r="JMM61" s="543"/>
      <c r="JMN61" s="543"/>
      <c r="JMO61" s="543"/>
      <c r="JMP61" s="543"/>
      <c r="JMQ61" s="543"/>
      <c r="JMR61" s="543"/>
      <c r="JMS61" s="543"/>
      <c r="JMT61" s="543"/>
      <c r="JMU61" s="543"/>
      <c r="JMV61" s="543"/>
      <c r="JMW61" s="543"/>
      <c r="JMX61" s="543"/>
      <c r="JMY61" s="543"/>
      <c r="JMZ61" s="543"/>
      <c r="JNA61" s="543"/>
      <c r="JNB61" s="543"/>
      <c r="JNC61" s="543"/>
      <c r="JND61" s="543"/>
      <c r="JNE61" s="543"/>
      <c r="JNF61" s="543"/>
      <c r="JNG61" s="543"/>
      <c r="JNH61" s="543"/>
      <c r="JNI61" s="543"/>
      <c r="JNJ61" s="543"/>
      <c r="JNK61" s="543"/>
      <c r="JNL61" s="543"/>
      <c r="JNM61" s="543"/>
      <c r="JNN61" s="543"/>
      <c r="JNO61" s="543"/>
      <c r="JNP61" s="543"/>
      <c r="JNQ61" s="543"/>
      <c r="JNR61" s="543"/>
      <c r="JNS61" s="543"/>
      <c r="JNT61" s="543"/>
      <c r="JNU61" s="543"/>
      <c r="JNV61" s="543"/>
      <c r="JNW61" s="543"/>
      <c r="JNX61" s="543"/>
      <c r="JNY61" s="543"/>
      <c r="JNZ61" s="543"/>
      <c r="JOA61" s="543"/>
      <c r="JOB61" s="543"/>
      <c r="JOC61" s="543"/>
      <c r="JOD61" s="543"/>
      <c r="JOE61" s="543"/>
      <c r="JOF61" s="543"/>
      <c r="JOG61" s="543"/>
      <c r="JOH61" s="543"/>
      <c r="JOI61" s="543"/>
      <c r="JOJ61" s="543"/>
      <c r="JOK61" s="543"/>
      <c r="JOL61" s="543"/>
      <c r="JOM61" s="543"/>
      <c r="JON61" s="543"/>
      <c r="JOO61" s="543"/>
      <c r="JOP61" s="543"/>
      <c r="JOQ61" s="543"/>
      <c r="JOR61" s="543"/>
      <c r="JOS61" s="543"/>
      <c r="JOT61" s="543"/>
      <c r="JOU61" s="543"/>
      <c r="JOV61" s="543"/>
      <c r="JOW61" s="543"/>
      <c r="JOX61" s="543"/>
      <c r="JOY61" s="543"/>
      <c r="JOZ61" s="543"/>
      <c r="JPA61" s="543"/>
      <c r="JPB61" s="543"/>
      <c r="JPC61" s="543"/>
      <c r="JPD61" s="543"/>
      <c r="JPE61" s="543"/>
      <c r="JPF61" s="543"/>
      <c r="JPG61" s="543"/>
      <c r="JPH61" s="543"/>
      <c r="JPI61" s="543"/>
      <c r="JPJ61" s="543"/>
      <c r="JPK61" s="543"/>
      <c r="JPL61" s="543"/>
      <c r="JPM61" s="543"/>
      <c r="JPN61" s="543"/>
      <c r="JPO61" s="543"/>
      <c r="JPP61" s="543"/>
      <c r="JPQ61" s="543"/>
      <c r="JPR61" s="543"/>
      <c r="JPS61" s="543"/>
      <c r="JPT61" s="543"/>
      <c r="JPU61" s="543"/>
      <c r="JPV61" s="543"/>
      <c r="JPW61" s="543"/>
      <c r="JPX61" s="543"/>
      <c r="JPY61" s="543"/>
      <c r="JPZ61" s="543"/>
      <c r="JQA61" s="543"/>
      <c r="JQB61" s="543"/>
      <c r="JQC61" s="543"/>
      <c r="JQD61" s="543"/>
      <c r="JQE61" s="543"/>
      <c r="JQF61" s="543"/>
      <c r="JQG61" s="543"/>
      <c r="JQH61" s="543"/>
      <c r="JQI61" s="543"/>
      <c r="JQJ61" s="543"/>
      <c r="JQK61" s="543"/>
      <c r="JQL61" s="543"/>
      <c r="JQM61" s="543"/>
      <c r="JQN61" s="543"/>
      <c r="JQO61" s="543"/>
      <c r="JQP61" s="543"/>
      <c r="JQQ61" s="543"/>
      <c r="JQR61" s="543"/>
      <c r="JQS61" s="543"/>
      <c r="JQT61" s="543"/>
      <c r="JQU61" s="543"/>
      <c r="JQV61" s="543"/>
      <c r="JQW61" s="543"/>
      <c r="JQX61" s="543"/>
      <c r="JQY61" s="543"/>
      <c r="JQZ61" s="543"/>
      <c r="JRA61" s="543"/>
      <c r="JRB61" s="543"/>
      <c r="JRC61" s="543"/>
      <c r="JRD61" s="543"/>
      <c r="JRE61" s="543"/>
      <c r="JRF61" s="543"/>
      <c r="JRG61" s="543"/>
      <c r="JRH61" s="543"/>
      <c r="JRI61" s="543"/>
      <c r="JRJ61" s="543"/>
      <c r="JRK61" s="543"/>
      <c r="JRL61" s="543"/>
      <c r="JRM61" s="543"/>
      <c r="JRN61" s="543"/>
      <c r="JRO61" s="543"/>
      <c r="JRP61" s="543"/>
      <c r="JRQ61" s="543"/>
      <c r="JRR61" s="543"/>
      <c r="JRS61" s="543"/>
      <c r="JRT61" s="543"/>
      <c r="JRU61" s="543"/>
      <c r="JRV61" s="543"/>
      <c r="JRW61" s="543"/>
      <c r="JRX61" s="543"/>
      <c r="JRY61" s="543"/>
      <c r="JRZ61" s="543"/>
      <c r="JSA61" s="543"/>
      <c r="JSB61" s="543"/>
      <c r="JSC61" s="543"/>
      <c r="JSD61" s="543"/>
      <c r="JSE61" s="543"/>
      <c r="JSF61" s="543"/>
      <c r="JSG61" s="543"/>
      <c r="JSH61" s="543"/>
      <c r="JSI61" s="543"/>
      <c r="JSJ61" s="543"/>
      <c r="JSK61" s="543"/>
      <c r="JSL61" s="543"/>
      <c r="JSM61" s="543"/>
      <c r="JSN61" s="543"/>
      <c r="JSO61" s="543"/>
      <c r="JSP61" s="543"/>
      <c r="JSQ61" s="543"/>
      <c r="JSR61" s="543"/>
      <c r="JSS61" s="543"/>
      <c r="JST61" s="543"/>
      <c r="JSU61" s="543"/>
      <c r="JSV61" s="543"/>
      <c r="JSW61" s="543"/>
      <c r="JSX61" s="543"/>
      <c r="JSY61" s="543"/>
      <c r="JSZ61" s="543"/>
      <c r="JTA61" s="543"/>
      <c r="JTB61" s="543"/>
      <c r="JTC61" s="543"/>
      <c r="JTD61" s="543"/>
      <c r="JTE61" s="543"/>
      <c r="JTF61" s="543"/>
      <c r="JTG61" s="543"/>
      <c r="JTH61" s="543"/>
      <c r="JTI61" s="543"/>
      <c r="JTJ61" s="543"/>
      <c r="JTK61" s="543"/>
      <c r="JTL61" s="543"/>
      <c r="JTM61" s="543"/>
      <c r="JTN61" s="543"/>
      <c r="JTO61" s="543"/>
      <c r="JTP61" s="543"/>
      <c r="JTQ61" s="543"/>
      <c r="JTR61" s="543"/>
      <c r="JTS61" s="543"/>
      <c r="JTT61" s="543"/>
      <c r="JTU61" s="543"/>
      <c r="JTV61" s="543"/>
      <c r="JTW61" s="543"/>
      <c r="JTX61" s="543"/>
      <c r="JTY61" s="543"/>
      <c r="JTZ61" s="543"/>
      <c r="JUA61" s="543"/>
      <c r="JUB61" s="543"/>
      <c r="JUC61" s="543"/>
      <c r="JUD61" s="543"/>
      <c r="JUE61" s="543"/>
      <c r="JUF61" s="543"/>
      <c r="JUG61" s="543"/>
      <c r="JUH61" s="543"/>
      <c r="JUI61" s="543"/>
      <c r="JUJ61" s="543"/>
      <c r="JUK61" s="543"/>
      <c r="JUL61" s="543"/>
      <c r="JUM61" s="543"/>
      <c r="JUN61" s="543"/>
      <c r="JUO61" s="543"/>
      <c r="JUP61" s="543"/>
      <c r="JUQ61" s="543"/>
      <c r="JUR61" s="543"/>
      <c r="JUS61" s="543"/>
      <c r="JUT61" s="543"/>
      <c r="JUU61" s="543"/>
      <c r="JUV61" s="543"/>
      <c r="JUW61" s="543"/>
      <c r="JUX61" s="543"/>
      <c r="JUY61" s="543"/>
      <c r="JUZ61" s="543"/>
      <c r="JVA61" s="543"/>
      <c r="JVB61" s="543"/>
      <c r="JVC61" s="543"/>
      <c r="JVD61" s="543"/>
      <c r="JVE61" s="543"/>
      <c r="JVF61" s="543"/>
      <c r="JVG61" s="543"/>
      <c r="JVH61" s="543"/>
      <c r="JVI61" s="543"/>
      <c r="JVJ61" s="543"/>
      <c r="JVK61" s="543"/>
      <c r="JVL61" s="543"/>
      <c r="JVM61" s="543"/>
      <c r="JVN61" s="543"/>
      <c r="JVO61" s="543"/>
      <c r="JVP61" s="543"/>
      <c r="JVQ61" s="543"/>
      <c r="JVR61" s="543"/>
      <c r="JVS61" s="543"/>
      <c r="JVT61" s="543"/>
      <c r="JVU61" s="543"/>
      <c r="JVV61" s="543"/>
      <c r="JVW61" s="543"/>
      <c r="JVX61" s="543"/>
      <c r="JVY61" s="543"/>
      <c r="JVZ61" s="543"/>
      <c r="JWA61" s="543"/>
      <c r="JWB61" s="543"/>
      <c r="JWC61" s="543"/>
      <c r="JWD61" s="543"/>
      <c r="JWE61" s="543"/>
      <c r="JWF61" s="543"/>
      <c r="JWG61" s="543"/>
      <c r="JWH61" s="543"/>
      <c r="JWI61" s="543"/>
      <c r="JWJ61" s="543"/>
      <c r="JWK61" s="543"/>
      <c r="JWL61" s="543"/>
      <c r="JWM61" s="543"/>
      <c r="JWN61" s="543"/>
      <c r="JWO61" s="543"/>
      <c r="JWP61" s="543"/>
      <c r="JWQ61" s="543"/>
      <c r="JWR61" s="543"/>
      <c r="JWS61" s="543"/>
      <c r="JWT61" s="543"/>
      <c r="JWU61" s="543"/>
      <c r="JWV61" s="543"/>
      <c r="JWW61" s="543"/>
      <c r="JWX61" s="543"/>
      <c r="JWY61" s="543"/>
      <c r="JWZ61" s="543"/>
      <c r="JXA61" s="543"/>
      <c r="JXB61" s="543"/>
      <c r="JXC61" s="543"/>
      <c r="JXD61" s="543"/>
      <c r="JXE61" s="543"/>
      <c r="JXF61" s="543"/>
      <c r="JXG61" s="543"/>
      <c r="JXH61" s="543"/>
      <c r="JXI61" s="543"/>
      <c r="JXJ61" s="543"/>
      <c r="JXK61" s="543"/>
      <c r="JXL61" s="543"/>
      <c r="JXM61" s="543"/>
      <c r="JXN61" s="543"/>
      <c r="JXO61" s="543"/>
      <c r="JXP61" s="543"/>
      <c r="JXQ61" s="543"/>
      <c r="JXR61" s="543"/>
      <c r="JXS61" s="543"/>
      <c r="JXT61" s="543"/>
      <c r="JXU61" s="543"/>
      <c r="JXV61" s="543"/>
      <c r="JXW61" s="543"/>
      <c r="JXX61" s="543"/>
      <c r="JXY61" s="543"/>
      <c r="JXZ61" s="543"/>
      <c r="JYA61" s="543"/>
      <c r="JYB61" s="543"/>
      <c r="JYC61" s="543"/>
      <c r="JYD61" s="543"/>
      <c r="JYE61" s="543"/>
      <c r="JYF61" s="543"/>
      <c r="JYG61" s="543"/>
      <c r="JYH61" s="543"/>
      <c r="JYI61" s="543"/>
      <c r="JYJ61" s="543"/>
      <c r="JYK61" s="543"/>
      <c r="JYL61" s="543"/>
      <c r="JYM61" s="543"/>
      <c r="JYN61" s="543"/>
      <c r="JYO61" s="543"/>
      <c r="JYP61" s="543"/>
      <c r="JYQ61" s="543"/>
      <c r="JYR61" s="543"/>
      <c r="JYS61" s="543"/>
      <c r="JYT61" s="543"/>
      <c r="JYU61" s="543"/>
      <c r="JYV61" s="543"/>
      <c r="JYW61" s="543"/>
      <c r="JYX61" s="543"/>
      <c r="JYY61" s="543"/>
      <c r="JYZ61" s="543"/>
      <c r="JZA61" s="543"/>
      <c r="JZB61" s="543"/>
      <c r="JZC61" s="543"/>
      <c r="JZD61" s="543"/>
      <c r="JZE61" s="543"/>
      <c r="JZF61" s="543"/>
      <c r="JZG61" s="543"/>
      <c r="JZH61" s="543"/>
      <c r="JZI61" s="543"/>
      <c r="JZJ61" s="543"/>
      <c r="JZK61" s="543"/>
      <c r="JZL61" s="543"/>
      <c r="JZM61" s="543"/>
      <c r="JZN61" s="543"/>
      <c r="JZO61" s="543"/>
      <c r="JZP61" s="543"/>
      <c r="JZQ61" s="543"/>
      <c r="JZR61" s="543"/>
      <c r="JZS61" s="543"/>
      <c r="JZT61" s="543"/>
      <c r="JZU61" s="543"/>
      <c r="JZV61" s="543"/>
      <c r="JZW61" s="543"/>
      <c r="JZX61" s="543"/>
      <c r="JZY61" s="543"/>
      <c r="JZZ61" s="543"/>
      <c r="KAA61" s="543"/>
      <c r="KAB61" s="543"/>
      <c r="KAC61" s="543"/>
      <c r="KAD61" s="543"/>
      <c r="KAE61" s="543"/>
      <c r="KAF61" s="543"/>
      <c r="KAG61" s="543"/>
      <c r="KAH61" s="543"/>
      <c r="KAI61" s="543"/>
      <c r="KAJ61" s="543"/>
      <c r="KAK61" s="543"/>
      <c r="KAL61" s="543"/>
      <c r="KAM61" s="543"/>
      <c r="KAN61" s="543"/>
      <c r="KAO61" s="543"/>
      <c r="KAP61" s="543"/>
      <c r="KAQ61" s="543"/>
      <c r="KAR61" s="543"/>
      <c r="KAS61" s="543"/>
      <c r="KAT61" s="543"/>
      <c r="KAU61" s="543"/>
      <c r="KAV61" s="543"/>
      <c r="KAW61" s="543"/>
      <c r="KAX61" s="543"/>
      <c r="KAY61" s="543"/>
      <c r="KAZ61" s="543"/>
      <c r="KBA61" s="543"/>
      <c r="KBB61" s="543"/>
      <c r="KBC61" s="543"/>
      <c r="KBD61" s="543"/>
      <c r="KBE61" s="543"/>
      <c r="KBF61" s="543"/>
      <c r="KBG61" s="543"/>
      <c r="KBH61" s="543"/>
      <c r="KBI61" s="543"/>
      <c r="KBJ61" s="543"/>
      <c r="KBK61" s="543"/>
      <c r="KBL61" s="543"/>
      <c r="KBM61" s="543"/>
      <c r="KBN61" s="543"/>
      <c r="KBO61" s="543"/>
      <c r="KBP61" s="543"/>
      <c r="KBQ61" s="543"/>
      <c r="KBR61" s="543"/>
      <c r="KBS61" s="543"/>
      <c r="KBT61" s="543"/>
      <c r="KBU61" s="543"/>
      <c r="KBV61" s="543"/>
      <c r="KBW61" s="543"/>
      <c r="KBX61" s="543"/>
      <c r="KBY61" s="543"/>
      <c r="KBZ61" s="543"/>
      <c r="KCA61" s="543"/>
      <c r="KCB61" s="543"/>
      <c r="KCC61" s="543"/>
      <c r="KCD61" s="543"/>
      <c r="KCE61" s="543"/>
      <c r="KCF61" s="543"/>
      <c r="KCG61" s="543"/>
      <c r="KCH61" s="543"/>
      <c r="KCI61" s="543"/>
      <c r="KCJ61" s="543"/>
      <c r="KCK61" s="543"/>
      <c r="KCL61" s="543"/>
      <c r="KCM61" s="543"/>
      <c r="KCN61" s="543"/>
      <c r="KCO61" s="543"/>
      <c r="KCP61" s="543"/>
      <c r="KCQ61" s="543"/>
      <c r="KCR61" s="543"/>
      <c r="KCS61" s="543"/>
      <c r="KCT61" s="543"/>
      <c r="KCU61" s="543"/>
      <c r="KCV61" s="543"/>
      <c r="KCW61" s="543"/>
      <c r="KCX61" s="543"/>
      <c r="KCY61" s="543"/>
      <c r="KCZ61" s="543"/>
      <c r="KDA61" s="543"/>
      <c r="KDB61" s="543"/>
      <c r="KDC61" s="543"/>
      <c r="KDD61" s="543"/>
      <c r="KDE61" s="543"/>
      <c r="KDF61" s="543"/>
      <c r="KDG61" s="543"/>
      <c r="KDH61" s="543"/>
      <c r="KDI61" s="543"/>
      <c r="KDJ61" s="543"/>
      <c r="KDK61" s="543"/>
      <c r="KDL61" s="543"/>
      <c r="KDM61" s="543"/>
      <c r="KDN61" s="543"/>
      <c r="KDO61" s="543"/>
      <c r="KDP61" s="543"/>
      <c r="KDQ61" s="543"/>
      <c r="KDR61" s="543"/>
      <c r="KDS61" s="543"/>
      <c r="KDT61" s="543"/>
      <c r="KDU61" s="543"/>
      <c r="KDV61" s="543"/>
      <c r="KDW61" s="543"/>
      <c r="KDX61" s="543"/>
      <c r="KDY61" s="543"/>
      <c r="KDZ61" s="543"/>
      <c r="KEA61" s="543"/>
      <c r="KEB61" s="543"/>
      <c r="KEC61" s="543"/>
      <c r="KED61" s="543"/>
      <c r="KEE61" s="543"/>
      <c r="KEF61" s="543"/>
      <c r="KEG61" s="543"/>
      <c r="KEH61" s="543"/>
      <c r="KEI61" s="543"/>
      <c r="KEJ61" s="543"/>
      <c r="KEK61" s="543"/>
      <c r="KEL61" s="543"/>
      <c r="KEM61" s="543"/>
      <c r="KEN61" s="543"/>
      <c r="KEO61" s="543"/>
      <c r="KEP61" s="543"/>
      <c r="KEQ61" s="543"/>
      <c r="KER61" s="543"/>
      <c r="KES61" s="543"/>
      <c r="KET61" s="543"/>
      <c r="KEU61" s="543"/>
      <c r="KEV61" s="543"/>
      <c r="KEW61" s="543"/>
      <c r="KEX61" s="543"/>
      <c r="KEY61" s="543"/>
      <c r="KEZ61" s="543"/>
      <c r="KFA61" s="543"/>
      <c r="KFB61" s="543"/>
      <c r="KFC61" s="543"/>
      <c r="KFD61" s="543"/>
      <c r="KFE61" s="543"/>
      <c r="KFF61" s="543"/>
      <c r="KFG61" s="543"/>
      <c r="KFH61" s="543"/>
      <c r="KFI61" s="543"/>
      <c r="KFJ61" s="543"/>
      <c r="KFK61" s="543"/>
      <c r="KFL61" s="543"/>
      <c r="KFM61" s="543"/>
      <c r="KFN61" s="543"/>
      <c r="KFO61" s="543"/>
      <c r="KFP61" s="543"/>
      <c r="KFQ61" s="543"/>
      <c r="KFR61" s="543"/>
      <c r="KFS61" s="543"/>
      <c r="KFT61" s="543"/>
      <c r="KFU61" s="543"/>
      <c r="KFV61" s="543"/>
      <c r="KFW61" s="543"/>
      <c r="KFX61" s="543"/>
      <c r="KFY61" s="543"/>
      <c r="KFZ61" s="543"/>
      <c r="KGA61" s="543"/>
      <c r="KGB61" s="543"/>
      <c r="KGC61" s="543"/>
      <c r="KGD61" s="543"/>
      <c r="KGE61" s="543"/>
      <c r="KGF61" s="543"/>
      <c r="KGG61" s="543"/>
      <c r="KGH61" s="543"/>
      <c r="KGI61" s="543"/>
      <c r="KGJ61" s="543"/>
      <c r="KGK61" s="543"/>
      <c r="KGL61" s="543"/>
      <c r="KGM61" s="543"/>
      <c r="KGN61" s="543"/>
      <c r="KGO61" s="543"/>
      <c r="KGP61" s="543"/>
      <c r="KGQ61" s="543"/>
      <c r="KGR61" s="543"/>
      <c r="KGS61" s="543"/>
      <c r="KGT61" s="543"/>
      <c r="KGU61" s="543"/>
      <c r="KGV61" s="543"/>
      <c r="KGW61" s="543"/>
      <c r="KGX61" s="543"/>
      <c r="KGY61" s="543"/>
      <c r="KGZ61" s="543"/>
      <c r="KHA61" s="543"/>
      <c r="KHB61" s="543"/>
      <c r="KHC61" s="543"/>
      <c r="KHD61" s="543"/>
      <c r="KHE61" s="543"/>
      <c r="KHF61" s="543"/>
      <c r="KHG61" s="543"/>
      <c r="KHH61" s="543"/>
      <c r="KHI61" s="543"/>
      <c r="KHJ61" s="543"/>
      <c r="KHK61" s="543"/>
      <c r="KHL61" s="543"/>
      <c r="KHM61" s="543"/>
      <c r="KHN61" s="543"/>
      <c r="KHO61" s="543"/>
      <c r="KHP61" s="543"/>
      <c r="KHQ61" s="543"/>
      <c r="KHR61" s="543"/>
      <c r="KHS61" s="543"/>
      <c r="KHT61" s="543"/>
      <c r="KHU61" s="543"/>
      <c r="KHV61" s="543"/>
      <c r="KHW61" s="543"/>
      <c r="KHX61" s="543"/>
      <c r="KHY61" s="543"/>
      <c r="KHZ61" s="543"/>
      <c r="KIA61" s="543"/>
      <c r="KIB61" s="543"/>
      <c r="KIC61" s="543"/>
      <c r="KID61" s="543"/>
      <c r="KIE61" s="543"/>
      <c r="KIF61" s="543"/>
      <c r="KIG61" s="543"/>
      <c r="KIH61" s="543"/>
      <c r="KII61" s="543"/>
      <c r="KIJ61" s="543"/>
      <c r="KIK61" s="543"/>
      <c r="KIL61" s="543"/>
      <c r="KIM61" s="543"/>
      <c r="KIN61" s="543"/>
      <c r="KIO61" s="543"/>
      <c r="KIP61" s="543"/>
      <c r="KIQ61" s="543"/>
      <c r="KIR61" s="543"/>
      <c r="KIS61" s="543"/>
      <c r="KIT61" s="543"/>
      <c r="KIU61" s="543"/>
      <c r="KIV61" s="543"/>
      <c r="KIW61" s="543"/>
      <c r="KIX61" s="543"/>
      <c r="KIY61" s="543"/>
      <c r="KIZ61" s="543"/>
      <c r="KJA61" s="543"/>
      <c r="KJB61" s="543"/>
      <c r="KJC61" s="543"/>
      <c r="KJD61" s="543"/>
      <c r="KJE61" s="543"/>
      <c r="KJF61" s="543"/>
      <c r="KJG61" s="543"/>
      <c r="KJH61" s="543"/>
      <c r="KJI61" s="543"/>
      <c r="KJJ61" s="543"/>
      <c r="KJK61" s="543"/>
      <c r="KJL61" s="543"/>
      <c r="KJM61" s="543"/>
      <c r="KJN61" s="543"/>
      <c r="KJO61" s="543"/>
      <c r="KJP61" s="543"/>
      <c r="KJQ61" s="543"/>
      <c r="KJR61" s="543"/>
      <c r="KJS61" s="543"/>
      <c r="KJT61" s="543"/>
      <c r="KJU61" s="543"/>
      <c r="KJV61" s="543"/>
      <c r="KJW61" s="543"/>
      <c r="KJX61" s="543"/>
      <c r="KJY61" s="543"/>
      <c r="KJZ61" s="543"/>
      <c r="KKA61" s="543"/>
      <c r="KKB61" s="543"/>
      <c r="KKC61" s="543"/>
      <c r="KKD61" s="543"/>
      <c r="KKE61" s="543"/>
      <c r="KKF61" s="543"/>
      <c r="KKG61" s="543"/>
      <c r="KKH61" s="543"/>
      <c r="KKI61" s="543"/>
      <c r="KKJ61" s="543"/>
      <c r="KKK61" s="543"/>
      <c r="KKL61" s="543"/>
      <c r="KKM61" s="543"/>
      <c r="KKN61" s="543"/>
      <c r="KKO61" s="543"/>
      <c r="KKP61" s="543"/>
      <c r="KKQ61" s="543"/>
      <c r="KKR61" s="543"/>
      <c r="KKS61" s="543"/>
      <c r="KKT61" s="543"/>
      <c r="KKU61" s="543"/>
      <c r="KKV61" s="543"/>
      <c r="KKW61" s="543"/>
      <c r="KKX61" s="543"/>
      <c r="KKY61" s="543"/>
      <c r="KKZ61" s="543"/>
      <c r="KLA61" s="543"/>
      <c r="KLB61" s="543"/>
      <c r="KLC61" s="543"/>
      <c r="KLD61" s="543"/>
      <c r="KLE61" s="543"/>
      <c r="KLF61" s="543"/>
      <c r="KLG61" s="543"/>
      <c r="KLH61" s="543"/>
      <c r="KLI61" s="543"/>
      <c r="KLJ61" s="543"/>
      <c r="KLK61" s="543"/>
      <c r="KLL61" s="543"/>
      <c r="KLM61" s="543"/>
      <c r="KLN61" s="543"/>
      <c r="KLO61" s="543"/>
      <c r="KLP61" s="543"/>
      <c r="KLQ61" s="543"/>
      <c r="KLR61" s="543"/>
      <c r="KLS61" s="543"/>
      <c r="KLT61" s="543"/>
      <c r="KLU61" s="543"/>
      <c r="KLV61" s="543"/>
      <c r="KLW61" s="543"/>
      <c r="KLX61" s="543"/>
      <c r="KLY61" s="543"/>
      <c r="KLZ61" s="543"/>
      <c r="KMA61" s="543"/>
      <c r="KMB61" s="543"/>
      <c r="KMC61" s="543"/>
      <c r="KMD61" s="543"/>
      <c r="KME61" s="543"/>
      <c r="KMF61" s="543"/>
      <c r="KMG61" s="543"/>
      <c r="KMH61" s="543"/>
      <c r="KMI61" s="543"/>
      <c r="KMJ61" s="543"/>
      <c r="KMK61" s="543"/>
      <c r="KML61" s="543"/>
      <c r="KMM61" s="543"/>
      <c r="KMN61" s="543"/>
      <c r="KMO61" s="543"/>
      <c r="KMP61" s="543"/>
      <c r="KMQ61" s="543"/>
      <c r="KMR61" s="543"/>
      <c r="KMS61" s="543"/>
      <c r="KMT61" s="543"/>
      <c r="KMU61" s="543"/>
      <c r="KMV61" s="543"/>
      <c r="KMW61" s="543"/>
      <c r="KMX61" s="543"/>
      <c r="KMY61" s="543"/>
      <c r="KMZ61" s="543"/>
      <c r="KNA61" s="543"/>
      <c r="KNB61" s="543"/>
      <c r="KNC61" s="543"/>
      <c r="KND61" s="543"/>
      <c r="KNE61" s="543"/>
      <c r="KNF61" s="543"/>
      <c r="KNG61" s="543"/>
      <c r="KNH61" s="543"/>
      <c r="KNI61" s="543"/>
      <c r="KNJ61" s="543"/>
      <c r="KNK61" s="543"/>
      <c r="KNL61" s="543"/>
      <c r="KNM61" s="543"/>
      <c r="KNN61" s="543"/>
      <c r="KNO61" s="543"/>
      <c r="KNP61" s="543"/>
      <c r="KNQ61" s="543"/>
      <c r="KNR61" s="543"/>
      <c r="KNS61" s="543"/>
      <c r="KNT61" s="543"/>
      <c r="KNU61" s="543"/>
      <c r="KNV61" s="543"/>
      <c r="KNW61" s="543"/>
      <c r="KNX61" s="543"/>
      <c r="KNY61" s="543"/>
      <c r="KNZ61" s="543"/>
      <c r="KOA61" s="543"/>
      <c r="KOB61" s="543"/>
      <c r="KOC61" s="543"/>
      <c r="KOD61" s="543"/>
      <c r="KOE61" s="543"/>
      <c r="KOF61" s="543"/>
      <c r="KOG61" s="543"/>
      <c r="KOH61" s="543"/>
      <c r="KOI61" s="543"/>
      <c r="KOJ61" s="543"/>
      <c r="KOK61" s="543"/>
      <c r="KOL61" s="543"/>
      <c r="KOM61" s="543"/>
      <c r="KON61" s="543"/>
      <c r="KOO61" s="543"/>
      <c r="KOP61" s="543"/>
      <c r="KOQ61" s="543"/>
      <c r="KOR61" s="543"/>
      <c r="KOS61" s="543"/>
      <c r="KOT61" s="543"/>
      <c r="KOU61" s="543"/>
      <c r="KOV61" s="543"/>
      <c r="KOW61" s="543"/>
      <c r="KOX61" s="543"/>
      <c r="KOY61" s="543"/>
      <c r="KOZ61" s="543"/>
      <c r="KPA61" s="543"/>
      <c r="KPB61" s="543"/>
      <c r="KPC61" s="543"/>
      <c r="KPD61" s="543"/>
      <c r="KPE61" s="543"/>
      <c r="KPF61" s="543"/>
      <c r="KPG61" s="543"/>
      <c r="KPH61" s="543"/>
      <c r="KPI61" s="543"/>
      <c r="KPJ61" s="543"/>
      <c r="KPK61" s="543"/>
      <c r="KPL61" s="543"/>
      <c r="KPM61" s="543"/>
      <c r="KPN61" s="543"/>
      <c r="KPO61" s="543"/>
      <c r="KPP61" s="543"/>
      <c r="KPQ61" s="543"/>
      <c r="KPR61" s="543"/>
      <c r="KPS61" s="543"/>
      <c r="KPT61" s="543"/>
      <c r="KPU61" s="543"/>
      <c r="KPV61" s="543"/>
      <c r="KPW61" s="543"/>
      <c r="KPX61" s="543"/>
      <c r="KPY61" s="543"/>
      <c r="KPZ61" s="543"/>
      <c r="KQA61" s="543"/>
      <c r="KQB61" s="543"/>
      <c r="KQC61" s="543"/>
      <c r="KQD61" s="543"/>
      <c r="KQE61" s="543"/>
      <c r="KQF61" s="543"/>
      <c r="KQG61" s="543"/>
      <c r="KQH61" s="543"/>
      <c r="KQI61" s="543"/>
      <c r="KQJ61" s="543"/>
      <c r="KQK61" s="543"/>
      <c r="KQL61" s="543"/>
      <c r="KQM61" s="543"/>
      <c r="KQN61" s="543"/>
      <c r="KQO61" s="543"/>
      <c r="KQP61" s="543"/>
      <c r="KQQ61" s="543"/>
      <c r="KQR61" s="543"/>
      <c r="KQS61" s="543"/>
      <c r="KQT61" s="543"/>
      <c r="KQU61" s="543"/>
      <c r="KQV61" s="543"/>
      <c r="KQW61" s="543"/>
      <c r="KQX61" s="543"/>
      <c r="KQY61" s="543"/>
      <c r="KQZ61" s="543"/>
      <c r="KRA61" s="543"/>
      <c r="KRB61" s="543"/>
      <c r="KRC61" s="543"/>
      <c r="KRD61" s="543"/>
      <c r="KRE61" s="543"/>
      <c r="KRF61" s="543"/>
      <c r="KRG61" s="543"/>
      <c r="KRH61" s="543"/>
      <c r="KRI61" s="543"/>
      <c r="KRJ61" s="543"/>
      <c r="KRK61" s="543"/>
      <c r="KRL61" s="543"/>
      <c r="KRM61" s="543"/>
      <c r="KRN61" s="543"/>
      <c r="KRO61" s="543"/>
      <c r="KRP61" s="543"/>
      <c r="KRQ61" s="543"/>
      <c r="KRR61" s="543"/>
      <c r="KRS61" s="543"/>
      <c r="KRT61" s="543"/>
      <c r="KRU61" s="543"/>
      <c r="KRV61" s="543"/>
      <c r="KRW61" s="543"/>
      <c r="KRX61" s="543"/>
      <c r="KRY61" s="543"/>
      <c r="KRZ61" s="543"/>
      <c r="KSA61" s="543"/>
      <c r="KSB61" s="543"/>
      <c r="KSC61" s="543"/>
      <c r="KSD61" s="543"/>
      <c r="KSE61" s="543"/>
      <c r="KSF61" s="543"/>
      <c r="KSG61" s="543"/>
      <c r="KSH61" s="543"/>
      <c r="KSI61" s="543"/>
      <c r="KSJ61" s="543"/>
      <c r="KSK61" s="543"/>
      <c r="KSL61" s="543"/>
      <c r="KSM61" s="543"/>
      <c r="KSN61" s="543"/>
      <c r="KSO61" s="543"/>
      <c r="KSP61" s="543"/>
      <c r="KSQ61" s="543"/>
      <c r="KSR61" s="543"/>
      <c r="KSS61" s="543"/>
      <c r="KST61" s="543"/>
      <c r="KSU61" s="543"/>
      <c r="KSV61" s="543"/>
      <c r="KSW61" s="543"/>
      <c r="KSX61" s="543"/>
      <c r="KSY61" s="543"/>
      <c r="KSZ61" s="543"/>
      <c r="KTA61" s="543"/>
      <c r="KTB61" s="543"/>
      <c r="KTC61" s="543"/>
      <c r="KTD61" s="543"/>
      <c r="KTE61" s="543"/>
      <c r="KTF61" s="543"/>
      <c r="KTG61" s="543"/>
      <c r="KTH61" s="543"/>
      <c r="KTI61" s="543"/>
      <c r="KTJ61" s="543"/>
      <c r="KTK61" s="543"/>
      <c r="KTL61" s="543"/>
      <c r="KTM61" s="543"/>
      <c r="KTN61" s="543"/>
      <c r="KTO61" s="543"/>
      <c r="KTP61" s="543"/>
      <c r="KTQ61" s="543"/>
      <c r="KTR61" s="543"/>
      <c r="KTS61" s="543"/>
      <c r="KTT61" s="543"/>
      <c r="KTU61" s="543"/>
      <c r="KTV61" s="543"/>
      <c r="KTW61" s="543"/>
      <c r="KTX61" s="543"/>
      <c r="KTY61" s="543"/>
      <c r="KTZ61" s="543"/>
      <c r="KUA61" s="543"/>
      <c r="KUB61" s="543"/>
      <c r="KUC61" s="543"/>
      <c r="KUD61" s="543"/>
      <c r="KUE61" s="543"/>
      <c r="KUF61" s="543"/>
      <c r="KUG61" s="543"/>
      <c r="KUH61" s="543"/>
      <c r="KUI61" s="543"/>
      <c r="KUJ61" s="543"/>
      <c r="KUK61" s="543"/>
      <c r="KUL61" s="543"/>
      <c r="KUM61" s="543"/>
      <c r="KUN61" s="543"/>
      <c r="KUO61" s="543"/>
      <c r="KUP61" s="543"/>
      <c r="KUQ61" s="543"/>
      <c r="KUR61" s="543"/>
      <c r="KUS61" s="543"/>
      <c r="KUT61" s="543"/>
      <c r="KUU61" s="543"/>
      <c r="KUV61" s="543"/>
      <c r="KUW61" s="543"/>
      <c r="KUX61" s="543"/>
      <c r="KUY61" s="543"/>
      <c r="KUZ61" s="543"/>
      <c r="KVA61" s="543"/>
      <c r="KVB61" s="543"/>
      <c r="KVC61" s="543"/>
      <c r="KVD61" s="543"/>
      <c r="KVE61" s="543"/>
      <c r="KVF61" s="543"/>
      <c r="KVG61" s="543"/>
      <c r="KVH61" s="543"/>
      <c r="KVI61" s="543"/>
      <c r="KVJ61" s="543"/>
      <c r="KVK61" s="543"/>
      <c r="KVL61" s="543"/>
      <c r="KVM61" s="543"/>
      <c r="KVN61" s="543"/>
      <c r="KVO61" s="543"/>
      <c r="KVP61" s="543"/>
      <c r="KVQ61" s="543"/>
      <c r="KVR61" s="543"/>
      <c r="KVS61" s="543"/>
      <c r="KVT61" s="543"/>
      <c r="KVU61" s="543"/>
      <c r="KVV61" s="543"/>
      <c r="KVW61" s="543"/>
      <c r="KVX61" s="543"/>
      <c r="KVY61" s="543"/>
      <c r="KVZ61" s="543"/>
      <c r="KWA61" s="543"/>
      <c r="KWB61" s="543"/>
      <c r="KWC61" s="543"/>
      <c r="KWD61" s="543"/>
      <c r="KWE61" s="543"/>
      <c r="KWF61" s="543"/>
      <c r="KWG61" s="543"/>
      <c r="KWH61" s="543"/>
      <c r="KWI61" s="543"/>
      <c r="KWJ61" s="543"/>
      <c r="KWK61" s="543"/>
      <c r="KWL61" s="543"/>
      <c r="KWM61" s="543"/>
      <c r="KWN61" s="543"/>
      <c r="KWO61" s="543"/>
      <c r="KWP61" s="543"/>
      <c r="KWQ61" s="543"/>
      <c r="KWR61" s="543"/>
      <c r="KWS61" s="543"/>
      <c r="KWT61" s="543"/>
      <c r="KWU61" s="543"/>
      <c r="KWV61" s="543"/>
      <c r="KWW61" s="543"/>
      <c r="KWX61" s="543"/>
      <c r="KWY61" s="543"/>
      <c r="KWZ61" s="543"/>
      <c r="KXA61" s="543"/>
      <c r="KXB61" s="543"/>
      <c r="KXC61" s="543"/>
      <c r="KXD61" s="543"/>
      <c r="KXE61" s="543"/>
      <c r="KXF61" s="543"/>
      <c r="KXG61" s="543"/>
      <c r="KXH61" s="543"/>
      <c r="KXI61" s="543"/>
      <c r="KXJ61" s="543"/>
      <c r="KXK61" s="543"/>
      <c r="KXL61" s="543"/>
      <c r="KXM61" s="543"/>
      <c r="KXN61" s="543"/>
      <c r="KXO61" s="543"/>
      <c r="KXP61" s="543"/>
      <c r="KXQ61" s="543"/>
      <c r="KXR61" s="543"/>
      <c r="KXS61" s="543"/>
      <c r="KXT61" s="543"/>
      <c r="KXU61" s="543"/>
      <c r="KXV61" s="543"/>
      <c r="KXW61" s="543"/>
      <c r="KXX61" s="543"/>
      <c r="KXY61" s="543"/>
      <c r="KXZ61" s="543"/>
      <c r="KYA61" s="543"/>
      <c r="KYB61" s="543"/>
      <c r="KYC61" s="543"/>
      <c r="KYD61" s="543"/>
      <c r="KYE61" s="543"/>
      <c r="KYF61" s="543"/>
      <c r="KYG61" s="543"/>
      <c r="KYH61" s="543"/>
      <c r="KYI61" s="543"/>
      <c r="KYJ61" s="543"/>
      <c r="KYK61" s="543"/>
      <c r="KYL61" s="543"/>
      <c r="KYM61" s="543"/>
      <c r="KYN61" s="543"/>
      <c r="KYO61" s="543"/>
      <c r="KYP61" s="543"/>
      <c r="KYQ61" s="543"/>
      <c r="KYR61" s="543"/>
      <c r="KYS61" s="543"/>
      <c r="KYT61" s="543"/>
      <c r="KYU61" s="543"/>
      <c r="KYV61" s="543"/>
      <c r="KYW61" s="543"/>
      <c r="KYX61" s="543"/>
      <c r="KYY61" s="543"/>
      <c r="KYZ61" s="543"/>
      <c r="KZA61" s="543"/>
      <c r="KZB61" s="543"/>
      <c r="KZC61" s="543"/>
      <c r="KZD61" s="543"/>
      <c r="KZE61" s="543"/>
      <c r="KZF61" s="543"/>
      <c r="KZG61" s="543"/>
      <c r="KZH61" s="543"/>
      <c r="KZI61" s="543"/>
      <c r="KZJ61" s="543"/>
      <c r="KZK61" s="543"/>
      <c r="KZL61" s="543"/>
      <c r="KZM61" s="543"/>
      <c r="KZN61" s="543"/>
      <c r="KZO61" s="543"/>
      <c r="KZP61" s="543"/>
      <c r="KZQ61" s="543"/>
      <c r="KZR61" s="543"/>
      <c r="KZS61" s="543"/>
      <c r="KZT61" s="543"/>
      <c r="KZU61" s="543"/>
      <c r="KZV61" s="543"/>
      <c r="KZW61" s="543"/>
      <c r="KZX61" s="543"/>
      <c r="KZY61" s="543"/>
      <c r="KZZ61" s="543"/>
      <c r="LAA61" s="543"/>
      <c r="LAB61" s="543"/>
      <c r="LAC61" s="543"/>
      <c r="LAD61" s="543"/>
      <c r="LAE61" s="543"/>
      <c r="LAF61" s="543"/>
      <c r="LAG61" s="543"/>
      <c r="LAH61" s="543"/>
      <c r="LAI61" s="543"/>
      <c r="LAJ61" s="543"/>
      <c r="LAK61" s="543"/>
      <c r="LAL61" s="543"/>
      <c r="LAM61" s="543"/>
      <c r="LAN61" s="543"/>
      <c r="LAO61" s="543"/>
      <c r="LAP61" s="543"/>
      <c r="LAQ61" s="543"/>
      <c r="LAR61" s="543"/>
      <c r="LAS61" s="543"/>
      <c r="LAT61" s="543"/>
      <c r="LAU61" s="543"/>
      <c r="LAV61" s="543"/>
      <c r="LAW61" s="543"/>
      <c r="LAX61" s="543"/>
      <c r="LAY61" s="543"/>
      <c r="LAZ61" s="543"/>
      <c r="LBA61" s="543"/>
      <c r="LBB61" s="543"/>
      <c r="LBC61" s="543"/>
      <c r="LBD61" s="543"/>
      <c r="LBE61" s="543"/>
      <c r="LBF61" s="543"/>
      <c r="LBG61" s="543"/>
      <c r="LBH61" s="543"/>
      <c r="LBI61" s="543"/>
      <c r="LBJ61" s="543"/>
      <c r="LBK61" s="543"/>
      <c r="LBL61" s="543"/>
      <c r="LBM61" s="543"/>
      <c r="LBN61" s="543"/>
      <c r="LBO61" s="543"/>
      <c r="LBP61" s="543"/>
      <c r="LBQ61" s="543"/>
      <c r="LBR61" s="543"/>
      <c r="LBS61" s="543"/>
      <c r="LBT61" s="543"/>
      <c r="LBU61" s="543"/>
      <c r="LBV61" s="543"/>
      <c r="LBW61" s="543"/>
      <c r="LBX61" s="543"/>
      <c r="LBY61" s="543"/>
      <c r="LBZ61" s="543"/>
      <c r="LCA61" s="543"/>
      <c r="LCB61" s="543"/>
      <c r="LCC61" s="543"/>
      <c r="LCD61" s="543"/>
      <c r="LCE61" s="543"/>
      <c r="LCF61" s="543"/>
      <c r="LCG61" s="543"/>
      <c r="LCH61" s="543"/>
      <c r="LCI61" s="543"/>
      <c r="LCJ61" s="543"/>
      <c r="LCK61" s="543"/>
      <c r="LCL61" s="543"/>
      <c r="LCM61" s="543"/>
      <c r="LCN61" s="543"/>
      <c r="LCO61" s="543"/>
      <c r="LCP61" s="543"/>
      <c r="LCQ61" s="543"/>
      <c r="LCR61" s="543"/>
      <c r="LCS61" s="543"/>
      <c r="LCT61" s="543"/>
      <c r="LCU61" s="543"/>
      <c r="LCV61" s="543"/>
      <c r="LCW61" s="543"/>
      <c r="LCX61" s="543"/>
      <c r="LCY61" s="543"/>
      <c r="LCZ61" s="543"/>
      <c r="LDA61" s="543"/>
      <c r="LDB61" s="543"/>
      <c r="LDC61" s="543"/>
      <c r="LDD61" s="543"/>
      <c r="LDE61" s="543"/>
      <c r="LDF61" s="543"/>
      <c r="LDG61" s="543"/>
      <c r="LDH61" s="543"/>
      <c r="LDI61" s="543"/>
      <c r="LDJ61" s="543"/>
      <c r="LDK61" s="543"/>
      <c r="LDL61" s="543"/>
      <c r="LDM61" s="543"/>
      <c r="LDN61" s="543"/>
      <c r="LDO61" s="543"/>
      <c r="LDP61" s="543"/>
      <c r="LDQ61" s="543"/>
      <c r="LDR61" s="543"/>
      <c r="LDS61" s="543"/>
      <c r="LDT61" s="543"/>
      <c r="LDU61" s="543"/>
      <c r="LDV61" s="543"/>
      <c r="LDW61" s="543"/>
      <c r="LDX61" s="543"/>
      <c r="LDY61" s="543"/>
      <c r="LDZ61" s="543"/>
      <c r="LEA61" s="543"/>
      <c r="LEB61" s="543"/>
      <c r="LEC61" s="543"/>
      <c r="LED61" s="543"/>
      <c r="LEE61" s="543"/>
      <c r="LEF61" s="543"/>
      <c r="LEG61" s="543"/>
      <c r="LEH61" s="543"/>
      <c r="LEI61" s="543"/>
      <c r="LEJ61" s="543"/>
      <c r="LEK61" s="543"/>
      <c r="LEL61" s="543"/>
      <c r="LEM61" s="543"/>
      <c r="LEN61" s="543"/>
      <c r="LEO61" s="543"/>
      <c r="LEP61" s="543"/>
      <c r="LEQ61" s="543"/>
      <c r="LER61" s="543"/>
      <c r="LES61" s="543"/>
      <c r="LET61" s="543"/>
      <c r="LEU61" s="543"/>
      <c r="LEV61" s="543"/>
      <c r="LEW61" s="543"/>
      <c r="LEX61" s="543"/>
      <c r="LEY61" s="543"/>
      <c r="LEZ61" s="543"/>
      <c r="LFA61" s="543"/>
      <c r="LFB61" s="543"/>
      <c r="LFC61" s="543"/>
      <c r="LFD61" s="543"/>
      <c r="LFE61" s="543"/>
      <c r="LFF61" s="543"/>
      <c r="LFG61" s="543"/>
      <c r="LFH61" s="543"/>
      <c r="LFI61" s="543"/>
      <c r="LFJ61" s="543"/>
      <c r="LFK61" s="543"/>
      <c r="LFL61" s="543"/>
      <c r="LFM61" s="543"/>
      <c r="LFN61" s="543"/>
      <c r="LFO61" s="543"/>
      <c r="LFP61" s="543"/>
      <c r="LFQ61" s="543"/>
      <c r="LFR61" s="543"/>
      <c r="LFS61" s="543"/>
      <c r="LFT61" s="543"/>
      <c r="LFU61" s="543"/>
      <c r="LFV61" s="543"/>
      <c r="LFW61" s="543"/>
      <c r="LFX61" s="543"/>
      <c r="LFY61" s="543"/>
      <c r="LFZ61" s="543"/>
      <c r="LGA61" s="543"/>
      <c r="LGB61" s="543"/>
      <c r="LGC61" s="543"/>
      <c r="LGD61" s="543"/>
      <c r="LGE61" s="543"/>
      <c r="LGF61" s="543"/>
      <c r="LGG61" s="543"/>
      <c r="LGH61" s="543"/>
      <c r="LGI61" s="543"/>
      <c r="LGJ61" s="543"/>
      <c r="LGK61" s="543"/>
      <c r="LGL61" s="543"/>
      <c r="LGM61" s="543"/>
      <c r="LGN61" s="543"/>
      <c r="LGO61" s="543"/>
      <c r="LGP61" s="543"/>
      <c r="LGQ61" s="543"/>
      <c r="LGR61" s="543"/>
      <c r="LGS61" s="543"/>
      <c r="LGT61" s="543"/>
      <c r="LGU61" s="543"/>
      <c r="LGV61" s="543"/>
      <c r="LGW61" s="543"/>
      <c r="LGX61" s="543"/>
      <c r="LGY61" s="543"/>
      <c r="LGZ61" s="543"/>
      <c r="LHA61" s="543"/>
      <c r="LHB61" s="543"/>
      <c r="LHC61" s="543"/>
      <c r="LHD61" s="543"/>
      <c r="LHE61" s="543"/>
      <c r="LHF61" s="543"/>
      <c r="LHG61" s="543"/>
      <c r="LHH61" s="543"/>
      <c r="LHI61" s="543"/>
      <c r="LHJ61" s="543"/>
      <c r="LHK61" s="543"/>
      <c r="LHL61" s="543"/>
      <c r="LHM61" s="543"/>
      <c r="LHN61" s="543"/>
      <c r="LHO61" s="543"/>
      <c r="LHP61" s="543"/>
      <c r="LHQ61" s="543"/>
      <c r="LHR61" s="543"/>
      <c r="LHS61" s="543"/>
      <c r="LHT61" s="543"/>
      <c r="LHU61" s="543"/>
      <c r="LHV61" s="543"/>
      <c r="LHW61" s="543"/>
      <c r="LHX61" s="543"/>
      <c r="LHY61" s="543"/>
      <c r="LHZ61" s="543"/>
      <c r="LIA61" s="543"/>
      <c r="LIB61" s="543"/>
      <c r="LIC61" s="543"/>
      <c r="LID61" s="543"/>
      <c r="LIE61" s="543"/>
      <c r="LIF61" s="543"/>
      <c r="LIG61" s="543"/>
      <c r="LIH61" s="543"/>
      <c r="LII61" s="543"/>
      <c r="LIJ61" s="543"/>
      <c r="LIK61" s="543"/>
      <c r="LIL61" s="543"/>
      <c r="LIM61" s="543"/>
      <c r="LIN61" s="543"/>
      <c r="LIO61" s="543"/>
      <c r="LIP61" s="543"/>
      <c r="LIQ61" s="543"/>
      <c r="LIR61" s="543"/>
      <c r="LIS61" s="543"/>
      <c r="LIT61" s="543"/>
      <c r="LIU61" s="543"/>
      <c r="LIV61" s="543"/>
      <c r="LIW61" s="543"/>
      <c r="LIX61" s="543"/>
      <c r="LIY61" s="543"/>
      <c r="LIZ61" s="543"/>
      <c r="LJA61" s="543"/>
      <c r="LJB61" s="543"/>
      <c r="LJC61" s="543"/>
      <c r="LJD61" s="543"/>
      <c r="LJE61" s="543"/>
      <c r="LJF61" s="543"/>
      <c r="LJG61" s="543"/>
      <c r="LJH61" s="543"/>
      <c r="LJI61" s="543"/>
      <c r="LJJ61" s="543"/>
      <c r="LJK61" s="543"/>
      <c r="LJL61" s="543"/>
      <c r="LJM61" s="543"/>
      <c r="LJN61" s="543"/>
      <c r="LJO61" s="543"/>
      <c r="LJP61" s="543"/>
      <c r="LJQ61" s="543"/>
      <c r="LJR61" s="543"/>
      <c r="LJS61" s="543"/>
      <c r="LJT61" s="543"/>
      <c r="LJU61" s="543"/>
      <c r="LJV61" s="543"/>
      <c r="LJW61" s="543"/>
      <c r="LJX61" s="543"/>
      <c r="LJY61" s="543"/>
      <c r="LJZ61" s="543"/>
      <c r="LKA61" s="543"/>
      <c r="LKB61" s="543"/>
      <c r="LKC61" s="543"/>
      <c r="LKD61" s="543"/>
      <c r="LKE61" s="543"/>
      <c r="LKF61" s="543"/>
      <c r="LKG61" s="543"/>
      <c r="LKH61" s="543"/>
      <c r="LKI61" s="543"/>
      <c r="LKJ61" s="543"/>
      <c r="LKK61" s="543"/>
      <c r="LKL61" s="543"/>
      <c r="LKM61" s="543"/>
      <c r="LKN61" s="543"/>
      <c r="LKO61" s="543"/>
      <c r="LKP61" s="543"/>
      <c r="LKQ61" s="543"/>
      <c r="LKR61" s="543"/>
      <c r="LKS61" s="543"/>
      <c r="LKT61" s="543"/>
      <c r="LKU61" s="543"/>
      <c r="LKV61" s="543"/>
      <c r="LKW61" s="543"/>
      <c r="LKX61" s="543"/>
      <c r="LKY61" s="543"/>
      <c r="LKZ61" s="543"/>
      <c r="LLA61" s="543"/>
      <c r="LLB61" s="543"/>
      <c r="LLC61" s="543"/>
      <c r="LLD61" s="543"/>
      <c r="LLE61" s="543"/>
      <c r="LLF61" s="543"/>
      <c r="LLG61" s="543"/>
      <c r="LLH61" s="543"/>
      <c r="LLI61" s="543"/>
      <c r="LLJ61" s="543"/>
      <c r="LLK61" s="543"/>
      <c r="LLL61" s="543"/>
      <c r="LLM61" s="543"/>
      <c r="LLN61" s="543"/>
      <c r="LLO61" s="543"/>
      <c r="LLP61" s="543"/>
      <c r="LLQ61" s="543"/>
      <c r="LLR61" s="543"/>
      <c r="LLS61" s="543"/>
      <c r="LLT61" s="543"/>
      <c r="LLU61" s="543"/>
      <c r="LLV61" s="543"/>
      <c r="LLW61" s="543"/>
      <c r="LLX61" s="543"/>
      <c r="LLY61" s="543"/>
      <c r="LLZ61" s="543"/>
      <c r="LMA61" s="543"/>
      <c r="LMB61" s="543"/>
      <c r="LMC61" s="543"/>
      <c r="LMD61" s="543"/>
      <c r="LME61" s="543"/>
      <c r="LMF61" s="543"/>
      <c r="LMG61" s="543"/>
      <c r="LMH61" s="543"/>
      <c r="LMI61" s="543"/>
      <c r="LMJ61" s="543"/>
      <c r="LMK61" s="543"/>
      <c r="LML61" s="543"/>
      <c r="LMM61" s="543"/>
      <c r="LMN61" s="543"/>
      <c r="LMO61" s="543"/>
      <c r="LMP61" s="543"/>
      <c r="LMQ61" s="543"/>
      <c r="LMR61" s="543"/>
      <c r="LMS61" s="543"/>
      <c r="LMT61" s="543"/>
      <c r="LMU61" s="543"/>
      <c r="LMV61" s="543"/>
      <c r="LMW61" s="543"/>
      <c r="LMX61" s="543"/>
      <c r="LMY61" s="543"/>
      <c r="LMZ61" s="543"/>
      <c r="LNA61" s="543"/>
      <c r="LNB61" s="543"/>
      <c r="LNC61" s="543"/>
      <c r="LND61" s="543"/>
      <c r="LNE61" s="543"/>
      <c r="LNF61" s="543"/>
      <c r="LNG61" s="543"/>
      <c r="LNH61" s="543"/>
      <c r="LNI61" s="543"/>
      <c r="LNJ61" s="543"/>
      <c r="LNK61" s="543"/>
      <c r="LNL61" s="543"/>
      <c r="LNM61" s="543"/>
      <c r="LNN61" s="543"/>
      <c r="LNO61" s="543"/>
      <c r="LNP61" s="543"/>
      <c r="LNQ61" s="543"/>
      <c r="LNR61" s="543"/>
      <c r="LNS61" s="543"/>
      <c r="LNT61" s="543"/>
      <c r="LNU61" s="543"/>
      <c r="LNV61" s="543"/>
      <c r="LNW61" s="543"/>
      <c r="LNX61" s="543"/>
      <c r="LNY61" s="543"/>
      <c r="LNZ61" s="543"/>
      <c r="LOA61" s="543"/>
      <c r="LOB61" s="543"/>
      <c r="LOC61" s="543"/>
      <c r="LOD61" s="543"/>
      <c r="LOE61" s="543"/>
      <c r="LOF61" s="543"/>
      <c r="LOG61" s="543"/>
      <c r="LOH61" s="543"/>
      <c r="LOI61" s="543"/>
      <c r="LOJ61" s="543"/>
      <c r="LOK61" s="543"/>
      <c r="LOL61" s="543"/>
      <c r="LOM61" s="543"/>
      <c r="LON61" s="543"/>
      <c r="LOO61" s="543"/>
      <c r="LOP61" s="543"/>
      <c r="LOQ61" s="543"/>
      <c r="LOR61" s="543"/>
      <c r="LOS61" s="543"/>
      <c r="LOT61" s="543"/>
      <c r="LOU61" s="543"/>
      <c r="LOV61" s="543"/>
      <c r="LOW61" s="543"/>
      <c r="LOX61" s="543"/>
      <c r="LOY61" s="543"/>
      <c r="LOZ61" s="543"/>
      <c r="LPA61" s="543"/>
      <c r="LPB61" s="543"/>
      <c r="LPC61" s="543"/>
      <c r="LPD61" s="543"/>
      <c r="LPE61" s="543"/>
      <c r="LPF61" s="543"/>
      <c r="LPG61" s="543"/>
      <c r="LPH61" s="543"/>
      <c r="LPI61" s="543"/>
      <c r="LPJ61" s="543"/>
      <c r="LPK61" s="543"/>
      <c r="LPL61" s="543"/>
      <c r="LPM61" s="543"/>
      <c r="LPN61" s="543"/>
      <c r="LPO61" s="543"/>
      <c r="LPP61" s="543"/>
      <c r="LPQ61" s="543"/>
      <c r="LPR61" s="543"/>
      <c r="LPS61" s="543"/>
      <c r="LPT61" s="543"/>
      <c r="LPU61" s="543"/>
      <c r="LPV61" s="543"/>
      <c r="LPW61" s="543"/>
      <c r="LPX61" s="543"/>
      <c r="LPY61" s="543"/>
      <c r="LPZ61" s="543"/>
      <c r="LQA61" s="543"/>
      <c r="LQB61" s="543"/>
      <c r="LQC61" s="543"/>
      <c r="LQD61" s="543"/>
      <c r="LQE61" s="543"/>
      <c r="LQF61" s="543"/>
      <c r="LQG61" s="543"/>
      <c r="LQH61" s="543"/>
      <c r="LQI61" s="543"/>
      <c r="LQJ61" s="543"/>
      <c r="LQK61" s="543"/>
      <c r="LQL61" s="543"/>
      <c r="LQM61" s="543"/>
      <c r="LQN61" s="543"/>
      <c r="LQO61" s="543"/>
      <c r="LQP61" s="543"/>
      <c r="LQQ61" s="543"/>
      <c r="LQR61" s="543"/>
      <c r="LQS61" s="543"/>
      <c r="LQT61" s="543"/>
      <c r="LQU61" s="543"/>
      <c r="LQV61" s="543"/>
      <c r="LQW61" s="543"/>
      <c r="LQX61" s="543"/>
      <c r="LQY61" s="543"/>
      <c r="LQZ61" s="543"/>
      <c r="LRA61" s="543"/>
      <c r="LRB61" s="543"/>
      <c r="LRC61" s="543"/>
      <c r="LRD61" s="543"/>
      <c r="LRE61" s="543"/>
      <c r="LRF61" s="543"/>
      <c r="LRG61" s="543"/>
      <c r="LRH61" s="543"/>
      <c r="LRI61" s="543"/>
      <c r="LRJ61" s="543"/>
      <c r="LRK61" s="543"/>
      <c r="LRL61" s="543"/>
      <c r="LRM61" s="543"/>
      <c r="LRN61" s="543"/>
      <c r="LRO61" s="543"/>
      <c r="LRP61" s="543"/>
      <c r="LRQ61" s="543"/>
      <c r="LRR61" s="543"/>
      <c r="LRS61" s="543"/>
      <c r="LRT61" s="543"/>
      <c r="LRU61" s="543"/>
      <c r="LRV61" s="543"/>
      <c r="LRW61" s="543"/>
      <c r="LRX61" s="543"/>
      <c r="LRY61" s="543"/>
      <c r="LRZ61" s="543"/>
      <c r="LSA61" s="543"/>
      <c r="LSB61" s="543"/>
      <c r="LSC61" s="543"/>
      <c r="LSD61" s="543"/>
      <c r="LSE61" s="543"/>
      <c r="LSF61" s="543"/>
      <c r="LSG61" s="543"/>
      <c r="LSH61" s="543"/>
      <c r="LSI61" s="543"/>
      <c r="LSJ61" s="543"/>
      <c r="LSK61" s="543"/>
      <c r="LSL61" s="543"/>
      <c r="LSM61" s="543"/>
      <c r="LSN61" s="543"/>
      <c r="LSO61" s="543"/>
      <c r="LSP61" s="543"/>
      <c r="LSQ61" s="543"/>
      <c r="LSR61" s="543"/>
      <c r="LSS61" s="543"/>
      <c r="LST61" s="543"/>
      <c r="LSU61" s="543"/>
      <c r="LSV61" s="543"/>
      <c r="LSW61" s="543"/>
      <c r="LSX61" s="543"/>
      <c r="LSY61" s="543"/>
      <c r="LSZ61" s="543"/>
      <c r="LTA61" s="543"/>
      <c r="LTB61" s="543"/>
      <c r="LTC61" s="543"/>
      <c r="LTD61" s="543"/>
      <c r="LTE61" s="543"/>
      <c r="LTF61" s="543"/>
      <c r="LTG61" s="543"/>
      <c r="LTH61" s="543"/>
      <c r="LTI61" s="543"/>
      <c r="LTJ61" s="543"/>
      <c r="LTK61" s="543"/>
      <c r="LTL61" s="543"/>
      <c r="LTM61" s="543"/>
      <c r="LTN61" s="543"/>
      <c r="LTO61" s="543"/>
      <c r="LTP61" s="543"/>
      <c r="LTQ61" s="543"/>
      <c r="LTR61" s="543"/>
      <c r="LTS61" s="543"/>
      <c r="LTT61" s="543"/>
      <c r="LTU61" s="543"/>
      <c r="LTV61" s="543"/>
      <c r="LTW61" s="543"/>
      <c r="LTX61" s="543"/>
      <c r="LTY61" s="543"/>
      <c r="LTZ61" s="543"/>
      <c r="LUA61" s="543"/>
      <c r="LUB61" s="543"/>
      <c r="LUC61" s="543"/>
      <c r="LUD61" s="543"/>
      <c r="LUE61" s="543"/>
      <c r="LUF61" s="543"/>
      <c r="LUG61" s="543"/>
      <c r="LUH61" s="543"/>
      <c r="LUI61" s="543"/>
      <c r="LUJ61" s="543"/>
      <c r="LUK61" s="543"/>
      <c r="LUL61" s="543"/>
      <c r="LUM61" s="543"/>
      <c r="LUN61" s="543"/>
      <c r="LUO61" s="543"/>
      <c r="LUP61" s="543"/>
      <c r="LUQ61" s="543"/>
      <c r="LUR61" s="543"/>
      <c r="LUS61" s="543"/>
      <c r="LUT61" s="543"/>
      <c r="LUU61" s="543"/>
      <c r="LUV61" s="543"/>
      <c r="LUW61" s="543"/>
      <c r="LUX61" s="543"/>
      <c r="LUY61" s="543"/>
      <c r="LUZ61" s="543"/>
      <c r="LVA61" s="543"/>
      <c r="LVB61" s="543"/>
      <c r="LVC61" s="543"/>
      <c r="LVD61" s="543"/>
      <c r="LVE61" s="543"/>
      <c r="LVF61" s="543"/>
      <c r="LVG61" s="543"/>
      <c r="LVH61" s="543"/>
      <c r="LVI61" s="543"/>
      <c r="LVJ61" s="543"/>
      <c r="LVK61" s="543"/>
      <c r="LVL61" s="543"/>
      <c r="LVM61" s="543"/>
      <c r="LVN61" s="543"/>
      <c r="LVO61" s="543"/>
      <c r="LVP61" s="543"/>
      <c r="LVQ61" s="543"/>
      <c r="LVR61" s="543"/>
      <c r="LVS61" s="543"/>
      <c r="LVT61" s="543"/>
      <c r="LVU61" s="543"/>
      <c r="LVV61" s="543"/>
      <c r="LVW61" s="543"/>
      <c r="LVX61" s="543"/>
      <c r="LVY61" s="543"/>
      <c r="LVZ61" s="543"/>
      <c r="LWA61" s="543"/>
      <c r="LWB61" s="543"/>
      <c r="LWC61" s="543"/>
      <c r="LWD61" s="543"/>
      <c r="LWE61" s="543"/>
      <c r="LWF61" s="543"/>
      <c r="LWG61" s="543"/>
      <c r="LWH61" s="543"/>
      <c r="LWI61" s="543"/>
      <c r="LWJ61" s="543"/>
      <c r="LWK61" s="543"/>
      <c r="LWL61" s="543"/>
      <c r="LWM61" s="543"/>
      <c r="LWN61" s="543"/>
      <c r="LWO61" s="543"/>
      <c r="LWP61" s="543"/>
      <c r="LWQ61" s="543"/>
      <c r="LWR61" s="543"/>
      <c r="LWS61" s="543"/>
      <c r="LWT61" s="543"/>
      <c r="LWU61" s="543"/>
      <c r="LWV61" s="543"/>
      <c r="LWW61" s="543"/>
      <c r="LWX61" s="543"/>
      <c r="LWY61" s="543"/>
      <c r="LWZ61" s="543"/>
      <c r="LXA61" s="543"/>
      <c r="LXB61" s="543"/>
      <c r="LXC61" s="543"/>
      <c r="LXD61" s="543"/>
      <c r="LXE61" s="543"/>
      <c r="LXF61" s="543"/>
      <c r="LXG61" s="543"/>
      <c r="LXH61" s="543"/>
      <c r="LXI61" s="543"/>
      <c r="LXJ61" s="543"/>
      <c r="LXK61" s="543"/>
      <c r="LXL61" s="543"/>
      <c r="LXM61" s="543"/>
      <c r="LXN61" s="543"/>
      <c r="LXO61" s="543"/>
      <c r="LXP61" s="543"/>
      <c r="LXQ61" s="543"/>
      <c r="LXR61" s="543"/>
      <c r="LXS61" s="543"/>
      <c r="LXT61" s="543"/>
      <c r="LXU61" s="543"/>
      <c r="LXV61" s="543"/>
      <c r="LXW61" s="543"/>
      <c r="LXX61" s="543"/>
      <c r="LXY61" s="543"/>
      <c r="LXZ61" s="543"/>
      <c r="LYA61" s="543"/>
      <c r="LYB61" s="543"/>
      <c r="LYC61" s="543"/>
      <c r="LYD61" s="543"/>
      <c r="LYE61" s="543"/>
      <c r="LYF61" s="543"/>
      <c r="LYG61" s="543"/>
      <c r="LYH61" s="543"/>
      <c r="LYI61" s="543"/>
      <c r="LYJ61" s="543"/>
      <c r="LYK61" s="543"/>
      <c r="LYL61" s="543"/>
      <c r="LYM61" s="543"/>
      <c r="LYN61" s="543"/>
      <c r="LYO61" s="543"/>
      <c r="LYP61" s="543"/>
      <c r="LYQ61" s="543"/>
      <c r="LYR61" s="543"/>
      <c r="LYS61" s="543"/>
      <c r="LYT61" s="543"/>
      <c r="LYU61" s="543"/>
      <c r="LYV61" s="543"/>
      <c r="LYW61" s="543"/>
      <c r="LYX61" s="543"/>
      <c r="LYY61" s="543"/>
      <c r="LYZ61" s="543"/>
      <c r="LZA61" s="543"/>
      <c r="LZB61" s="543"/>
      <c r="LZC61" s="543"/>
      <c r="LZD61" s="543"/>
      <c r="LZE61" s="543"/>
      <c r="LZF61" s="543"/>
      <c r="LZG61" s="543"/>
      <c r="LZH61" s="543"/>
      <c r="LZI61" s="543"/>
      <c r="LZJ61" s="543"/>
      <c r="LZK61" s="543"/>
      <c r="LZL61" s="543"/>
      <c r="LZM61" s="543"/>
      <c r="LZN61" s="543"/>
      <c r="LZO61" s="543"/>
      <c r="LZP61" s="543"/>
      <c r="LZQ61" s="543"/>
      <c r="LZR61" s="543"/>
      <c r="LZS61" s="543"/>
      <c r="LZT61" s="543"/>
      <c r="LZU61" s="543"/>
      <c r="LZV61" s="543"/>
      <c r="LZW61" s="543"/>
      <c r="LZX61" s="543"/>
      <c r="LZY61" s="543"/>
      <c r="LZZ61" s="543"/>
      <c r="MAA61" s="543"/>
      <c r="MAB61" s="543"/>
      <c r="MAC61" s="543"/>
      <c r="MAD61" s="543"/>
      <c r="MAE61" s="543"/>
      <c r="MAF61" s="543"/>
      <c r="MAG61" s="543"/>
      <c r="MAH61" s="543"/>
      <c r="MAI61" s="543"/>
      <c r="MAJ61" s="543"/>
      <c r="MAK61" s="543"/>
      <c r="MAL61" s="543"/>
      <c r="MAM61" s="543"/>
      <c r="MAN61" s="543"/>
      <c r="MAO61" s="543"/>
      <c r="MAP61" s="543"/>
      <c r="MAQ61" s="543"/>
      <c r="MAR61" s="543"/>
      <c r="MAS61" s="543"/>
      <c r="MAT61" s="543"/>
      <c r="MAU61" s="543"/>
      <c r="MAV61" s="543"/>
      <c r="MAW61" s="543"/>
      <c r="MAX61" s="543"/>
      <c r="MAY61" s="543"/>
      <c r="MAZ61" s="543"/>
      <c r="MBA61" s="543"/>
      <c r="MBB61" s="543"/>
      <c r="MBC61" s="543"/>
      <c r="MBD61" s="543"/>
      <c r="MBE61" s="543"/>
      <c r="MBF61" s="543"/>
      <c r="MBG61" s="543"/>
      <c r="MBH61" s="543"/>
      <c r="MBI61" s="543"/>
      <c r="MBJ61" s="543"/>
      <c r="MBK61" s="543"/>
      <c r="MBL61" s="543"/>
      <c r="MBM61" s="543"/>
      <c r="MBN61" s="543"/>
      <c r="MBO61" s="543"/>
      <c r="MBP61" s="543"/>
      <c r="MBQ61" s="543"/>
      <c r="MBR61" s="543"/>
      <c r="MBS61" s="543"/>
      <c r="MBT61" s="543"/>
      <c r="MBU61" s="543"/>
      <c r="MBV61" s="543"/>
      <c r="MBW61" s="543"/>
      <c r="MBX61" s="543"/>
      <c r="MBY61" s="543"/>
      <c r="MBZ61" s="543"/>
      <c r="MCA61" s="543"/>
      <c r="MCB61" s="543"/>
      <c r="MCC61" s="543"/>
      <c r="MCD61" s="543"/>
      <c r="MCE61" s="543"/>
      <c r="MCF61" s="543"/>
      <c r="MCG61" s="543"/>
      <c r="MCH61" s="543"/>
      <c r="MCI61" s="543"/>
      <c r="MCJ61" s="543"/>
      <c r="MCK61" s="543"/>
      <c r="MCL61" s="543"/>
      <c r="MCM61" s="543"/>
      <c r="MCN61" s="543"/>
      <c r="MCO61" s="543"/>
      <c r="MCP61" s="543"/>
      <c r="MCQ61" s="543"/>
      <c r="MCR61" s="543"/>
      <c r="MCS61" s="543"/>
      <c r="MCT61" s="543"/>
      <c r="MCU61" s="543"/>
      <c r="MCV61" s="543"/>
      <c r="MCW61" s="543"/>
      <c r="MCX61" s="543"/>
      <c r="MCY61" s="543"/>
      <c r="MCZ61" s="543"/>
      <c r="MDA61" s="543"/>
      <c r="MDB61" s="543"/>
      <c r="MDC61" s="543"/>
      <c r="MDD61" s="543"/>
      <c r="MDE61" s="543"/>
      <c r="MDF61" s="543"/>
      <c r="MDG61" s="543"/>
      <c r="MDH61" s="543"/>
      <c r="MDI61" s="543"/>
      <c r="MDJ61" s="543"/>
      <c r="MDK61" s="543"/>
      <c r="MDL61" s="543"/>
      <c r="MDM61" s="543"/>
      <c r="MDN61" s="543"/>
      <c r="MDO61" s="543"/>
      <c r="MDP61" s="543"/>
      <c r="MDQ61" s="543"/>
      <c r="MDR61" s="543"/>
      <c r="MDS61" s="543"/>
      <c r="MDT61" s="543"/>
      <c r="MDU61" s="543"/>
      <c r="MDV61" s="543"/>
      <c r="MDW61" s="543"/>
      <c r="MDX61" s="543"/>
      <c r="MDY61" s="543"/>
      <c r="MDZ61" s="543"/>
      <c r="MEA61" s="543"/>
      <c r="MEB61" s="543"/>
      <c r="MEC61" s="543"/>
      <c r="MED61" s="543"/>
      <c r="MEE61" s="543"/>
      <c r="MEF61" s="543"/>
      <c r="MEG61" s="543"/>
      <c r="MEH61" s="543"/>
      <c r="MEI61" s="543"/>
      <c r="MEJ61" s="543"/>
      <c r="MEK61" s="543"/>
      <c r="MEL61" s="543"/>
      <c r="MEM61" s="543"/>
      <c r="MEN61" s="543"/>
      <c r="MEO61" s="543"/>
      <c r="MEP61" s="543"/>
      <c r="MEQ61" s="543"/>
      <c r="MER61" s="543"/>
      <c r="MES61" s="543"/>
      <c r="MET61" s="543"/>
      <c r="MEU61" s="543"/>
      <c r="MEV61" s="543"/>
      <c r="MEW61" s="543"/>
      <c r="MEX61" s="543"/>
      <c r="MEY61" s="543"/>
      <c r="MEZ61" s="543"/>
      <c r="MFA61" s="543"/>
      <c r="MFB61" s="543"/>
      <c r="MFC61" s="543"/>
      <c r="MFD61" s="543"/>
      <c r="MFE61" s="543"/>
      <c r="MFF61" s="543"/>
      <c r="MFG61" s="543"/>
      <c r="MFH61" s="543"/>
      <c r="MFI61" s="543"/>
      <c r="MFJ61" s="543"/>
      <c r="MFK61" s="543"/>
      <c r="MFL61" s="543"/>
      <c r="MFM61" s="543"/>
      <c r="MFN61" s="543"/>
      <c r="MFO61" s="543"/>
      <c r="MFP61" s="543"/>
      <c r="MFQ61" s="543"/>
      <c r="MFR61" s="543"/>
      <c r="MFS61" s="543"/>
      <c r="MFT61" s="543"/>
      <c r="MFU61" s="543"/>
      <c r="MFV61" s="543"/>
      <c r="MFW61" s="543"/>
      <c r="MFX61" s="543"/>
      <c r="MFY61" s="543"/>
      <c r="MFZ61" s="543"/>
      <c r="MGA61" s="543"/>
      <c r="MGB61" s="543"/>
      <c r="MGC61" s="543"/>
      <c r="MGD61" s="543"/>
      <c r="MGE61" s="543"/>
      <c r="MGF61" s="543"/>
      <c r="MGG61" s="543"/>
      <c r="MGH61" s="543"/>
      <c r="MGI61" s="543"/>
      <c r="MGJ61" s="543"/>
      <c r="MGK61" s="543"/>
      <c r="MGL61" s="543"/>
      <c r="MGM61" s="543"/>
      <c r="MGN61" s="543"/>
      <c r="MGO61" s="543"/>
      <c r="MGP61" s="543"/>
      <c r="MGQ61" s="543"/>
      <c r="MGR61" s="543"/>
      <c r="MGS61" s="543"/>
      <c r="MGT61" s="543"/>
      <c r="MGU61" s="543"/>
      <c r="MGV61" s="543"/>
      <c r="MGW61" s="543"/>
      <c r="MGX61" s="543"/>
      <c r="MGY61" s="543"/>
      <c r="MGZ61" s="543"/>
      <c r="MHA61" s="543"/>
      <c r="MHB61" s="543"/>
      <c r="MHC61" s="543"/>
      <c r="MHD61" s="543"/>
      <c r="MHE61" s="543"/>
      <c r="MHF61" s="543"/>
      <c r="MHG61" s="543"/>
      <c r="MHH61" s="543"/>
      <c r="MHI61" s="543"/>
      <c r="MHJ61" s="543"/>
      <c r="MHK61" s="543"/>
      <c r="MHL61" s="543"/>
      <c r="MHM61" s="543"/>
      <c r="MHN61" s="543"/>
      <c r="MHO61" s="543"/>
      <c r="MHP61" s="543"/>
      <c r="MHQ61" s="543"/>
      <c r="MHR61" s="543"/>
      <c r="MHS61" s="543"/>
      <c r="MHT61" s="543"/>
      <c r="MHU61" s="543"/>
      <c r="MHV61" s="543"/>
      <c r="MHW61" s="543"/>
      <c r="MHX61" s="543"/>
      <c r="MHY61" s="543"/>
      <c r="MHZ61" s="543"/>
      <c r="MIA61" s="543"/>
      <c r="MIB61" s="543"/>
      <c r="MIC61" s="543"/>
      <c r="MID61" s="543"/>
      <c r="MIE61" s="543"/>
      <c r="MIF61" s="543"/>
      <c r="MIG61" s="543"/>
      <c r="MIH61" s="543"/>
      <c r="MII61" s="543"/>
      <c r="MIJ61" s="543"/>
      <c r="MIK61" s="543"/>
      <c r="MIL61" s="543"/>
      <c r="MIM61" s="543"/>
      <c r="MIN61" s="543"/>
      <c r="MIO61" s="543"/>
      <c r="MIP61" s="543"/>
      <c r="MIQ61" s="543"/>
      <c r="MIR61" s="543"/>
      <c r="MIS61" s="543"/>
      <c r="MIT61" s="543"/>
      <c r="MIU61" s="543"/>
      <c r="MIV61" s="543"/>
      <c r="MIW61" s="543"/>
      <c r="MIX61" s="543"/>
      <c r="MIY61" s="543"/>
      <c r="MIZ61" s="543"/>
      <c r="MJA61" s="543"/>
      <c r="MJB61" s="543"/>
      <c r="MJC61" s="543"/>
      <c r="MJD61" s="543"/>
      <c r="MJE61" s="543"/>
      <c r="MJF61" s="543"/>
      <c r="MJG61" s="543"/>
      <c r="MJH61" s="543"/>
      <c r="MJI61" s="543"/>
      <c r="MJJ61" s="543"/>
      <c r="MJK61" s="543"/>
      <c r="MJL61" s="543"/>
      <c r="MJM61" s="543"/>
      <c r="MJN61" s="543"/>
      <c r="MJO61" s="543"/>
      <c r="MJP61" s="543"/>
      <c r="MJQ61" s="543"/>
      <c r="MJR61" s="543"/>
      <c r="MJS61" s="543"/>
      <c r="MJT61" s="543"/>
      <c r="MJU61" s="543"/>
      <c r="MJV61" s="543"/>
      <c r="MJW61" s="543"/>
      <c r="MJX61" s="543"/>
      <c r="MJY61" s="543"/>
      <c r="MJZ61" s="543"/>
      <c r="MKA61" s="543"/>
      <c r="MKB61" s="543"/>
      <c r="MKC61" s="543"/>
      <c r="MKD61" s="543"/>
      <c r="MKE61" s="543"/>
      <c r="MKF61" s="543"/>
      <c r="MKG61" s="543"/>
      <c r="MKH61" s="543"/>
      <c r="MKI61" s="543"/>
      <c r="MKJ61" s="543"/>
      <c r="MKK61" s="543"/>
      <c r="MKL61" s="543"/>
      <c r="MKM61" s="543"/>
      <c r="MKN61" s="543"/>
      <c r="MKO61" s="543"/>
      <c r="MKP61" s="543"/>
      <c r="MKQ61" s="543"/>
      <c r="MKR61" s="543"/>
      <c r="MKS61" s="543"/>
      <c r="MKT61" s="543"/>
      <c r="MKU61" s="543"/>
      <c r="MKV61" s="543"/>
      <c r="MKW61" s="543"/>
      <c r="MKX61" s="543"/>
      <c r="MKY61" s="543"/>
      <c r="MKZ61" s="543"/>
      <c r="MLA61" s="543"/>
      <c r="MLB61" s="543"/>
      <c r="MLC61" s="543"/>
      <c r="MLD61" s="543"/>
      <c r="MLE61" s="543"/>
      <c r="MLF61" s="543"/>
      <c r="MLG61" s="543"/>
      <c r="MLH61" s="543"/>
      <c r="MLI61" s="543"/>
      <c r="MLJ61" s="543"/>
      <c r="MLK61" s="543"/>
      <c r="MLL61" s="543"/>
      <c r="MLM61" s="543"/>
      <c r="MLN61" s="543"/>
      <c r="MLO61" s="543"/>
      <c r="MLP61" s="543"/>
      <c r="MLQ61" s="543"/>
      <c r="MLR61" s="543"/>
      <c r="MLS61" s="543"/>
      <c r="MLT61" s="543"/>
      <c r="MLU61" s="543"/>
      <c r="MLV61" s="543"/>
      <c r="MLW61" s="543"/>
      <c r="MLX61" s="543"/>
      <c r="MLY61" s="543"/>
      <c r="MLZ61" s="543"/>
      <c r="MMA61" s="543"/>
      <c r="MMB61" s="543"/>
      <c r="MMC61" s="543"/>
      <c r="MMD61" s="543"/>
      <c r="MME61" s="543"/>
      <c r="MMF61" s="543"/>
      <c r="MMG61" s="543"/>
      <c r="MMH61" s="543"/>
      <c r="MMI61" s="543"/>
      <c r="MMJ61" s="543"/>
      <c r="MMK61" s="543"/>
      <c r="MML61" s="543"/>
      <c r="MMM61" s="543"/>
      <c r="MMN61" s="543"/>
      <c r="MMO61" s="543"/>
      <c r="MMP61" s="543"/>
      <c r="MMQ61" s="543"/>
      <c r="MMR61" s="543"/>
      <c r="MMS61" s="543"/>
      <c r="MMT61" s="543"/>
      <c r="MMU61" s="543"/>
      <c r="MMV61" s="543"/>
      <c r="MMW61" s="543"/>
      <c r="MMX61" s="543"/>
      <c r="MMY61" s="543"/>
      <c r="MMZ61" s="543"/>
      <c r="MNA61" s="543"/>
      <c r="MNB61" s="543"/>
      <c r="MNC61" s="543"/>
      <c r="MND61" s="543"/>
      <c r="MNE61" s="543"/>
      <c r="MNF61" s="543"/>
      <c r="MNG61" s="543"/>
      <c r="MNH61" s="543"/>
      <c r="MNI61" s="543"/>
      <c r="MNJ61" s="543"/>
      <c r="MNK61" s="543"/>
      <c r="MNL61" s="543"/>
      <c r="MNM61" s="543"/>
      <c r="MNN61" s="543"/>
      <c r="MNO61" s="543"/>
      <c r="MNP61" s="543"/>
      <c r="MNQ61" s="543"/>
      <c r="MNR61" s="543"/>
      <c r="MNS61" s="543"/>
      <c r="MNT61" s="543"/>
      <c r="MNU61" s="543"/>
      <c r="MNV61" s="543"/>
      <c r="MNW61" s="543"/>
      <c r="MNX61" s="543"/>
      <c r="MNY61" s="543"/>
      <c r="MNZ61" s="543"/>
      <c r="MOA61" s="543"/>
      <c r="MOB61" s="543"/>
      <c r="MOC61" s="543"/>
      <c r="MOD61" s="543"/>
      <c r="MOE61" s="543"/>
      <c r="MOF61" s="543"/>
      <c r="MOG61" s="543"/>
      <c r="MOH61" s="543"/>
      <c r="MOI61" s="543"/>
      <c r="MOJ61" s="543"/>
      <c r="MOK61" s="543"/>
      <c r="MOL61" s="543"/>
      <c r="MOM61" s="543"/>
      <c r="MON61" s="543"/>
      <c r="MOO61" s="543"/>
      <c r="MOP61" s="543"/>
      <c r="MOQ61" s="543"/>
      <c r="MOR61" s="543"/>
      <c r="MOS61" s="543"/>
      <c r="MOT61" s="543"/>
      <c r="MOU61" s="543"/>
      <c r="MOV61" s="543"/>
      <c r="MOW61" s="543"/>
      <c r="MOX61" s="543"/>
      <c r="MOY61" s="543"/>
      <c r="MOZ61" s="543"/>
      <c r="MPA61" s="543"/>
      <c r="MPB61" s="543"/>
      <c r="MPC61" s="543"/>
      <c r="MPD61" s="543"/>
      <c r="MPE61" s="543"/>
      <c r="MPF61" s="543"/>
      <c r="MPG61" s="543"/>
      <c r="MPH61" s="543"/>
      <c r="MPI61" s="543"/>
      <c r="MPJ61" s="543"/>
      <c r="MPK61" s="543"/>
      <c r="MPL61" s="543"/>
      <c r="MPM61" s="543"/>
      <c r="MPN61" s="543"/>
      <c r="MPO61" s="543"/>
      <c r="MPP61" s="543"/>
      <c r="MPQ61" s="543"/>
      <c r="MPR61" s="543"/>
      <c r="MPS61" s="543"/>
      <c r="MPT61" s="543"/>
      <c r="MPU61" s="543"/>
      <c r="MPV61" s="543"/>
      <c r="MPW61" s="543"/>
      <c r="MPX61" s="543"/>
      <c r="MPY61" s="543"/>
      <c r="MPZ61" s="543"/>
      <c r="MQA61" s="543"/>
      <c r="MQB61" s="543"/>
      <c r="MQC61" s="543"/>
      <c r="MQD61" s="543"/>
      <c r="MQE61" s="543"/>
      <c r="MQF61" s="543"/>
      <c r="MQG61" s="543"/>
      <c r="MQH61" s="543"/>
      <c r="MQI61" s="543"/>
      <c r="MQJ61" s="543"/>
      <c r="MQK61" s="543"/>
      <c r="MQL61" s="543"/>
      <c r="MQM61" s="543"/>
      <c r="MQN61" s="543"/>
      <c r="MQO61" s="543"/>
      <c r="MQP61" s="543"/>
      <c r="MQQ61" s="543"/>
      <c r="MQR61" s="543"/>
      <c r="MQS61" s="543"/>
      <c r="MQT61" s="543"/>
      <c r="MQU61" s="543"/>
      <c r="MQV61" s="543"/>
      <c r="MQW61" s="543"/>
      <c r="MQX61" s="543"/>
      <c r="MQY61" s="543"/>
      <c r="MQZ61" s="543"/>
      <c r="MRA61" s="543"/>
      <c r="MRB61" s="543"/>
      <c r="MRC61" s="543"/>
      <c r="MRD61" s="543"/>
      <c r="MRE61" s="543"/>
      <c r="MRF61" s="543"/>
      <c r="MRG61" s="543"/>
      <c r="MRH61" s="543"/>
      <c r="MRI61" s="543"/>
      <c r="MRJ61" s="543"/>
      <c r="MRK61" s="543"/>
      <c r="MRL61" s="543"/>
      <c r="MRM61" s="543"/>
      <c r="MRN61" s="543"/>
      <c r="MRO61" s="543"/>
      <c r="MRP61" s="543"/>
      <c r="MRQ61" s="543"/>
      <c r="MRR61" s="543"/>
      <c r="MRS61" s="543"/>
      <c r="MRT61" s="543"/>
      <c r="MRU61" s="543"/>
      <c r="MRV61" s="543"/>
      <c r="MRW61" s="543"/>
      <c r="MRX61" s="543"/>
      <c r="MRY61" s="543"/>
      <c r="MRZ61" s="543"/>
      <c r="MSA61" s="543"/>
      <c r="MSB61" s="543"/>
      <c r="MSC61" s="543"/>
      <c r="MSD61" s="543"/>
      <c r="MSE61" s="543"/>
      <c r="MSF61" s="543"/>
      <c r="MSG61" s="543"/>
      <c r="MSH61" s="543"/>
      <c r="MSI61" s="543"/>
      <c r="MSJ61" s="543"/>
      <c r="MSK61" s="543"/>
      <c r="MSL61" s="543"/>
      <c r="MSM61" s="543"/>
      <c r="MSN61" s="543"/>
      <c r="MSO61" s="543"/>
      <c r="MSP61" s="543"/>
      <c r="MSQ61" s="543"/>
      <c r="MSR61" s="543"/>
      <c r="MSS61" s="543"/>
      <c r="MST61" s="543"/>
      <c r="MSU61" s="543"/>
      <c r="MSV61" s="543"/>
      <c r="MSW61" s="543"/>
      <c r="MSX61" s="543"/>
      <c r="MSY61" s="543"/>
      <c r="MSZ61" s="543"/>
      <c r="MTA61" s="543"/>
      <c r="MTB61" s="543"/>
      <c r="MTC61" s="543"/>
      <c r="MTD61" s="543"/>
      <c r="MTE61" s="543"/>
      <c r="MTF61" s="543"/>
      <c r="MTG61" s="543"/>
      <c r="MTH61" s="543"/>
      <c r="MTI61" s="543"/>
      <c r="MTJ61" s="543"/>
      <c r="MTK61" s="543"/>
      <c r="MTL61" s="543"/>
      <c r="MTM61" s="543"/>
      <c r="MTN61" s="543"/>
      <c r="MTO61" s="543"/>
      <c r="MTP61" s="543"/>
      <c r="MTQ61" s="543"/>
      <c r="MTR61" s="543"/>
      <c r="MTS61" s="543"/>
      <c r="MTT61" s="543"/>
      <c r="MTU61" s="543"/>
      <c r="MTV61" s="543"/>
      <c r="MTW61" s="543"/>
      <c r="MTX61" s="543"/>
      <c r="MTY61" s="543"/>
      <c r="MTZ61" s="543"/>
      <c r="MUA61" s="543"/>
      <c r="MUB61" s="543"/>
      <c r="MUC61" s="543"/>
      <c r="MUD61" s="543"/>
      <c r="MUE61" s="543"/>
      <c r="MUF61" s="543"/>
      <c r="MUG61" s="543"/>
      <c r="MUH61" s="543"/>
      <c r="MUI61" s="543"/>
      <c r="MUJ61" s="543"/>
      <c r="MUK61" s="543"/>
      <c r="MUL61" s="543"/>
      <c r="MUM61" s="543"/>
      <c r="MUN61" s="543"/>
      <c r="MUO61" s="543"/>
      <c r="MUP61" s="543"/>
      <c r="MUQ61" s="543"/>
      <c r="MUR61" s="543"/>
      <c r="MUS61" s="543"/>
      <c r="MUT61" s="543"/>
      <c r="MUU61" s="543"/>
      <c r="MUV61" s="543"/>
      <c r="MUW61" s="543"/>
      <c r="MUX61" s="543"/>
      <c r="MUY61" s="543"/>
      <c r="MUZ61" s="543"/>
      <c r="MVA61" s="543"/>
      <c r="MVB61" s="543"/>
      <c r="MVC61" s="543"/>
      <c r="MVD61" s="543"/>
      <c r="MVE61" s="543"/>
      <c r="MVF61" s="543"/>
      <c r="MVG61" s="543"/>
      <c r="MVH61" s="543"/>
      <c r="MVI61" s="543"/>
      <c r="MVJ61" s="543"/>
      <c r="MVK61" s="543"/>
      <c r="MVL61" s="543"/>
      <c r="MVM61" s="543"/>
      <c r="MVN61" s="543"/>
      <c r="MVO61" s="543"/>
      <c r="MVP61" s="543"/>
      <c r="MVQ61" s="543"/>
      <c r="MVR61" s="543"/>
      <c r="MVS61" s="543"/>
      <c r="MVT61" s="543"/>
      <c r="MVU61" s="543"/>
      <c r="MVV61" s="543"/>
      <c r="MVW61" s="543"/>
      <c r="MVX61" s="543"/>
      <c r="MVY61" s="543"/>
      <c r="MVZ61" s="543"/>
      <c r="MWA61" s="543"/>
      <c r="MWB61" s="543"/>
      <c r="MWC61" s="543"/>
      <c r="MWD61" s="543"/>
      <c r="MWE61" s="543"/>
      <c r="MWF61" s="543"/>
      <c r="MWG61" s="543"/>
      <c r="MWH61" s="543"/>
      <c r="MWI61" s="543"/>
      <c r="MWJ61" s="543"/>
      <c r="MWK61" s="543"/>
      <c r="MWL61" s="543"/>
      <c r="MWM61" s="543"/>
      <c r="MWN61" s="543"/>
      <c r="MWO61" s="543"/>
      <c r="MWP61" s="543"/>
      <c r="MWQ61" s="543"/>
      <c r="MWR61" s="543"/>
      <c r="MWS61" s="543"/>
      <c r="MWT61" s="543"/>
      <c r="MWU61" s="543"/>
      <c r="MWV61" s="543"/>
      <c r="MWW61" s="543"/>
      <c r="MWX61" s="543"/>
      <c r="MWY61" s="543"/>
      <c r="MWZ61" s="543"/>
      <c r="MXA61" s="543"/>
      <c r="MXB61" s="543"/>
      <c r="MXC61" s="543"/>
      <c r="MXD61" s="543"/>
      <c r="MXE61" s="543"/>
      <c r="MXF61" s="543"/>
      <c r="MXG61" s="543"/>
      <c r="MXH61" s="543"/>
      <c r="MXI61" s="543"/>
      <c r="MXJ61" s="543"/>
      <c r="MXK61" s="543"/>
      <c r="MXL61" s="543"/>
      <c r="MXM61" s="543"/>
      <c r="MXN61" s="543"/>
      <c r="MXO61" s="543"/>
      <c r="MXP61" s="543"/>
      <c r="MXQ61" s="543"/>
      <c r="MXR61" s="543"/>
      <c r="MXS61" s="543"/>
      <c r="MXT61" s="543"/>
      <c r="MXU61" s="543"/>
      <c r="MXV61" s="543"/>
      <c r="MXW61" s="543"/>
      <c r="MXX61" s="543"/>
      <c r="MXY61" s="543"/>
      <c r="MXZ61" s="543"/>
      <c r="MYA61" s="543"/>
      <c r="MYB61" s="543"/>
      <c r="MYC61" s="543"/>
      <c r="MYD61" s="543"/>
      <c r="MYE61" s="543"/>
      <c r="MYF61" s="543"/>
      <c r="MYG61" s="543"/>
      <c r="MYH61" s="543"/>
      <c r="MYI61" s="543"/>
      <c r="MYJ61" s="543"/>
      <c r="MYK61" s="543"/>
      <c r="MYL61" s="543"/>
      <c r="MYM61" s="543"/>
      <c r="MYN61" s="543"/>
      <c r="MYO61" s="543"/>
      <c r="MYP61" s="543"/>
      <c r="MYQ61" s="543"/>
      <c r="MYR61" s="543"/>
      <c r="MYS61" s="543"/>
      <c r="MYT61" s="543"/>
      <c r="MYU61" s="543"/>
      <c r="MYV61" s="543"/>
      <c r="MYW61" s="543"/>
      <c r="MYX61" s="543"/>
      <c r="MYY61" s="543"/>
      <c r="MYZ61" s="543"/>
      <c r="MZA61" s="543"/>
      <c r="MZB61" s="543"/>
      <c r="MZC61" s="543"/>
      <c r="MZD61" s="543"/>
      <c r="MZE61" s="543"/>
      <c r="MZF61" s="543"/>
      <c r="MZG61" s="543"/>
      <c r="MZH61" s="543"/>
      <c r="MZI61" s="543"/>
      <c r="MZJ61" s="543"/>
      <c r="MZK61" s="543"/>
      <c r="MZL61" s="543"/>
      <c r="MZM61" s="543"/>
      <c r="MZN61" s="543"/>
      <c r="MZO61" s="543"/>
      <c r="MZP61" s="543"/>
      <c r="MZQ61" s="543"/>
      <c r="MZR61" s="543"/>
      <c r="MZS61" s="543"/>
      <c r="MZT61" s="543"/>
      <c r="MZU61" s="543"/>
      <c r="MZV61" s="543"/>
      <c r="MZW61" s="543"/>
      <c r="MZX61" s="543"/>
      <c r="MZY61" s="543"/>
      <c r="MZZ61" s="543"/>
      <c r="NAA61" s="543"/>
      <c r="NAB61" s="543"/>
      <c r="NAC61" s="543"/>
      <c r="NAD61" s="543"/>
      <c r="NAE61" s="543"/>
      <c r="NAF61" s="543"/>
      <c r="NAG61" s="543"/>
      <c r="NAH61" s="543"/>
      <c r="NAI61" s="543"/>
      <c r="NAJ61" s="543"/>
      <c r="NAK61" s="543"/>
      <c r="NAL61" s="543"/>
      <c r="NAM61" s="543"/>
      <c r="NAN61" s="543"/>
      <c r="NAO61" s="543"/>
      <c r="NAP61" s="543"/>
      <c r="NAQ61" s="543"/>
      <c r="NAR61" s="543"/>
      <c r="NAS61" s="543"/>
      <c r="NAT61" s="543"/>
      <c r="NAU61" s="543"/>
      <c r="NAV61" s="543"/>
      <c r="NAW61" s="543"/>
      <c r="NAX61" s="543"/>
      <c r="NAY61" s="543"/>
      <c r="NAZ61" s="543"/>
      <c r="NBA61" s="543"/>
      <c r="NBB61" s="543"/>
      <c r="NBC61" s="543"/>
      <c r="NBD61" s="543"/>
      <c r="NBE61" s="543"/>
      <c r="NBF61" s="543"/>
      <c r="NBG61" s="543"/>
      <c r="NBH61" s="543"/>
      <c r="NBI61" s="543"/>
      <c r="NBJ61" s="543"/>
      <c r="NBK61" s="543"/>
      <c r="NBL61" s="543"/>
      <c r="NBM61" s="543"/>
      <c r="NBN61" s="543"/>
      <c r="NBO61" s="543"/>
      <c r="NBP61" s="543"/>
      <c r="NBQ61" s="543"/>
      <c r="NBR61" s="543"/>
      <c r="NBS61" s="543"/>
      <c r="NBT61" s="543"/>
      <c r="NBU61" s="543"/>
      <c r="NBV61" s="543"/>
      <c r="NBW61" s="543"/>
      <c r="NBX61" s="543"/>
      <c r="NBY61" s="543"/>
      <c r="NBZ61" s="543"/>
      <c r="NCA61" s="543"/>
      <c r="NCB61" s="543"/>
      <c r="NCC61" s="543"/>
      <c r="NCD61" s="543"/>
      <c r="NCE61" s="543"/>
      <c r="NCF61" s="543"/>
      <c r="NCG61" s="543"/>
      <c r="NCH61" s="543"/>
      <c r="NCI61" s="543"/>
      <c r="NCJ61" s="543"/>
      <c r="NCK61" s="543"/>
      <c r="NCL61" s="543"/>
      <c r="NCM61" s="543"/>
      <c r="NCN61" s="543"/>
      <c r="NCO61" s="543"/>
      <c r="NCP61" s="543"/>
      <c r="NCQ61" s="543"/>
      <c r="NCR61" s="543"/>
      <c r="NCS61" s="543"/>
      <c r="NCT61" s="543"/>
      <c r="NCU61" s="543"/>
      <c r="NCV61" s="543"/>
      <c r="NCW61" s="543"/>
      <c r="NCX61" s="543"/>
      <c r="NCY61" s="543"/>
      <c r="NCZ61" s="543"/>
      <c r="NDA61" s="543"/>
      <c r="NDB61" s="543"/>
      <c r="NDC61" s="543"/>
      <c r="NDD61" s="543"/>
      <c r="NDE61" s="543"/>
      <c r="NDF61" s="543"/>
      <c r="NDG61" s="543"/>
      <c r="NDH61" s="543"/>
      <c r="NDI61" s="543"/>
      <c r="NDJ61" s="543"/>
      <c r="NDK61" s="543"/>
      <c r="NDL61" s="543"/>
      <c r="NDM61" s="543"/>
      <c r="NDN61" s="543"/>
      <c r="NDO61" s="543"/>
      <c r="NDP61" s="543"/>
      <c r="NDQ61" s="543"/>
      <c r="NDR61" s="543"/>
      <c r="NDS61" s="543"/>
      <c r="NDT61" s="543"/>
      <c r="NDU61" s="543"/>
      <c r="NDV61" s="543"/>
      <c r="NDW61" s="543"/>
      <c r="NDX61" s="543"/>
      <c r="NDY61" s="543"/>
      <c r="NDZ61" s="543"/>
      <c r="NEA61" s="543"/>
      <c r="NEB61" s="543"/>
      <c r="NEC61" s="543"/>
      <c r="NED61" s="543"/>
      <c r="NEE61" s="543"/>
      <c r="NEF61" s="543"/>
      <c r="NEG61" s="543"/>
      <c r="NEH61" s="543"/>
      <c r="NEI61" s="543"/>
      <c r="NEJ61" s="543"/>
      <c r="NEK61" s="543"/>
      <c r="NEL61" s="543"/>
      <c r="NEM61" s="543"/>
      <c r="NEN61" s="543"/>
      <c r="NEO61" s="543"/>
      <c r="NEP61" s="543"/>
      <c r="NEQ61" s="543"/>
      <c r="NER61" s="543"/>
      <c r="NES61" s="543"/>
      <c r="NET61" s="543"/>
      <c r="NEU61" s="543"/>
      <c r="NEV61" s="543"/>
      <c r="NEW61" s="543"/>
      <c r="NEX61" s="543"/>
      <c r="NEY61" s="543"/>
      <c r="NEZ61" s="543"/>
      <c r="NFA61" s="543"/>
      <c r="NFB61" s="543"/>
      <c r="NFC61" s="543"/>
      <c r="NFD61" s="543"/>
      <c r="NFE61" s="543"/>
      <c r="NFF61" s="543"/>
      <c r="NFG61" s="543"/>
      <c r="NFH61" s="543"/>
      <c r="NFI61" s="543"/>
      <c r="NFJ61" s="543"/>
      <c r="NFK61" s="543"/>
      <c r="NFL61" s="543"/>
      <c r="NFM61" s="543"/>
      <c r="NFN61" s="543"/>
      <c r="NFO61" s="543"/>
      <c r="NFP61" s="543"/>
      <c r="NFQ61" s="543"/>
      <c r="NFR61" s="543"/>
      <c r="NFS61" s="543"/>
      <c r="NFT61" s="543"/>
      <c r="NFU61" s="543"/>
      <c r="NFV61" s="543"/>
      <c r="NFW61" s="543"/>
      <c r="NFX61" s="543"/>
      <c r="NFY61" s="543"/>
      <c r="NFZ61" s="543"/>
      <c r="NGA61" s="543"/>
      <c r="NGB61" s="543"/>
      <c r="NGC61" s="543"/>
      <c r="NGD61" s="543"/>
      <c r="NGE61" s="543"/>
      <c r="NGF61" s="543"/>
      <c r="NGG61" s="543"/>
      <c r="NGH61" s="543"/>
      <c r="NGI61" s="543"/>
      <c r="NGJ61" s="543"/>
      <c r="NGK61" s="543"/>
      <c r="NGL61" s="543"/>
      <c r="NGM61" s="543"/>
      <c r="NGN61" s="543"/>
      <c r="NGO61" s="543"/>
      <c r="NGP61" s="543"/>
      <c r="NGQ61" s="543"/>
      <c r="NGR61" s="543"/>
      <c r="NGS61" s="543"/>
      <c r="NGT61" s="543"/>
      <c r="NGU61" s="543"/>
      <c r="NGV61" s="543"/>
      <c r="NGW61" s="543"/>
      <c r="NGX61" s="543"/>
      <c r="NGY61" s="543"/>
      <c r="NGZ61" s="543"/>
      <c r="NHA61" s="543"/>
      <c r="NHB61" s="543"/>
      <c r="NHC61" s="543"/>
      <c r="NHD61" s="543"/>
      <c r="NHE61" s="543"/>
      <c r="NHF61" s="543"/>
      <c r="NHG61" s="543"/>
      <c r="NHH61" s="543"/>
      <c r="NHI61" s="543"/>
      <c r="NHJ61" s="543"/>
      <c r="NHK61" s="543"/>
      <c r="NHL61" s="543"/>
      <c r="NHM61" s="543"/>
      <c r="NHN61" s="543"/>
      <c r="NHO61" s="543"/>
      <c r="NHP61" s="543"/>
      <c r="NHQ61" s="543"/>
      <c r="NHR61" s="543"/>
      <c r="NHS61" s="543"/>
      <c r="NHT61" s="543"/>
      <c r="NHU61" s="543"/>
      <c r="NHV61" s="543"/>
      <c r="NHW61" s="543"/>
      <c r="NHX61" s="543"/>
      <c r="NHY61" s="543"/>
      <c r="NHZ61" s="543"/>
      <c r="NIA61" s="543"/>
      <c r="NIB61" s="543"/>
      <c r="NIC61" s="543"/>
      <c r="NID61" s="543"/>
      <c r="NIE61" s="543"/>
      <c r="NIF61" s="543"/>
      <c r="NIG61" s="543"/>
      <c r="NIH61" s="543"/>
      <c r="NII61" s="543"/>
      <c r="NIJ61" s="543"/>
      <c r="NIK61" s="543"/>
      <c r="NIL61" s="543"/>
      <c r="NIM61" s="543"/>
      <c r="NIN61" s="543"/>
      <c r="NIO61" s="543"/>
      <c r="NIP61" s="543"/>
      <c r="NIQ61" s="543"/>
      <c r="NIR61" s="543"/>
      <c r="NIS61" s="543"/>
      <c r="NIT61" s="543"/>
      <c r="NIU61" s="543"/>
      <c r="NIV61" s="543"/>
      <c r="NIW61" s="543"/>
      <c r="NIX61" s="543"/>
      <c r="NIY61" s="543"/>
      <c r="NIZ61" s="543"/>
      <c r="NJA61" s="543"/>
      <c r="NJB61" s="543"/>
      <c r="NJC61" s="543"/>
      <c r="NJD61" s="543"/>
      <c r="NJE61" s="543"/>
      <c r="NJF61" s="543"/>
      <c r="NJG61" s="543"/>
      <c r="NJH61" s="543"/>
      <c r="NJI61" s="543"/>
      <c r="NJJ61" s="543"/>
      <c r="NJK61" s="543"/>
      <c r="NJL61" s="543"/>
      <c r="NJM61" s="543"/>
      <c r="NJN61" s="543"/>
      <c r="NJO61" s="543"/>
      <c r="NJP61" s="543"/>
      <c r="NJQ61" s="543"/>
      <c r="NJR61" s="543"/>
      <c r="NJS61" s="543"/>
      <c r="NJT61" s="543"/>
      <c r="NJU61" s="543"/>
      <c r="NJV61" s="543"/>
      <c r="NJW61" s="543"/>
      <c r="NJX61" s="543"/>
      <c r="NJY61" s="543"/>
      <c r="NJZ61" s="543"/>
      <c r="NKA61" s="543"/>
      <c r="NKB61" s="543"/>
      <c r="NKC61" s="543"/>
      <c r="NKD61" s="543"/>
      <c r="NKE61" s="543"/>
      <c r="NKF61" s="543"/>
      <c r="NKG61" s="543"/>
      <c r="NKH61" s="543"/>
      <c r="NKI61" s="543"/>
      <c r="NKJ61" s="543"/>
      <c r="NKK61" s="543"/>
      <c r="NKL61" s="543"/>
      <c r="NKM61" s="543"/>
      <c r="NKN61" s="543"/>
      <c r="NKO61" s="543"/>
      <c r="NKP61" s="543"/>
      <c r="NKQ61" s="543"/>
      <c r="NKR61" s="543"/>
      <c r="NKS61" s="543"/>
      <c r="NKT61" s="543"/>
      <c r="NKU61" s="543"/>
      <c r="NKV61" s="543"/>
      <c r="NKW61" s="543"/>
      <c r="NKX61" s="543"/>
      <c r="NKY61" s="543"/>
      <c r="NKZ61" s="543"/>
      <c r="NLA61" s="543"/>
      <c r="NLB61" s="543"/>
      <c r="NLC61" s="543"/>
      <c r="NLD61" s="543"/>
      <c r="NLE61" s="543"/>
      <c r="NLF61" s="543"/>
      <c r="NLG61" s="543"/>
      <c r="NLH61" s="543"/>
      <c r="NLI61" s="543"/>
      <c r="NLJ61" s="543"/>
      <c r="NLK61" s="543"/>
      <c r="NLL61" s="543"/>
      <c r="NLM61" s="543"/>
      <c r="NLN61" s="543"/>
      <c r="NLO61" s="543"/>
      <c r="NLP61" s="543"/>
      <c r="NLQ61" s="543"/>
      <c r="NLR61" s="543"/>
      <c r="NLS61" s="543"/>
      <c r="NLT61" s="543"/>
      <c r="NLU61" s="543"/>
      <c r="NLV61" s="543"/>
      <c r="NLW61" s="543"/>
      <c r="NLX61" s="543"/>
      <c r="NLY61" s="543"/>
      <c r="NLZ61" s="543"/>
      <c r="NMA61" s="543"/>
      <c r="NMB61" s="543"/>
      <c r="NMC61" s="543"/>
      <c r="NMD61" s="543"/>
      <c r="NME61" s="543"/>
      <c r="NMF61" s="543"/>
      <c r="NMG61" s="543"/>
      <c r="NMH61" s="543"/>
      <c r="NMI61" s="543"/>
      <c r="NMJ61" s="543"/>
      <c r="NMK61" s="543"/>
      <c r="NML61" s="543"/>
      <c r="NMM61" s="543"/>
      <c r="NMN61" s="543"/>
      <c r="NMO61" s="543"/>
      <c r="NMP61" s="543"/>
      <c r="NMQ61" s="543"/>
      <c r="NMR61" s="543"/>
      <c r="NMS61" s="543"/>
      <c r="NMT61" s="543"/>
      <c r="NMU61" s="543"/>
      <c r="NMV61" s="543"/>
      <c r="NMW61" s="543"/>
      <c r="NMX61" s="543"/>
      <c r="NMY61" s="543"/>
      <c r="NMZ61" s="543"/>
      <c r="NNA61" s="543"/>
      <c r="NNB61" s="543"/>
      <c r="NNC61" s="543"/>
      <c r="NND61" s="543"/>
      <c r="NNE61" s="543"/>
      <c r="NNF61" s="543"/>
      <c r="NNG61" s="543"/>
      <c r="NNH61" s="543"/>
      <c r="NNI61" s="543"/>
      <c r="NNJ61" s="543"/>
      <c r="NNK61" s="543"/>
      <c r="NNL61" s="543"/>
      <c r="NNM61" s="543"/>
      <c r="NNN61" s="543"/>
      <c r="NNO61" s="543"/>
      <c r="NNP61" s="543"/>
      <c r="NNQ61" s="543"/>
      <c r="NNR61" s="543"/>
      <c r="NNS61" s="543"/>
      <c r="NNT61" s="543"/>
      <c r="NNU61" s="543"/>
      <c r="NNV61" s="543"/>
      <c r="NNW61" s="543"/>
      <c r="NNX61" s="543"/>
      <c r="NNY61" s="543"/>
      <c r="NNZ61" s="543"/>
      <c r="NOA61" s="543"/>
      <c r="NOB61" s="543"/>
      <c r="NOC61" s="543"/>
      <c r="NOD61" s="543"/>
      <c r="NOE61" s="543"/>
      <c r="NOF61" s="543"/>
      <c r="NOG61" s="543"/>
      <c r="NOH61" s="543"/>
      <c r="NOI61" s="543"/>
      <c r="NOJ61" s="543"/>
      <c r="NOK61" s="543"/>
      <c r="NOL61" s="543"/>
      <c r="NOM61" s="543"/>
      <c r="NON61" s="543"/>
      <c r="NOO61" s="543"/>
      <c r="NOP61" s="543"/>
      <c r="NOQ61" s="543"/>
      <c r="NOR61" s="543"/>
      <c r="NOS61" s="543"/>
      <c r="NOT61" s="543"/>
      <c r="NOU61" s="543"/>
      <c r="NOV61" s="543"/>
      <c r="NOW61" s="543"/>
      <c r="NOX61" s="543"/>
      <c r="NOY61" s="543"/>
      <c r="NOZ61" s="543"/>
      <c r="NPA61" s="543"/>
      <c r="NPB61" s="543"/>
      <c r="NPC61" s="543"/>
      <c r="NPD61" s="543"/>
      <c r="NPE61" s="543"/>
      <c r="NPF61" s="543"/>
      <c r="NPG61" s="543"/>
      <c r="NPH61" s="543"/>
      <c r="NPI61" s="543"/>
      <c r="NPJ61" s="543"/>
      <c r="NPK61" s="543"/>
      <c r="NPL61" s="543"/>
      <c r="NPM61" s="543"/>
      <c r="NPN61" s="543"/>
      <c r="NPO61" s="543"/>
      <c r="NPP61" s="543"/>
      <c r="NPQ61" s="543"/>
      <c r="NPR61" s="543"/>
      <c r="NPS61" s="543"/>
      <c r="NPT61" s="543"/>
      <c r="NPU61" s="543"/>
      <c r="NPV61" s="543"/>
      <c r="NPW61" s="543"/>
      <c r="NPX61" s="543"/>
      <c r="NPY61" s="543"/>
      <c r="NPZ61" s="543"/>
      <c r="NQA61" s="543"/>
      <c r="NQB61" s="543"/>
      <c r="NQC61" s="543"/>
      <c r="NQD61" s="543"/>
      <c r="NQE61" s="543"/>
      <c r="NQF61" s="543"/>
      <c r="NQG61" s="543"/>
      <c r="NQH61" s="543"/>
      <c r="NQI61" s="543"/>
      <c r="NQJ61" s="543"/>
      <c r="NQK61" s="543"/>
      <c r="NQL61" s="543"/>
      <c r="NQM61" s="543"/>
      <c r="NQN61" s="543"/>
      <c r="NQO61" s="543"/>
      <c r="NQP61" s="543"/>
      <c r="NQQ61" s="543"/>
      <c r="NQR61" s="543"/>
      <c r="NQS61" s="543"/>
      <c r="NQT61" s="543"/>
      <c r="NQU61" s="543"/>
      <c r="NQV61" s="543"/>
      <c r="NQW61" s="543"/>
      <c r="NQX61" s="543"/>
      <c r="NQY61" s="543"/>
      <c r="NQZ61" s="543"/>
      <c r="NRA61" s="543"/>
      <c r="NRB61" s="543"/>
      <c r="NRC61" s="543"/>
      <c r="NRD61" s="543"/>
      <c r="NRE61" s="543"/>
      <c r="NRF61" s="543"/>
      <c r="NRG61" s="543"/>
      <c r="NRH61" s="543"/>
      <c r="NRI61" s="543"/>
      <c r="NRJ61" s="543"/>
      <c r="NRK61" s="543"/>
      <c r="NRL61" s="543"/>
      <c r="NRM61" s="543"/>
      <c r="NRN61" s="543"/>
      <c r="NRO61" s="543"/>
      <c r="NRP61" s="543"/>
      <c r="NRQ61" s="543"/>
      <c r="NRR61" s="543"/>
      <c r="NRS61" s="543"/>
      <c r="NRT61" s="543"/>
      <c r="NRU61" s="543"/>
      <c r="NRV61" s="543"/>
      <c r="NRW61" s="543"/>
      <c r="NRX61" s="543"/>
      <c r="NRY61" s="543"/>
      <c r="NRZ61" s="543"/>
      <c r="NSA61" s="543"/>
      <c r="NSB61" s="543"/>
      <c r="NSC61" s="543"/>
      <c r="NSD61" s="543"/>
      <c r="NSE61" s="543"/>
      <c r="NSF61" s="543"/>
      <c r="NSG61" s="543"/>
      <c r="NSH61" s="543"/>
      <c r="NSI61" s="543"/>
      <c r="NSJ61" s="543"/>
      <c r="NSK61" s="543"/>
      <c r="NSL61" s="543"/>
      <c r="NSM61" s="543"/>
      <c r="NSN61" s="543"/>
      <c r="NSO61" s="543"/>
      <c r="NSP61" s="543"/>
      <c r="NSQ61" s="543"/>
      <c r="NSR61" s="543"/>
      <c r="NSS61" s="543"/>
      <c r="NST61" s="543"/>
      <c r="NSU61" s="543"/>
      <c r="NSV61" s="543"/>
      <c r="NSW61" s="543"/>
      <c r="NSX61" s="543"/>
      <c r="NSY61" s="543"/>
      <c r="NSZ61" s="543"/>
      <c r="NTA61" s="543"/>
      <c r="NTB61" s="543"/>
      <c r="NTC61" s="543"/>
      <c r="NTD61" s="543"/>
      <c r="NTE61" s="543"/>
      <c r="NTF61" s="543"/>
      <c r="NTG61" s="543"/>
      <c r="NTH61" s="543"/>
      <c r="NTI61" s="543"/>
      <c r="NTJ61" s="543"/>
      <c r="NTK61" s="543"/>
      <c r="NTL61" s="543"/>
      <c r="NTM61" s="543"/>
      <c r="NTN61" s="543"/>
      <c r="NTO61" s="543"/>
      <c r="NTP61" s="543"/>
      <c r="NTQ61" s="543"/>
      <c r="NTR61" s="543"/>
      <c r="NTS61" s="543"/>
      <c r="NTT61" s="543"/>
      <c r="NTU61" s="543"/>
      <c r="NTV61" s="543"/>
      <c r="NTW61" s="543"/>
      <c r="NTX61" s="543"/>
      <c r="NTY61" s="543"/>
      <c r="NTZ61" s="543"/>
      <c r="NUA61" s="543"/>
      <c r="NUB61" s="543"/>
      <c r="NUC61" s="543"/>
      <c r="NUD61" s="543"/>
      <c r="NUE61" s="543"/>
      <c r="NUF61" s="543"/>
      <c r="NUG61" s="543"/>
      <c r="NUH61" s="543"/>
      <c r="NUI61" s="543"/>
      <c r="NUJ61" s="543"/>
      <c r="NUK61" s="543"/>
      <c r="NUL61" s="543"/>
      <c r="NUM61" s="543"/>
      <c r="NUN61" s="543"/>
      <c r="NUO61" s="543"/>
      <c r="NUP61" s="543"/>
      <c r="NUQ61" s="543"/>
      <c r="NUR61" s="543"/>
      <c r="NUS61" s="543"/>
      <c r="NUT61" s="543"/>
      <c r="NUU61" s="543"/>
      <c r="NUV61" s="543"/>
      <c r="NUW61" s="543"/>
      <c r="NUX61" s="543"/>
      <c r="NUY61" s="543"/>
      <c r="NUZ61" s="543"/>
      <c r="NVA61" s="543"/>
      <c r="NVB61" s="543"/>
      <c r="NVC61" s="543"/>
      <c r="NVD61" s="543"/>
      <c r="NVE61" s="543"/>
      <c r="NVF61" s="543"/>
      <c r="NVG61" s="543"/>
      <c r="NVH61" s="543"/>
      <c r="NVI61" s="543"/>
      <c r="NVJ61" s="543"/>
      <c r="NVK61" s="543"/>
      <c r="NVL61" s="543"/>
      <c r="NVM61" s="543"/>
      <c r="NVN61" s="543"/>
      <c r="NVO61" s="543"/>
      <c r="NVP61" s="543"/>
      <c r="NVQ61" s="543"/>
      <c r="NVR61" s="543"/>
      <c r="NVS61" s="543"/>
      <c r="NVT61" s="543"/>
      <c r="NVU61" s="543"/>
      <c r="NVV61" s="543"/>
      <c r="NVW61" s="543"/>
      <c r="NVX61" s="543"/>
      <c r="NVY61" s="543"/>
      <c r="NVZ61" s="543"/>
      <c r="NWA61" s="543"/>
      <c r="NWB61" s="543"/>
      <c r="NWC61" s="543"/>
      <c r="NWD61" s="543"/>
      <c r="NWE61" s="543"/>
      <c r="NWF61" s="543"/>
      <c r="NWG61" s="543"/>
      <c r="NWH61" s="543"/>
      <c r="NWI61" s="543"/>
      <c r="NWJ61" s="543"/>
      <c r="NWK61" s="543"/>
      <c r="NWL61" s="543"/>
      <c r="NWM61" s="543"/>
      <c r="NWN61" s="543"/>
      <c r="NWO61" s="543"/>
      <c r="NWP61" s="543"/>
      <c r="NWQ61" s="543"/>
      <c r="NWR61" s="543"/>
      <c r="NWS61" s="543"/>
      <c r="NWT61" s="543"/>
      <c r="NWU61" s="543"/>
      <c r="NWV61" s="543"/>
      <c r="NWW61" s="543"/>
      <c r="NWX61" s="543"/>
      <c r="NWY61" s="543"/>
      <c r="NWZ61" s="543"/>
      <c r="NXA61" s="543"/>
      <c r="NXB61" s="543"/>
      <c r="NXC61" s="543"/>
      <c r="NXD61" s="543"/>
      <c r="NXE61" s="543"/>
      <c r="NXF61" s="543"/>
      <c r="NXG61" s="543"/>
      <c r="NXH61" s="543"/>
      <c r="NXI61" s="543"/>
      <c r="NXJ61" s="543"/>
      <c r="NXK61" s="543"/>
      <c r="NXL61" s="543"/>
      <c r="NXM61" s="543"/>
      <c r="NXN61" s="543"/>
      <c r="NXO61" s="543"/>
      <c r="NXP61" s="543"/>
      <c r="NXQ61" s="543"/>
      <c r="NXR61" s="543"/>
      <c r="NXS61" s="543"/>
      <c r="NXT61" s="543"/>
      <c r="NXU61" s="543"/>
      <c r="NXV61" s="543"/>
      <c r="NXW61" s="543"/>
      <c r="NXX61" s="543"/>
      <c r="NXY61" s="543"/>
      <c r="NXZ61" s="543"/>
      <c r="NYA61" s="543"/>
      <c r="NYB61" s="543"/>
      <c r="NYC61" s="543"/>
      <c r="NYD61" s="543"/>
      <c r="NYE61" s="543"/>
      <c r="NYF61" s="543"/>
      <c r="NYG61" s="543"/>
      <c r="NYH61" s="543"/>
      <c r="NYI61" s="543"/>
      <c r="NYJ61" s="543"/>
      <c r="NYK61" s="543"/>
      <c r="NYL61" s="543"/>
      <c r="NYM61" s="543"/>
      <c r="NYN61" s="543"/>
      <c r="NYO61" s="543"/>
      <c r="NYP61" s="543"/>
      <c r="NYQ61" s="543"/>
      <c r="NYR61" s="543"/>
      <c r="NYS61" s="543"/>
      <c r="NYT61" s="543"/>
      <c r="NYU61" s="543"/>
      <c r="NYV61" s="543"/>
      <c r="NYW61" s="543"/>
      <c r="NYX61" s="543"/>
      <c r="NYY61" s="543"/>
      <c r="NYZ61" s="543"/>
      <c r="NZA61" s="543"/>
      <c r="NZB61" s="543"/>
      <c r="NZC61" s="543"/>
      <c r="NZD61" s="543"/>
      <c r="NZE61" s="543"/>
      <c r="NZF61" s="543"/>
      <c r="NZG61" s="543"/>
      <c r="NZH61" s="543"/>
      <c r="NZI61" s="543"/>
      <c r="NZJ61" s="543"/>
      <c r="NZK61" s="543"/>
      <c r="NZL61" s="543"/>
      <c r="NZM61" s="543"/>
      <c r="NZN61" s="543"/>
      <c r="NZO61" s="543"/>
      <c r="NZP61" s="543"/>
      <c r="NZQ61" s="543"/>
      <c r="NZR61" s="543"/>
      <c r="NZS61" s="543"/>
      <c r="NZT61" s="543"/>
      <c r="NZU61" s="543"/>
      <c r="NZV61" s="543"/>
      <c r="NZW61" s="543"/>
      <c r="NZX61" s="543"/>
      <c r="NZY61" s="543"/>
      <c r="NZZ61" s="543"/>
      <c r="OAA61" s="543"/>
      <c r="OAB61" s="543"/>
      <c r="OAC61" s="543"/>
      <c r="OAD61" s="543"/>
      <c r="OAE61" s="543"/>
      <c r="OAF61" s="543"/>
      <c r="OAG61" s="543"/>
      <c r="OAH61" s="543"/>
      <c r="OAI61" s="543"/>
      <c r="OAJ61" s="543"/>
      <c r="OAK61" s="543"/>
      <c r="OAL61" s="543"/>
      <c r="OAM61" s="543"/>
      <c r="OAN61" s="543"/>
      <c r="OAO61" s="543"/>
      <c r="OAP61" s="543"/>
      <c r="OAQ61" s="543"/>
      <c r="OAR61" s="543"/>
      <c r="OAS61" s="543"/>
      <c r="OAT61" s="543"/>
      <c r="OAU61" s="543"/>
      <c r="OAV61" s="543"/>
      <c r="OAW61" s="543"/>
      <c r="OAX61" s="543"/>
      <c r="OAY61" s="543"/>
      <c r="OAZ61" s="543"/>
      <c r="OBA61" s="543"/>
      <c r="OBB61" s="543"/>
      <c r="OBC61" s="543"/>
      <c r="OBD61" s="543"/>
      <c r="OBE61" s="543"/>
      <c r="OBF61" s="543"/>
      <c r="OBG61" s="543"/>
      <c r="OBH61" s="543"/>
      <c r="OBI61" s="543"/>
      <c r="OBJ61" s="543"/>
      <c r="OBK61" s="543"/>
      <c r="OBL61" s="543"/>
      <c r="OBM61" s="543"/>
      <c r="OBN61" s="543"/>
      <c r="OBO61" s="543"/>
      <c r="OBP61" s="543"/>
      <c r="OBQ61" s="543"/>
      <c r="OBR61" s="543"/>
      <c r="OBS61" s="543"/>
      <c r="OBT61" s="543"/>
      <c r="OBU61" s="543"/>
      <c r="OBV61" s="543"/>
      <c r="OBW61" s="543"/>
      <c r="OBX61" s="543"/>
      <c r="OBY61" s="543"/>
      <c r="OBZ61" s="543"/>
      <c r="OCA61" s="543"/>
      <c r="OCB61" s="543"/>
      <c r="OCC61" s="543"/>
      <c r="OCD61" s="543"/>
      <c r="OCE61" s="543"/>
      <c r="OCF61" s="543"/>
      <c r="OCG61" s="543"/>
      <c r="OCH61" s="543"/>
      <c r="OCI61" s="543"/>
      <c r="OCJ61" s="543"/>
      <c r="OCK61" s="543"/>
      <c r="OCL61" s="543"/>
      <c r="OCM61" s="543"/>
      <c r="OCN61" s="543"/>
      <c r="OCO61" s="543"/>
      <c r="OCP61" s="543"/>
      <c r="OCQ61" s="543"/>
      <c r="OCR61" s="543"/>
      <c r="OCS61" s="543"/>
      <c r="OCT61" s="543"/>
      <c r="OCU61" s="543"/>
      <c r="OCV61" s="543"/>
      <c r="OCW61" s="543"/>
      <c r="OCX61" s="543"/>
      <c r="OCY61" s="543"/>
      <c r="OCZ61" s="543"/>
      <c r="ODA61" s="543"/>
      <c r="ODB61" s="543"/>
      <c r="ODC61" s="543"/>
      <c r="ODD61" s="543"/>
      <c r="ODE61" s="543"/>
      <c r="ODF61" s="543"/>
      <c r="ODG61" s="543"/>
      <c r="ODH61" s="543"/>
      <c r="ODI61" s="543"/>
      <c r="ODJ61" s="543"/>
      <c r="ODK61" s="543"/>
      <c r="ODL61" s="543"/>
      <c r="ODM61" s="543"/>
      <c r="ODN61" s="543"/>
      <c r="ODO61" s="543"/>
      <c r="ODP61" s="543"/>
      <c r="ODQ61" s="543"/>
      <c r="ODR61" s="543"/>
      <c r="ODS61" s="543"/>
      <c r="ODT61" s="543"/>
      <c r="ODU61" s="543"/>
      <c r="ODV61" s="543"/>
      <c r="ODW61" s="543"/>
      <c r="ODX61" s="543"/>
      <c r="ODY61" s="543"/>
      <c r="ODZ61" s="543"/>
      <c r="OEA61" s="543"/>
      <c r="OEB61" s="543"/>
      <c r="OEC61" s="543"/>
      <c r="OED61" s="543"/>
      <c r="OEE61" s="543"/>
      <c r="OEF61" s="543"/>
      <c r="OEG61" s="543"/>
      <c r="OEH61" s="543"/>
      <c r="OEI61" s="543"/>
      <c r="OEJ61" s="543"/>
      <c r="OEK61" s="543"/>
      <c r="OEL61" s="543"/>
      <c r="OEM61" s="543"/>
      <c r="OEN61" s="543"/>
      <c r="OEO61" s="543"/>
      <c r="OEP61" s="543"/>
      <c r="OEQ61" s="543"/>
      <c r="OER61" s="543"/>
      <c r="OES61" s="543"/>
      <c r="OET61" s="543"/>
      <c r="OEU61" s="543"/>
      <c r="OEV61" s="543"/>
      <c r="OEW61" s="543"/>
      <c r="OEX61" s="543"/>
      <c r="OEY61" s="543"/>
      <c r="OEZ61" s="543"/>
      <c r="OFA61" s="543"/>
      <c r="OFB61" s="543"/>
      <c r="OFC61" s="543"/>
      <c r="OFD61" s="543"/>
      <c r="OFE61" s="543"/>
      <c r="OFF61" s="543"/>
      <c r="OFG61" s="543"/>
      <c r="OFH61" s="543"/>
      <c r="OFI61" s="543"/>
      <c r="OFJ61" s="543"/>
      <c r="OFK61" s="543"/>
      <c r="OFL61" s="543"/>
      <c r="OFM61" s="543"/>
      <c r="OFN61" s="543"/>
      <c r="OFO61" s="543"/>
      <c r="OFP61" s="543"/>
      <c r="OFQ61" s="543"/>
      <c r="OFR61" s="543"/>
      <c r="OFS61" s="543"/>
      <c r="OFT61" s="543"/>
      <c r="OFU61" s="543"/>
      <c r="OFV61" s="543"/>
      <c r="OFW61" s="543"/>
      <c r="OFX61" s="543"/>
      <c r="OFY61" s="543"/>
      <c r="OFZ61" s="543"/>
      <c r="OGA61" s="543"/>
      <c r="OGB61" s="543"/>
      <c r="OGC61" s="543"/>
      <c r="OGD61" s="543"/>
      <c r="OGE61" s="543"/>
      <c r="OGF61" s="543"/>
      <c r="OGG61" s="543"/>
      <c r="OGH61" s="543"/>
      <c r="OGI61" s="543"/>
      <c r="OGJ61" s="543"/>
      <c r="OGK61" s="543"/>
      <c r="OGL61" s="543"/>
      <c r="OGM61" s="543"/>
      <c r="OGN61" s="543"/>
      <c r="OGO61" s="543"/>
      <c r="OGP61" s="543"/>
      <c r="OGQ61" s="543"/>
      <c r="OGR61" s="543"/>
      <c r="OGS61" s="543"/>
      <c r="OGT61" s="543"/>
      <c r="OGU61" s="543"/>
      <c r="OGV61" s="543"/>
      <c r="OGW61" s="543"/>
      <c r="OGX61" s="543"/>
      <c r="OGY61" s="543"/>
      <c r="OGZ61" s="543"/>
      <c r="OHA61" s="543"/>
      <c r="OHB61" s="543"/>
      <c r="OHC61" s="543"/>
      <c r="OHD61" s="543"/>
      <c r="OHE61" s="543"/>
      <c r="OHF61" s="543"/>
      <c r="OHG61" s="543"/>
      <c r="OHH61" s="543"/>
      <c r="OHI61" s="543"/>
      <c r="OHJ61" s="543"/>
      <c r="OHK61" s="543"/>
      <c r="OHL61" s="543"/>
      <c r="OHM61" s="543"/>
      <c r="OHN61" s="543"/>
      <c r="OHO61" s="543"/>
      <c r="OHP61" s="543"/>
      <c r="OHQ61" s="543"/>
      <c r="OHR61" s="543"/>
      <c r="OHS61" s="543"/>
      <c r="OHT61" s="543"/>
      <c r="OHU61" s="543"/>
      <c r="OHV61" s="543"/>
      <c r="OHW61" s="543"/>
      <c r="OHX61" s="543"/>
      <c r="OHY61" s="543"/>
      <c r="OHZ61" s="543"/>
      <c r="OIA61" s="543"/>
      <c r="OIB61" s="543"/>
      <c r="OIC61" s="543"/>
      <c r="OID61" s="543"/>
      <c r="OIE61" s="543"/>
      <c r="OIF61" s="543"/>
      <c r="OIG61" s="543"/>
      <c r="OIH61" s="543"/>
      <c r="OII61" s="543"/>
      <c r="OIJ61" s="543"/>
      <c r="OIK61" s="543"/>
      <c r="OIL61" s="543"/>
      <c r="OIM61" s="543"/>
      <c r="OIN61" s="543"/>
      <c r="OIO61" s="543"/>
      <c r="OIP61" s="543"/>
      <c r="OIQ61" s="543"/>
      <c r="OIR61" s="543"/>
      <c r="OIS61" s="543"/>
      <c r="OIT61" s="543"/>
      <c r="OIU61" s="543"/>
      <c r="OIV61" s="543"/>
      <c r="OIW61" s="543"/>
      <c r="OIX61" s="543"/>
      <c r="OIY61" s="543"/>
      <c r="OIZ61" s="543"/>
      <c r="OJA61" s="543"/>
      <c r="OJB61" s="543"/>
      <c r="OJC61" s="543"/>
      <c r="OJD61" s="543"/>
      <c r="OJE61" s="543"/>
      <c r="OJF61" s="543"/>
      <c r="OJG61" s="543"/>
      <c r="OJH61" s="543"/>
      <c r="OJI61" s="543"/>
      <c r="OJJ61" s="543"/>
      <c r="OJK61" s="543"/>
      <c r="OJL61" s="543"/>
      <c r="OJM61" s="543"/>
      <c r="OJN61" s="543"/>
      <c r="OJO61" s="543"/>
      <c r="OJP61" s="543"/>
      <c r="OJQ61" s="543"/>
      <c r="OJR61" s="543"/>
      <c r="OJS61" s="543"/>
      <c r="OJT61" s="543"/>
      <c r="OJU61" s="543"/>
      <c r="OJV61" s="543"/>
      <c r="OJW61" s="543"/>
      <c r="OJX61" s="543"/>
      <c r="OJY61" s="543"/>
      <c r="OJZ61" s="543"/>
      <c r="OKA61" s="543"/>
      <c r="OKB61" s="543"/>
      <c r="OKC61" s="543"/>
      <c r="OKD61" s="543"/>
      <c r="OKE61" s="543"/>
      <c r="OKF61" s="543"/>
      <c r="OKG61" s="543"/>
      <c r="OKH61" s="543"/>
      <c r="OKI61" s="543"/>
      <c r="OKJ61" s="543"/>
      <c r="OKK61" s="543"/>
      <c r="OKL61" s="543"/>
      <c r="OKM61" s="543"/>
      <c r="OKN61" s="543"/>
      <c r="OKO61" s="543"/>
      <c r="OKP61" s="543"/>
      <c r="OKQ61" s="543"/>
      <c r="OKR61" s="543"/>
      <c r="OKS61" s="543"/>
      <c r="OKT61" s="543"/>
      <c r="OKU61" s="543"/>
      <c r="OKV61" s="543"/>
      <c r="OKW61" s="543"/>
      <c r="OKX61" s="543"/>
      <c r="OKY61" s="543"/>
      <c r="OKZ61" s="543"/>
      <c r="OLA61" s="543"/>
      <c r="OLB61" s="543"/>
      <c r="OLC61" s="543"/>
      <c r="OLD61" s="543"/>
      <c r="OLE61" s="543"/>
      <c r="OLF61" s="543"/>
      <c r="OLG61" s="543"/>
      <c r="OLH61" s="543"/>
      <c r="OLI61" s="543"/>
      <c r="OLJ61" s="543"/>
      <c r="OLK61" s="543"/>
      <c r="OLL61" s="543"/>
      <c r="OLM61" s="543"/>
      <c r="OLN61" s="543"/>
      <c r="OLO61" s="543"/>
      <c r="OLP61" s="543"/>
      <c r="OLQ61" s="543"/>
      <c r="OLR61" s="543"/>
      <c r="OLS61" s="543"/>
      <c r="OLT61" s="543"/>
      <c r="OLU61" s="543"/>
      <c r="OLV61" s="543"/>
      <c r="OLW61" s="543"/>
      <c r="OLX61" s="543"/>
      <c r="OLY61" s="543"/>
      <c r="OLZ61" s="543"/>
      <c r="OMA61" s="543"/>
      <c r="OMB61" s="543"/>
      <c r="OMC61" s="543"/>
      <c r="OMD61" s="543"/>
      <c r="OME61" s="543"/>
      <c r="OMF61" s="543"/>
      <c r="OMG61" s="543"/>
      <c r="OMH61" s="543"/>
      <c r="OMI61" s="543"/>
      <c r="OMJ61" s="543"/>
      <c r="OMK61" s="543"/>
      <c r="OML61" s="543"/>
      <c r="OMM61" s="543"/>
      <c r="OMN61" s="543"/>
      <c r="OMO61" s="543"/>
      <c r="OMP61" s="543"/>
      <c r="OMQ61" s="543"/>
      <c r="OMR61" s="543"/>
      <c r="OMS61" s="543"/>
      <c r="OMT61" s="543"/>
      <c r="OMU61" s="543"/>
      <c r="OMV61" s="543"/>
      <c r="OMW61" s="543"/>
      <c r="OMX61" s="543"/>
      <c r="OMY61" s="543"/>
      <c r="OMZ61" s="543"/>
      <c r="ONA61" s="543"/>
      <c r="ONB61" s="543"/>
      <c r="ONC61" s="543"/>
      <c r="OND61" s="543"/>
      <c r="ONE61" s="543"/>
      <c r="ONF61" s="543"/>
      <c r="ONG61" s="543"/>
      <c r="ONH61" s="543"/>
      <c r="ONI61" s="543"/>
      <c r="ONJ61" s="543"/>
      <c r="ONK61" s="543"/>
      <c r="ONL61" s="543"/>
      <c r="ONM61" s="543"/>
      <c r="ONN61" s="543"/>
      <c r="ONO61" s="543"/>
      <c r="ONP61" s="543"/>
      <c r="ONQ61" s="543"/>
      <c r="ONR61" s="543"/>
      <c r="ONS61" s="543"/>
      <c r="ONT61" s="543"/>
      <c r="ONU61" s="543"/>
      <c r="ONV61" s="543"/>
      <c r="ONW61" s="543"/>
      <c r="ONX61" s="543"/>
      <c r="ONY61" s="543"/>
      <c r="ONZ61" s="543"/>
      <c r="OOA61" s="543"/>
      <c r="OOB61" s="543"/>
      <c r="OOC61" s="543"/>
      <c r="OOD61" s="543"/>
      <c r="OOE61" s="543"/>
      <c r="OOF61" s="543"/>
      <c r="OOG61" s="543"/>
      <c r="OOH61" s="543"/>
      <c r="OOI61" s="543"/>
      <c r="OOJ61" s="543"/>
      <c r="OOK61" s="543"/>
      <c r="OOL61" s="543"/>
      <c r="OOM61" s="543"/>
      <c r="OON61" s="543"/>
      <c r="OOO61" s="543"/>
      <c r="OOP61" s="543"/>
      <c r="OOQ61" s="543"/>
      <c r="OOR61" s="543"/>
      <c r="OOS61" s="543"/>
      <c r="OOT61" s="543"/>
      <c r="OOU61" s="543"/>
      <c r="OOV61" s="543"/>
      <c r="OOW61" s="543"/>
      <c r="OOX61" s="543"/>
      <c r="OOY61" s="543"/>
      <c r="OOZ61" s="543"/>
      <c r="OPA61" s="543"/>
      <c r="OPB61" s="543"/>
      <c r="OPC61" s="543"/>
      <c r="OPD61" s="543"/>
      <c r="OPE61" s="543"/>
      <c r="OPF61" s="543"/>
      <c r="OPG61" s="543"/>
      <c r="OPH61" s="543"/>
      <c r="OPI61" s="543"/>
      <c r="OPJ61" s="543"/>
      <c r="OPK61" s="543"/>
      <c r="OPL61" s="543"/>
      <c r="OPM61" s="543"/>
      <c r="OPN61" s="543"/>
      <c r="OPO61" s="543"/>
      <c r="OPP61" s="543"/>
      <c r="OPQ61" s="543"/>
      <c r="OPR61" s="543"/>
      <c r="OPS61" s="543"/>
      <c r="OPT61" s="543"/>
      <c r="OPU61" s="543"/>
      <c r="OPV61" s="543"/>
      <c r="OPW61" s="543"/>
      <c r="OPX61" s="543"/>
      <c r="OPY61" s="543"/>
      <c r="OPZ61" s="543"/>
      <c r="OQA61" s="543"/>
      <c r="OQB61" s="543"/>
      <c r="OQC61" s="543"/>
      <c r="OQD61" s="543"/>
      <c r="OQE61" s="543"/>
      <c r="OQF61" s="543"/>
      <c r="OQG61" s="543"/>
      <c r="OQH61" s="543"/>
      <c r="OQI61" s="543"/>
      <c r="OQJ61" s="543"/>
      <c r="OQK61" s="543"/>
      <c r="OQL61" s="543"/>
      <c r="OQM61" s="543"/>
      <c r="OQN61" s="543"/>
      <c r="OQO61" s="543"/>
      <c r="OQP61" s="543"/>
      <c r="OQQ61" s="543"/>
      <c r="OQR61" s="543"/>
      <c r="OQS61" s="543"/>
      <c r="OQT61" s="543"/>
      <c r="OQU61" s="543"/>
      <c r="OQV61" s="543"/>
      <c r="OQW61" s="543"/>
      <c r="OQX61" s="543"/>
      <c r="OQY61" s="543"/>
      <c r="OQZ61" s="543"/>
      <c r="ORA61" s="543"/>
      <c r="ORB61" s="543"/>
      <c r="ORC61" s="543"/>
      <c r="ORD61" s="543"/>
      <c r="ORE61" s="543"/>
      <c r="ORF61" s="543"/>
      <c r="ORG61" s="543"/>
      <c r="ORH61" s="543"/>
      <c r="ORI61" s="543"/>
      <c r="ORJ61" s="543"/>
      <c r="ORK61" s="543"/>
      <c r="ORL61" s="543"/>
      <c r="ORM61" s="543"/>
      <c r="ORN61" s="543"/>
      <c r="ORO61" s="543"/>
      <c r="ORP61" s="543"/>
      <c r="ORQ61" s="543"/>
      <c r="ORR61" s="543"/>
      <c r="ORS61" s="543"/>
      <c r="ORT61" s="543"/>
      <c r="ORU61" s="543"/>
      <c r="ORV61" s="543"/>
      <c r="ORW61" s="543"/>
      <c r="ORX61" s="543"/>
      <c r="ORY61" s="543"/>
      <c r="ORZ61" s="543"/>
      <c r="OSA61" s="543"/>
      <c r="OSB61" s="543"/>
      <c r="OSC61" s="543"/>
      <c r="OSD61" s="543"/>
      <c r="OSE61" s="543"/>
      <c r="OSF61" s="543"/>
      <c r="OSG61" s="543"/>
      <c r="OSH61" s="543"/>
      <c r="OSI61" s="543"/>
      <c r="OSJ61" s="543"/>
      <c r="OSK61" s="543"/>
      <c r="OSL61" s="543"/>
      <c r="OSM61" s="543"/>
      <c r="OSN61" s="543"/>
      <c r="OSO61" s="543"/>
      <c r="OSP61" s="543"/>
      <c r="OSQ61" s="543"/>
      <c r="OSR61" s="543"/>
      <c r="OSS61" s="543"/>
      <c r="OST61" s="543"/>
      <c r="OSU61" s="543"/>
      <c r="OSV61" s="543"/>
      <c r="OSW61" s="543"/>
      <c r="OSX61" s="543"/>
      <c r="OSY61" s="543"/>
      <c r="OSZ61" s="543"/>
      <c r="OTA61" s="543"/>
      <c r="OTB61" s="543"/>
      <c r="OTC61" s="543"/>
      <c r="OTD61" s="543"/>
      <c r="OTE61" s="543"/>
      <c r="OTF61" s="543"/>
      <c r="OTG61" s="543"/>
      <c r="OTH61" s="543"/>
      <c r="OTI61" s="543"/>
      <c r="OTJ61" s="543"/>
      <c r="OTK61" s="543"/>
      <c r="OTL61" s="543"/>
      <c r="OTM61" s="543"/>
      <c r="OTN61" s="543"/>
      <c r="OTO61" s="543"/>
      <c r="OTP61" s="543"/>
      <c r="OTQ61" s="543"/>
      <c r="OTR61" s="543"/>
      <c r="OTS61" s="543"/>
      <c r="OTT61" s="543"/>
      <c r="OTU61" s="543"/>
      <c r="OTV61" s="543"/>
      <c r="OTW61" s="543"/>
      <c r="OTX61" s="543"/>
      <c r="OTY61" s="543"/>
      <c r="OTZ61" s="543"/>
      <c r="OUA61" s="543"/>
      <c r="OUB61" s="543"/>
      <c r="OUC61" s="543"/>
      <c r="OUD61" s="543"/>
      <c r="OUE61" s="543"/>
      <c r="OUF61" s="543"/>
      <c r="OUG61" s="543"/>
      <c r="OUH61" s="543"/>
      <c r="OUI61" s="543"/>
      <c r="OUJ61" s="543"/>
      <c r="OUK61" s="543"/>
      <c r="OUL61" s="543"/>
      <c r="OUM61" s="543"/>
      <c r="OUN61" s="543"/>
      <c r="OUO61" s="543"/>
      <c r="OUP61" s="543"/>
      <c r="OUQ61" s="543"/>
      <c r="OUR61" s="543"/>
      <c r="OUS61" s="543"/>
      <c r="OUT61" s="543"/>
      <c r="OUU61" s="543"/>
      <c r="OUV61" s="543"/>
      <c r="OUW61" s="543"/>
      <c r="OUX61" s="543"/>
      <c r="OUY61" s="543"/>
      <c r="OUZ61" s="543"/>
      <c r="OVA61" s="543"/>
      <c r="OVB61" s="543"/>
      <c r="OVC61" s="543"/>
      <c r="OVD61" s="543"/>
      <c r="OVE61" s="543"/>
      <c r="OVF61" s="543"/>
      <c r="OVG61" s="543"/>
      <c r="OVH61" s="543"/>
      <c r="OVI61" s="543"/>
      <c r="OVJ61" s="543"/>
      <c r="OVK61" s="543"/>
      <c r="OVL61" s="543"/>
      <c r="OVM61" s="543"/>
      <c r="OVN61" s="543"/>
      <c r="OVO61" s="543"/>
      <c r="OVP61" s="543"/>
      <c r="OVQ61" s="543"/>
      <c r="OVR61" s="543"/>
      <c r="OVS61" s="543"/>
      <c r="OVT61" s="543"/>
      <c r="OVU61" s="543"/>
      <c r="OVV61" s="543"/>
      <c r="OVW61" s="543"/>
      <c r="OVX61" s="543"/>
      <c r="OVY61" s="543"/>
      <c r="OVZ61" s="543"/>
      <c r="OWA61" s="543"/>
      <c r="OWB61" s="543"/>
      <c r="OWC61" s="543"/>
      <c r="OWD61" s="543"/>
      <c r="OWE61" s="543"/>
      <c r="OWF61" s="543"/>
      <c r="OWG61" s="543"/>
      <c r="OWH61" s="543"/>
      <c r="OWI61" s="543"/>
      <c r="OWJ61" s="543"/>
      <c r="OWK61" s="543"/>
      <c r="OWL61" s="543"/>
      <c r="OWM61" s="543"/>
      <c r="OWN61" s="543"/>
      <c r="OWO61" s="543"/>
      <c r="OWP61" s="543"/>
      <c r="OWQ61" s="543"/>
      <c r="OWR61" s="543"/>
      <c r="OWS61" s="543"/>
      <c r="OWT61" s="543"/>
      <c r="OWU61" s="543"/>
      <c r="OWV61" s="543"/>
      <c r="OWW61" s="543"/>
      <c r="OWX61" s="543"/>
      <c r="OWY61" s="543"/>
      <c r="OWZ61" s="543"/>
      <c r="OXA61" s="543"/>
      <c r="OXB61" s="543"/>
      <c r="OXC61" s="543"/>
      <c r="OXD61" s="543"/>
      <c r="OXE61" s="543"/>
      <c r="OXF61" s="543"/>
      <c r="OXG61" s="543"/>
      <c r="OXH61" s="543"/>
      <c r="OXI61" s="543"/>
      <c r="OXJ61" s="543"/>
      <c r="OXK61" s="543"/>
      <c r="OXL61" s="543"/>
      <c r="OXM61" s="543"/>
      <c r="OXN61" s="543"/>
      <c r="OXO61" s="543"/>
      <c r="OXP61" s="543"/>
      <c r="OXQ61" s="543"/>
      <c r="OXR61" s="543"/>
      <c r="OXS61" s="543"/>
      <c r="OXT61" s="543"/>
      <c r="OXU61" s="543"/>
      <c r="OXV61" s="543"/>
      <c r="OXW61" s="543"/>
      <c r="OXX61" s="543"/>
      <c r="OXY61" s="543"/>
      <c r="OXZ61" s="543"/>
      <c r="OYA61" s="543"/>
      <c r="OYB61" s="543"/>
      <c r="OYC61" s="543"/>
      <c r="OYD61" s="543"/>
      <c r="OYE61" s="543"/>
      <c r="OYF61" s="543"/>
      <c r="OYG61" s="543"/>
      <c r="OYH61" s="543"/>
      <c r="OYI61" s="543"/>
      <c r="OYJ61" s="543"/>
      <c r="OYK61" s="543"/>
      <c r="OYL61" s="543"/>
      <c r="OYM61" s="543"/>
      <c r="OYN61" s="543"/>
      <c r="OYO61" s="543"/>
      <c r="OYP61" s="543"/>
      <c r="OYQ61" s="543"/>
      <c r="OYR61" s="543"/>
      <c r="OYS61" s="543"/>
      <c r="OYT61" s="543"/>
      <c r="OYU61" s="543"/>
      <c r="OYV61" s="543"/>
      <c r="OYW61" s="543"/>
      <c r="OYX61" s="543"/>
      <c r="OYY61" s="543"/>
      <c r="OYZ61" s="543"/>
      <c r="OZA61" s="543"/>
      <c r="OZB61" s="543"/>
      <c r="OZC61" s="543"/>
      <c r="OZD61" s="543"/>
      <c r="OZE61" s="543"/>
      <c r="OZF61" s="543"/>
      <c r="OZG61" s="543"/>
      <c r="OZH61" s="543"/>
      <c r="OZI61" s="543"/>
      <c r="OZJ61" s="543"/>
      <c r="OZK61" s="543"/>
      <c r="OZL61" s="543"/>
      <c r="OZM61" s="543"/>
      <c r="OZN61" s="543"/>
      <c r="OZO61" s="543"/>
      <c r="OZP61" s="543"/>
      <c r="OZQ61" s="543"/>
      <c r="OZR61" s="543"/>
      <c r="OZS61" s="543"/>
      <c r="OZT61" s="543"/>
      <c r="OZU61" s="543"/>
      <c r="OZV61" s="543"/>
      <c r="OZW61" s="543"/>
      <c r="OZX61" s="543"/>
      <c r="OZY61" s="543"/>
      <c r="OZZ61" s="543"/>
      <c r="PAA61" s="543"/>
      <c r="PAB61" s="543"/>
      <c r="PAC61" s="543"/>
      <c r="PAD61" s="543"/>
      <c r="PAE61" s="543"/>
      <c r="PAF61" s="543"/>
      <c r="PAG61" s="543"/>
      <c r="PAH61" s="543"/>
      <c r="PAI61" s="543"/>
      <c r="PAJ61" s="543"/>
      <c r="PAK61" s="543"/>
      <c r="PAL61" s="543"/>
      <c r="PAM61" s="543"/>
      <c r="PAN61" s="543"/>
      <c r="PAO61" s="543"/>
      <c r="PAP61" s="543"/>
      <c r="PAQ61" s="543"/>
      <c r="PAR61" s="543"/>
      <c r="PAS61" s="543"/>
      <c r="PAT61" s="543"/>
      <c r="PAU61" s="543"/>
      <c r="PAV61" s="543"/>
      <c r="PAW61" s="543"/>
      <c r="PAX61" s="543"/>
      <c r="PAY61" s="543"/>
      <c r="PAZ61" s="543"/>
      <c r="PBA61" s="543"/>
      <c r="PBB61" s="543"/>
      <c r="PBC61" s="543"/>
      <c r="PBD61" s="543"/>
      <c r="PBE61" s="543"/>
      <c r="PBF61" s="543"/>
      <c r="PBG61" s="543"/>
      <c r="PBH61" s="543"/>
      <c r="PBI61" s="543"/>
      <c r="PBJ61" s="543"/>
      <c r="PBK61" s="543"/>
      <c r="PBL61" s="543"/>
      <c r="PBM61" s="543"/>
      <c r="PBN61" s="543"/>
      <c r="PBO61" s="543"/>
      <c r="PBP61" s="543"/>
      <c r="PBQ61" s="543"/>
      <c r="PBR61" s="543"/>
      <c r="PBS61" s="543"/>
      <c r="PBT61" s="543"/>
      <c r="PBU61" s="543"/>
      <c r="PBV61" s="543"/>
      <c r="PBW61" s="543"/>
      <c r="PBX61" s="543"/>
      <c r="PBY61" s="543"/>
      <c r="PBZ61" s="543"/>
      <c r="PCA61" s="543"/>
      <c r="PCB61" s="543"/>
      <c r="PCC61" s="543"/>
      <c r="PCD61" s="543"/>
      <c r="PCE61" s="543"/>
      <c r="PCF61" s="543"/>
      <c r="PCG61" s="543"/>
      <c r="PCH61" s="543"/>
      <c r="PCI61" s="543"/>
      <c r="PCJ61" s="543"/>
      <c r="PCK61" s="543"/>
      <c r="PCL61" s="543"/>
      <c r="PCM61" s="543"/>
      <c r="PCN61" s="543"/>
      <c r="PCO61" s="543"/>
      <c r="PCP61" s="543"/>
      <c r="PCQ61" s="543"/>
      <c r="PCR61" s="543"/>
      <c r="PCS61" s="543"/>
      <c r="PCT61" s="543"/>
      <c r="PCU61" s="543"/>
      <c r="PCV61" s="543"/>
      <c r="PCW61" s="543"/>
      <c r="PCX61" s="543"/>
      <c r="PCY61" s="543"/>
      <c r="PCZ61" s="543"/>
      <c r="PDA61" s="543"/>
      <c r="PDB61" s="543"/>
      <c r="PDC61" s="543"/>
      <c r="PDD61" s="543"/>
      <c r="PDE61" s="543"/>
      <c r="PDF61" s="543"/>
      <c r="PDG61" s="543"/>
      <c r="PDH61" s="543"/>
      <c r="PDI61" s="543"/>
      <c r="PDJ61" s="543"/>
      <c r="PDK61" s="543"/>
      <c r="PDL61" s="543"/>
      <c r="PDM61" s="543"/>
      <c r="PDN61" s="543"/>
      <c r="PDO61" s="543"/>
      <c r="PDP61" s="543"/>
      <c r="PDQ61" s="543"/>
      <c r="PDR61" s="543"/>
      <c r="PDS61" s="543"/>
      <c r="PDT61" s="543"/>
      <c r="PDU61" s="543"/>
      <c r="PDV61" s="543"/>
      <c r="PDW61" s="543"/>
      <c r="PDX61" s="543"/>
      <c r="PDY61" s="543"/>
      <c r="PDZ61" s="543"/>
      <c r="PEA61" s="543"/>
      <c r="PEB61" s="543"/>
      <c r="PEC61" s="543"/>
      <c r="PED61" s="543"/>
      <c r="PEE61" s="543"/>
      <c r="PEF61" s="543"/>
      <c r="PEG61" s="543"/>
      <c r="PEH61" s="543"/>
      <c r="PEI61" s="543"/>
      <c r="PEJ61" s="543"/>
      <c r="PEK61" s="543"/>
      <c r="PEL61" s="543"/>
      <c r="PEM61" s="543"/>
      <c r="PEN61" s="543"/>
      <c r="PEO61" s="543"/>
      <c r="PEP61" s="543"/>
      <c r="PEQ61" s="543"/>
      <c r="PER61" s="543"/>
      <c r="PES61" s="543"/>
      <c r="PET61" s="543"/>
      <c r="PEU61" s="543"/>
      <c r="PEV61" s="543"/>
      <c r="PEW61" s="543"/>
      <c r="PEX61" s="543"/>
      <c r="PEY61" s="543"/>
      <c r="PEZ61" s="543"/>
      <c r="PFA61" s="543"/>
      <c r="PFB61" s="543"/>
      <c r="PFC61" s="543"/>
      <c r="PFD61" s="543"/>
      <c r="PFE61" s="543"/>
      <c r="PFF61" s="543"/>
      <c r="PFG61" s="543"/>
      <c r="PFH61" s="543"/>
      <c r="PFI61" s="543"/>
      <c r="PFJ61" s="543"/>
      <c r="PFK61" s="543"/>
      <c r="PFL61" s="543"/>
      <c r="PFM61" s="543"/>
      <c r="PFN61" s="543"/>
      <c r="PFO61" s="543"/>
      <c r="PFP61" s="543"/>
      <c r="PFQ61" s="543"/>
      <c r="PFR61" s="543"/>
      <c r="PFS61" s="543"/>
      <c r="PFT61" s="543"/>
      <c r="PFU61" s="543"/>
      <c r="PFV61" s="543"/>
      <c r="PFW61" s="543"/>
      <c r="PFX61" s="543"/>
      <c r="PFY61" s="543"/>
      <c r="PFZ61" s="543"/>
      <c r="PGA61" s="543"/>
      <c r="PGB61" s="543"/>
      <c r="PGC61" s="543"/>
      <c r="PGD61" s="543"/>
      <c r="PGE61" s="543"/>
      <c r="PGF61" s="543"/>
      <c r="PGG61" s="543"/>
      <c r="PGH61" s="543"/>
      <c r="PGI61" s="543"/>
      <c r="PGJ61" s="543"/>
      <c r="PGK61" s="543"/>
      <c r="PGL61" s="543"/>
      <c r="PGM61" s="543"/>
      <c r="PGN61" s="543"/>
      <c r="PGO61" s="543"/>
      <c r="PGP61" s="543"/>
      <c r="PGQ61" s="543"/>
      <c r="PGR61" s="543"/>
      <c r="PGS61" s="543"/>
      <c r="PGT61" s="543"/>
      <c r="PGU61" s="543"/>
      <c r="PGV61" s="543"/>
      <c r="PGW61" s="543"/>
      <c r="PGX61" s="543"/>
      <c r="PGY61" s="543"/>
      <c r="PGZ61" s="543"/>
      <c r="PHA61" s="543"/>
      <c r="PHB61" s="543"/>
      <c r="PHC61" s="543"/>
      <c r="PHD61" s="543"/>
      <c r="PHE61" s="543"/>
      <c r="PHF61" s="543"/>
      <c r="PHG61" s="543"/>
      <c r="PHH61" s="543"/>
      <c r="PHI61" s="543"/>
      <c r="PHJ61" s="543"/>
      <c r="PHK61" s="543"/>
      <c r="PHL61" s="543"/>
      <c r="PHM61" s="543"/>
      <c r="PHN61" s="543"/>
      <c r="PHO61" s="543"/>
      <c r="PHP61" s="543"/>
      <c r="PHQ61" s="543"/>
      <c r="PHR61" s="543"/>
      <c r="PHS61" s="543"/>
      <c r="PHT61" s="543"/>
      <c r="PHU61" s="543"/>
      <c r="PHV61" s="543"/>
      <c r="PHW61" s="543"/>
      <c r="PHX61" s="543"/>
      <c r="PHY61" s="543"/>
      <c r="PHZ61" s="543"/>
      <c r="PIA61" s="543"/>
      <c r="PIB61" s="543"/>
      <c r="PIC61" s="543"/>
      <c r="PID61" s="543"/>
      <c r="PIE61" s="543"/>
      <c r="PIF61" s="543"/>
      <c r="PIG61" s="543"/>
      <c r="PIH61" s="543"/>
      <c r="PII61" s="543"/>
      <c r="PIJ61" s="543"/>
      <c r="PIK61" s="543"/>
      <c r="PIL61" s="543"/>
      <c r="PIM61" s="543"/>
      <c r="PIN61" s="543"/>
      <c r="PIO61" s="543"/>
      <c r="PIP61" s="543"/>
      <c r="PIQ61" s="543"/>
      <c r="PIR61" s="543"/>
      <c r="PIS61" s="543"/>
      <c r="PIT61" s="543"/>
      <c r="PIU61" s="543"/>
      <c r="PIV61" s="543"/>
      <c r="PIW61" s="543"/>
      <c r="PIX61" s="543"/>
      <c r="PIY61" s="543"/>
      <c r="PIZ61" s="543"/>
      <c r="PJA61" s="543"/>
      <c r="PJB61" s="543"/>
      <c r="PJC61" s="543"/>
      <c r="PJD61" s="543"/>
      <c r="PJE61" s="543"/>
      <c r="PJF61" s="543"/>
      <c r="PJG61" s="543"/>
      <c r="PJH61" s="543"/>
      <c r="PJI61" s="543"/>
      <c r="PJJ61" s="543"/>
      <c r="PJK61" s="543"/>
      <c r="PJL61" s="543"/>
      <c r="PJM61" s="543"/>
      <c r="PJN61" s="543"/>
      <c r="PJO61" s="543"/>
      <c r="PJP61" s="543"/>
      <c r="PJQ61" s="543"/>
      <c r="PJR61" s="543"/>
      <c r="PJS61" s="543"/>
      <c r="PJT61" s="543"/>
      <c r="PJU61" s="543"/>
      <c r="PJV61" s="543"/>
      <c r="PJW61" s="543"/>
      <c r="PJX61" s="543"/>
      <c r="PJY61" s="543"/>
      <c r="PJZ61" s="543"/>
      <c r="PKA61" s="543"/>
      <c r="PKB61" s="543"/>
      <c r="PKC61" s="543"/>
      <c r="PKD61" s="543"/>
      <c r="PKE61" s="543"/>
      <c r="PKF61" s="543"/>
      <c r="PKG61" s="543"/>
      <c r="PKH61" s="543"/>
      <c r="PKI61" s="543"/>
      <c r="PKJ61" s="543"/>
      <c r="PKK61" s="543"/>
      <c r="PKL61" s="543"/>
      <c r="PKM61" s="543"/>
      <c r="PKN61" s="543"/>
      <c r="PKO61" s="543"/>
      <c r="PKP61" s="543"/>
      <c r="PKQ61" s="543"/>
      <c r="PKR61" s="543"/>
      <c r="PKS61" s="543"/>
      <c r="PKT61" s="543"/>
      <c r="PKU61" s="543"/>
      <c r="PKV61" s="543"/>
      <c r="PKW61" s="543"/>
      <c r="PKX61" s="543"/>
      <c r="PKY61" s="543"/>
      <c r="PKZ61" s="543"/>
      <c r="PLA61" s="543"/>
      <c r="PLB61" s="543"/>
      <c r="PLC61" s="543"/>
      <c r="PLD61" s="543"/>
      <c r="PLE61" s="543"/>
      <c r="PLF61" s="543"/>
      <c r="PLG61" s="543"/>
      <c r="PLH61" s="543"/>
      <c r="PLI61" s="543"/>
      <c r="PLJ61" s="543"/>
      <c r="PLK61" s="543"/>
      <c r="PLL61" s="543"/>
      <c r="PLM61" s="543"/>
      <c r="PLN61" s="543"/>
      <c r="PLO61" s="543"/>
      <c r="PLP61" s="543"/>
      <c r="PLQ61" s="543"/>
      <c r="PLR61" s="543"/>
      <c r="PLS61" s="543"/>
      <c r="PLT61" s="543"/>
      <c r="PLU61" s="543"/>
      <c r="PLV61" s="543"/>
      <c r="PLW61" s="543"/>
      <c r="PLX61" s="543"/>
      <c r="PLY61" s="543"/>
      <c r="PLZ61" s="543"/>
      <c r="PMA61" s="543"/>
      <c r="PMB61" s="543"/>
      <c r="PMC61" s="543"/>
      <c r="PMD61" s="543"/>
      <c r="PME61" s="543"/>
      <c r="PMF61" s="543"/>
      <c r="PMG61" s="543"/>
      <c r="PMH61" s="543"/>
      <c r="PMI61" s="543"/>
      <c r="PMJ61" s="543"/>
      <c r="PMK61" s="543"/>
      <c r="PML61" s="543"/>
      <c r="PMM61" s="543"/>
      <c r="PMN61" s="543"/>
      <c r="PMO61" s="543"/>
      <c r="PMP61" s="543"/>
      <c r="PMQ61" s="543"/>
      <c r="PMR61" s="543"/>
      <c r="PMS61" s="543"/>
      <c r="PMT61" s="543"/>
      <c r="PMU61" s="543"/>
      <c r="PMV61" s="543"/>
      <c r="PMW61" s="543"/>
      <c r="PMX61" s="543"/>
      <c r="PMY61" s="543"/>
      <c r="PMZ61" s="543"/>
      <c r="PNA61" s="543"/>
      <c r="PNB61" s="543"/>
      <c r="PNC61" s="543"/>
      <c r="PND61" s="543"/>
      <c r="PNE61" s="543"/>
      <c r="PNF61" s="543"/>
      <c r="PNG61" s="543"/>
      <c r="PNH61" s="543"/>
      <c r="PNI61" s="543"/>
      <c r="PNJ61" s="543"/>
      <c r="PNK61" s="543"/>
      <c r="PNL61" s="543"/>
      <c r="PNM61" s="543"/>
      <c r="PNN61" s="543"/>
      <c r="PNO61" s="543"/>
      <c r="PNP61" s="543"/>
      <c r="PNQ61" s="543"/>
      <c r="PNR61" s="543"/>
      <c r="PNS61" s="543"/>
      <c r="PNT61" s="543"/>
      <c r="PNU61" s="543"/>
      <c r="PNV61" s="543"/>
      <c r="PNW61" s="543"/>
      <c r="PNX61" s="543"/>
      <c r="PNY61" s="543"/>
      <c r="PNZ61" s="543"/>
      <c r="POA61" s="543"/>
      <c r="POB61" s="543"/>
      <c r="POC61" s="543"/>
      <c r="POD61" s="543"/>
      <c r="POE61" s="543"/>
      <c r="POF61" s="543"/>
      <c r="POG61" s="543"/>
      <c r="POH61" s="543"/>
      <c r="POI61" s="543"/>
      <c r="POJ61" s="543"/>
      <c r="POK61" s="543"/>
      <c r="POL61" s="543"/>
      <c r="POM61" s="543"/>
      <c r="PON61" s="543"/>
      <c r="POO61" s="543"/>
      <c r="POP61" s="543"/>
      <c r="POQ61" s="543"/>
      <c r="POR61" s="543"/>
      <c r="POS61" s="543"/>
      <c r="POT61" s="543"/>
      <c r="POU61" s="543"/>
      <c r="POV61" s="543"/>
      <c r="POW61" s="543"/>
      <c r="POX61" s="543"/>
      <c r="POY61" s="543"/>
      <c r="POZ61" s="543"/>
      <c r="PPA61" s="543"/>
      <c r="PPB61" s="543"/>
      <c r="PPC61" s="543"/>
      <c r="PPD61" s="543"/>
      <c r="PPE61" s="543"/>
      <c r="PPF61" s="543"/>
      <c r="PPG61" s="543"/>
      <c r="PPH61" s="543"/>
      <c r="PPI61" s="543"/>
      <c r="PPJ61" s="543"/>
      <c r="PPK61" s="543"/>
      <c r="PPL61" s="543"/>
      <c r="PPM61" s="543"/>
      <c r="PPN61" s="543"/>
      <c r="PPO61" s="543"/>
      <c r="PPP61" s="543"/>
      <c r="PPQ61" s="543"/>
      <c r="PPR61" s="543"/>
      <c r="PPS61" s="543"/>
      <c r="PPT61" s="543"/>
      <c r="PPU61" s="543"/>
      <c r="PPV61" s="543"/>
      <c r="PPW61" s="543"/>
      <c r="PPX61" s="543"/>
      <c r="PPY61" s="543"/>
      <c r="PPZ61" s="543"/>
      <c r="PQA61" s="543"/>
      <c r="PQB61" s="543"/>
      <c r="PQC61" s="543"/>
      <c r="PQD61" s="543"/>
      <c r="PQE61" s="543"/>
      <c r="PQF61" s="543"/>
      <c r="PQG61" s="543"/>
      <c r="PQH61" s="543"/>
      <c r="PQI61" s="543"/>
      <c r="PQJ61" s="543"/>
      <c r="PQK61" s="543"/>
      <c r="PQL61" s="543"/>
      <c r="PQM61" s="543"/>
      <c r="PQN61" s="543"/>
      <c r="PQO61" s="543"/>
      <c r="PQP61" s="543"/>
      <c r="PQQ61" s="543"/>
      <c r="PQR61" s="543"/>
      <c r="PQS61" s="543"/>
      <c r="PQT61" s="543"/>
      <c r="PQU61" s="543"/>
      <c r="PQV61" s="543"/>
      <c r="PQW61" s="543"/>
      <c r="PQX61" s="543"/>
      <c r="PQY61" s="543"/>
      <c r="PQZ61" s="543"/>
      <c r="PRA61" s="543"/>
      <c r="PRB61" s="543"/>
      <c r="PRC61" s="543"/>
      <c r="PRD61" s="543"/>
      <c r="PRE61" s="543"/>
      <c r="PRF61" s="543"/>
      <c r="PRG61" s="543"/>
      <c r="PRH61" s="543"/>
      <c r="PRI61" s="543"/>
      <c r="PRJ61" s="543"/>
      <c r="PRK61" s="543"/>
      <c r="PRL61" s="543"/>
      <c r="PRM61" s="543"/>
      <c r="PRN61" s="543"/>
      <c r="PRO61" s="543"/>
      <c r="PRP61" s="543"/>
      <c r="PRQ61" s="543"/>
      <c r="PRR61" s="543"/>
      <c r="PRS61" s="543"/>
      <c r="PRT61" s="543"/>
      <c r="PRU61" s="543"/>
      <c r="PRV61" s="543"/>
      <c r="PRW61" s="543"/>
      <c r="PRX61" s="543"/>
      <c r="PRY61" s="543"/>
      <c r="PRZ61" s="543"/>
      <c r="PSA61" s="543"/>
      <c r="PSB61" s="543"/>
      <c r="PSC61" s="543"/>
      <c r="PSD61" s="543"/>
      <c r="PSE61" s="543"/>
      <c r="PSF61" s="543"/>
      <c r="PSG61" s="543"/>
      <c r="PSH61" s="543"/>
      <c r="PSI61" s="543"/>
      <c r="PSJ61" s="543"/>
      <c r="PSK61" s="543"/>
      <c r="PSL61" s="543"/>
      <c r="PSM61" s="543"/>
      <c r="PSN61" s="543"/>
      <c r="PSO61" s="543"/>
      <c r="PSP61" s="543"/>
      <c r="PSQ61" s="543"/>
      <c r="PSR61" s="543"/>
      <c r="PSS61" s="543"/>
      <c r="PST61" s="543"/>
      <c r="PSU61" s="543"/>
      <c r="PSV61" s="543"/>
      <c r="PSW61" s="543"/>
      <c r="PSX61" s="543"/>
      <c r="PSY61" s="543"/>
      <c r="PSZ61" s="543"/>
      <c r="PTA61" s="543"/>
      <c r="PTB61" s="543"/>
      <c r="PTC61" s="543"/>
      <c r="PTD61" s="543"/>
      <c r="PTE61" s="543"/>
      <c r="PTF61" s="543"/>
      <c r="PTG61" s="543"/>
      <c r="PTH61" s="543"/>
      <c r="PTI61" s="543"/>
      <c r="PTJ61" s="543"/>
      <c r="PTK61" s="543"/>
      <c r="PTL61" s="543"/>
      <c r="PTM61" s="543"/>
      <c r="PTN61" s="543"/>
      <c r="PTO61" s="543"/>
      <c r="PTP61" s="543"/>
      <c r="PTQ61" s="543"/>
      <c r="PTR61" s="543"/>
      <c r="PTS61" s="543"/>
      <c r="PTT61" s="543"/>
      <c r="PTU61" s="543"/>
      <c r="PTV61" s="543"/>
      <c r="PTW61" s="543"/>
      <c r="PTX61" s="543"/>
      <c r="PTY61" s="543"/>
      <c r="PTZ61" s="543"/>
      <c r="PUA61" s="543"/>
      <c r="PUB61" s="543"/>
      <c r="PUC61" s="543"/>
      <c r="PUD61" s="543"/>
      <c r="PUE61" s="543"/>
      <c r="PUF61" s="543"/>
      <c r="PUG61" s="543"/>
      <c r="PUH61" s="543"/>
      <c r="PUI61" s="543"/>
      <c r="PUJ61" s="543"/>
      <c r="PUK61" s="543"/>
      <c r="PUL61" s="543"/>
      <c r="PUM61" s="543"/>
      <c r="PUN61" s="543"/>
      <c r="PUO61" s="543"/>
      <c r="PUP61" s="543"/>
      <c r="PUQ61" s="543"/>
      <c r="PUR61" s="543"/>
      <c r="PUS61" s="543"/>
      <c r="PUT61" s="543"/>
      <c r="PUU61" s="543"/>
      <c r="PUV61" s="543"/>
      <c r="PUW61" s="543"/>
      <c r="PUX61" s="543"/>
      <c r="PUY61" s="543"/>
      <c r="PUZ61" s="543"/>
      <c r="PVA61" s="543"/>
      <c r="PVB61" s="543"/>
      <c r="PVC61" s="543"/>
      <c r="PVD61" s="543"/>
      <c r="PVE61" s="543"/>
      <c r="PVF61" s="543"/>
      <c r="PVG61" s="543"/>
      <c r="PVH61" s="543"/>
      <c r="PVI61" s="543"/>
      <c r="PVJ61" s="543"/>
      <c r="PVK61" s="543"/>
      <c r="PVL61" s="543"/>
      <c r="PVM61" s="543"/>
      <c r="PVN61" s="543"/>
      <c r="PVO61" s="543"/>
      <c r="PVP61" s="543"/>
      <c r="PVQ61" s="543"/>
      <c r="PVR61" s="543"/>
      <c r="PVS61" s="543"/>
      <c r="PVT61" s="543"/>
      <c r="PVU61" s="543"/>
      <c r="PVV61" s="543"/>
      <c r="PVW61" s="543"/>
      <c r="PVX61" s="543"/>
      <c r="PVY61" s="543"/>
      <c r="PVZ61" s="543"/>
      <c r="PWA61" s="543"/>
      <c r="PWB61" s="543"/>
      <c r="PWC61" s="543"/>
      <c r="PWD61" s="543"/>
      <c r="PWE61" s="543"/>
      <c r="PWF61" s="543"/>
      <c r="PWG61" s="543"/>
      <c r="PWH61" s="543"/>
      <c r="PWI61" s="543"/>
      <c r="PWJ61" s="543"/>
      <c r="PWK61" s="543"/>
      <c r="PWL61" s="543"/>
      <c r="PWM61" s="543"/>
      <c r="PWN61" s="543"/>
      <c r="PWO61" s="543"/>
      <c r="PWP61" s="543"/>
      <c r="PWQ61" s="543"/>
      <c r="PWR61" s="543"/>
      <c r="PWS61" s="543"/>
      <c r="PWT61" s="543"/>
      <c r="PWU61" s="543"/>
      <c r="PWV61" s="543"/>
      <c r="PWW61" s="543"/>
      <c r="PWX61" s="543"/>
      <c r="PWY61" s="543"/>
      <c r="PWZ61" s="543"/>
      <c r="PXA61" s="543"/>
      <c r="PXB61" s="543"/>
      <c r="PXC61" s="543"/>
      <c r="PXD61" s="543"/>
      <c r="PXE61" s="543"/>
      <c r="PXF61" s="543"/>
      <c r="PXG61" s="543"/>
      <c r="PXH61" s="543"/>
      <c r="PXI61" s="543"/>
      <c r="PXJ61" s="543"/>
      <c r="PXK61" s="543"/>
      <c r="PXL61" s="543"/>
      <c r="PXM61" s="543"/>
      <c r="PXN61" s="543"/>
      <c r="PXO61" s="543"/>
      <c r="PXP61" s="543"/>
      <c r="PXQ61" s="543"/>
      <c r="PXR61" s="543"/>
      <c r="PXS61" s="543"/>
      <c r="PXT61" s="543"/>
      <c r="PXU61" s="543"/>
      <c r="PXV61" s="543"/>
      <c r="PXW61" s="543"/>
      <c r="PXX61" s="543"/>
      <c r="PXY61" s="543"/>
      <c r="PXZ61" s="543"/>
      <c r="PYA61" s="543"/>
      <c r="PYB61" s="543"/>
      <c r="PYC61" s="543"/>
      <c r="PYD61" s="543"/>
      <c r="PYE61" s="543"/>
      <c r="PYF61" s="543"/>
      <c r="PYG61" s="543"/>
      <c r="PYH61" s="543"/>
      <c r="PYI61" s="543"/>
      <c r="PYJ61" s="543"/>
      <c r="PYK61" s="543"/>
      <c r="PYL61" s="543"/>
      <c r="PYM61" s="543"/>
      <c r="PYN61" s="543"/>
      <c r="PYO61" s="543"/>
      <c r="PYP61" s="543"/>
      <c r="PYQ61" s="543"/>
      <c r="PYR61" s="543"/>
      <c r="PYS61" s="543"/>
      <c r="PYT61" s="543"/>
      <c r="PYU61" s="543"/>
      <c r="PYV61" s="543"/>
      <c r="PYW61" s="543"/>
      <c r="PYX61" s="543"/>
      <c r="PYY61" s="543"/>
      <c r="PYZ61" s="543"/>
      <c r="PZA61" s="543"/>
      <c r="PZB61" s="543"/>
      <c r="PZC61" s="543"/>
      <c r="PZD61" s="543"/>
      <c r="PZE61" s="543"/>
      <c r="PZF61" s="543"/>
      <c r="PZG61" s="543"/>
      <c r="PZH61" s="543"/>
      <c r="PZI61" s="543"/>
      <c r="PZJ61" s="543"/>
      <c r="PZK61" s="543"/>
      <c r="PZL61" s="543"/>
      <c r="PZM61" s="543"/>
      <c r="PZN61" s="543"/>
      <c r="PZO61" s="543"/>
      <c r="PZP61" s="543"/>
      <c r="PZQ61" s="543"/>
      <c r="PZR61" s="543"/>
      <c r="PZS61" s="543"/>
      <c r="PZT61" s="543"/>
      <c r="PZU61" s="543"/>
      <c r="PZV61" s="543"/>
      <c r="PZW61" s="543"/>
      <c r="PZX61" s="543"/>
      <c r="PZY61" s="543"/>
      <c r="PZZ61" s="543"/>
      <c r="QAA61" s="543"/>
      <c r="QAB61" s="543"/>
      <c r="QAC61" s="543"/>
      <c r="QAD61" s="543"/>
      <c r="QAE61" s="543"/>
      <c r="QAF61" s="543"/>
      <c r="QAG61" s="543"/>
      <c r="QAH61" s="543"/>
      <c r="QAI61" s="543"/>
      <c r="QAJ61" s="543"/>
      <c r="QAK61" s="543"/>
      <c r="QAL61" s="543"/>
      <c r="QAM61" s="543"/>
      <c r="QAN61" s="543"/>
      <c r="QAO61" s="543"/>
      <c r="QAP61" s="543"/>
      <c r="QAQ61" s="543"/>
      <c r="QAR61" s="543"/>
      <c r="QAS61" s="543"/>
      <c r="QAT61" s="543"/>
      <c r="QAU61" s="543"/>
      <c r="QAV61" s="543"/>
      <c r="QAW61" s="543"/>
      <c r="QAX61" s="543"/>
      <c r="QAY61" s="543"/>
      <c r="QAZ61" s="543"/>
      <c r="QBA61" s="543"/>
      <c r="QBB61" s="543"/>
      <c r="QBC61" s="543"/>
      <c r="QBD61" s="543"/>
      <c r="QBE61" s="543"/>
      <c r="QBF61" s="543"/>
      <c r="QBG61" s="543"/>
      <c r="QBH61" s="543"/>
      <c r="QBI61" s="543"/>
      <c r="QBJ61" s="543"/>
      <c r="QBK61" s="543"/>
      <c r="QBL61" s="543"/>
      <c r="QBM61" s="543"/>
      <c r="QBN61" s="543"/>
      <c r="QBO61" s="543"/>
      <c r="QBP61" s="543"/>
      <c r="QBQ61" s="543"/>
      <c r="QBR61" s="543"/>
      <c r="QBS61" s="543"/>
      <c r="QBT61" s="543"/>
      <c r="QBU61" s="543"/>
      <c r="QBV61" s="543"/>
      <c r="QBW61" s="543"/>
      <c r="QBX61" s="543"/>
      <c r="QBY61" s="543"/>
      <c r="QBZ61" s="543"/>
      <c r="QCA61" s="543"/>
      <c r="QCB61" s="543"/>
      <c r="QCC61" s="543"/>
      <c r="QCD61" s="543"/>
      <c r="QCE61" s="543"/>
      <c r="QCF61" s="543"/>
      <c r="QCG61" s="543"/>
      <c r="QCH61" s="543"/>
      <c r="QCI61" s="543"/>
      <c r="QCJ61" s="543"/>
      <c r="QCK61" s="543"/>
      <c r="QCL61" s="543"/>
      <c r="QCM61" s="543"/>
      <c r="QCN61" s="543"/>
      <c r="QCO61" s="543"/>
      <c r="QCP61" s="543"/>
      <c r="QCQ61" s="543"/>
      <c r="QCR61" s="543"/>
      <c r="QCS61" s="543"/>
      <c r="QCT61" s="543"/>
      <c r="QCU61" s="543"/>
      <c r="QCV61" s="543"/>
      <c r="QCW61" s="543"/>
      <c r="QCX61" s="543"/>
      <c r="QCY61" s="543"/>
      <c r="QCZ61" s="543"/>
      <c r="QDA61" s="543"/>
      <c r="QDB61" s="543"/>
      <c r="QDC61" s="543"/>
      <c r="QDD61" s="543"/>
      <c r="QDE61" s="543"/>
      <c r="QDF61" s="543"/>
      <c r="QDG61" s="543"/>
      <c r="QDH61" s="543"/>
      <c r="QDI61" s="543"/>
      <c r="QDJ61" s="543"/>
      <c r="QDK61" s="543"/>
      <c r="QDL61" s="543"/>
      <c r="QDM61" s="543"/>
      <c r="QDN61" s="543"/>
      <c r="QDO61" s="543"/>
      <c r="QDP61" s="543"/>
      <c r="QDQ61" s="543"/>
      <c r="QDR61" s="543"/>
      <c r="QDS61" s="543"/>
      <c r="QDT61" s="543"/>
      <c r="QDU61" s="543"/>
      <c r="QDV61" s="543"/>
      <c r="QDW61" s="543"/>
      <c r="QDX61" s="543"/>
      <c r="QDY61" s="543"/>
      <c r="QDZ61" s="543"/>
      <c r="QEA61" s="543"/>
      <c r="QEB61" s="543"/>
      <c r="QEC61" s="543"/>
      <c r="QED61" s="543"/>
      <c r="QEE61" s="543"/>
      <c r="QEF61" s="543"/>
      <c r="QEG61" s="543"/>
      <c r="QEH61" s="543"/>
      <c r="QEI61" s="543"/>
      <c r="QEJ61" s="543"/>
      <c r="QEK61" s="543"/>
      <c r="QEL61" s="543"/>
      <c r="QEM61" s="543"/>
      <c r="QEN61" s="543"/>
      <c r="QEO61" s="543"/>
      <c r="QEP61" s="543"/>
      <c r="QEQ61" s="543"/>
      <c r="QER61" s="543"/>
      <c r="QES61" s="543"/>
      <c r="QET61" s="543"/>
      <c r="QEU61" s="543"/>
      <c r="QEV61" s="543"/>
      <c r="QEW61" s="543"/>
      <c r="QEX61" s="543"/>
      <c r="QEY61" s="543"/>
      <c r="QEZ61" s="543"/>
      <c r="QFA61" s="543"/>
      <c r="QFB61" s="543"/>
      <c r="QFC61" s="543"/>
      <c r="QFD61" s="543"/>
      <c r="QFE61" s="543"/>
      <c r="QFF61" s="543"/>
      <c r="QFG61" s="543"/>
      <c r="QFH61" s="543"/>
      <c r="QFI61" s="543"/>
      <c r="QFJ61" s="543"/>
      <c r="QFK61" s="543"/>
      <c r="QFL61" s="543"/>
      <c r="QFM61" s="543"/>
      <c r="QFN61" s="543"/>
      <c r="QFO61" s="543"/>
      <c r="QFP61" s="543"/>
      <c r="QFQ61" s="543"/>
      <c r="QFR61" s="543"/>
      <c r="QFS61" s="543"/>
      <c r="QFT61" s="543"/>
      <c r="QFU61" s="543"/>
      <c r="QFV61" s="543"/>
      <c r="QFW61" s="543"/>
      <c r="QFX61" s="543"/>
      <c r="QFY61" s="543"/>
      <c r="QFZ61" s="543"/>
      <c r="QGA61" s="543"/>
      <c r="QGB61" s="543"/>
      <c r="QGC61" s="543"/>
      <c r="QGD61" s="543"/>
      <c r="QGE61" s="543"/>
      <c r="QGF61" s="543"/>
      <c r="QGG61" s="543"/>
      <c r="QGH61" s="543"/>
      <c r="QGI61" s="543"/>
      <c r="QGJ61" s="543"/>
      <c r="QGK61" s="543"/>
      <c r="QGL61" s="543"/>
      <c r="QGM61" s="543"/>
      <c r="QGN61" s="543"/>
      <c r="QGO61" s="543"/>
      <c r="QGP61" s="543"/>
      <c r="QGQ61" s="543"/>
      <c r="QGR61" s="543"/>
      <c r="QGS61" s="543"/>
      <c r="QGT61" s="543"/>
      <c r="QGU61" s="543"/>
      <c r="QGV61" s="543"/>
      <c r="QGW61" s="543"/>
      <c r="QGX61" s="543"/>
      <c r="QGY61" s="543"/>
      <c r="QGZ61" s="543"/>
      <c r="QHA61" s="543"/>
      <c r="QHB61" s="543"/>
      <c r="QHC61" s="543"/>
      <c r="QHD61" s="543"/>
      <c r="QHE61" s="543"/>
      <c r="QHF61" s="543"/>
      <c r="QHG61" s="543"/>
      <c r="QHH61" s="543"/>
      <c r="QHI61" s="543"/>
      <c r="QHJ61" s="543"/>
      <c r="QHK61" s="543"/>
      <c r="QHL61" s="543"/>
      <c r="QHM61" s="543"/>
      <c r="QHN61" s="543"/>
      <c r="QHO61" s="543"/>
      <c r="QHP61" s="543"/>
      <c r="QHQ61" s="543"/>
      <c r="QHR61" s="543"/>
      <c r="QHS61" s="543"/>
      <c r="QHT61" s="543"/>
      <c r="QHU61" s="543"/>
      <c r="QHV61" s="543"/>
      <c r="QHW61" s="543"/>
      <c r="QHX61" s="543"/>
      <c r="QHY61" s="543"/>
      <c r="QHZ61" s="543"/>
      <c r="QIA61" s="543"/>
      <c r="QIB61" s="543"/>
      <c r="QIC61" s="543"/>
      <c r="QID61" s="543"/>
      <c r="QIE61" s="543"/>
      <c r="QIF61" s="543"/>
      <c r="QIG61" s="543"/>
      <c r="QIH61" s="543"/>
      <c r="QII61" s="543"/>
      <c r="QIJ61" s="543"/>
      <c r="QIK61" s="543"/>
      <c r="QIL61" s="543"/>
      <c r="QIM61" s="543"/>
      <c r="QIN61" s="543"/>
      <c r="QIO61" s="543"/>
      <c r="QIP61" s="543"/>
      <c r="QIQ61" s="543"/>
      <c r="QIR61" s="543"/>
      <c r="QIS61" s="543"/>
      <c r="QIT61" s="543"/>
      <c r="QIU61" s="543"/>
      <c r="QIV61" s="543"/>
      <c r="QIW61" s="543"/>
      <c r="QIX61" s="543"/>
      <c r="QIY61" s="543"/>
      <c r="QIZ61" s="543"/>
      <c r="QJA61" s="543"/>
      <c r="QJB61" s="543"/>
      <c r="QJC61" s="543"/>
      <c r="QJD61" s="543"/>
      <c r="QJE61" s="543"/>
      <c r="QJF61" s="543"/>
      <c r="QJG61" s="543"/>
      <c r="QJH61" s="543"/>
      <c r="QJI61" s="543"/>
      <c r="QJJ61" s="543"/>
      <c r="QJK61" s="543"/>
      <c r="QJL61" s="543"/>
      <c r="QJM61" s="543"/>
      <c r="QJN61" s="543"/>
      <c r="QJO61" s="543"/>
      <c r="QJP61" s="543"/>
      <c r="QJQ61" s="543"/>
      <c r="QJR61" s="543"/>
      <c r="QJS61" s="543"/>
      <c r="QJT61" s="543"/>
      <c r="QJU61" s="543"/>
      <c r="QJV61" s="543"/>
      <c r="QJW61" s="543"/>
      <c r="QJX61" s="543"/>
      <c r="QJY61" s="543"/>
      <c r="QJZ61" s="543"/>
      <c r="QKA61" s="543"/>
      <c r="QKB61" s="543"/>
      <c r="QKC61" s="543"/>
      <c r="QKD61" s="543"/>
      <c r="QKE61" s="543"/>
      <c r="QKF61" s="543"/>
      <c r="QKG61" s="543"/>
      <c r="QKH61" s="543"/>
      <c r="QKI61" s="543"/>
      <c r="QKJ61" s="543"/>
      <c r="QKK61" s="543"/>
      <c r="QKL61" s="543"/>
      <c r="QKM61" s="543"/>
      <c r="QKN61" s="543"/>
      <c r="QKO61" s="543"/>
      <c r="QKP61" s="543"/>
      <c r="QKQ61" s="543"/>
      <c r="QKR61" s="543"/>
      <c r="QKS61" s="543"/>
      <c r="QKT61" s="543"/>
      <c r="QKU61" s="543"/>
      <c r="QKV61" s="543"/>
      <c r="QKW61" s="543"/>
      <c r="QKX61" s="543"/>
      <c r="QKY61" s="543"/>
      <c r="QKZ61" s="543"/>
      <c r="QLA61" s="543"/>
      <c r="QLB61" s="543"/>
      <c r="QLC61" s="543"/>
      <c r="QLD61" s="543"/>
      <c r="QLE61" s="543"/>
      <c r="QLF61" s="543"/>
      <c r="QLG61" s="543"/>
      <c r="QLH61" s="543"/>
      <c r="QLI61" s="543"/>
      <c r="QLJ61" s="543"/>
      <c r="QLK61" s="543"/>
      <c r="QLL61" s="543"/>
      <c r="QLM61" s="543"/>
      <c r="QLN61" s="543"/>
      <c r="QLO61" s="543"/>
      <c r="QLP61" s="543"/>
      <c r="QLQ61" s="543"/>
      <c r="QLR61" s="543"/>
      <c r="QLS61" s="543"/>
      <c r="QLT61" s="543"/>
      <c r="QLU61" s="543"/>
      <c r="QLV61" s="543"/>
      <c r="QLW61" s="543"/>
      <c r="QLX61" s="543"/>
      <c r="QLY61" s="543"/>
      <c r="QLZ61" s="543"/>
      <c r="QMA61" s="543"/>
      <c r="QMB61" s="543"/>
      <c r="QMC61" s="543"/>
      <c r="QMD61" s="543"/>
      <c r="QME61" s="543"/>
      <c r="QMF61" s="543"/>
      <c r="QMG61" s="543"/>
      <c r="QMH61" s="543"/>
      <c r="QMI61" s="543"/>
      <c r="QMJ61" s="543"/>
      <c r="QMK61" s="543"/>
      <c r="QML61" s="543"/>
      <c r="QMM61" s="543"/>
      <c r="QMN61" s="543"/>
      <c r="QMO61" s="543"/>
      <c r="QMP61" s="543"/>
      <c r="QMQ61" s="543"/>
      <c r="QMR61" s="543"/>
      <c r="QMS61" s="543"/>
      <c r="QMT61" s="543"/>
      <c r="QMU61" s="543"/>
      <c r="QMV61" s="543"/>
      <c r="QMW61" s="543"/>
      <c r="QMX61" s="543"/>
      <c r="QMY61" s="543"/>
      <c r="QMZ61" s="543"/>
      <c r="QNA61" s="543"/>
      <c r="QNB61" s="543"/>
      <c r="QNC61" s="543"/>
      <c r="QND61" s="543"/>
      <c r="QNE61" s="543"/>
      <c r="QNF61" s="543"/>
      <c r="QNG61" s="543"/>
      <c r="QNH61" s="543"/>
      <c r="QNI61" s="543"/>
      <c r="QNJ61" s="543"/>
      <c r="QNK61" s="543"/>
      <c r="QNL61" s="543"/>
      <c r="QNM61" s="543"/>
      <c r="QNN61" s="543"/>
      <c r="QNO61" s="543"/>
      <c r="QNP61" s="543"/>
      <c r="QNQ61" s="543"/>
      <c r="QNR61" s="543"/>
      <c r="QNS61" s="543"/>
      <c r="QNT61" s="543"/>
      <c r="QNU61" s="543"/>
      <c r="QNV61" s="543"/>
      <c r="QNW61" s="543"/>
      <c r="QNX61" s="543"/>
      <c r="QNY61" s="543"/>
      <c r="QNZ61" s="543"/>
      <c r="QOA61" s="543"/>
      <c r="QOB61" s="543"/>
      <c r="QOC61" s="543"/>
      <c r="QOD61" s="543"/>
      <c r="QOE61" s="543"/>
      <c r="QOF61" s="543"/>
      <c r="QOG61" s="543"/>
      <c r="QOH61" s="543"/>
      <c r="QOI61" s="543"/>
      <c r="QOJ61" s="543"/>
      <c r="QOK61" s="543"/>
      <c r="QOL61" s="543"/>
      <c r="QOM61" s="543"/>
      <c r="QON61" s="543"/>
      <c r="QOO61" s="543"/>
      <c r="QOP61" s="543"/>
      <c r="QOQ61" s="543"/>
      <c r="QOR61" s="543"/>
      <c r="QOS61" s="543"/>
      <c r="QOT61" s="543"/>
      <c r="QOU61" s="543"/>
      <c r="QOV61" s="543"/>
      <c r="QOW61" s="543"/>
      <c r="QOX61" s="543"/>
      <c r="QOY61" s="543"/>
      <c r="QOZ61" s="543"/>
      <c r="QPA61" s="543"/>
      <c r="QPB61" s="543"/>
      <c r="QPC61" s="543"/>
      <c r="QPD61" s="543"/>
      <c r="QPE61" s="543"/>
      <c r="QPF61" s="543"/>
      <c r="QPG61" s="543"/>
      <c r="QPH61" s="543"/>
      <c r="QPI61" s="543"/>
      <c r="QPJ61" s="543"/>
      <c r="QPK61" s="543"/>
      <c r="QPL61" s="543"/>
      <c r="QPM61" s="543"/>
      <c r="QPN61" s="543"/>
      <c r="QPO61" s="543"/>
      <c r="QPP61" s="543"/>
      <c r="QPQ61" s="543"/>
      <c r="QPR61" s="543"/>
      <c r="QPS61" s="543"/>
      <c r="QPT61" s="543"/>
      <c r="QPU61" s="543"/>
      <c r="QPV61" s="543"/>
      <c r="QPW61" s="543"/>
      <c r="QPX61" s="543"/>
      <c r="QPY61" s="543"/>
      <c r="QPZ61" s="543"/>
      <c r="QQA61" s="543"/>
      <c r="QQB61" s="543"/>
      <c r="QQC61" s="543"/>
      <c r="QQD61" s="543"/>
      <c r="QQE61" s="543"/>
      <c r="QQF61" s="543"/>
      <c r="QQG61" s="543"/>
      <c r="QQH61" s="543"/>
      <c r="QQI61" s="543"/>
      <c r="QQJ61" s="543"/>
      <c r="QQK61" s="543"/>
      <c r="QQL61" s="543"/>
      <c r="QQM61" s="543"/>
      <c r="QQN61" s="543"/>
      <c r="QQO61" s="543"/>
      <c r="QQP61" s="543"/>
      <c r="QQQ61" s="543"/>
      <c r="QQR61" s="543"/>
      <c r="QQS61" s="543"/>
      <c r="QQT61" s="543"/>
      <c r="QQU61" s="543"/>
      <c r="QQV61" s="543"/>
      <c r="QQW61" s="543"/>
      <c r="QQX61" s="543"/>
      <c r="QQY61" s="543"/>
      <c r="QQZ61" s="543"/>
      <c r="QRA61" s="543"/>
      <c r="QRB61" s="543"/>
      <c r="QRC61" s="543"/>
      <c r="QRD61" s="543"/>
      <c r="QRE61" s="543"/>
      <c r="QRF61" s="543"/>
      <c r="QRG61" s="543"/>
      <c r="QRH61" s="543"/>
      <c r="QRI61" s="543"/>
      <c r="QRJ61" s="543"/>
      <c r="QRK61" s="543"/>
      <c r="QRL61" s="543"/>
      <c r="QRM61" s="543"/>
      <c r="QRN61" s="543"/>
      <c r="QRO61" s="543"/>
      <c r="QRP61" s="543"/>
      <c r="QRQ61" s="543"/>
      <c r="QRR61" s="543"/>
      <c r="QRS61" s="543"/>
      <c r="QRT61" s="543"/>
      <c r="QRU61" s="543"/>
      <c r="QRV61" s="543"/>
      <c r="QRW61" s="543"/>
      <c r="QRX61" s="543"/>
      <c r="QRY61" s="543"/>
      <c r="QRZ61" s="543"/>
      <c r="QSA61" s="543"/>
      <c r="QSB61" s="543"/>
      <c r="QSC61" s="543"/>
      <c r="QSD61" s="543"/>
      <c r="QSE61" s="543"/>
      <c r="QSF61" s="543"/>
      <c r="QSG61" s="543"/>
      <c r="QSH61" s="543"/>
      <c r="QSI61" s="543"/>
      <c r="QSJ61" s="543"/>
      <c r="QSK61" s="543"/>
      <c r="QSL61" s="543"/>
      <c r="QSM61" s="543"/>
      <c r="QSN61" s="543"/>
      <c r="QSO61" s="543"/>
      <c r="QSP61" s="543"/>
      <c r="QSQ61" s="543"/>
      <c r="QSR61" s="543"/>
      <c r="QSS61" s="543"/>
      <c r="QST61" s="543"/>
      <c r="QSU61" s="543"/>
      <c r="QSV61" s="543"/>
      <c r="QSW61" s="543"/>
      <c r="QSX61" s="543"/>
      <c r="QSY61" s="543"/>
      <c r="QSZ61" s="543"/>
      <c r="QTA61" s="543"/>
      <c r="QTB61" s="543"/>
      <c r="QTC61" s="543"/>
      <c r="QTD61" s="543"/>
      <c r="QTE61" s="543"/>
      <c r="QTF61" s="543"/>
      <c r="QTG61" s="543"/>
      <c r="QTH61" s="543"/>
      <c r="QTI61" s="543"/>
      <c r="QTJ61" s="543"/>
      <c r="QTK61" s="543"/>
      <c r="QTL61" s="543"/>
      <c r="QTM61" s="543"/>
      <c r="QTN61" s="543"/>
      <c r="QTO61" s="543"/>
      <c r="QTP61" s="543"/>
      <c r="QTQ61" s="543"/>
      <c r="QTR61" s="543"/>
      <c r="QTS61" s="543"/>
      <c r="QTT61" s="543"/>
      <c r="QTU61" s="543"/>
      <c r="QTV61" s="543"/>
      <c r="QTW61" s="543"/>
      <c r="QTX61" s="543"/>
      <c r="QTY61" s="543"/>
      <c r="QTZ61" s="543"/>
      <c r="QUA61" s="543"/>
      <c r="QUB61" s="543"/>
      <c r="QUC61" s="543"/>
      <c r="QUD61" s="543"/>
      <c r="QUE61" s="543"/>
      <c r="QUF61" s="543"/>
      <c r="QUG61" s="543"/>
      <c r="QUH61" s="543"/>
      <c r="QUI61" s="543"/>
      <c r="QUJ61" s="543"/>
      <c r="QUK61" s="543"/>
      <c r="QUL61" s="543"/>
      <c r="QUM61" s="543"/>
      <c r="QUN61" s="543"/>
      <c r="QUO61" s="543"/>
      <c r="QUP61" s="543"/>
      <c r="QUQ61" s="543"/>
      <c r="QUR61" s="543"/>
      <c r="QUS61" s="543"/>
      <c r="QUT61" s="543"/>
      <c r="QUU61" s="543"/>
      <c r="QUV61" s="543"/>
      <c r="QUW61" s="543"/>
      <c r="QUX61" s="543"/>
      <c r="QUY61" s="543"/>
      <c r="QUZ61" s="543"/>
      <c r="QVA61" s="543"/>
      <c r="QVB61" s="543"/>
      <c r="QVC61" s="543"/>
      <c r="QVD61" s="543"/>
      <c r="QVE61" s="543"/>
      <c r="QVF61" s="543"/>
      <c r="QVG61" s="543"/>
      <c r="QVH61" s="543"/>
      <c r="QVI61" s="543"/>
      <c r="QVJ61" s="543"/>
      <c r="QVK61" s="543"/>
      <c r="QVL61" s="543"/>
      <c r="QVM61" s="543"/>
      <c r="QVN61" s="543"/>
      <c r="QVO61" s="543"/>
      <c r="QVP61" s="543"/>
      <c r="QVQ61" s="543"/>
      <c r="QVR61" s="543"/>
      <c r="QVS61" s="543"/>
      <c r="QVT61" s="543"/>
      <c r="QVU61" s="543"/>
      <c r="QVV61" s="543"/>
      <c r="QVW61" s="543"/>
      <c r="QVX61" s="543"/>
      <c r="QVY61" s="543"/>
      <c r="QVZ61" s="543"/>
      <c r="QWA61" s="543"/>
      <c r="QWB61" s="543"/>
      <c r="QWC61" s="543"/>
      <c r="QWD61" s="543"/>
      <c r="QWE61" s="543"/>
      <c r="QWF61" s="543"/>
      <c r="QWG61" s="543"/>
      <c r="QWH61" s="543"/>
      <c r="QWI61" s="543"/>
      <c r="QWJ61" s="543"/>
      <c r="QWK61" s="543"/>
      <c r="QWL61" s="543"/>
      <c r="QWM61" s="543"/>
      <c r="QWN61" s="543"/>
      <c r="QWO61" s="543"/>
      <c r="QWP61" s="543"/>
      <c r="QWQ61" s="543"/>
      <c r="QWR61" s="543"/>
      <c r="QWS61" s="543"/>
      <c r="QWT61" s="543"/>
      <c r="QWU61" s="543"/>
      <c r="QWV61" s="543"/>
      <c r="QWW61" s="543"/>
      <c r="QWX61" s="543"/>
      <c r="QWY61" s="543"/>
      <c r="QWZ61" s="543"/>
      <c r="QXA61" s="543"/>
      <c r="QXB61" s="543"/>
      <c r="QXC61" s="543"/>
      <c r="QXD61" s="543"/>
      <c r="QXE61" s="543"/>
      <c r="QXF61" s="543"/>
      <c r="QXG61" s="543"/>
      <c r="QXH61" s="543"/>
      <c r="QXI61" s="543"/>
      <c r="QXJ61" s="543"/>
      <c r="QXK61" s="543"/>
      <c r="QXL61" s="543"/>
      <c r="QXM61" s="543"/>
      <c r="QXN61" s="543"/>
      <c r="QXO61" s="543"/>
      <c r="QXP61" s="543"/>
      <c r="QXQ61" s="543"/>
      <c r="QXR61" s="543"/>
      <c r="QXS61" s="543"/>
      <c r="QXT61" s="543"/>
      <c r="QXU61" s="543"/>
      <c r="QXV61" s="543"/>
      <c r="QXW61" s="543"/>
      <c r="QXX61" s="543"/>
      <c r="QXY61" s="543"/>
      <c r="QXZ61" s="543"/>
      <c r="QYA61" s="543"/>
      <c r="QYB61" s="543"/>
      <c r="QYC61" s="543"/>
      <c r="QYD61" s="543"/>
      <c r="QYE61" s="543"/>
      <c r="QYF61" s="543"/>
      <c r="QYG61" s="543"/>
      <c r="QYH61" s="543"/>
      <c r="QYI61" s="543"/>
      <c r="QYJ61" s="543"/>
      <c r="QYK61" s="543"/>
      <c r="QYL61" s="543"/>
      <c r="QYM61" s="543"/>
      <c r="QYN61" s="543"/>
      <c r="QYO61" s="543"/>
      <c r="QYP61" s="543"/>
      <c r="QYQ61" s="543"/>
      <c r="QYR61" s="543"/>
      <c r="QYS61" s="543"/>
      <c r="QYT61" s="543"/>
      <c r="QYU61" s="543"/>
      <c r="QYV61" s="543"/>
      <c r="QYW61" s="543"/>
      <c r="QYX61" s="543"/>
      <c r="QYY61" s="543"/>
      <c r="QYZ61" s="543"/>
      <c r="QZA61" s="543"/>
      <c r="QZB61" s="543"/>
      <c r="QZC61" s="543"/>
      <c r="QZD61" s="543"/>
      <c r="QZE61" s="543"/>
      <c r="QZF61" s="543"/>
      <c r="QZG61" s="543"/>
      <c r="QZH61" s="543"/>
      <c r="QZI61" s="543"/>
      <c r="QZJ61" s="543"/>
      <c r="QZK61" s="543"/>
      <c r="QZL61" s="543"/>
      <c r="QZM61" s="543"/>
      <c r="QZN61" s="543"/>
      <c r="QZO61" s="543"/>
      <c r="QZP61" s="543"/>
      <c r="QZQ61" s="543"/>
      <c r="QZR61" s="543"/>
      <c r="QZS61" s="543"/>
      <c r="QZT61" s="543"/>
      <c r="QZU61" s="543"/>
      <c r="QZV61" s="543"/>
      <c r="QZW61" s="543"/>
      <c r="QZX61" s="543"/>
      <c r="QZY61" s="543"/>
      <c r="QZZ61" s="543"/>
      <c r="RAA61" s="543"/>
      <c r="RAB61" s="543"/>
      <c r="RAC61" s="543"/>
      <c r="RAD61" s="543"/>
      <c r="RAE61" s="543"/>
      <c r="RAF61" s="543"/>
      <c r="RAG61" s="543"/>
      <c r="RAH61" s="543"/>
      <c r="RAI61" s="543"/>
      <c r="RAJ61" s="543"/>
      <c r="RAK61" s="543"/>
      <c r="RAL61" s="543"/>
      <c r="RAM61" s="543"/>
      <c r="RAN61" s="543"/>
      <c r="RAO61" s="543"/>
      <c r="RAP61" s="543"/>
      <c r="RAQ61" s="543"/>
      <c r="RAR61" s="543"/>
      <c r="RAS61" s="543"/>
      <c r="RAT61" s="543"/>
      <c r="RAU61" s="543"/>
      <c r="RAV61" s="543"/>
      <c r="RAW61" s="543"/>
      <c r="RAX61" s="543"/>
      <c r="RAY61" s="543"/>
      <c r="RAZ61" s="543"/>
      <c r="RBA61" s="543"/>
      <c r="RBB61" s="543"/>
      <c r="RBC61" s="543"/>
      <c r="RBD61" s="543"/>
      <c r="RBE61" s="543"/>
      <c r="RBF61" s="543"/>
      <c r="RBG61" s="543"/>
      <c r="RBH61" s="543"/>
      <c r="RBI61" s="543"/>
      <c r="RBJ61" s="543"/>
      <c r="RBK61" s="543"/>
      <c r="RBL61" s="543"/>
      <c r="RBM61" s="543"/>
      <c r="RBN61" s="543"/>
      <c r="RBO61" s="543"/>
      <c r="RBP61" s="543"/>
      <c r="RBQ61" s="543"/>
      <c r="RBR61" s="543"/>
      <c r="RBS61" s="543"/>
      <c r="RBT61" s="543"/>
      <c r="RBU61" s="543"/>
      <c r="RBV61" s="543"/>
      <c r="RBW61" s="543"/>
      <c r="RBX61" s="543"/>
      <c r="RBY61" s="543"/>
      <c r="RBZ61" s="543"/>
      <c r="RCA61" s="543"/>
      <c r="RCB61" s="543"/>
      <c r="RCC61" s="543"/>
      <c r="RCD61" s="543"/>
      <c r="RCE61" s="543"/>
      <c r="RCF61" s="543"/>
      <c r="RCG61" s="543"/>
      <c r="RCH61" s="543"/>
      <c r="RCI61" s="543"/>
      <c r="RCJ61" s="543"/>
      <c r="RCK61" s="543"/>
      <c r="RCL61" s="543"/>
      <c r="RCM61" s="543"/>
      <c r="RCN61" s="543"/>
      <c r="RCO61" s="543"/>
      <c r="RCP61" s="543"/>
      <c r="RCQ61" s="543"/>
      <c r="RCR61" s="543"/>
      <c r="RCS61" s="543"/>
      <c r="RCT61" s="543"/>
      <c r="RCU61" s="543"/>
      <c r="RCV61" s="543"/>
      <c r="RCW61" s="543"/>
      <c r="RCX61" s="543"/>
      <c r="RCY61" s="543"/>
      <c r="RCZ61" s="543"/>
      <c r="RDA61" s="543"/>
      <c r="RDB61" s="543"/>
      <c r="RDC61" s="543"/>
      <c r="RDD61" s="543"/>
      <c r="RDE61" s="543"/>
      <c r="RDF61" s="543"/>
      <c r="RDG61" s="543"/>
      <c r="RDH61" s="543"/>
      <c r="RDI61" s="543"/>
      <c r="RDJ61" s="543"/>
      <c r="RDK61" s="543"/>
      <c r="RDL61" s="543"/>
      <c r="RDM61" s="543"/>
      <c r="RDN61" s="543"/>
      <c r="RDO61" s="543"/>
      <c r="RDP61" s="543"/>
      <c r="RDQ61" s="543"/>
      <c r="RDR61" s="543"/>
      <c r="RDS61" s="543"/>
      <c r="RDT61" s="543"/>
      <c r="RDU61" s="543"/>
      <c r="RDV61" s="543"/>
      <c r="RDW61" s="543"/>
      <c r="RDX61" s="543"/>
      <c r="RDY61" s="543"/>
      <c r="RDZ61" s="543"/>
      <c r="REA61" s="543"/>
      <c r="REB61" s="543"/>
      <c r="REC61" s="543"/>
      <c r="RED61" s="543"/>
      <c r="REE61" s="543"/>
      <c r="REF61" s="543"/>
      <c r="REG61" s="543"/>
      <c r="REH61" s="543"/>
      <c r="REI61" s="543"/>
      <c r="REJ61" s="543"/>
      <c r="REK61" s="543"/>
      <c r="REL61" s="543"/>
      <c r="REM61" s="543"/>
      <c r="REN61" s="543"/>
      <c r="REO61" s="543"/>
      <c r="REP61" s="543"/>
      <c r="REQ61" s="543"/>
      <c r="RER61" s="543"/>
      <c r="RES61" s="543"/>
      <c r="RET61" s="543"/>
      <c r="REU61" s="543"/>
      <c r="REV61" s="543"/>
      <c r="REW61" s="543"/>
      <c r="REX61" s="543"/>
      <c r="REY61" s="543"/>
      <c r="REZ61" s="543"/>
      <c r="RFA61" s="543"/>
      <c r="RFB61" s="543"/>
      <c r="RFC61" s="543"/>
      <c r="RFD61" s="543"/>
      <c r="RFE61" s="543"/>
      <c r="RFF61" s="543"/>
      <c r="RFG61" s="543"/>
      <c r="RFH61" s="543"/>
      <c r="RFI61" s="543"/>
      <c r="RFJ61" s="543"/>
      <c r="RFK61" s="543"/>
      <c r="RFL61" s="543"/>
      <c r="RFM61" s="543"/>
      <c r="RFN61" s="543"/>
      <c r="RFO61" s="543"/>
      <c r="RFP61" s="543"/>
      <c r="RFQ61" s="543"/>
      <c r="RFR61" s="543"/>
      <c r="RFS61" s="543"/>
      <c r="RFT61" s="543"/>
      <c r="RFU61" s="543"/>
      <c r="RFV61" s="543"/>
      <c r="RFW61" s="543"/>
      <c r="RFX61" s="543"/>
      <c r="RFY61" s="543"/>
      <c r="RFZ61" s="543"/>
      <c r="RGA61" s="543"/>
      <c r="RGB61" s="543"/>
      <c r="RGC61" s="543"/>
      <c r="RGD61" s="543"/>
      <c r="RGE61" s="543"/>
      <c r="RGF61" s="543"/>
      <c r="RGG61" s="543"/>
      <c r="RGH61" s="543"/>
      <c r="RGI61" s="543"/>
      <c r="RGJ61" s="543"/>
      <c r="RGK61" s="543"/>
      <c r="RGL61" s="543"/>
      <c r="RGM61" s="543"/>
      <c r="RGN61" s="543"/>
      <c r="RGO61" s="543"/>
      <c r="RGP61" s="543"/>
      <c r="RGQ61" s="543"/>
      <c r="RGR61" s="543"/>
      <c r="RGS61" s="543"/>
      <c r="RGT61" s="543"/>
      <c r="RGU61" s="543"/>
      <c r="RGV61" s="543"/>
      <c r="RGW61" s="543"/>
      <c r="RGX61" s="543"/>
      <c r="RGY61" s="543"/>
      <c r="RGZ61" s="543"/>
      <c r="RHA61" s="543"/>
      <c r="RHB61" s="543"/>
      <c r="RHC61" s="543"/>
      <c r="RHD61" s="543"/>
      <c r="RHE61" s="543"/>
      <c r="RHF61" s="543"/>
      <c r="RHG61" s="543"/>
      <c r="RHH61" s="543"/>
      <c r="RHI61" s="543"/>
      <c r="RHJ61" s="543"/>
      <c r="RHK61" s="543"/>
      <c r="RHL61" s="543"/>
      <c r="RHM61" s="543"/>
      <c r="RHN61" s="543"/>
      <c r="RHO61" s="543"/>
      <c r="RHP61" s="543"/>
      <c r="RHQ61" s="543"/>
      <c r="RHR61" s="543"/>
      <c r="RHS61" s="543"/>
      <c r="RHT61" s="543"/>
      <c r="RHU61" s="543"/>
      <c r="RHV61" s="543"/>
      <c r="RHW61" s="543"/>
      <c r="RHX61" s="543"/>
      <c r="RHY61" s="543"/>
      <c r="RHZ61" s="543"/>
      <c r="RIA61" s="543"/>
      <c r="RIB61" s="543"/>
      <c r="RIC61" s="543"/>
      <c r="RID61" s="543"/>
      <c r="RIE61" s="543"/>
      <c r="RIF61" s="543"/>
      <c r="RIG61" s="543"/>
      <c r="RIH61" s="543"/>
      <c r="RII61" s="543"/>
      <c r="RIJ61" s="543"/>
      <c r="RIK61" s="543"/>
      <c r="RIL61" s="543"/>
      <c r="RIM61" s="543"/>
      <c r="RIN61" s="543"/>
      <c r="RIO61" s="543"/>
      <c r="RIP61" s="543"/>
      <c r="RIQ61" s="543"/>
      <c r="RIR61" s="543"/>
      <c r="RIS61" s="543"/>
      <c r="RIT61" s="543"/>
      <c r="RIU61" s="543"/>
      <c r="RIV61" s="543"/>
      <c r="RIW61" s="543"/>
      <c r="RIX61" s="543"/>
      <c r="RIY61" s="543"/>
      <c r="RIZ61" s="543"/>
      <c r="RJA61" s="543"/>
      <c r="RJB61" s="543"/>
      <c r="RJC61" s="543"/>
      <c r="RJD61" s="543"/>
      <c r="RJE61" s="543"/>
      <c r="RJF61" s="543"/>
      <c r="RJG61" s="543"/>
      <c r="RJH61" s="543"/>
      <c r="RJI61" s="543"/>
      <c r="RJJ61" s="543"/>
      <c r="RJK61" s="543"/>
      <c r="RJL61" s="543"/>
      <c r="RJM61" s="543"/>
      <c r="RJN61" s="543"/>
      <c r="RJO61" s="543"/>
      <c r="RJP61" s="543"/>
      <c r="RJQ61" s="543"/>
      <c r="RJR61" s="543"/>
      <c r="RJS61" s="543"/>
      <c r="RJT61" s="543"/>
      <c r="RJU61" s="543"/>
      <c r="RJV61" s="543"/>
      <c r="RJW61" s="543"/>
      <c r="RJX61" s="543"/>
      <c r="RJY61" s="543"/>
      <c r="RJZ61" s="543"/>
      <c r="RKA61" s="543"/>
      <c r="RKB61" s="543"/>
      <c r="RKC61" s="543"/>
      <c r="RKD61" s="543"/>
      <c r="RKE61" s="543"/>
      <c r="RKF61" s="543"/>
      <c r="RKG61" s="543"/>
      <c r="RKH61" s="543"/>
      <c r="RKI61" s="543"/>
      <c r="RKJ61" s="543"/>
      <c r="RKK61" s="543"/>
      <c r="RKL61" s="543"/>
      <c r="RKM61" s="543"/>
      <c r="RKN61" s="543"/>
      <c r="RKO61" s="543"/>
      <c r="RKP61" s="543"/>
      <c r="RKQ61" s="543"/>
      <c r="RKR61" s="543"/>
      <c r="RKS61" s="543"/>
      <c r="RKT61" s="543"/>
      <c r="RKU61" s="543"/>
      <c r="RKV61" s="543"/>
      <c r="RKW61" s="543"/>
      <c r="RKX61" s="543"/>
      <c r="RKY61" s="543"/>
      <c r="RKZ61" s="543"/>
      <c r="RLA61" s="543"/>
      <c r="RLB61" s="543"/>
      <c r="RLC61" s="543"/>
      <c r="RLD61" s="543"/>
      <c r="RLE61" s="543"/>
      <c r="RLF61" s="543"/>
      <c r="RLG61" s="543"/>
      <c r="RLH61" s="543"/>
      <c r="RLI61" s="543"/>
      <c r="RLJ61" s="543"/>
      <c r="RLK61" s="543"/>
      <c r="RLL61" s="543"/>
      <c r="RLM61" s="543"/>
      <c r="RLN61" s="543"/>
      <c r="RLO61" s="543"/>
      <c r="RLP61" s="543"/>
      <c r="RLQ61" s="543"/>
      <c r="RLR61" s="543"/>
      <c r="RLS61" s="543"/>
      <c r="RLT61" s="543"/>
      <c r="RLU61" s="543"/>
      <c r="RLV61" s="543"/>
      <c r="RLW61" s="543"/>
      <c r="RLX61" s="543"/>
      <c r="RLY61" s="543"/>
      <c r="RLZ61" s="543"/>
      <c r="RMA61" s="543"/>
      <c r="RMB61" s="543"/>
      <c r="RMC61" s="543"/>
      <c r="RMD61" s="543"/>
      <c r="RME61" s="543"/>
      <c r="RMF61" s="543"/>
      <c r="RMG61" s="543"/>
      <c r="RMH61" s="543"/>
      <c r="RMI61" s="543"/>
      <c r="RMJ61" s="543"/>
      <c r="RMK61" s="543"/>
      <c r="RML61" s="543"/>
      <c r="RMM61" s="543"/>
      <c r="RMN61" s="543"/>
      <c r="RMO61" s="543"/>
      <c r="RMP61" s="543"/>
      <c r="RMQ61" s="543"/>
      <c r="RMR61" s="543"/>
      <c r="RMS61" s="543"/>
      <c r="RMT61" s="543"/>
      <c r="RMU61" s="543"/>
      <c r="RMV61" s="543"/>
      <c r="RMW61" s="543"/>
      <c r="RMX61" s="543"/>
      <c r="RMY61" s="543"/>
      <c r="RMZ61" s="543"/>
      <c r="RNA61" s="543"/>
      <c r="RNB61" s="543"/>
      <c r="RNC61" s="543"/>
      <c r="RND61" s="543"/>
      <c r="RNE61" s="543"/>
      <c r="RNF61" s="543"/>
      <c r="RNG61" s="543"/>
      <c r="RNH61" s="543"/>
      <c r="RNI61" s="543"/>
      <c r="RNJ61" s="543"/>
      <c r="RNK61" s="543"/>
      <c r="RNL61" s="543"/>
      <c r="RNM61" s="543"/>
      <c r="RNN61" s="543"/>
      <c r="RNO61" s="543"/>
      <c r="RNP61" s="543"/>
      <c r="RNQ61" s="543"/>
      <c r="RNR61" s="543"/>
      <c r="RNS61" s="543"/>
      <c r="RNT61" s="543"/>
      <c r="RNU61" s="543"/>
      <c r="RNV61" s="543"/>
      <c r="RNW61" s="543"/>
      <c r="RNX61" s="543"/>
      <c r="RNY61" s="543"/>
      <c r="RNZ61" s="543"/>
      <c r="ROA61" s="543"/>
      <c r="ROB61" s="543"/>
      <c r="ROC61" s="543"/>
      <c r="ROD61" s="543"/>
      <c r="ROE61" s="543"/>
      <c r="ROF61" s="543"/>
      <c r="ROG61" s="543"/>
      <c r="ROH61" s="543"/>
      <c r="ROI61" s="543"/>
      <c r="ROJ61" s="543"/>
      <c r="ROK61" s="543"/>
      <c r="ROL61" s="543"/>
      <c r="ROM61" s="543"/>
      <c r="RON61" s="543"/>
      <c r="ROO61" s="543"/>
      <c r="ROP61" s="543"/>
      <c r="ROQ61" s="543"/>
      <c r="ROR61" s="543"/>
      <c r="ROS61" s="543"/>
      <c r="ROT61" s="543"/>
      <c r="ROU61" s="543"/>
      <c r="ROV61" s="543"/>
      <c r="ROW61" s="543"/>
      <c r="ROX61" s="543"/>
      <c r="ROY61" s="543"/>
      <c r="ROZ61" s="543"/>
      <c r="RPA61" s="543"/>
      <c r="RPB61" s="543"/>
      <c r="RPC61" s="543"/>
      <c r="RPD61" s="543"/>
      <c r="RPE61" s="543"/>
      <c r="RPF61" s="543"/>
      <c r="RPG61" s="543"/>
      <c r="RPH61" s="543"/>
      <c r="RPI61" s="543"/>
      <c r="RPJ61" s="543"/>
      <c r="RPK61" s="543"/>
      <c r="RPL61" s="543"/>
      <c r="RPM61" s="543"/>
      <c r="RPN61" s="543"/>
      <c r="RPO61" s="543"/>
      <c r="RPP61" s="543"/>
      <c r="RPQ61" s="543"/>
      <c r="RPR61" s="543"/>
      <c r="RPS61" s="543"/>
      <c r="RPT61" s="543"/>
      <c r="RPU61" s="543"/>
      <c r="RPV61" s="543"/>
      <c r="RPW61" s="543"/>
      <c r="RPX61" s="543"/>
      <c r="RPY61" s="543"/>
      <c r="RPZ61" s="543"/>
      <c r="RQA61" s="543"/>
      <c r="RQB61" s="543"/>
      <c r="RQC61" s="543"/>
      <c r="RQD61" s="543"/>
      <c r="RQE61" s="543"/>
      <c r="RQF61" s="543"/>
      <c r="RQG61" s="543"/>
      <c r="RQH61" s="543"/>
      <c r="RQI61" s="543"/>
      <c r="RQJ61" s="543"/>
      <c r="RQK61" s="543"/>
      <c r="RQL61" s="543"/>
      <c r="RQM61" s="543"/>
      <c r="RQN61" s="543"/>
      <c r="RQO61" s="543"/>
      <c r="RQP61" s="543"/>
      <c r="RQQ61" s="543"/>
      <c r="RQR61" s="543"/>
      <c r="RQS61" s="543"/>
      <c r="RQT61" s="543"/>
      <c r="RQU61" s="543"/>
      <c r="RQV61" s="543"/>
      <c r="RQW61" s="543"/>
      <c r="RQX61" s="543"/>
      <c r="RQY61" s="543"/>
      <c r="RQZ61" s="543"/>
      <c r="RRA61" s="543"/>
      <c r="RRB61" s="543"/>
      <c r="RRC61" s="543"/>
      <c r="RRD61" s="543"/>
      <c r="RRE61" s="543"/>
      <c r="RRF61" s="543"/>
      <c r="RRG61" s="543"/>
      <c r="RRH61" s="543"/>
      <c r="RRI61" s="543"/>
      <c r="RRJ61" s="543"/>
      <c r="RRK61" s="543"/>
      <c r="RRL61" s="543"/>
      <c r="RRM61" s="543"/>
      <c r="RRN61" s="543"/>
      <c r="RRO61" s="543"/>
      <c r="RRP61" s="543"/>
      <c r="RRQ61" s="543"/>
      <c r="RRR61" s="543"/>
      <c r="RRS61" s="543"/>
      <c r="RRT61" s="543"/>
      <c r="RRU61" s="543"/>
      <c r="RRV61" s="543"/>
      <c r="RRW61" s="543"/>
      <c r="RRX61" s="543"/>
      <c r="RRY61" s="543"/>
      <c r="RRZ61" s="543"/>
      <c r="RSA61" s="543"/>
      <c r="RSB61" s="543"/>
      <c r="RSC61" s="543"/>
      <c r="RSD61" s="543"/>
      <c r="RSE61" s="543"/>
      <c r="RSF61" s="543"/>
      <c r="RSG61" s="543"/>
      <c r="RSH61" s="543"/>
      <c r="RSI61" s="543"/>
      <c r="RSJ61" s="543"/>
      <c r="RSK61" s="543"/>
      <c r="RSL61" s="543"/>
      <c r="RSM61" s="543"/>
      <c r="RSN61" s="543"/>
      <c r="RSO61" s="543"/>
      <c r="RSP61" s="543"/>
      <c r="RSQ61" s="543"/>
      <c r="RSR61" s="543"/>
      <c r="RSS61" s="543"/>
      <c r="RST61" s="543"/>
      <c r="RSU61" s="543"/>
      <c r="RSV61" s="543"/>
      <c r="RSW61" s="543"/>
      <c r="RSX61" s="543"/>
      <c r="RSY61" s="543"/>
      <c r="RSZ61" s="543"/>
      <c r="RTA61" s="543"/>
      <c r="RTB61" s="543"/>
      <c r="RTC61" s="543"/>
      <c r="RTD61" s="543"/>
      <c r="RTE61" s="543"/>
      <c r="RTF61" s="543"/>
      <c r="RTG61" s="543"/>
      <c r="RTH61" s="543"/>
      <c r="RTI61" s="543"/>
      <c r="RTJ61" s="543"/>
      <c r="RTK61" s="543"/>
      <c r="RTL61" s="543"/>
      <c r="RTM61" s="543"/>
      <c r="RTN61" s="543"/>
      <c r="RTO61" s="543"/>
      <c r="RTP61" s="543"/>
      <c r="RTQ61" s="543"/>
      <c r="RTR61" s="543"/>
      <c r="RTS61" s="543"/>
      <c r="RTT61" s="543"/>
      <c r="RTU61" s="543"/>
      <c r="RTV61" s="543"/>
      <c r="RTW61" s="543"/>
      <c r="RTX61" s="543"/>
      <c r="RTY61" s="543"/>
      <c r="RTZ61" s="543"/>
      <c r="RUA61" s="543"/>
      <c r="RUB61" s="543"/>
      <c r="RUC61" s="543"/>
      <c r="RUD61" s="543"/>
      <c r="RUE61" s="543"/>
      <c r="RUF61" s="543"/>
      <c r="RUG61" s="543"/>
      <c r="RUH61" s="543"/>
      <c r="RUI61" s="543"/>
      <c r="RUJ61" s="543"/>
      <c r="RUK61" s="543"/>
      <c r="RUL61" s="543"/>
      <c r="RUM61" s="543"/>
      <c r="RUN61" s="543"/>
      <c r="RUO61" s="543"/>
      <c r="RUP61" s="543"/>
      <c r="RUQ61" s="543"/>
      <c r="RUR61" s="543"/>
      <c r="RUS61" s="543"/>
      <c r="RUT61" s="543"/>
      <c r="RUU61" s="543"/>
      <c r="RUV61" s="543"/>
      <c r="RUW61" s="543"/>
      <c r="RUX61" s="543"/>
      <c r="RUY61" s="543"/>
      <c r="RUZ61" s="543"/>
      <c r="RVA61" s="543"/>
      <c r="RVB61" s="543"/>
      <c r="RVC61" s="543"/>
      <c r="RVD61" s="543"/>
      <c r="RVE61" s="543"/>
      <c r="RVF61" s="543"/>
      <c r="RVG61" s="543"/>
      <c r="RVH61" s="543"/>
      <c r="RVI61" s="543"/>
      <c r="RVJ61" s="543"/>
      <c r="RVK61" s="543"/>
      <c r="RVL61" s="543"/>
      <c r="RVM61" s="543"/>
      <c r="RVN61" s="543"/>
      <c r="RVO61" s="543"/>
      <c r="RVP61" s="543"/>
      <c r="RVQ61" s="543"/>
      <c r="RVR61" s="543"/>
      <c r="RVS61" s="543"/>
      <c r="RVT61" s="543"/>
      <c r="RVU61" s="543"/>
      <c r="RVV61" s="543"/>
      <c r="RVW61" s="543"/>
      <c r="RVX61" s="543"/>
      <c r="RVY61" s="543"/>
      <c r="RVZ61" s="543"/>
      <c r="RWA61" s="543"/>
      <c r="RWB61" s="543"/>
      <c r="RWC61" s="543"/>
      <c r="RWD61" s="543"/>
      <c r="RWE61" s="543"/>
      <c r="RWF61" s="543"/>
      <c r="RWG61" s="543"/>
      <c r="RWH61" s="543"/>
      <c r="RWI61" s="543"/>
      <c r="RWJ61" s="543"/>
      <c r="RWK61" s="543"/>
      <c r="RWL61" s="543"/>
      <c r="RWM61" s="543"/>
      <c r="RWN61" s="543"/>
      <c r="RWO61" s="543"/>
      <c r="RWP61" s="543"/>
      <c r="RWQ61" s="543"/>
      <c r="RWR61" s="543"/>
      <c r="RWS61" s="543"/>
      <c r="RWT61" s="543"/>
      <c r="RWU61" s="543"/>
      <c r="RWV61" s="543"/>
      <c r="RWW61" s="543"/>
      <c r="RWX61" s="543"/>
      <c r="RWY61" s="543"/>
      <c r="RWZ61" s="543"/>
      <c r="RXA61" s="543"/>
      <c r="RXB61" s="543"/>
      <c r="RXC61" s="543"/>
      <c r="RXD61" s="543"/>
      <c r="RXE61" s="543"/>
      <c r="RXF61" s="543"/>
      <c r="RXG61" s="543"/>
      <c r="RXH61" s="543"/>
      <c r="RXI61" s="543"/>
      <c r="RXJ61" s="543"/>
      <c r="RXK61" s="543"/>
      <c r="RXL61" s="543"/>
      <c r="RXM61" s="543"/>
      <c r="RXN61" s="543"/>
      <c r="RXO61" s="543"/>
      <c r="RXP61" s="543"/>
      <c r="RXQ61" s="543"/>
      <c r="RXR61" s="543"/>
      <c r="RXS61" s="543"/>
      <c r="RXT61" s="543"/>
      <c r="RXU61" s="543"/>
      <c r="RXV61" s="543"/>
      <c r="RXW61" s="543"/>
      <c r="RXX61" s="543"/>
      <c r="RXY61" s="543"/>
      <c r="RXZ61" s="543"/>
      <c r="RYA61" s="543"/>
      <c r="RYB61" s="543"/>
      <c r="RYC61" s="543"/>
      <c r="RYD61" s="543"/>
      <c r="RYE61" s="543"/>
      <c r="RYF61" s="543"/>
      <c r="RYG61" s="543"/>
      <c r="RYH61" s="543"/>
      <c r="RYI61" s="543"/>
      <c r="RYJ61" s="543"/>
      <c r="RYK61" s="543"/>
      <c r="RYL61" s="543"/>
      <c r="RYM61" s="543"/>
      <c r="RYN61" s="543"/>
      <c r="RYO61" s="543"/>
      <c r="RYP61" s="543"/>
      <c r="RYQ61" s="543"/>
      <c r="RYR61" s="543"/>
      <c r="RYS61" s="543"/>
      <c r="RYT61" s="543"/>
      <c r="RYU61" s="543"/>
      <c r="RYV61" s="543"/>
      <c r="RYW61" s="543"/>
      <c r="RYX61" s="543"/>
      <c r="RYY61" s="543"/>
      <c r="RYZ61" s="543"/>
      <c r="RZA61" s="543"/>
      <c r="RZB61" s="543"/>
      <c r="RZC61" s="543"/>
      <c r="RZD61" s="543"/>
      <c r="RZE61" s="543"/>
      <c r="RZF61" s="543"/>
      <c r="RZG61" s="543"/>
      <c r="RZH61" s="543"/>
      <c r="RZI61" s="543"/>
      <c r="RZJ61" s="543"/>
      <c r="RZK61" s="543"/>
      <c r="RZL61" s="543"/>
      <c r="RZM61" s="543"/>
      <c r="RZN61" s="543"/>
      <c r="RZO61" s="543"/>
      <c r="RZP61" s="543"/>
      <c r="RZQ61" s="543"/>
      <c r="RZR61" s="543"/>
      <c r="RZS61" s="543"/>
      <c r="RZT61" s="543"/>
      <c r="RZU61" s="543"/>
      <c r="RZV61" s="543"/>
      <c r="RZW61" s="543"/>
      <c r="RZX61" s="543"/>
      <c r="RZY61" s="543"/>
      <c r="RZZ61" s="543"/>
      <c r="SAA61" s="543"/>
      <c r="SAB61" s="543"/>
      <c r="SAC61" s="543"/>
      <c r="SAD61" s="543"/>
      <c r="SAE61" s="543"/>
      <c r="SAF61" s="543"/>
      <c r="SAG61" s="543"/>
      <c r="SAH61" s="543"/>
      <c r="SAI61" s="543"/>
      <c r="SAJ61" s="543"/>
      <c r="SAK61" s="543"/>
      <c r="SAL61" s="543"/>
      <c r="SAM61" s="543"/>
      <c r="SAN61" s="543"/>
      <c r="SAO61" s="543"/>
      <c r="SAP61" s="543"/>
      <c r="SAQ61" s="543"/>
      <c r="SAR61" s="543"/>
      <c r="SAS61" s="543"/>
      <c r="SAT61" s="543"/>
      <c r="SAU61" s="543"/>
      <c r="SAV61" s="543"/>
      <c r="SAW61" s="543"/>
      <c r="SAX61" s="543"/>
      <c r="SAY61" s="543"/>
      <c r="SAZ61" s="543"/>
      <c r="SBA61" s="543"/>
      <c r="SBB61" s="543"/>
      <c r="SBC61" s="543"/>
      <c r="SBD61" s="543"/>
      <c r="SBE61" s="543"/>
      <c r="SBF61" s="543"/>
      <c r="SBG61" s="543"/>
      <c r="SBH61" s="543"/>
      <c r="SBI61" s="543"/>
      <c r="SBJ61" s="543"/>
      <c r="SBK61" s="543"/>
      <c r="SBL61" s="543"/>
      <c r="SBM61" s="543"/>
      <c r="SBN61" s="543"/>
      <c r="SBO61" s="543"/>
      <c r="SBP61" s="543"/>
      <c r="SBQ61" s="543"/>
      <c r="SBR61" s="543"/>
      <c r="SBS61" s="543"/>
      <c r="SBT61" s="543"/>
      <c r="SBU61" s="543"/>
      <c r="SBV61" s="543"/>
      <c r="SBW61" s="543"/>
      <c r="SBX61" s="543"/>
      <c r="SBY61" s="543"/>
      <c r="SBZ61" s="543"/>
      <c r="SCA61" s="543"/>
      <c r="SCB61" s="543"/>
      <c r="SCC61" s="543"/>
      <c r="SCD61" s="543"/>
      <c r="SCE61" s="543"/>
      <c r="SCF61" s="543"/>
      <c r="SCG61" s="543"/>
      <c r="SCH61" s="543"/>
      <c r="SCI61" s="543"/>
      <c r="SCJ61" s="543"/>
      <c r="SCK61" s="543"/>
      <c r="SCL61" s="543"/>
      <c r="SCM61" s="543"/>
      <c r="SCN61" s="543"/>
      <c r="SCO61" s="543"/>
      <c r="SCP61" s="543"/>
      <c r="SCQ61" s="543"/>
      <c r="SCR61" s="543"/>
      <c r="SCS61" s="543"/>
      <c r="SCT61" s="543"/>
      <c r="SCU61" s="543"/>
      <c r="SCV61" s="543"/>
      <c r="SCW61" s="543"/>
      <c r="SCX61" s="543"/>
      <c r="SCY61" s="543"/>
      <c r="SCZ61" s="543"/>
      <c r="SDA61" s="543"/>
      <c r="SDB61" s="543"/>
      <c r="SDC61" s="543"/>
      <c r="SDD61" s="543"/>
      <c r="SDE61" s="543"/>
      <c r="SDF61" s="543"/>
      <c r="SDG61" s="543"/>
      <c r="SDH61" s="543"/>
      <c r="SDI61" s="543"/>
      <c r="SDJ61" s="543"/>
      <c r="SDK61" s="543"/>
      <c r="SDL61" s="543"/>
      <c r="SDM61" s="543"/>
      <c r="SDN61" s="543"/>
      <c r="SDO61" s="543"/>
      <c r="SDP61" s="543"/>
      <c r="SDQ61" s="543"/>
      <c r="SDR61" s="543"/>
      <c r="SDS61" s="543"/>
      <c r="SDT61" s="543"/>
      <c r="SDU61" s="543"/>
      <c r="SDV61" s="543"/>
      <c r="SDW61" s="543"/>
      <c r="SDX61" s="543"/>
      <c r="SDY61" s="543"/>
      <c r="SDZ61" s="543"/>
      <c r="SEA61" s="543"/>
      <c r="SEB61" s="543"/>
      <c r="SEC61" s="543"/>
      <c r="SED61" s="543"/>
      <c r="SEE61" s="543"/>
      <c r="SEF61" s="543"/>
      <c r="SEG61" s="543"/>
      <c r="SEH61" s="543"/>
      <c r="SEI61" s="543"/>
      <c r="SEJ61" s="543"/>
      <c r="SEK61" s="543"/>
      <c r="SEL61" s="543"/>
      <c r="SEM61" s="543"/>
      <c r="SEN61" s="543"/>
      <c r="SEO61" s="543"/>
      <c r="SEP61" s="543"/>
      <c r="SEQ61" s="543"/>
      <c r="SER61" s="543"/>
      <c r="SES61" s="543"/>
      <c r="SET61" s="543"/>
      <c r="SEU61" s="543"/>
      <c r="SEV61" s="543"/>
      <c r="SEW61" s="543"/>
      <c r="SEX61" s="543"/>
      <c r="SEY61" s="543"/>
      <c r="SEZ61" s="543"/>
      <c r="SFA61" s="543"/>
      <c r="SFB61" s="543"/>
      <c r="SFC61" s="543"/>
      <c r="SFD61" s="543"/>
      <c r="SFE61" s="543"/>
      <c r="SFF61" s="543"/>
      <c r="SFG61" s="543"/>
      <c r="SFH61" s="543"/>
      <c r="SFI61" s="543"/>
      <c r="SFJ61" s="543"/>
      <c r="SFK61" s="543"/>
      <c r="SFL61" s="543"/>
      <c r="SFM61" s="543"/>
      <c r="SFN61" s="543"/>
      <c r="SFO61" s="543"/>
      <c r="SFP61" s="543"/>
      <c r="SFQ61" s="543"/>
      <c r="SFR61" s="543"/>
      <c r="SFS61" s="543"/>
      <c r="SFT61" s="543"/>
      <c r="SFU61" s="543"/>
      <c r="SFV61" s="543"/>
      <c r="SFW61" s="543"/>
      <c r="SFX61" s="543"/>
      <c r="SFY61" s="543"/>
      <c r="SFZ61" s="543"/>
      <c r="SGA61" s="543"/>
      <c r="SGB61" s="543"/>
      <c r="SGC61" s="543"/>
      <c r="SGD61" s="543"/>
      <c r="SGE61" s="543"/>
      <c r="SGF61" s="543"/>
      <c r="SGG61" s="543"/>
      <c r="SGH61" s="543"/>
      <c r="SGI61" s="543"/>
      <c r="SGJ61" s="543"/>
      <c r="SGK61" s="543"/>
      <c r="SGL61" s="543"/>
      <c r="SGM61" s="543"/>
      <c r="SGN61" s="543"/>
      <c r="SGO61" s="543"/>
      <c r="SGP61" s="543"/>
      <c r="SGQ61" s="543"/>
      <c r="SGR61" s="543"/>
      <c r="SGS61" s="543"/>
      <c r="SGT61" s="543"/>
      <c r="SGU61" s="543"/>
      <c r="SGV61" s="543"/>
      <c r="SGW61" s="543"/>
      <c r="SGX61" s="543"/>
      <c r="SGY61" s="543"/>
      <c r="SGZ61" s="543"/>
      <c r="SHA61" s="543"/>
      <c r="SHB61" s="543"/>
      <c r="SHC61" s="543"/>
      <c r="SHD61" s="543"/>
      <c r="SHE61" s="543"/>
      <c r="SHF61" s="543"/>
      <c r="SHG61" s="543"/>
      <c r="SHH61" s="543"/>
      <c r="SHI61" s="543"/>
      <c r="SHJ61" s="543"/>
      <c r="SHK61" s="543"/>
      <c r="SHL61" s="543"/>
      <c r="SHM61" s="543"/>
      <c r="SHN61" s="543"/>
      <c r="SHO61" s="543"/>
      <c r="SHP61" s="543"/>
      <c r="SHQ61" s="543"/>
      <c r="SHR61" s="543"/>
      <c r="SHS61" s="543"/>
      <c r="SHT61" s="543"/>
      <c r="SHU61" s="543"/>
      <c r="SHV61" s="543"/>
      <c r="SHW61" s="543"/>
      <c r="SHX61" s="543"/>
      <c r="SHY61" s="543"/>
      <c r="SHZ61" s="543"/>
      <c r="SIA61" s="543"/>
      <c r="SIB61" s="543"/>
      <c r="SIC61" s="543"/>
      <c r="SID61" s="543"/>
      <c r="SIE61" s="543"/>
      <c r="SIF61" s="543"/>
      <c r="SIG61" s="543"/>
      <c r="SIH61" s="543"/>
      <c r="SII61" s="543"/>
      <c r="SIJ61" s="543"/>
      <c r="SIK61" s="543"/>
      <c r="SIL61" s="543"/>
      <c r="SIM61" s="543"/>
      <c r="SIN61" s="543"/>
      <c r="SIO61" s="543"/>
      <c r="SIP61" s="543"/>
      <c r="SIQ61" s="543"/>
      <c r="SIR61" s="543"/>
      <c r="SIS61" s="543"/>
      <c r="SIT61" s="543"/>
      <c r="SIU61" s="543"/>
      <c r="SIV61" s="543"/>
      <c r="SIW61" s="543"/>
      <c r="SIX61" s="543"/>
      <c r="SIY61" s="543"/>
      <c r="SIZ61" s="543"/>
      <c r="SJA61" s="543"/>
      <c r="SJB61" s="543"/>
      <c r="SJC61" s="543"/>
      <c r="SJD61" s="543"/>
      <c r="SJE61" s="543"/>
      <c r="SJF61" s="543"/>
      <c r="SJG61" s="543"/>
      <c r="SJH61" s="543"/>
      <c r="SJI61" s="543"/>
      <c r="SJJ61" s="543"/>
      <c r="SJK61" s="543"/>
      <c r="SJL61" s="543"/>
      <c r="SJM61" s="543"/>
      <c r="SJN61" s="543"/>
      <c r="SJO61" s="543"/>
      <c r="SJP61" s="543"/>
      <c r="SJQ61" s="543"/>
      <c r="SJR61" s="543"/>
      <c r="SJS61" s="543"/>
      <c r="SJT61" s="543"/>
      <c r="SJU61" s="543"/>
      <c r="SJV61" s="543"/>
      <c r="SJW61" s="543"/>
      <c r="SJX61" s="543"/>
      <c r="SJY61" s="543"/>
      <c r="SJZ61" s="543"/>
      <c r="SKA61" s="543"/>
      <c r="SKB61" s="543"/>
      <c r="SKC61" s="543"/>
      <c r="SKD61" s="543"/>
      <c r="SKE61" s="543"/>
      <c r="SKF61" s="543"/>
      <c r="SKG61" s="543"/>
      <c r="SKH61" s="543"/>
      <c r="SKI61" s="543"/>
      <c r="SKJ61" s="543"/>
      <c r="SKK61" s="543"/>
      <c r="SKL61" s="543"/>
      <c r="SKM61" s="543"/>
      <c r="SKN61" s="543"/>
      <c r="SKO61" s="543"/>
      <c r="SKP61" s="543"/>
      <c r="SKQ61" s="543"/>
      <c r="SKR61" s="543"/>
      <c r="SKS61" s="543"/>
      <c r="SKT61" s="543"/>
      <c r="SKU61" s="543"/>
      <c r="SKV61" s="543"/>
      <c r="SKW61" s="543"/>
      <c r="SKX61" s="543"/>
      <c r="SKY61" s="543"/>
      <c r="SKZ61" s="543"/>
      <c r="SLA61" s="543"/>
      <c r="SLB61" s="543"/>
      <c r="SLC61" s="543"/>
      <c r="SLD61" s="543"/>
      <c r="SLE61" s="543"/>
      <c r="SLF61" s="543"/>
      <c r="SLG61" s="543"/>
      <c r="SLH61" s="543"/>
      <c r="SLI61" s="543"/>
      <c r="SLJ61" s="543"/>
      <c r="SLK61" s="543"/>
      <c r="SLL61" s="543"/>
      <c r="SLM61" s="543"/>
      <c r="SLN61" s="543"/>
      <c r="SLO61" s="543"/>
      <c r="SLP61" s="543"/>
      <c r="SLQ61" s="543"/>
      <c r="SLR61" s="543"/>
      <c r="SLS61" s="543"/>
      <c r="SLT61" s="543"/>
      <c r="SLU61" s="543"/>
      <c r="SLV61" s="543"/>
      <c r="SLW61" s="543"/>
      <c r="SLX61" s="543"/>
      <c r="SLY61" s="543"/>
      <c r="SLZ61" s="543"/>
      <c r="SMA61" s="543"/>
      <c r="SMB61" s="543"/>
      <c r="SMC61" s="543"/>
      <c r="SMD61" s="543"/>
      <c r="SME61" s="543"/>
      <c r="SMF61" s="543"/>
      <c r="SMG61" s="543"/>
      <c r="SMH61" s="543"/>
      <c r="SMI61" s="543"/>
      <c r="SMJ61" s="543"/>
      <c r="SMK61" s="543"/>
      <c r="SML61" s="543"/>
      <c r="SMM61" s="543"/>
      <c r="SMN61" s="543"/>
      <c r="SMO61" s="543"/>
      <c r="SMP61" s="543"/>
      <c r="SMQ61" s="543"/>
      <c r="SMR61" s="543"/>
      <c r="SMS61" s="543"/>
      <c r="SMT61" s="543"/>
      <c r="SMU61" s="543"/>
      <c r="SMV61" s="543"/>
      <c r="SMW61" s="543"/>
      <c r="SMX61" s="543"/>
      <c r="SMY61" s="543"/>
      <c r="SMZ61" s="543"/>
      <c r="SNA61" s="543"/>
      <c r="SNB61" s="543"/>
      <c r="SNC61" s="543"/>
      <c r="SND61" s="543"/>
      <c r="SNE61" s="543"/>
      <c r="SNF61" s="543"/>
      <c r="SNG61" s="543"/>
      <c r="SNH61" s="543"/>
      <c r="SNI61" s="543"/>
      <c r="SNJ61" s="543"/>
      <c r="SNK61" s="543"/>
      <c r="SNL61" s="543"/>
      <c r="SNM61" s="543"/>
      <c r="SNN61" s="543"/>
      <c r="SNO61" s="543"/>
      <c r="SNP61" s="543"/>
      <c r="SNQ61" s="543"/>
      <c r="SNR61" s="543"/>
      <c r="SNS61" s="543"/>
      <c r="SNT61" s="543"/>
      <c r="SNU61" s="543"/>
      <c r="SNV61" s="543"/>
      <c r="SNW61" s="543"/>
      <c r="SNX61" s="543"/>
      <c r="SNY61" s="543"/>
      <c r="SNZ61" s="543"/>
      <c r="SOA61" s="543"/>
      <c r="SOB61" s="543"/>
      <c r="SOC61" s="543"/>
      <c r="SOD61" s="543"/>
      <c r="SOE61" s="543"/>
      <c r="SOF61" s="543"/>
      <c r="SOG61" s="543"/>
      <c r="SOH61" s="543"/>
      <c r="SOI61" s="543"/>
      <c r="SOJ61" s="543"/>
      <c r="SOK61" s="543"/>
      <c r="SOL61" s="543"/>
      <c r="SOM61" s="543"/>
      <c r="SON61" s="543"/>
      <c r="SOO61" s="543"/>
      <c r="SOP61" s="543"/>
      <c r="SOQ61" s="543"/>
      <c r="SOR61" s="543"/>
      <c r="SOS61" s="543"/>
      <c r="SOT61" s="543"/>
      <c r="SOU61" s="543"/>
      <c r="SOV61" s="543"/>
      <c r="SOW61" s="543"/>
      <c r="SOX61" s="543"/>
      <c r="SOY61" s="543"/>
      <c r="SOZ61" s="543"/>
      <c r="SPA61" s="543"/>
      <c r="SPB61" s="543"/>
      <c r="SPC61" s="543"/>
      <c r="SPD61" s="543"/>
      <c r="SPE61" s="543"/>
      <c r="SPF61" s="543"/>
      <c r="SPG61" s="543"/>
      <c r="SPH61" s="543"/>
      <c r="SPI61" s="543"/>
      <c r="SPJ61" s="543"/>
      <c r="SPK61" s="543"/>
      <c r="SPL61" s="543"/>
      <c r="SPM61" s="543"/>
      <c r="SPN61" s="543"/>
      <c r="SPO61" s="543"/>
      <c r="SPP61" s="543"/>
      <c r="SPQ61" s="543"/>
      <c r="SPR61" s="543"/>
      <c r="SPS61" s="543"/>
      <c r="SPT61" s="543"/>
      <c r="SPU61" s="543"/>
      <c r="SPV61" s="543"/>
      <c r="SPW61" s="543"/>
      <c r="SPX61" s="543"/>
      <c r="SPY61" s="543"/>
      <c r="SPZ61" s="543"/>
      <c r="SQA61" s="543"/>
      <c r="SQB61" s="543"/>
      <c r="SQC61" s="543"/>
      <c r="SQD61" s="543"/>
      <c r="SQE61" s="543"/>
      <c r="SQF61" s="543"/>
      <c r="SQG61" s="543"/>
      <c r="SQH61" s="543"/>
      <c r="SQI61" s="543"/>
      <c r="SQJ61" s="543"/>
      <c r="SQK61" s="543"/>
      <c r="SQL61" s="543"/>
      <c r="SQM61" s="543"/>
      <c r="SQN61" s="543"/>
      <c r="SQO61" s="543"/>
      <c r="SQP61" s="543"/>
      <c r="SQQ61" s="543"/>
      <c r="SQR61" s="543"/>
      <c r="SQS61" s="543"/>
      <c r="SQT61" s="543"/>
      <c r="SQU61" s="543"/>
      <c r="SQV61" s="543"/>
      <c r="SQW61" s="543"/>
      <c r="SQX61" s="543"/>
      <c r="SQY61" s="543"/>
      <c r="SQZ61" s="543"/>
      <c r="SRA61" s="543"/>
      <c r="SRB61" s="543"/>
      <c r="SRC61" s="543"/>
      <c r="SRD61" s="543"/>
      <c r="SRE61" s="543"/>
      <c r="SRF61" s="543"/>
      <c r="SRG61" s="543"/>
      <c r="SRH61" s="543"/>
      <c r="SRI61" s="543"/>
      <c r="SRJ61" s="543"/>
      <c r="SRK61" s="543"/>
      <c r="SRL61" s="543"/>
      <c r="SRM61" s="543"/>
      <c r="SRN61" s="543"/>
      <c r="SRO61" s="543"/>
      <c r="SRP61" s="543"/>
      <c r="SRQ61" s="543"/>
      <c r="SRR61" s="543"/>
      <c r="SRS61" s="543"/>
      <c r="SRT61" s="543"/>
      <c r="SRU61" s="543"/>
      <c r="SRV61" s="543"/>
      <c r="SRW61" s="543"/>
      <c r="SRX61" s="543"/>
      <c r="SRY61" s="543"/>
      <c r="SRZ61" s="543"/>
      <c r="SSA61" s="543"/>
      <c r="SSB61" s="543"/>
      <c r="SSC61" s="543"/>
      <c r="SSD61" s="543"/>
      <c r="SSE61" s="543"/>
      <c r="SSF61" s="543"/>
      <c r="SSG61" s="543"/>
      <c r="SSH61" s="543"/>
      <c r="SSI61" s="543"/>
      <c r="SSJ61" s="543"/>
      <c r="SSK61" s="543"/>
      <c r="SSL61" s="543"/>
      <c r="SSM61" s="543"/>
      <c r="SSN61" s="543"/>
      <c r="SSO61" s="543"/>
      <c r="SSP61" s="543"/>
      <c r="SSQ61" s="543"/>
      <c r="SSR61" s="543"/>
      <c r="SSS61" s="543"/>
      <c r="SST61" s="543"/>
      <c r="SSU61" s="543"/>
      <c r="SSV61" s="543"/>
      <c r="SSW61" s="543"/>
      <c r="SSX61" s="543"/>
      <c r="SSY61" s="543"/>
      <c r="SSZ61" s="543"/>
      <c r="STA61" s="543"/>
      <c r="STB61" s="543"/>
      <c r="STC61" s="543"/>
      <c r="STD61" s="543"/>
      <c r="STE61" s="543"/>
      <c r="STF61" s="543"/>
      <c r="STG61" s="543"/>
      <c r="STH61" s="543"/>
      <c r="STI61" s="543"/>
      <c r="STJ61" s="543"/>
      <c r="STK61" s="543"/>
      <c r="STL61" s="543"/>
      <c r="STM61" s="543"/>
      <c r="STN61" s="543"/>
      <c r="STO61" s="543"/>
      <c r="STP61" s="543"/>
      <c r="STQ61" s="543"/>
      <c r="STR61" s="543"/>
      <c r="STS61" s="543"/>
      <c r="STT61" s="543"/>
      <c r="STU61" s="543"/>
      <c r="STV61" s="543"/>
      <c r="STW61" s="543"/>
      <c r="STX61" s="543"/>
      <c r="STY61" s="543"/>
      <c r="STZ61" s="543"/>
      <c r="SUA61" s="543"/>
      <c r="SUB61" s="543"/>
      <c r="SUC61" s="543"/>
      <c r="SUD61" s="543"/>
      <c r="SUE61" s="543"/>
      <c r="SUF61" s="543"/>
      <c r="SUG61" s="543"/>
      <c r="SUH61" s="543"/>
      <c r="SUI61" s="543"/>
      <c r="SUJ61" s="543"/>
      <c r="SUK61" s="543"/>
      <c r="SUL61" s="543"/>
      <c r="SUM61" s="543"/>
      <c r="SUN61" s="543"/>
      <c r="SUO61" s="543"/>
      <c r="SUP61" s="543"/>
      <c r="SUQ61" s="543"/>
      <c r="SUR61" s="543"/>
      <c r="SUS61" s="543"/>
      <c r="SUT61" s="543"/>
      <c r="SUU61" s="543"/>
      <c r="SUV61" s="543"/>
      <c r="SUW61" s="543"/>
      <c r="SUX61" s="543"/>
      <c r="SUY61" s="543"/>
      <c r="SUZ61" s="543"/>
      <c r="SVA61" s="543"/>
      <c r="SVB61" s="543"/>
      <c r="SVC61" s="543"/>
      <c r="SVD61" s="543"/>
      <c r="SVE61" s="543"/>
      <c r="SVF61" s="543"/>
      <c r="SVG61" s="543"/>
      <c r="SVH61" s="543"/>
      <c r="SVI61" s="543"/>
      <c r="SVJ61" s="543"/>
      <c r="SVK61" s="543"/>
      <c r="SVL61" s="543"/>
      <c r="SVM61" s="543"/>
      <c r="SVN61" s="543"/>
      <c r="SVO61" s="543"/>
      <c r="SVP61" s="543"/>
      <c r="SVQ61" s="543"/>
      <c r="SVR61" s="543"/>
      <c r="SVS61" s="543"/>
      <c r="SVT61" s="543"/>
      <c r="SVU61" s="543"/>
      <c r="SVV61" s="543"/>
      <c r="SVW61" s="543"/>
      <c r="SVX61" s="543"/>
      <c r="SVY61" s="543"/>
      <c r="SVZ61" s="543"/>
      <c r="SWA61" s="543"/>
      <c r="SWB61" s="543"/>
      <c r="SWC61" s="543"/>
      <c r="SWD61" s="543"/>
      <c r="SWE61" s="543"/>
      <c r="SWF61" s="543"/>
      <c r="SWG61" s="543"/>
      <c r="SWH61" s="543"/>
      <c r="SWI61" s="543"/>
      <c r="SWJ61" s="543"/>
      <c r="SWK61" s="543"/>
      <c r="SWL61" s="543"/>
      <c r="SWM61" s="543"/>
      <c r="SWN61" s="543"/>
      <c r="SWO61" s="543"/>
      <c r="SWP61" s="543"/>
      <c r="SWQ61" s="543"/>
      <c r="SWR61" s="543"/>
      <c r="SWS61" s="543"/>
      <c r="SWT61" s="543"/>
      <c r="SWU61" s="543"/>
      <c r="SWV61" s="543"/>
      <c r="SWW61" s="543"/>
      <c r="SWX61" s="543"/>
      <c r="SWY61" s="543"/>
      <c r="SWZ61" s="543"/>
      <c r="SXA61" s="543"/>
      <c r="SXB61" s="543"/>
      <c r="SXC61" s="543"/>
      <c r="SXD61" s="543"/>
      <c r="SXE61" s="543"/>
      <c r="SXF61" s="543"/>
      <c r="SXG61" s="543"/>
      <c r="SXH61" s="543"/>
      <c r="SXI61" s="543"/>
      <c r="SXJ61" s="543"/>
      <c r="SXK61" s="543"/>
      <c r="SXL61" s="543"/>
      <c r="SXM61" s="543"/>
      <c r="SXN61" s="543"/>
      <c r="SXO61" s="543"/>
      <c r="SXP61" s="543"/>
      <c r="SXQ61" s="543"/>
      <c r="SXR61" s="543"/>
      <c r="SXS61" s="543"/>
      <c r="SXT61" s="543"/>
      <c r="SXU61" s="543"/>
      <c r="SXV61" s="543"/>
      <c r="SXW61" s="543"/>
      <c r="SXX61" s="543"/>
      <c r="SXY61" s="543"/>
      <c r="SXZ61" s="543"/>
      <c r="SYA61" s="543"/>
      <c r="SYB61" s="543"/>
      <c r="SYC61" s="543"/>
      <c r="SYD61" s="543"/>
      <c r="SYE61" s="543"/>
      <c r="SYF61" s="543"/>
      <c r="SYG61" s="543"/>
      <c r="SYH61" s="543"/>
      <c r="SYI61" s="543"/>
      <c r="SYJ61" s="543"/>
      <c r="SYK61" s="543"/>
      <c r="SYL61" s="543"/>
      <c r="SYM61" s="543"/>
      <c r="SYN61" s="543"/>
      <c r="SYO61" s="543"/>
      <c r="SYP61" s="543"/>
      <c r="SYQ61" s="543"/>
      <c r="SYR61" s="543"/>
      <c r="SYS61" s="543"/>
      <c r="SYT61" s="543"/>
      <c r="SYU61" s="543"/>
      <c r="SYV61" s="543"/>
      <c r="SYW61" s="543"/>
      <c r="SYX61" s="543"/>
      <c r="SYY61" s="543"/>
      <c r="SYZ61" s="543"/>
      <c r="SZA61" s="543"/>
      <c r="SZB61" s="543"/>
      <c r="SZC61" s="543"/>
      <c r="SZD61" s="543"/>
      <c r="SZE61" s="543"/>
      <c r="SZF61" s="543"/>
      <c r="SZG61" s="543"/>
      <c r="SZH61" s="543"/>
      <c r="SZI61" s="543"/>
      <c r="SZJ61" s="543"/>
      <c r="SZK61" s="543"/>
      <c r="SZL61" s="543"/>
      <c r="SZM61" s="543"/>
      <c r="SZN61" s="543"/>
      <c r="SZO61" s="543"/>
      <c r="SZP61" s="543"/>
      <c r="SZQ61" s="543"/>
      <c r="SZR61" s="543"/>
      <c r="SZS61" s="543"/>
      <c r="SZT61" s="543"/>
      <c r="SZU61" s="543"/>
      <c r="SZV61" s="543"/>
      <c r="SZW61" s="543"/>
      <c r="SZX61" s="543"/>
      <c r="SZY61" s="543"/>
      <c r="SZZ61" s="543"/>
      <c r="TAA61" s="543"/>
      <c r="TAB61" s="543"/>
      <c r="TAC61" s="543"/>
      <c r="TAD61" s="543"/>
      <c r="TAE61" s="543"/>
      <c r="TAF61" s="543"/>
      <c r="TAG61" s="543"/>
      <c r="TAH61" s="543"/>
      <c r="TAI61" s="543"/>
      <c r="TAJ61" s="543"/>
      <c r="TAK61" s="543"/>
      <c r="TAL61" s="543"/>
      <c r="TAM61" s="543"/>
      <c r="TAN61" s="543"/>
      <c r="TAO61" s="543"/>
      <c r="TAP61" s="543"/>
      <c r="TAQ61" s="543"/>
      <c r="TAR61" s="543"/>
      <c r="TAS61" s="543"/>
      <c r="TAT61" s="543"/>
      <c r="TAU61" s="543"/>
      <c r="TAV61" s="543"/>
      <c r="TAW61" s="543"/>
      <c r="TAX61" s="543"/>
      <c r="TAY61" s="543"/>
      <c r="TAZ61" s="543"/>
      <c r="TBA61" s="543"/>
      <c r="TBB61" s="543"/>
      <c r="TBC61" s="543"/>
      <c r="TBD61" s="543"/>
      <c r="TBE61" s="543"/>
      <c r="TBF61" s="543"/>
      <c r="TBG61" s="543"/>
      <c r="TBH61" s="543"/>
      <c r="TBI61" s="543"/>
      <c r="TBJ61" s="543"/>
      <c r="TBK61" s="543"/>
      <c r="TBL61" s="543"/>
      <c r="TBM61" s="543"/>
      <c r="TBN61" s="543"/>
      <c r="TBO61" s="543"/>
      <c r="TBP61" s="543"/>
      <c r="TBQ61" s="543"/>
      <c r="TBR61" s="543"/>
      <c r="TBS61" s="543"/>
      <c r="TBT61" s="543"/>
      <c r="TBU61" s="543"/>
      <c r="TBV61" s="543"/>
      <c r="TBW61" s="543"/>
      <c r="TBX61" s="543"/>
      <c r="TBY61" s="543"/>
      <c r="TBZ61" s="543"/>
      <c r="TCA61" s="543"/>
      <c r="TCB61" s="543"/>
      <c r="TCC61" s="543"/>
      <c r="TCD61" s="543"/>
      <c r="TCE61" s="543"/>
      <c r="TCF61" s="543"/>
      <c r="TCG61" s="543"/>
      <c r="TCH61" s="543"/>
      <c r="TCI61" s="543"/>
      <c r="TCJ61" s="543"/>
      <c r="TCK61" s="543"/>
      <c r="TCL61" s="543"/>
      <c r="TCM61" s="543"/>
      <c r="TCN61" s="543"/>
      <c r="TCO61" s="543"/>
      <c r="TCP61" s="543"/>
      <c r="TCQ61" s="543"/>
      <c r="TCR61" s="543"/>
      <c r="TCS61" s="543"/>
      <c r="TCT61" s="543"/>
      <c r="TCU61" s="543"/>
      <c r="TCV61" s="543"/>
      <c r="TCW61" s="543"/>
      <c r="TCX61" s="543"/>
      <c r="TCY61" s="543"/>
      <c r="TCZ61" s="543"/>
      <c r="TDA61" s="543"/>
      <c r="TDB61" s="543"/>
      <c r="TDC61" s="543"/>
      <c r="TDD61" s="543"/>
      <c r="TDE61" s="543"/>
      <c r="TDF61" s="543"/>
      <c r="TDG61" s="543"/>
      <c r="TDH61" s="543"/>
      <c r="TDI61" s="543"/>
      <c r="TDJ61" s="543"/>
      <c r="TDK61" s="543"/>
      <c r="TDL61" s="543"/>
      <c r="TDM61" s="543"/>
      <c r="TDN61" s="543"/>
      <c r="TDO61" s="543"/>
      <c r="TDP61" s="543"/>
      <c r="TDQ61" s="543"/>
      <c r="TDR61" s="543"/>
      <c r="TDS61" s="543"/>
      <c r="TDT61" s="543"/>
      <c r="TDU61" s="543"/>
      <c r="TDV61" s="543"/>
      <c r="TDW61" s="543"/>
      <c r="TDX61" s="543"/>
      <c r="TDY61" s="543"/>
      <c r="TDZ61" s="543"/>
      <c r="TEA61" s="543"/>
      <c r="TEB61" s="543"/>
      <c r="TEC61" s="543"/>
      <c r="TED61" s="543"/>
      <c r="TEE61" s="543"/>
      <c r="TEF61" s="543"/>
      <c r="TEG61" s="543"/>
      <c r="TEH61" s="543"/>
      <c r="TEI61" s="543"/>
      <c r="TEJ61" s="543"/>
      <c r="TEK61" s="543"/>
      <c r="TEL61" s="543"/>
      <c r="TEM61" s="543"/>
      <c r="TEN61" s="543"/>
      <c r="TEO61" s="543"/>
      <c r="TEP61" s="543"/>
      <c r="TEQ61" s="543"/>
      <c r="TER61" s="543"/>
      <c r="TES61" s="543"/>
      <c r="TET61" s="543"/>
      <c r="TEU61" s="543"/>
      <c r="TEV61" s="543"/>
      <c r="TEW61" s="543"/>
      <c r="TEX61" s="543"/>
      <c r="TEY61" s="543"/>
      <c r="TEZ61" s="543"/>
      <c r="TFA61" s="543"/>
      <c r="TFB61" s="543"/>
      <c r="TFC61" s="543"/>
      <c r="TFD61" s="543"/>
      <c r="TFE61" s="543"/>
      <c r="TFF61" s="543"/>
      <c r="TFG61" s="543"/>
      <c r="TFH61" s="543"/>
      <c r="TFI61" s="543"/>
      <c r="TFJ61" s="543"/>
      <c r="TFK61" s="543"/>
      <c r="TFL61" s="543"/>
      <c r="TFM61" s="543"/>
      <c r="TFN61" s="543"/>
      <c r="TFO61" s="543"/>
      <c r="TFP61" s="543"/>
      <c r="TFQ61" s="543"/>
      <c r="TFR61" s="543"/>
      <c r="TFS61" s="543"/>
      <c r="TFT61" s="543"/>
      <c r="TFU61" s="543"/>
      <c r="TFV61" s="543"/>
      <c r="TFW61" s="543"/>
      <c r="TFX61" s="543"/>
      <c r="TFY61" s="543"/>
      <c r="TFZ61" s="543"/>
      <c r="TGA61" s="543"/>
      <c r="TGB61" s="543"/>
      <c r="TGC61" s="543"/>
      <c r="TGD61" s="543"/>
      <c r="TGE61" s="543"/>
      <c r="TGF61" s="543"/>
      <c r="TGG61" s="543"/>
      <c r="TGH61" s="543"/>
      <c r="TGI61" s="543"/>
      <c r="TGJ61" s="543"/>
      <c r="TGK61" s="543"/>
      <c r="TGL61" s="543"/>
      <c r="TGM61" s="543"/>
      <c r="TGN61" s="543"/>
      <c r="TGO61" s="543"/>
      <c r="TGP61" s="543"/>
      <c r="TGQ61" s="543"/>
      <c r="TGR61" s="543"/>
      <c r="TGS61" s="543"/>
      <c r="TGT61" s="543"/>
      <c r="TGU61" s="543"/>
      <c r="TGV61" s="543"/>
      <c r="TGW61" s="543"/>
      <c r="TGX61" s="543"/>
      <c r="TGY61" s="543"/>
      <c r="TGZ61" s="543"/>
      <c r="THA61" s="543"/>
      <c r="THB61" s="543"/>
      <c r="THC61" s="543"/>
      <c r="THD61" s="543"/>
      <c r="THE61" s="543"/>
      <c r="THF61" s="543"/>
      <c r="THG61" s="543"/>
      <c r="THH61" s="543"/>
      <c r="THI61" s="543"/>
      <c r="THJ61" s="543"/>
      <c r="THK61" s="543"/>
      <c r="THL61" s="543"/>
      <c r="THM61" s="543"/>
      <c r="THN61" s="543"/>
      <c r="THO61" s="543"/>
      <c r="THP61" s="543"/>
      <c r="THQ61" s="543"/>
      <c r="THR61" s="543"/>
      <c r="THS61" s="543"/>
      <c r="THT61" s="543"/>
      <c r="THU61" s="543"/>
      <c r="THV61" s="543"/>
      <c r="THW61" s="543"/>
      <c r="THX61" s="543"/>
      <c r="THY61" s="543"/>
      <c r="THZ61" s="543"/>
      <c r="TIA61" s="543"/>
      <c r="TIB61" s="543"/>
      <c r="TIC61" s="543"/>
      <c r="TID61" s="543"/>
      <c r="TIE61" s="543"/>
      <c r="TIF61" s="543"/>
      <c r="TIG61" s="543"/>
      <c r="TIH61" s="543"/>
      <c r="TII61" s="543"/>
      <c r="TIJ61" s="543"/>
      <c r="TIK61" s="543"/>
      <c r="TIL61" s="543"/>
      <c r="TIM61" s="543"/>
      <c r="TIN61" s="543"/>
      <c r="TIO61" s="543"/>
      <c r="TIP61" s="543"/>
      <c r="TIQ61" s="543"/>
      <c r="TIR61" s="543"/>
      <c r="TIS61" s="543"/>
      <c r="TIT61" s="543"/>
      <c r="TIU61" s="543"/>
      <c r="TIV61" s="543"/>
      <c r="TIW61" s="543"/>
      <c r="TIX61" s="543"/>
      <c r="TIY61" s="543"/>
      <c r="TIZ61" s="543"/>
      <c r="TJA61" s="543"/>
      <c r="TJB61" s="543"/>
      <c r="TJC61" s="543"/>
      <c r="TJD61" s="543"/>
      <c r="TJE61" s="543"/>
      <c r="TJF61" s="543"/>
      <c r="TJG61" s="543"/>
      <c r="TJH61" s="543"/>
      <c r="TJI61" s="543"/>
      <c r="TJJ61" s="543"/>
      <c r="TJK61" s="543"/>
      <c r="TJL61" s="543"/>
      <c r="TJM61" s="543"/>
      <c r="TJN61" s="543"/>
      <c r="TJO61" s="543"/>
      <c r="TJP61" s="543"/>
      <c r="TJQ61" s="543"/>
      <c r="TJR61" s="543"/>
      <c r="TJS61" s="543"/>
      <c r="TJT61" s="543"/>
      <c r="TJU61" s="543"/>
      <c r="TJV61" s="543"/>
      <c r="TJW61" s="543"/>
      <c r="TJX61" s="543"/>
      <c r="TJY61" s="543"/>
      <c r="TJZ61" s="543"/>
      <c r="TKA61" s="543"/>
      <c r="TKB61" s="543"/>
      <c r="TKC61" s="543"/>
      <c r="TKD61" s="543"/>
      <c r="TKE61" s="543"/>
      <c r="TKF61" s="543"/>
      <c r="TKG61" s="543"/>
      <c r="TKH61" s="543"/>
      <c r="TKI61" s="543"/>
      <c r="TKJ61" s="543"/>
      <c r="TKK61" s="543"/>
      <c r="TKL61" s="543"/>
      <c r="TKM61" s="543"/>
      <c r="TKN61" s="543"/>
      <c r="TKO61" s="543"/>
      <c r="TKP61" s="543"/>
      <c r="TKQ61" s="543"/>
      <c r="TKR61" s="543"/>
      <c r="TKS61" s="543"/>
      <c r="TKT61" s="543"/>
      <c r="TKU61" s="543"/>
      <c r="TKV61" s="543"/>
      <c r="TKW61" s="543"/>
      <c r="TKX61" s="543"/>
      <c r="TKY61" s="543"/>
      <c r="TKZ61" s="543"/>
      <c r="TLA61" s="543"/>
      <c r="TLB61" s="543"/>
      <c r="TLC61" s="543"/>
      <c r="TLD61" s="543"/>
      <c r="TLE61" s="543"/>
      <c r="TLF61" s="543"/>
      <c r="TLG61" s="543"/>
      <c r="TLH61" s="543"/>
      <c r="TLI61" s="543"/>
      <c r="TLJ61" s="543"/>
      <c r="TLK61" s="543"/>
      <c r="TLL61" s="543"/>
      <c r="TLM61" s="543"/>
      <c r="TLN61" s="543"/>
      <c r="TLO61" s="543"/>
      <c r="TLP61" s="543"/>
      <c r="TLQ61" s="543"/>
      <c r="TLR61" s="543"/>
      <c r="TLS61" s="543"/>
      <c r="TLT61" s="543"/>
      <c r="TLU61" s="543"/>
      <c r="TLV61" s="543"/>
      <c r="TLW61" s="543"/>
      <c r="TLX61" s="543"/>
      <c r="TLY61" s="543"/>
      <c r="TLZ61" s="543"/>
      <c r="TMA61" s="543"/>
      <c r="TMB61" s="543"/>
      <c r="TMC61" s="543"/>
      <c r="TMD61" s="543"/>
      <c r="TME61" s="543"/>
      <c r="TMF61" s="543"/>
      <c r="TMG61" s="543"/>
      <c r="TMH61" s="543"/>
      <c r="TMI61" s="543"/>
      <c r="TMJ61" s="543"/>
      <c r="TMK61" s="543"/>
      <c r="TML61" s="543"/>
      <c r="TMM61" s="543"/>
      <c r="TMN61" s="543"/>
      <c r="TMO61" s="543"/>
      <c r="TMP61" s="543"/>
      <c r="TMQ61" s="543"/>
      <c r="TMR61" s="543"/>
      <c r="TMS61" s="543"/>
      <c r="TMT61" s="543"/>
      <c r="TMU61" s="543"/>
      <c r="TMV61" s="543"/>
      <c r="TMW61" s="543"/>
      <c r="TMX61" s="543"/>
      <c r="TMY61" s="543"/>
      <c r="TMZ61" s="543"/>
      <c r="TNA61" s="543"/>
      <c r="TNB61" s="543"/>
      <c r="TNC61" s="543"/>
      <c r="TND61" s="543"/>
      <c r="TNE61" s="543"/>
      <c r="TNF61" s="543"/>
      <c r="TNG61" s="543"/>
      <c r="TNH61" s="543"/>
      <c r="TNI61" s="543"/>
      <c r="TNJ61" s="543"/>
      <c r="TNK61" s="543"/>
      <c r="TNL61" s="543"/>
      <c r="TNM61" s="543"/>
      <c r="TNN61" s="543"/>
      <c r="TNO61" s="543"/>
      <c r="TNP61" s="543"/>
      <c r="TNQ61" s="543"/>
      <c r="TNR61" s="543"/>
      <c r="TNS61" s="543"/>
      <c r="TNT61" s="543"/>
      <c r="TNU61" s="543"/>
      <c r="TNV61" s="543"/>
      <c r="TNW61" s="543"/>
      <c r="TNX61" s="543"/>
      <c r="TNY61" s="543"/>
      <c r="TNZ61" s="543"/>
      <c r="TOA61" s="543"/>
      <c r="TOB61" s="543"/>
      <c r="TOC61" s="543"/>
      <c r="TOD61" s="543"/>
      <c r="TOE61" s="543"/>
      <c r="TOF61" s="543"/>
      <c r="TOG61" s="543"/>
      <c r="TOH61" s="543"/>
      <c r="TOI61" s="543"/>
      <c r="TOJ61" s="543"/>
      <c r="TOK61" s="543"/>
      <c r="TOL61" s="543"/>
      <c r="TOM61" s="543"/>
      <c r="TON61" s="543"/>
      <c r="TOO61" s="543"/>
      <c r="TOP61" s="543"/>
      <c r="TOQ61" s="543"/>
      <c r="TOR61" s="543"/>
      <c r="TOS61" s="543"/>
      <c r="TOT61" s="543"/>
      <c r="TOU61" s="543"/>
      <c r="TOV61" s="543"/>
      <c r="TOW61" s="543"/>
      <c r="TOX61" s="543"/>
      <c r="TOY61" s="543"/>
      <c r="TOZ61" s="543"/>
      <c r="TPA61" s="543"/>
      <c r="TPB61" s="543"/>
      <c r="TPC61" s="543"/>
      <c r="TPD61" s="543"/>
      <c r="TPE61" s="543"/>
      <c r="TPF61" s="543"/>
      <c r="TPG61" s="543"/>
      <c r="TPH61" s="543"/>
      <c r="TPI61" s="543"/>
      <c r="TPJ61" s="543"/>
      <c r="TPK61" s="543"/>
      <c r="TPL61" s="543"/>
      <c r="TPM61" s="543"/>
      <c r="TPN61" s="543"/>
      <c r="TPO61" s="543"/>
      <c r="TPP61" s="543"/>
      <c r="TPQ61" s="543"/>
      <c r="TPR61" s="543"/>
      <c r="TPS61" s="543"/>
      <c r="TPT61" s="543"/>
      <c r="TPU61" s="543"/>
      <c r="TPV61" s="543"/>
      <c r="TPW61" s="543"/>
      <c r="TPX61" s="543"/>
      <c r="TPY61" s="543"/>
      <c r="TPZ61" s="543"/>
      <c r="TQA61" s="543"/>
      <c r="TQB61" s="543"/>
      <c r="TQC61" s="543"/>
      <c r="TQD61" s="543"/>
      <c r="TQE61" s="543"/>
      <c r="TQF61" s="543"/>
      <c r="TQG61" s="543"/>
      <c r="TQH61" s="543"/>
      <c r="TQI61" s="543"/>
      <c r="TQJ61" s="543"/>
      <c r="TQK61" s="543"/>
      <c r="TQL61" s="543"/>
      <c r="TQM61" s="543"/>
      <c r="TQN61" s="543"/>
      <c r="TQO61" s="543"/>
      <c r="TQP61" s="543"/>
      <c r="TQQ61" s="543"/>
      <c r="TQR61" s="543"/>
      <c r="TQS61" s="543"/>
      <c r="TQT61" s="543"/>
      <c r="TQU61" s="543"/>
      <c r="TQV61" s="543"/>
      <c r="TQW61" s="543"/>
      <c r="TQX61" s="543"/>
      <c r="TQY61" s="543"/>
      <c r="TQZ61" s="543"/>
      <c r="TRA61" s="543"/>
      <c r="TRB61" s="543"/>
      <c r="TRC61" s="543"/>
      <c r="TRD61" s="543"/>
      <c r="TRE61" s="543"/>
      <c r="TRF61" s="543"/>
      <c r="TRG61" s="543"/>
      <c r="TRH61" s="543"/>
      <c r="TRI61" s="543"/>
      <c r="TRJ61" s="543"/>
      <c r="TRK61" s="543"/>
      <c r="TRL61" s="543"/>
      <c r="TRM61" s="543"/>
      <c r="TRN61" s="543"/>
      <c r="TRO61" s="543"/>
      <c r="TRP61" s="543"/>
      <c r="TRQ61" s="543"/>
      <c r="TRR61" s="543"/>
      <c r="TRS61" s="543"/>
      <c r="TRT61" s="543"/>
      <c r="TRU61" s="543"/>
      <c r="TRV61" s="543"/>
      <c r="TRW61" s="543"/>
      <c r="TRX61" s="543"/>
      <c r="TRY61" s="543"/>
      <c r="TRZ61" s="543"/>
      <c r="TSA61" s="543"/>
      <c r="TSB61" s="543"/>
      <c r="TSC61" s="543"/>
      <c r="TSD61" s="543"/>
      <c r="TSE61" s="543"/>
      <c r="TSF61" s="543"/>
      <c r="TSG61" s="543"/>
      <c r="TSH61" s="543"/>
      <c r="TSI61" s="543"/>
      <c r="TSJ61" s="543"/>
      <c r="TSK61" s="543"/>
      <c r="TSL61" s="543"/>
      <c r="TSM61" s="543"/>
      <c r="TSN61" s="543"/>
      <c r="TSO61" s="543"/>
      <c r="TSP61" s="543"/>
      <c r="TSQ61" s="543"/>
      <c r="TSR61" s="543"/>
      <c r="TSS61" s="543"/>
      <c r="TST61" s="543"/>
      <c r="TSU61" s="543"/>
      <c r="TSV61" s="543"/>
      <c r="TSW61" s="543"/>
      <c r="TSX61" s="543"/>
      <c r="TSY61" s="543"/>
      <c r="TSZ61" s="543"/>
      <c r="TTA61" s="543"/>
      <c r="TTB61" s="543"/>
      <c r="TTC61" s="543"/>
      <c r="TTD61" s="543"/>
      <c r="TTE61" s="543"/>
      <c r="TTF61" s="543"/>
      <c r="TTG61" s="543"/>
      <c r="TTH61" s="543"/>
      <c r="TTI61" s="543"/>
      <c r="TTJ61" s="543"/>
      <c r="TTK61" s="543"/>
      <c r="TTL61" s="543"/>
      <c r="TTM61" s="543"/>
      <c r="TTN61" s="543"/>
      <c r="TTO61" s="543"/>
      <c r="TTP61" s="543"/>
      <c r="TTQ61" s="543"/>
      <c r="TTR61" s="543"/>
      <c r="TTS61" s="543"/>
      <c r="TTT61" s="543"/>
      <c r="TTU61" s="543"/>
      <c r="TTV61" s="543"/>
      <c r="TTW61" s="543"/>
      <c r="TTX61" s="543"/>
      <c r="TTY61" s="543"/>
      <c r="TTZ61" s="543"/>
      <c r="TUA61" s="543"/>
      <c r="TUB61" s="543"/>
      <c r="TUC61" s="543"/>
      <c r="TUD61" s="543"/>
      <c r="TUE61" s="543"/>
      <c r="TUF61" s="543"/>
      <c r="TUG61" s="543"/>
      <c r="TUH61" s="543"/>
      <c r="TUI61" s="543"/>
      <c r="TUJ61" s="543"/>
      <c r="TUK61" s="543"/>
      <c r="TUL61" s="543"/>
      <c r="TUM61" s="543"/>
      <c r="TUN61" s="543"/>
      <c r="TUO61" s="543"/>
      <c r="TUP61" s="543"/>
      <c r="TUQ61" s="543"/>
      <c r="TUR61" s="543"/>
      <c r="TUS61" s="543"/>
      <c r="TUT61" s="543"/>
      <c r="TUU61" s="543"/>
      <c r="TUV61" s="543"/>
      <c r="TUW61" s="543"/>
      <c r="TUX61" s="543"/>
      <c r="TUY61" s="543"/>
      <c r="TUZ61" s="543"/>
      <c r="TVA61" s="543"/>
      <c r="TVB61" s="543"/>
      <c r="TVC61" s="543"/>
      <c r="TVD61" s="543"/>
      <c r="TVE61" s="543"/>
      <c r="TVF61" s="543"/>
      <c r="TVG61" s="543"/>
      <c r="TVH61" s="543"/>
      <c r="TVI61" s="543"/>
      <c r="TVJ61" s="543"/>
      <c r="TVK61" s="543"/>
      <c r="TVL61" s="543"/>
      <c r="TVM61" s="543"/>
      <c r="TVN61" s="543"/>
      <c r="TVO61" s="543"/>
      <c r="TVP61" s="543"/>
      <c r="TVQ61" s="543"/>
      <c r="TVR61" s="543"/>
      <c r="TVS61" s="543"/>
      <c r="TVT61" s="543"/>
      <c r="TVU61" s="543"/>
      <c r="TVV61" s="543"/>
      <c r="TVW61" s="543"/>
      <c r="TVX61" s="543"/>
      <c r="TVY61" s="543"/>
      <c r="TVZ61" s="543"/>
      <c r="TWA61" s="543"/>
      <c r="TWB61" s="543"/>
      <c r="TWC61" s="543"/>
      <c r="TWD61" s="543"/>
      <c r="TWE61" s="543"/>
      <c r="TWF61" s="543"/>
      <c r="TWG61" s="543"/>
      <c r="TWH61" s="543"/>
      <c r="TWI61" s="543"/>
      <c r="TWJ61" s="543"/>
      <c r="TWK61" s="543"/>
      <c r="TWL61" s="543"/>
      <c r="TWM61" s="543"/>
      <c r="TWN61" s="543"/>
      <c r="TWO61" s="543"/>
      <c r="TWP61" s="543"/>
      <c r="TWQ61" s="543"/>
      <c r="TWR61" s="543"/>
      <c r="TWS61" s="543"/>
      <c r="TWT61" s="543"/>
      <c r="TWU61" s="543"/>
      <c r="TWV61" s="543"/>
      <c r="TWW61" s="543"/>
      <c r="TWX61" s="543"/>
      <c r="TWY61" s="543"/>
      <c r="TWZ61" s="543"/>
      <c r="TXA61" s="543"/>
      <c r="TXB61" s="543"/>
      <c r="TXC61" s="543"/>
      <c r="TXD61" s="543"/>
      <c r="TXE61" s="543"/>
      <c r="TXF61" s="543"/>
      <c r="TXG61" s="543"/>
      <c r="TXH61" s="543"/>
      <c r="TXI61" s="543"/>
      <c r="TXJ61" s="543"/>
      <c r="TXK61" s="543"/>
      <c r="TXL61" s="543"/>
      <c r="TXM61" s="543"/>
      <c r="TXN61" s="543"/>
      <c r="TXO61" s="543"/>
      <c r="TXP61" s="543"/>
      <c r="TXQ61" s="543"/>
      <c r="TXR61" s="543"/>
      <c r="TXS61" s="543"/>
      <c r="TXT61" s="543"/>
      <c r="TXU61" s="543"/>
      <c r="TXV61" s="543"/>
      <c r="TXW61" s="543"/>
      <c r="TXX61" s="543"/>
      <c r="TXY61" s="543"/>
      <c r="TXZ61" s="543"/>
      <c r="TYA61" s="543"/>
      <c r="TYB61" s="543"/>
      <c r="TYC61" s="543"/>
      <c r="TYD61" s="543"/>
      <c r="TYE61" s="543"/>
      <c r="TYF61" s="543"/>
      <c r="TYG61" s="543"/>
      <c r="TYH61" s="543"/>
      <c r="TYI61" s="543"/>
      <c r="TYJ61" s="543"/>
      <c r="TYK61" s="543"/>
      <c r="TYL61" s="543"/>
      <c r="TYM61" s="543"/>
      <c r="TYN61" s="543"/>
      <c r="TYO61" s="543"/>
      <c r="TYP61" s="543"/>
      <c r="TYQ61" s="543"/>
      <c r="TYR61" s="543"/>
      <c r="TYS61" s="543"/>
      <c r="TYT61" s="543"/>
      <c r="TYU61" s="543"/>
      <c r="TYV61" s="543"/>
      <c r="TYW61" s="543"/>
      <c r="TYX61" s="543"/>
      <c r="TYY61" s="543"/>
      <c r="TYZ61" s="543"/>
      <c r="TZA61" s="543"/>
      <c r="TZB61" s="543"/>
      <c r="TZC61" s="543"/>
      <c r="TZD61" s="543"/>
      <c r="TZE61" s="543"/>
      <c r="TZF61" s="543"/>
      <c r="TZG61" s="543"/>
      <c r="TZH61" s="543"/>
      <c r="TZI61" s="543"/>
      <c r="TZJ61" s="543"/>
      <c r="TZK61" s="543"/>
      <c r="TZL61" s="543"/>
      <c r="TZM61" s="543"/>
      <c r="TZN61" s="543"/>
      <c r="TZO61" s="543"/>
      <c r="TZP61" s="543"/>
      <c r="TZQ61" s="543"/>
      <c r="TZR61" s="543"/>
      <c r="TZS61" s="543"/>
      <c r="TZT61" s="543"/>
      <c r="TZU61" s="543"/>
      <c r="TZV61" s="543"/>
      <c r="TZW61" s="543"/>
      <c r="TZX61" s="543"/>
      <c r="TZY61" s="543"/>
      <c r="TZZ61" s="543"/>
      <c r="UAA61" s="543"/>
      <c r="UAB61" s="543"/>
      <c r="UAC61" s="543"/>
      <c r="UAD61" s="543"/>
      <c r="UAE61" s="543"/>
      <c r="UAF61" s="543"/>
      <c r="UAG61" s="543"/>
      <c r="UAH61" s="543"/>
      <c r="UAI61" s="543"/>
      <c r="UAJ61" s="543"/>
      <c r="UAK61" s="543"/>
      <c r="UAL61" s="543"/>
      <c r="UAM61" s="543"/>
      <c r="UAN61" s="543"/>
      <c r="UAO61" s="543"/>
      <c r="UAP61" s="543"/>
      <c r="UAQ61" s="543"/>
      <c r="UAR61" s="543"/>
      <c r="UAS61" s="543"/>
      <c r="UAT61" s="543"/>
      <c r="UAU61" s="543"/>
      <c r="UAV61" s="543"/>
      <c r="UAW61" s="543"/>
      <c r="UAX61" s="543"/>
      <c r="UAY61" s="543"/>
      <c r="UAZ61" s="543"/>
      <c r="UBA61" s="543"/>
      <c r="UBB61" s="543"/>
      <c r="UBC61" s="543"/>
      <c r="UBD61" s="543"/>
      <c r="UBE61" s="543"/>
      <c r="UBF61" s="543"/>
      <c r="UBG61" s="543"/>
      <c r="UBH61" s="543"/>
      <c r="UBI61" s="543"/>
      <c r="UBJ61" s="543"/>
      <c r="UBK61" s="543"/>
      <c r="UBL61" s="543"/>
      <c r="UBM61" s="543"/>
      <c r="UBN61" s="543"/>
      <c r="UBO61" s="543"/>
      <c r="UBP61" s="543"/>
      <c r="UBQ61" s="543"/>
      <c r="UBR61" s="543"/>
      <c r="UBS61" s="543"/>
      <c r="UBT61" s="543"/>
      <c r="UBU61" s="543"/>
      <c r="UBV61" s="543"/>
      <c r="UBW61" s="543"/>
      <c r="UBX61" s="543"/>
      <c r="UBY61" s="543"/>
      <c r="UBZ61" s="543"/>
      <c r="UCA61" s="543"/>
      <c r="UCB61" s="543"/>
      <c r="UCC61" s="543"/>
      <c r="UCD61" s="543"/>
      <c r="UCE61" s="543"/>
      <c r="UCF61" s="543"/>
      <c r="UCG61" s="543"/>
      <c r="UCH61" s="543"/>
      <c r="UCI61" s="543"/>
      <c r="UCJ61" s="543"/>
      <c r="UCK61" s="543"/>
      <c r="UCL61" s="543"/>
      <c r="UCM61" s="543"/>
      <c r="UCN61" s="543"/>
      <c r="UCO61" s="543"/>
      <c r="UCP61" s="543"/>
      <c r="UCQ61" s="543"/>
      <c r="UCR61" s="543"/>
      <c r="UCS61" s="543"/>
      <c r="UCT61" s="543"/>
      <c r="UCU61" s="543"/>
      <c r="UCV61" s="543"/>
      <c r="UCW61" s="543"/>
      <c r="UCX61" s="543"/>
      <c r="UCY61" s="543"/>
      <c r="UCZ61" s="543"/>
      <c r="UDA61" s="543"/>
      <c r="UDB61" s="543"/>
      <c r="UDC61" s="543"/>
      <c r="UDD61" s="543"/>
      <c r="UDE61" s="543"/>
      <c r="UDF61" s="543"/>
      <c r="UDG61" s="543"/>
      <c r="UDH61" s="543"/>
      <c r="UDI61" s="543"/>
      <c r="UDJ61" s="543"/>
      <c r="UDK61" s="543"/>
      <c r="UDL61" s="543"/>
      <c r="UDM61" s="543"/>
      <c r="UDN61" s="543"/>
      <c r="UDO61" s="543"/>
      <c r="UDP61" s="543"/>
      <c r="UDQ61" s="543"/>
      <c r="UDR61" s="543"/>
      <c r="UDS61" s="543"/>
      <c r="UDT61" s="543"/>
      <c r="UDU61" s="543"/>
      <c r="UDV61" s="543"/>
      <c r="UDW61" s="543"/>
      <c r="UDX61" s="543"/>
      <c r="UDY61" s="543"/>
      <c r="UDZ61" s="543"/>
      <c r="UEA61" s="543"/>
      <c r="UEB61" s="543"/>
      <c r="UEC61" s="543"/>
      <c r="UED61" s="543"/>
      <c r="UEE61" s="543"/>
      <c r="UEF61" s="543"/>
      <c r="UEG61" s="543"/>
      <c r="UEH61" s="543"/>
      <c r="UEI61" s="543"/>
      <c r="UEJ61" s="543"/>
      <c r="UEK61" s="543"/>
      <c r="UEL61" s="543"/>
      <c r="UEM61" s="543"/>
      <c r="UEN61" s="543"/>
      <c r="UEO61" s="543"/>
      <c r="UEP61" s="543"/>
      <c r="UEQ61" s="543"/>
      <c r="UER61" s="543"/>
      <c r="UES61" s="543"/>
      <c r="UET61" s="543"/>
      <c r="UEU61" s="543"/>
      <c r="UEV61" s="543"/>
      <c r="UEW61" s="543"/>
      <c r="UEX61" s="543"/>
      <c r="UEY61" s="543"/>
      <c r="UEZ61" s="543"/>
      <c r="UFA61" s="543"/>
      <c r="UFB61" s="543"/>
      <c r="UFC61" s="543"/>
      <c r="UFD61" s="543"/>
      <c r="UFE61" s="543"/>
      <c r="UFF61" s="543"/>
      <c r="UFG61" s="543"/>
      <c r="UFH61" s="543"/>
      <c r="UFI61" s="543"/>
      <c r="UFJ61" s="543"/>
      <c r="UFK61" s="543"/>
      <c r="UFL61" s="543"/>
      <c r="UFM61" s="543"/>
      <c r="UFN61" s="543"/>
      <c r="UFO61" s="543"/>
      <c r="UFP61" s="543"/>
      <c r="UFQ61" s="543"/>
      <c r="UFR61" s="543"/>
      <c r="UFS61" s="543"/>
      <c r="UFT61" s="543"/>
      <c r="UFU61" s="543"/>
      <c r="UFV61" s="543"/>
      <c r="UFW61" s="543"/>
      <c r="UFX61" s="543"/>
      <c r="UFY61" s="543"/>
      <c r="UFZ61" s="543"/>
      <c r="UGA61" s="543"/>
      <c r="UGB61" s="543"/>
      <c r="UGC61" s="543"/>
      <c r="UGD61" s="543"/>
      <c r="UGE61" s="543"/>
      <c r="UGF61" s="543"/>
      <c r="UGG61" s="543"/>
      <c r="UGH61" s="543"/>
      <c r="UGI61" s="543"/>
      <c r="UGJ61" s="543"/>
      <c r="UGK61" s="543"/>
      <c r="UGL61" s="543"/>
      <c r="UGM61" s="543"/>
      <c r="UGN61" s="543"/>
      <c r="UGO61" s="543"/>
      <c r="UGP61" s="543"/>
      <c r="UGQ61" s="543"/>
      <c r="UGR61" s="543"/>
      <c r="UGS61" s="543"/>
      <c r="UGT61" s="543"/>
      <c r="UGU61" s="543"/>
      <c r="UGV61" s="543"/>
      <c r="UGW61" s="543"/>
      <c r="UGX61" s="543"/>
      <c r="UGY61" s="543"/>
      <c r="UGZ61" s="543"/>
      <c r="UHA61" s="543"/>
      <c r="UHB61" s="543"/>
      <c r="UHC61" s="543"/>
      <c r="UHD61" s="543"/>
      <c r="UHE61" s="543"/>
      <c r="UHF61" s="543"/>
      <c r="UHG61" s="543"/>
      <c r="UHH61" s="543"/>
      <c r="UHI61" s="543"/>
      <c r="UHJ61" s="543"/>
      <c r="UHK61" s="543"/>
      <c r="UHL61" s="543"/>
      <c r="UHM61" s="543"/>
      <c r="UHN61" s="543"/>
      <c r="UHO61" s="543"/>
      <c r="UHP61" s="543"/>
      <c r="UHQ61" s="543"/>
      <c r="UHR61" s="543"/>
      <c r="UHS61" s="543"/>
      <c r="UHT61" s="543"/>
      <c r="UHU61" s="543"/>
      <c r="UHV61" s="543"/>
      <c r="UHW61" s="543"/>
      <c r="UHX61" s="543"/>
      <c r="UHY61" s="543"/>
      <c r="UHZ61" s="543"/>
      <c r="UIA61" s="543"/>
      <c r="UIB61" s="543"/>
      <c r="UIC61" s="543"/>
      <c r="UID61" s="543"/>
      <c r="UIE61" s="543"/>
      <c r="UIF61" s="543"/>
      <c r="UIG61" s="543"/>
      <c r="UIH61" s="543"/>
      <c r="UII61" s="543"/>
      <c r="UIJ61" s="543"/>
      <c r="UIK61" s="543"/>
      <c r="UIL61" s="543"/>
      <c r="UIM61" s="543"/>
      <c r="UIN61" s="543"/>
      <c r="UIO61" s="543"/>
      <c r="UIP61" s="543"/>
      <c r="UIQ61" s="543"/>
      <c r="UIR61" s="543"/>
      <c r="UIS61" s="543"/>
      <c r="UIT61" s="543"/>
      <c r="UIU61" s="543"/>
      <c r="UIV61" s="543"/>
      <c r="UIW61" s="543"/>
      <c r="UIX61" s="543"/>
      <c r="UIY61" s="543"/>
      <c r="UIZ61" s="543"/>
      <c r="UJA61" s="543"/>
      <c r="UJB61" s="543"/>
      <c r="UJC61" s="543"/>
      <c r="UJD61" s="543"/>
      <c r="UJE61" s="543"/>
      <c r="UJF61" s="543"/>
      <c r="UJG61" s="543"/>
      <c r="UJH61" s="543"/>
      <c r="UJI61" s="543"/>
      <c r="UJJ61" s="543"/>
      <c r="UJK61" s="543"/>
      <c r="UJL61" s="543"/>
      <c r="UJM61" s="543"/>
      <c r="UJN61" s="543"/>
      <c r="UJO61" s="543"/>
      <c r="UJP61" s="543"/>
      <c r="UJQ61" s="543"/>
      <c r="UJR61" s="543"/>
      <c r="UJS61" s="543"/>
      <c r="UJT61" s="543"/>
      <c r="UJU61" s="543"/>
      <c r="UJV61" s="543"/>
      <c r="UJW61" s="543"/>
      <c r="UJX61" s="543"/>
      <c r="UJY61" s="543"/>
      <c r="UJZ61" s="543"/>
      <c r="UKA61" s="543"/>
      <c r="UKB61" s="543"/>
      <c r="UKC61" s="543"/>
      <c r="UKD61" s="543"/>
      <c r="UKE61" s="543"/>
      <c r="UKF61" s="543"/>
      <c r="UKG61" s="543"/>
      <c r="UKH61" s="543"/>
      <c r="UKI61" s="543"/>
      <c r="UKJ61" s="543"/>
      <c r="UKK61" s="543"/>
      <c r="UKL61" s="543"/>
      <c r="UKM61" s="543"/>
      <c r="UKN61" s="543"/>
      <c r="UKO61" s="543"/>
      <c r="UKP61" s="543"/>
      <c r="UKQ61" s="543"/>
      <c r="UKR61" s="543"/>
      <c r="UKS61" s="543"/>
      <c r="UKT61" s="543"/>
      <c r="UKU61" s="543"/>
      <c r="UKV61" s="543"/>
      <c r="UKW61" s="543"/>
      <c r="UKX61" s="543"/>
      <c r="UKY61" s="543"/>
      <c r="UKZ61" s="543"/>
      <c r="ULA61" s="543"/>
      <c r="ULB61" s="543"/>
      <c r="ULC61" s="543"/>
      <c r="ULD61" s="543"/>
      <c r="ULE61" s="543"/>
      <c r="ULF61" s="543"/>
      <c r="ULG61" s="543"/>
      <c r="ULH61" s="543"/>
      <c r="ULI61" s="543"/>
      <c r="ULJ61" s="543"/>
      <c r="ULK61" s="543"/>
      <c r="ULL61" s="543"/>
      <c r="ULM61" s="543"/>
      <c r="ULN61" s="543"/>
      <c r="ULO61" s="543"/>
      <c r="ULP61" s="543"/>
      <c r="ULQ61" s="543"/>
      <c r="ULR61" s="543"/>
      <c r="ULS61" s="543"/>
      <c r="ULT61" s="543"/>
      <c r="ULU61" s="543"/>
      <c r="ULV61" s="543"/>
      <c r="ULW61" s="543"/>
      <c r="ULX61" s="543"/>
      <c r="ULY61" s="543"/>
      <c r="ULZ61" s="543"/>
      <c r="UMA61" s="543"/>
      <c r="UMB61" s="543"/>
      <c r="UMC61" s="543"/>
      <c r="UMD61" s="543"/>
      <c r="UME61" s="543"/>
      <c r="UMF61" s="543"/>
      <c r="UMG61" s="543"/>
      <c r="UMH61" s="543"/>
      <c r="UMI61" s="543"/>
      <c r="UMJ61" s="543"/>
      <c r="UMK61" s="543"/>
      <c r="UML61" s="543"/>
      <c r="UMM61" s="543"/>
      <c r="UMN61" s="543"/>
      <c r="UMO61" s="543"/>
      <c r="UMP61" s="543"/>
      <c r="UMQ61" s="543"/>
      <c r="UMR61" s="543"/>
      <c r="UMS61" s="543"/>
      <c r="UMT61" s="543"/>
      <c r="UMU61" s="543"/>
      <c r="UMV61" s="543"/>
      <c r="UMW61" s="543"/>
      <c r="UMX61" s="543"/>
      <c r="UMY61" s="543"/>
      <c r="UMZ61" s="543"/>
      <c r="UNA61" s="543"/>
      <c r="UNB61" s="543"/>
      <c r="UNC61" s="543"/>
      <c r="UND61" s="543"/>
      <c r="UNE61" s="543"/>
      <c r="UNF61" s="543"/>
      <c r="UNG61" s="543"/>
      <c r="UNH61" s="543"/>
      <c r="UNI61" s="543"/>
      <c r="UNJ61" s="543"/>
      <c r="UNK61" s="543"/>
      <c r="UNL61" s="543"/>
      <c r="UNM61" s="543"/>
      <c r="UNN61" s="543"/>
      <c r="UNO61" s="543"/>
      <c r="UNP61" s="543"/>
      <c r="UNQ61" s="543"/>
      <c r="UNR61" s="543"/>
      <c r="UNS61" s="543"/>
      <c r="UNT61" s="543"/>
      <c r="UNU61" s="543"/>
      <c r="UNV61" s="543"/>
      <c r="UNW61" s="543"/>
      <c r="UNX61" s="543"/>
      <c r="UNY61" s="543"/>
      <c r="UNZ61" s="543"/>
      <c r="UOA61" s="543"/>
      <c r="UOB61" s="543"/>
      <c r="UOC61" s="543"/>
      <c r="UOD61" s="543"/>
      <c r="UOE61" s="543"/>
      <c r="UOF61" s="543"/>
      <c r="UOG61" s="543"/>
      <c r="UOH61" s="543"/>
      <c r="UOI61" s="543"/>
      <c r="UOJ61" s="543"/>
      <c r="UOK61" s="543"/>
      <c r="UOL61" s="543"/>
      <c r="UOM61" s="543"/>
      <c r="UON61" s="543"/>
      <c r="UOO61" s="543"/>
      <c r="UOP61" s="543"/>
      <c r="UOQ61" s="543"/>
      <c r="UOR61" s="543"/>
      <c r="UOS61" s="543"/>
      <c r="UOT61" s="543"/>
      <c r="UOU61" s="543"/>
      <c r="UOV61" s="543"/>
      <c r="UOW61" s="543"/>
      <c r="UOX61" s="543"/>
      <c r="UOY61" s="543"/>
      <c r="UOZ61" s="543"/>
      <c r="UPA61" s="543"/>
      <c r="UPB61" s="543"/>
      <c r="UPC61" s="543"/>
      <c r="UPD61" s="543"/>
      <c r="UPE61" s="543"/>
      <c r="UPF61" s="543"/>
      <c r="UPG61" s="543"/>
      <c r="UPH61" s="543"/>
      <c r="UPI61" s="543"/>
      <c r="UPJ61" s="543"/>
      <c r="UPK61" s="543"/>
      <c r="UPL61" s="543"/>
      <c r="UPM61" s="543"/>
      <c r="UPN61" s="543"/>
      <c r="UPO61" s="543"/>
      <c r="UPP61" s="543"/>
      <c r="UPQ61" s="543"/>
      <c r="UPR61" s="543"/>
      <c r="UPS61" s="543"/>
      <c r="UPT61" s="543"/>
      <c r="UPU61" s="543"/>
      <c r="UPV61" s="543"/>
      <c r="UPW61" s="543"/>
      <c r="UPX61" s="543"/>
      <c r="UPY61" s="543"/>
      <c r="UPZ61" s="543"/>
      <c r="UQA61" s="543"/>
      <c r="UQB61" s="543"/>
      <c r="UQC61" s="543"/>
      <c r="UQD61" s="543"/>
      <c r="UQE61" s="543"/>
      <c r="UQF61" s="543"/>
      <c r="UQG61" s="543"/>
      <c r="UQH61" s="543"/>
      <c r="UQI61" s="543"/>
      <c r="UQJ61" s="543"/>
      <c r="UQK61" s="543"/>
      <c r="UQL61" s="543"/>
      <c r="UQM61" s="543"/>
      <c r="UQN61" s="543"/>
      <c r="UQO61" s="543"/>
      <c r="UQP61" s="543"/>
      <c r="UQQ61" s="543"/>
      <c r="UQR61" s="543"/>
      <c r="UQS61" s="543"/>
      <c r="UQT61" s="543"/>
      <c r="UQU61" s="543"/>
      <c r="UQV61" s="543"/>
      <c r="UQW61" s="543"/>
      <c r="UQX61" s="543"/>
      <c r="UQY61" s="543"/>
      <c r="UQZ61" s="543"/>
      <c r="URA61" s="543"/>
      <c r="URB61" s="543"/>
      <c r="URC61" s="543"/>
      <c r="URD61" s="543"/>
      <c r="URE61" s="543"/>
      <c r="URF61" s="543"/>
      <c r="URG61" s="543"/>
      <c r="URH61" s="543"/>
      <c r="URI61" s="543"/>
      <c r="URJ61" s="543"/>
      <c r="URK61" s="543"/>
      <c r="URL61" s="543"/>
      <c r="URM61" s="543"/>
      <c r="URN61" s="543"/>
      <c r="URO61" s="543"/>
      <c r="URP61" s="543"/>
      <c r="URQ61" s="543"/>
      <c r="URR61" s="543"/>
      <c r="URS61" s="543"/>
      <c r="URT61" s="543"/>
      <c r="URU61" s="543"/>
      <c r="URV61" s="543"/>
      <c r="URW61" s="543"/>
      <c r="URX61" s="543"/>
      <c r="URY61" s="543"/>
      <c r="URZ61" s="543"/>
      <c r="USA61" s="543"/>
      <c r="USB61" s="543"/>
      <c r="USC61" s="543"/>
      <c r="USD61" s="543"/>
      <c r="USE61" s="543"/>
      <c r="USF61" s="543"/>
      <c r="USG61" s="543"/>
      <c r="USH61" s="543"/>
      <c r="USI61" s="543"/>
      <c r="USJ61" s="543"/>
      <c r="USK61" s="543"/>
      <c r="USL61" s="543"/>
      <c r="USM61" s="543"/>
      <c r="USN61" s="543"/>
      <c r="USO61" s="543"/>
      <c r="USP61" s="543"/>
      <c r="USQ61" s="543"/>
      <c r="USR61" s="543"/>
      <c r="USS61" s="543"/>
      <c r="UST61" s="543"/>
      <c r="USU61" s="543"/>
      <c r="USV61" s="543"/>
      <c r="USW61" s="543"/>
      <c r="USX61" s="543"/>
      <c r="USY61" s="543"/>
      <c r="USZ61" s="543"/>
      <c r="UTA61" s="543"/>
      <c r="UTB61" s="543"/>
      <c r="UTC61" s="543"/>
      <c r="UTD61" s="543"/>
      <c r="UTE61" s="543"/>
      <c r="UTF61" s="543"/>
      <c r="UTG61" s="543"/>
      <c r="UTH61" s="543"/>
      <c r="UTI61" s="543"/>
      <c r="UTJ61" s="543"/>
      <c r="UTK61" s="543"/>
      <c r="UTL61" s="543"/>
      <c r="UTM61" s="543"/>
      <c r="UTN61" s="543"/>
      <c r="UTO61" s="543"/>
      <c r="UTP61" s="543"/>
      <c r="UTQ61" s="543"/>
      <c r="UTR61" s="543"/>
      <c r="UTS61" s="543"/>
      <c r="UTT61" s="543"/>
      <c r="UTU61" s="543"/>
      <c r="UTV61" s="543"/>
      <c r="UTW61" s="543"/>
      <c r="UTX61" s="543"/>
      <c r="UTY61" s="543"/>
      <c r="UTZ61" s="543"/>
      <c r="UUA61" s="543"/>
      <c r="UUB61" s="543"/>
      <c r="UUC61" s="543"/>
      <c r="UUD61" s="543"/>
      <c r="UUE61" s="543"/>
      <c r="UUF61" s="543"/>
      <c r="UUG61" s="543"/>
      <c r="UUH61" s="543"/>
      <c r="UUI61" s="543"/>
      <c r="UUJ61" s="543"/>
      <c r="UUK61" s="543"/>
      <c r="UUL61" s="543"/>
      <c r="UUM61" s="543"/>
      <c r="UUN61" s="543"/>
      <c r="UUO61" s="543"/>
      <c r="UUP61" s="543"/>
      <c r="UUQ61" s="543"/>
      <c r="UUR61" s="543"/>
      <c r="UUS61" s="543"/>
      <c r="UUT61" s="543"/>
      <c r="UUU61" s="543"/>
      <c r="UUV61" s="543"/>
      <c r="UUW61" s="543"/>
      <c r="UUX61" s="543"/>
      <c r="UUY61" s="543"/>
      <c r="UUZ61" s="543"/>
      <c r="UVA61" s="543"/>
      <c r="UVB61" s="543"/>
      <c r="UVC61" s="543"/>
      <c r="UVD61" s="543"/>
      <c r="UVE61" s="543"/>
      <c r="UVF61" s="543"/>
      <c r="UVG61" s="543"/>
      <c r="UVH61" s="543"/>
      <c r="UVI61" s="543"/>
      <c r="UVJ61" s="543"/>
      <c r="UVK61" s="543"/>
      <c r="UVL61" s="543"/>
      <c r="UVM61" s="543"/>
      <c r="UVN61" s="543"/>
      <c r="UVO61" s="543"/>
      <c r="UVP61" s="543"/>
      <c r="UVQ61" s="543"/>
      <c r="UVR61" s="543"/>
      <c r="UVS61" s="543"/>
      <c r="UVT61" s="543"/>
      <c r="UVU61" s="543"/>
      <c r="UVV61" s="543"/>
      <c r="UVW61" s="543"/>
      <c r="UVX61" s="543"/>
      <c r="UVY61" s="543"/>
      <c r="UVZ61" s="543"/>
      <c r="UWA61" s="543"/>
      <c r="UWB61" s="543"/>
      <c r="UWC61" s="543"/>
      <c r="UWD61" s="543"/>
      <c r="UWE61" s="543"/>
      <c r="UWF61" s="543"/>
      <c r="UWG61" s="543"/>
      <c r="UWH61" s="543"/>
      <c r="UWI61" s="543"/>
      <c r="UWJ61" s="543"/>
      <c r="UWK61" s="543"/>
      <c r="UWL61" s="543"/>
      <c r="UWM61" s="543"/>
      <c r="UWN61" s="543"/>
      <c r="UWO61" s="543"/>
      <c r="UWP61" s="543"/>
      <c r="UWQ61" s="543"/>
      <c r="UWR61" s="543"/>
      <c r="UWS61" s="543"/>
      <c r="UWT61" s="543"/>
      <c r="UWU61" s="543"/>
      <c r="UWV61" s="543"/>
      <c r="UWW61" s="543"/>
      <c r="UWX61" s="543"/>
      <c r="UWY61" s="543"/>
      <c r="UWZ61" s="543"/>
      <c r="UXA61" s="543"/>
      <c r="UXB61" s="543"/>
      <c r="UXC61" s="543"/>
      <c r="UXD61" s="543"/>
      <c r="UXE61" s="543"/>
      <c r="UXF61" s="543"/>
      <c r="UXG61" s="543"/>
      <c r="UXH61" s="543"/>
      <c r="UXI61" s="543"/>
      <c r="UXJ61" s="543"/>
      <c r="UXK61" s="543"/>
      <c r="UXL61" s="543"/>
      <c r="UXM61" s="543"/>
      <c r="UXN61" s="543"/>
      <c r="UXO61" s="543"/>
      <c r="UXP61" s="543"/>
      <c r="UXQ61" s="543"/>
      <c r="UXR61" s="543"/>
      <c r="UXS61" s="543"/>
      <c r="UXT61" s="543"/>
      <c r="UXU61" s="543"/>
      <c r="UXV61" s="543"/>
      <c r="UXW61" s="543"/>
      <c r="UXX61" s="543"/>
      <c r="UXY61" s="543"/>
      <c r="UXZ61" s="543"/>
      <c r="UYA61" s="543"/>
      <c r="UYB61" s="543"/>
      <c r="UYC61" s="543"/>
      <c r="UYD61" s="543"/>
      <c r="UYE61" s="543"/>
      <c r="UYF61" s="543"/>
      <c r="UYG61" s="543"/>
      <c r="UYH61" s="543"/>
      <c r="UYI61" s="543"/>
      <c r="UYJ61" s="543"/>
      <c r="UYK61" s="543"/>
      <c r="UYL61" s="543"/>
      <c r="UYM61" s="543"/>
      <c r="UYN61" s="543"/>
      <c r="UYO61" s="543"/>
      <c r="UYP61" s="543"/>
      <c r="UYQ61" s="543"/>
      <c r="UYR61" s="543"/>
      <c r="UYS61" s="543"/>
      <c r="UYT61" s="543"/>
      <c r="UYU61" s="543"/>
      <c r="UYV61" s="543"/>
      <c r="UYW61" s="543"/>
      <c r="UYX61" s="543"/>
      <c r="UYY61" s="543"/>
      <c r="UYZ61" s="543"/>
      <c r="UZA61" s="543"/>
      <c r="UZB61" s="543"/>
      <c r="UZC61" s="543"/>
      <c r="UZD61" s="543"/>
      <c r="UZE61" s="543"/>
      <c r="UZF61" s="543"/>
      <c r="UZG61" s="543"/>
      <c r="UZH61" s="543"/>
      <c r="UZI61" s="543"/>
      <c r="UZJ61" s="543"/>
      <c r="UZK61" s="543"/>
      <c r="UZL61" s="543"/>
      <c r="UZM61" s="543"/>
      <c r="UZN61" s="543"/>
      <c r="UZO61" s="543"/>
      <c r="UZP61" s="543"/>
      <c r="UZQ61" s="543"/>
      <c r="UZR61" s="543"/>
      <c r="UZS61" s="543"/>
      <c r="UZT61" s="543"/>
      <c r="UZU61" s="543"/>
      <c r="UZV61" s="543"/>
      <c r="UZW61" s="543"/>
      <c r="UZX61" s="543"/>
      <c r="UZY61" s="543"/>
      <c r="UZZ61" s="543"/>
      <c r="VAA61" s="543"/>
      <c r="VAB61" s="543"/>
      <c r="VAC61" s="543"/>
      <c r="VAD61" s="543"/>
      <c r="VAE61" s="543"/>
      <c r="VAF61" s="543"/>
      <c r="VAG61" s="543"/>
      <c r="VAH61" s="543"/>
      <c r="VAI61" s="543"/>
      <c r="VAJ61" s="543"/>
      <c r="VAK61" s="543"/>
      <c r="VAL61" s="543"/>
      <c r="VAM61" s="543"/>
      <c r="VAN61" s="543"/>
      <c r="VAO61" s="543"/>
      <c r="VAP61" s="543"/>
      <c r="VAQ61" s="543"/>
      <c r="VAR61" s="543"/>
      <c r="VAS61" s="543"/>
      <c r="VAT61" s="543"/>
      <c r="VAU61" s="543"/>
      <c r="VAV61" s="543"/>
      <c r="VAW61" s="543"/>
      <c r="VAX61" s="543"/>
      <c r="VAY61" s="543"/>
      <c r="VAZ61" s="543"/>
      <c r="VBA61" s="543"/>
      <c r="VBB61" s="543"/>
      <c r="VBC61" s="543"/>
      <c r="VBD61" s="543"/>
      <c r="VBE61" s="543"/>
      <c r="VBF61" s="543"/>
      <c r="VBG61" s="543"/>
      <c r="VBH61" s="543"/>
      <c r="VBI61" s="543"/>
      <c r="VBJ61" s="543"/>
      <c r="VBK61" s="543"/>
      <c r="VBL61" s="543"/>
      <c r="VBM61" s="543"/>
      <c r="VBN61" s="543"/>
      <c r="VBO61" s="543"/>
      <c r="VBP61" s="543"/>
      <c r="VBQ61" s="543"/>
      <c r="VBR61" s="543"/>
      <c r="VBS61" s="543"/>
      <c r="VBT61" s="543"/>
      <c r="VBU61" s="543"/>
      <c r="VBV61" s="543"/>
      <c r="VBW61" s="543"/>
      <c r="VBX61" s="543"/>
      <c r="VBY61" s="543"/>
      <c r="VBZ61" s="543"/>
      <c r="VCA61" s="543"/>
      <c r="VCB61" s="543"/>
      <c r="VCC61" s="543"/>
      <c r="VCD61" s="543"/>
      <c r="VCE61" s="543"/>
      <c r="VCF61" s="543"/>
      <c r="VCG61" s="543"/>
      <c r="VCH61" s="543"/>
      <c r="VCI61" s="543"/>
      <c r="VCJ61" s="543"/>
      <c r="VCK61" s="543"/>
      <c r="VCL61" s="543"/>
      <c r="VCM61" s="543"/>
      <c r="VCN61" s="543"/>
      <c r="VCO61" s="543"/>
      <c r="VCP61" s="543"/>
      <c r="VCQ61" s="543"/>
      <c r="VCR61" s="543"/>
      <c r="VCS61" s="543"/>
      <c r="VCT61" s="543"/>
      <c r="VCU61" s="543"/>
      <c r="VCV61" s="543"/>
      <c r="VCW61" s="543"/>
      <c r="VCX61" s="543"/>
      <c r="VCY61" s="543"/>
      <c r="VCZ61" s="543"/>
      <c r="VDA61" s="543"/>
      <c r="VDB61" s="543"/>
      <c r="VDC61" s="543"/>
      <c r="VDD61" s="543"/>
      <c r="VDE61" s="543"/>
      <c r="VDF61" s="543"/>
      <c r="VDG61" s="543"/>
      <c r="VDH61" s="543"/>
      <c r="VDI61" s="543"/>
      <c r="VDJ61" s="543"/>
      <c r="VDK61" s="543"/>
      <c r="VDL61" s="543"/>
      <c r="VDM61" s="543"/>
      <c r="VDN61" s="543"/>
      <c r="VDO61" s="543"/>
      <c r="VDP61" s="543"/>
      <c r="VDQ61" s="543"/>
      <c r="VDR61" s="543"/>
      <c r="VDS61" s="543"/>
      <c r="VDT61" s="543"/>
      <c r="VDU61" s="543"/>
      <c r="VDV61" s="543"/>
      <c r="VDW61" s="543"/>
      <c r="VDX61" s="543"/>
      <c r="VDY61" s="543"/>
      <c r="VDZ61" s="543"/>
      <c r="VEA61" s="543"/>
      <c r="VEB61" s="543"/>
      <c r="VEC61" s="543"/>
      <c r="VED61" s="543"/>
      <c r="VEE61" s="543"/>
      <c r="VEF61" s="543"/>
      <c r="VEG61" s="543"/>
      <c r="VEH61" s="543"/>
      <c r="VEI61" s="543"/>
      <c r="VEJ61" s="543"/>
      <c r="VEK61" s="543"/>
      <c r="VEL61" s="543"/>
      <c r="VEM61" s="543"/>
      <c r="VEN61" s="543"/>
      <c r="VEO61" s="543"/>
      <c r="VEP61" s="543"/>
      <c r="VEQ61" s="543"/>
      <c r="VER61" s="543"/>
      <c r="VES61" s="543"/>
      <c r="VET61" s="543"/>
      <c r="VEU61" s="543"/>
      <c r="VEV61" s="543"/>
      <c r="VEW61" s="543"/>
      <c r="VEX61" s="543"/>
      <c r="VEY61" s="543"/>
      <c r="VEZ61" s="543"/>
      <c r="VFA61" s="543"/>
      <c r="VFB61" s="543"/>
      <c r="VFC61" s="543"/>
      <c r="VFD61" s="543"/>
      <c r="VFE61" s="543"/>
      <c r="VFF61" s="543"/>
      <c r="VFG61" s="543"/>
      <c r="VFH61" s="543"/>
      <c r="VFI61" s="543"/>
      <c r="VFJ61" s="543"/>
      <c r="VFK61" s="543"/>
      <c r="VFL61" s="543"/>
      <c r="VFM61" s="543"/>
      <c r="VFN61" s="543"/>
      <c r="VFO61" s="543"/>
      <c r="VFP61" s="543"/>
      <c r="VFQ61" s="543"/>
      <c r="VFR61" s="543"/>
      <c r="VFS61" s="543"/>
      <c r="VFT61" s="543"/>
      <c r="VFU61" s="543"/>
      <c r="VFV61" s="543"/>
      <c r="VFW61" s="543"/>
      <c r="VFX61" s="543"/>
      <c r="VFY61" s="543"/>
      <c r="VFZ61" s="543"/>
      <c r="VGA61" s="543"/>
      <c r="VGB61" s="543"/>
      <c r="VGC61" s="543"/>
      <c r="VGD61" s="543"/>
      <c r="VGE61" s="543"/>
      <c r="VGF61" s="543"/>
      <c r="VGG61" s="543"/>
      <c r="VGH61" s="543"/>
      <c r="VGI61" s="543"/>
      <c r="VGJ61" s="543"/>
      <c r="VGK61" s="543"/>
      <c r="VGL61" s="543"/>
      <c r="VGM61" s="543"/>
      <c r="VGN61" s="543"/>
      <c r="VGO61" s="543"/>
      <c r="VGP61" s="543"/>
      <c r="VGQ61" s="543"/>
      <c r="VGR61" s="543"/>
      <c r="VGS61" s="543"/>
      <c r="VGT61" s="543"/>
      <c r="VGU61" s="543"/>
      <c r="VGV61" s="543"/>
      <c r="VGW61" s="543"/>
      <c r="VGX61" s="543"/>
      <c r="VGY61" s="543"/>
      <c r="VGZ61" s="543"/>
      <c r="VHA61" s="543"/>
      <c r="VHB61" s="543"/>
      <c r="VHC61" s="543"/>
      <c r="VHD61" s="543"/>
      <c r="VHE61" s="543"/>
      <c r="VHF61" s="543"/>
      <c r="VHG61" s="543"/>
      <c r="VHH61" s="543"/>
      <c r="VHI61" s="543"/>
      <c r="VHJ61" s="543"/>
      <c r="VHK61" s="543"/>
      <c r="VHL61" s="543"/>
      <c r="VHM61" s="543"/>
      <c r="VHN61" s="543"/>
      <c r="VHO61" s="543"/>
      <c r="VHP61" s="543"/>
      <c r="VHQ61" s="543"/>
      <c r="VHR61" s="543"/>
      <c r="VHS61" s="543"/>
      <c r="VHT61" s="543"/>
      <c r="VHU61" s="543"/>
      <c r="VHV61" s="543"/>
      <c r="VHW61" s="543"/>
      <c r="VHX61" s="543"/>
      <c r="VHY61" s="543"/>
      <c r="VHZ61" s="543"/>
      <c r="VIA61" s="543"/>
      <c r="VIB61" s="543"/>
      <c r="VIC61" s="543"/>
      <c r="VID61" s="543"/>
      <c r="VIE61" s="543"/>
      <c r="VIF61" s="543"/>
      <c r="VIG61" s="543"/>
      <c r="VIH61" s="543"/>
      <c r="VII61" s="543"/>
      <c r="VIJ61" s="543"/>
      <c r="VIK61" s="543"/>
      <c r="VIL61" s="543"/>
      <c r="VIM61" s="543"/>
      <c r="VIN61" s="543"/>
      <c r="VIO61" s="543"/>
      <c r="VIP61" s="543"/>
      <c r="VIQ61" s="543"/>
      <c r="VIR61" s="543"/>
      <c r="VIS61" s="543"/>
      <c r="VIT61" s="543"/>
      <c r="VIU61" s="543"/>
      <c r="VIV61" s="543"/>
      <c r="VIW61" s="543"/>
      <c r="VIX61" s="543"/>
      <c r="VIY61" s="543"/>
      <c r="VIZ61" s="543"/>
      <c r="VJA61" s="543"/>
      <c r="VJB61" s="543"/>
      <c r="VJC61" s="543"/>
      <c r="VJD61" s="543"/>
      <c r="VJE61" s="543"/>
      <c r="VJF61" s="543"/>
      <c r="VJG61" s="543"/>
      <c r="VJH61" s="543"/>
      <c r="VJI61" s="543"/>
      <c r="VJJ61" s="543"/>
      <c r="VJK61" s="543"/>
      <c r="VJL61" s="543"/>
      <c r="VJM61" s="543"/>
      <c r="VJN61" s="543"/>
      <c r="VJO61" s="543"/>
      <c r="VJP61" s="543"/>
      <c r="VJQ61" s="543"/>
      <c r="VJR61" s="543"/>
      <c r="VJS61" s="543"/>
      <c r="VJT61" s="543"/>
      <c r="VJU61" s="543"/>
      <c r="VJV61" s="543"/>
      <c r="VJW61" s="543"/>
      <c r="VJX61" s="543"/>
      <c r="VJY61" s="543"/>
      <c r="VJZ61" s="543"/>
      <c r="VKA61" s="543"/>
      <c r="VKB61" s="543"/>
      <c r="VKC61" s="543"/>
      <c r="VKD61" s="543"/>
      <c r="VKE61" s="543"/>
      <c r="VKF61" s="543"/>
      <c r="VKG61" s="543"/>
      <c r="VKH61" s="543"/>
      <c r="VKI61" s="543"/>
      <c r="VKJ61" s="543"/>
      <c r="VKK61" s="543"/>
      <c r="VKL61" s="543"/>
      <c r="VKM61" s="543"/>
      <c r="VKN61" s="543"/>
      <c r="VKO61" s="543"/>
      <c r="VKP61" s="543"/>
      <c r="VKQ61" s="543"/>
      <c r="VKR61" s="543"/>
      <c r="VKS61" s="543"/>
      <c r="VKT61" s="543"/>
      <c r="VKU61" s="543"/>
      <c r="VKV61" s="543"/>
      <c r="VKW61" s="543"/>
      <c r="VKX61" s="543"/>
      <c r="VKY61" s="543"/>
      <c r="VKZ61" s="543"/>
      <c r="VLA61" s="543"/>
      <c r="VLB61" s="543"/>
      <c r="VLC61" s="543"/>
      <c r="VLD61" s="543"/>
      <c r="VLE61" s="543"/>
      <c r="VLF61" s="543"/>
      <c r="VLG61" s="543"/>
      <c r="VLH61" s="543"/>
      <c r="VLI61" s="543"/>
      <c r="VLJ61" s="543"/>
      <c r="VLK61" s="543"/>
      <c r="VLL61" s="543"/>
      <c r="VLM61" s="543"/>
      <c r="VLN61" s="543"/>
      <c r="VLO61" s="543"/>
      <c r="VLP61" s="543"/>
      <c r="VLQ61" s="543"/>
      <c r="VLR61" s="543"/>
      <c r="VLS61" s="543"/>
      <c r="VLT61" s="543"/>
      <c r="VLU61" s="543"/>
      <c r="VLV61" s="543"/>
      <c r="VLW61" s="543"/>
      <c r="VLX61" s="543"/>
      <c r="VLY61" s="543"/>
      <c r="VLZ61" s="543"/>
      <c r="VMA61" s="543"/>
      <c r="VMB61" s="543"/>
      <c r="VMC61" s="543"/>
      <c r="VMD61" s="543"/>
      <c r="VME61" s="543"/>
      <c r="VMF61" s="543"/>
      <c r="VMG61" s="543"/>
      <c r="VMH61" s="543"/>
      <c r="VMI61" s="543"/>
      <c r="VMJ61" s="543"/>
      <c r="VMK61" s="543"/>
      <c r="VML61" s="543"/>
      <c r="VMM61" s="543"/>
      <c r="VMN61" s="543"/>
      <c r="VMO61" s="543"/>
      <c r="VMP61" s="543"/>
      <c r="VMQ61" s="543"/>
      <c r="VMR61" s="543"/>
      <c r="VMS61" s="543"/>
      <c r="VMT61" s="543"/>
      <c r="VMU61" s="543"/>
      <c r="VMV61" s="543"/>
      <c r="VMW61" s="543"/>
      <c r="VMX61" s="543"/>
      <c r="VMY61" s="543"/>
      <c r="VMZ61" s="543"/>
      <c r="VNA61" s="543"/>
      <c r="VNB61" s="543"/>
      <c r="VNC61" s="543"/>
      <c r="VND61" s="543"/>
      <c r="VNE61" s="543"/>
      <c r="VNF61" s="543"/>
      <c r="VNG61" s="543"/>
      <c r="VNH61" s="543"/>
      <c r="VNI61" s="543"/>
      <c r="VNJ61" s="543"/>
      <c r="VNK61" s="543"/>
      <c r="VNL61" s="543"/>
      <c r="VNM61" s="543"/>
      <c r="VNN61" s="543"/>
      <c r="VNO61" s="543"/>
      <c r="VNP61" s="543"/>
      <c r="VNQ61" s="543"/>
      <c r="VNR61" s="543"/>
      <c r="VNS61" s="543"/>
      <c r="VNT61" s="543"/>
      <c r="VNU61" s="543"/>
      <c r="VNV61" s="543"/>
      <c r="VNW61" s="543"/>
      <c r="VNX61" s="543"/>
      <c r="VNY61" s="543"/>
      <c r="VNZ61" s="543"/>
      <c r="VOA61" s="543"/>
      <c r="VOB61" s="543"/>
      <c r="VOC61" s="543"/>
      <c r="VOD61" s="543"/>
      <c r="VOE61" s="543"/>
      <c r="VOF61" s="543"/>
      <c r="VOG61" s="543"/>
      <c r="VOH61" s="543"/>
      <c r="VOI61" s="543"/>
      <c r="VOJ61" s="543"/>
      <c r="VOK61" s="543"/>
      <c r="VOL61" s="543"/>
      <c r="VOM61" s="543"/>
      <c r="VON61" s="543"/>
      <c r="VOO61" s="543"/>
      <c r="VOP61" s="543"/>
      <c r="VOQ61" s="543"/>
      <c r="VOR61" s="543"/>
      <c r="VOS61" s="543"/>
      <c r="VOT61" s="543"/>
      <c r="VOU61" s="543"/>
      <c r="VOV61" s="543"/>
      <c r="VOW61" s="543"/>
      <c r="VOX61" s="543"/>
      <c r="VOY61" s="543"/>
      <c r="VOZ61" s="543"/>
      <c r="VPA61" s="543"/>
      <c r="VPB61" s="543"/>
      <c r="VPC61" s="543"/>
      <c r="VPD61" s="543"/>
      <c r="VPE61" s="543"/>
      <c r="VPF61" s="543"/>
      <c r="VPG61" s="543"/>
      <c r="VPH61" s="543"/>
      <c r="VPI61" s="543"/>
      <c r="VPJ61" s="543"/>
      <c r="VPK61" s="543"/>
      <c r="VPL61" s="543"/>
      <c r="VPM61" s="543"/>
      <c r="VPN61" s="543"/>
      <c r="VPO61" s="543"/>
      <c r="VPP61" s="543"/>
      <c r="VPQ61" s="543"/>
      <c r="VPR61" s="543"/>
      <c r="VPS61" s="543"/>
      <c r="VPT61" s="543"/>
      <c r="VPU61" s="543"/>
      <c r="VPV61" s="543"/>
      <c r="VPW61" s="543"/>
      <c r="VPX61" s="543"/>
      <c r="VPY61" s="543"/>
      <c r="VPZ61" s="543"/>
      <c r="VQA61" s="543"/>
      <c r="VQB61" s="543"/>
      <c r="VQC61" s="543"/>
      <c r="VQD61" s="543"/>
      <c r="VQE61" s="543"/>
      <c r="VQF61" s="543"/>
      <c r="VQG61" s="543"/>
      <c r="VQH61" s="543"/>
      <c r="VQI61" s="543"/>
      <c r="VQJ61" s="543"/>
      <c r="VQK61" s="543"/>
      <c r="VQL61" s="543"/>
      <c r="VQM61" s="543"/>
      <c r="VQN61" s="543"/>
      <c r="VQO61" s="543"/>
      <c r="VQP61" s="543"/>
      <c r="VQQ61" s="543"/>
      <c r="VQR61" s="543"/>
      <c r="VQS61" s="543"/>
      <c r="VQT61" s="543"/>
      <c r="VQU61" s="543"/>
      <c r="VQV61" s="543"/>
      <c r="VQW61" s="543"/>
      <c r="VQX61" s="543"/>
      <c r="VQY61" s="543"/>
      <c r="VQZ61" s="543"/>
      <c r="VRA61" s="543"/>
      <c r="VRB61" s="543"/>
      <c r="VRC61" s="543"/>
      <c r="VRD61" s="543"/>
      <c r="VRE61" s="543"/>
      <c r="VRF61" s="543"/>
      <c r="VRG61" s="543"/>
      <c r="VRH61" s="543"/>
      <c r="VRI61" s="543"/>
      <c r="VRJ61" s="543"/>
      <c r="VRK61" s="543"/>
      <c r="VRL61" s="543"/>
      <c r="VRM61" s="543"/>
      <c r="VRN61" s="543"/>
      <c r="VRO61" s="543"/>
      <c r="VRP61" s="543"/>
      <c r="VRQ61" s="543"/>
      <c r="VRR61" s="543"/>
      <c r="VRS61" s="543"/>
      <c r="VRT61" s="543"/>
      <c r="VRU61" s="543"/>
      <c r="VRV61" s="543"/>
      <c r="VRW61" s="543"/>
      <c r="VRX61" s="543"/>
      <c r="VRY61" s="543"/>
      <c r="VRZ61" s="543"/>
      <c r="VSA61" s="543"/>
      <c r="VSB61" s="543"/>
      <c r="VSC61" s="543"/>
      <c r="VSD61" s="543"/>
      <c r="VSE61" s="543"/>
      <c r="VSF61" s="543"/>
      <c r="VSG61" s="543"/>
      <c r="VSH61" s="543"/>
      <c r="VSI61" s="543"/>
      <c r="VSJ61" s="543"/>
      <c r="VSK61" s="543"/>
      <c r="VSL61" s="543"/>
      <c r="VSM61" s="543"/>
      <c r="VSN61" s="543"/>
      <c r="VSO61" s="543"/>
      <c r="VSP61" s="543"/>
      <c r="VSQ61" s="543"/>
      <c r="VSR61" s="543"/>
      <c r="VSS61" s="543"/>
      <c r="VST61" s="543"/>
      <c r="VSU61" s="543"/>
      <c r="VSV61" s="543"/>
      <c r="VSW61" s="543"/>
      <c r="VSX61" s="543"/>
      <c r="VSY61" s="543"/>
      <c r="VSZ61" s="543"/>
      <c r="VTA61" s="543"/>
      <c r="VTB61" s="543"/>
      <c r="VTC61" s="543"/>
      <c r="VTD61" s="543"/>
      <c r="VTE61" s="543"/>
      <c r="VTF61" s="543"/>
      <c r="VTG61" s="543"/>
      <c r="VTH61" s="543"/>
      <c r="VTI61" s="543"/>
      <c r="VTJ61" s="543"/>
      <c r="VTK61" s="543"/>
      <c r="VTL61" s="543"/>
      <c r="VTM61" s="543"/>
      <c r="VTN61" s="543"/>
      <c r="VTO61" s="543"/>
      <c r="VTP61" s="543"/>
      <c r="VTQ61" s="543"/>
      <c r="VTR61" s="543"/>
      <c r="VTS61" s="543"/>
      <c r="VTT61" s="543"/>
      <c r="VTU61" s="543"/>
      <c r="VTV61" s="543"/>
      <c r="VTW61" s="543"/>
      <c r="VTX61" s="543"/>
      <c r="VTY61" s="543"/>
      <c r="VTZ61" s="543"/>
      <c r="VUA61" s="543"/>
      <c r="VUB61" s="543"/>
      <c r="VUC61" s="543"/>
      <c r="VUD61" s="543"/>
      <c r="VUE61" s="543"/>
      <c r="VUF61" s="543"/>
      <c r="VUG61" s="543"/>
      <c r="VUH61" s="543"/>
      <c r="VUI61" s="543"/>
      <c r="VUJ61" s="543"/>
      <c r="VUK61" s="543"/>
      <c r="VUL61" s="543"/>
      <c r="VUM61" s="543"/>
      <c r="VUN61" s="543"/>
      <c r="VUO61" s="543"/>
      <c r="VUP61" s="543"/>
      <c r="VUQ61" s="543"/>
      <c r="VUR61" s="543"/>
      <c r="VUS61" s="543"/>
      <c r="VUT61" s="543"/>
      <c r="VUU61" s="543"/>
      <c r="VUV61" s="543"/>
      <c r="VUW61" s="543"/>
      <c r="VUX61" s="543"/>
      <c r="VUY61" s="543"/>
      <c r="VUZ61" s="543"/>
      <c r="VVA61" s="543"/>
      <c r="VVB61" s="543"/>
      <c r="VVC61" s="543"/>
      <c r="VVD61" s="543"/>
      <c r="VVE61" s="543"/>
      <c r="VVF61" s="543"/>
      <c r="VVG61" s="543"/>
      <c r="VVH61" s="543"/>
      <c r="VVI61" s="543"/>
      <c r="VVJ61" s="543"/>
      <c r="VVK61" s="543"/>
      <c r="VVL61" s="543"/>
      <c r="VVM61" s="543"/>
      <c r="VVN61" s="543"/>
      <c r="VVO61" s="543"/>
      <c r="VVP61" s="543"/>
      <c r="VVQ61" s="543"/>
      <c r="VVR61" s="543"/>
      <c r="VVS61" s="543"/>
      <c r="VVT61" s="543"/>
      <c r="VVU61" s="543"/>
      <c r="VVV61" s="543"/>
      <c r="VVW61" s="543"/>
      <c r="VVX61" s="543"/>
      <c r="VVY61" s="543"/>
      <c r="VVZ61" s="543"/>
      <c r="VWA61" s="543"/>
      <c r="VWB61" s="543"/>
      <c r="VWC61" s="543"/>
      <c r="VWD61" s="543"/>
      <c r="VWE61" s="543"/>
      <c r="VWF61" s="543"/>
      <c r="VWG61" s="543"/>
      <c r="VWH61" s="543"/>
      <c r="VWI61" s="543"/>
      <c r="VWJ61" s="543"/>
      <c r="VWK61" s="543"/>
      <c r="VWL61" s="543"/>
      <c r="VWM61" s="543"/>
      <c r="VWN61" s="543"/>
      <c r="VWO61" s="543"/>
      <c r="VWP61" s="543"/>
      <c r="VWQ61" s="543"/>
      <c r="VWR61" s="543"/>
      <c r="VWS61" s="543"/>
      <c r="VWT61" s="543"/>
      <c r="VWU61" s="543"/>
      <c r="VWV61" s="543"/>
      <c r="VWW61" s="543"/>
      <c r="VWX61" s="543"/>
      <c r="VWY61" s="543"/>
      <c r="VWZ61" s="543"/>
      <c r="VXA61" s="543"/>
      <c r="VXB61" s="543"/>
      <c r="VXC61" s="543"/>
      <c r="VXD61" s="543"/>
      <c r="VXE61" s="543"/>
      <c r="VXF61" s="543"/>
      <c r="VXG61" s="543"/>
      <c r="VXH61" s="543"/>
      <c r="VXI61" s="543"/>
      <c r="VXJ61" s="543"/>
      <c r="VXK61" s="543"/>
      <c r="VXL61" s="543"/>
      <c r="VXM61" s="543"/>
      <c r="VXN61" s="543"/>
      <c r="VXO61" s="543"/>
      <c r="VXP61" s="543"/>
      <c r="VXQ61" s="543"/>
      <c r="VXR61" s="543"/>
      <c r="VXS61" s="543"/>
      <c r="VXT61" s="543"/>
      <c r="VXU61" s="543"/>
      <c r="VXV61" s="543"/>
      <c r="VXW61" s="543"/>
      <c r="VXX61" s="543"/>
      <c r="VXY61" s="543"/>
      <c r="VXZ61" s="543"/>
      <c r="VYA61" s="543"/>
      <c r="VYB61" s="543"/>
      <c r="VYC61" s="543"/>
      <c r="VYD61" s="543"/>
      <c r="VYE61" s="543"/>
      <c r="VYF61" s="543"/>
      <c r="VYG61" s="543"/>
      <c r="VYH61" s="543"/>
      <c r="VYI61" s="543"/>
      <c r="VYJ61" s="543"/>
      <c r="VYK61" s="543"/>
      <c r="VYL61" s="543"/>
      <c r="VYM61" s="543"/>
      <c r="VYN61" s="543"/>
      <c r="VYO61" s="543"/>
      <c r="VYP61" s="543"/>
      <c r="VYQ61" s="543"/>
      <c r="VYR61" s="543"/>
      <c r="VYS61" s="543"/>
      <c r="VYT61" s="543"/>
      <c r="VYU61" s="543"/>
      <c r="VYV61" s="543"/>
      <c r="VYW61" s="543"/>
      <c r="VYX61" s="543"/>
      <c r="VYY61" s="543"/>
      <c r="VYZ61" s="543"/>
      <c r="VZA61" s="543"/>
      <c r="VZB61" s="543"/>
      <c r="VZC61" s="543"/>
      <c r="VZD61" s="543"/>
      <c r="VZE61" s="543"/>
      <c r="VZF61" s="543"/>
      <c r="VZG61" s="543"/>
      <c r="VZH61" s="543"/>
      <c r="VZI61" s="543"/>
      <c r="VZJ61" s="543"/>
      <c r="VZK61" s="543"/>
      <c r="VZL61" s="543"/>
      <c r="VZM61" s="543"/>
      <c r="VZN61" s="543"/>
      <c r="VZO61" s="543"/>
      <c r="VZP61" s="543"/>
      <c r="VZQ61" s="543"/>
      <c r="VZR61" s="543"/>
      <c r="VZS61" s="543"/>
      <c r="VZT61" s="543"/>
      <c r="VZU61" s="543"/>
      <c r="VZV61" s="543"/>
      <c r="VZW61" s="543"/>
      <c r="VZX61" s="543"/>
      <c r="VZY61" s="543"/>
      <c r="VZZ61" s="543"/>
      <c r="WAA61" s="543"/>
      <c r="WAB61" s="543"/>
      <c r="WAC61" s="543"/>
      <c r="WAD61" s="543"/>
      <c r="WAE61" s="543"/>
      <c r="WAF61" s="543"/>
      <c r="WAG61" s="543"/>
      <c r="WAH61" s="543"/>
      <c r="WAI61" s="543"/>
      <c r="WAJ61" s="543"/>
      <c r="WAK61" s="543"/>
      <c r="WAL61" s="543"/>
      <c r="WAM61" s="543"/>
      <c r="WAN61" s="543"/>
      <c r="WAO61" s="543"/>
      <c r="WAP61" s="543"/>
      <c r="WAQ61" s="543"/>
      <c r="WAR61" s="543"/>
      <c r="WAS61" s="543"/>
      <c r="WAT61" s="543"/>
      <c r="WAU61" s="543"/>
      <c r="WAV61" s="543"/>
      <c r="WAW61" s="543"/>
      <c r="WAX61" s="543"/>
      <c r="WAY61" s="543"/>
      <c r="WAZ61" s="543"/>
      <c r="WBA61" s="543"/>
      <c r="WBB61" s="543"/>
      <c r="WBC61" s="543"/>
      <c r="WBD61" s="543"/>
      <c r="WBE61" s="543"/>
      <c r="WBF61" s="543"/>
      <c r="WBG61" s="543"/>
      <c r="WBH61" s="543"/>
      <c r="WBI61" s="543"/>
      <c r="WBJ61" s="543"/>
      <c r="WBK61" s="543"/>
      <c r="WBL61" s="543"/>
      <c r="WBM61" s="543"/>
      <c r="WBN61" s="543"/>
      <c r="WBO61" s="543"/>
      <c r="WBP61" s="543"/>
      <c r="WBQ61" s="543"/>
      <c r="WBR61" s="543"/>
      <c r="WBS61" s="543"/>
      <c r="WBT61" s="543"/>
      <c r="WBU61" s="543"/>
      <c r="WBV61" s="543"/>
      <c r="WBW61" s="543"/>
      <c r="WBX61" s="543"/>
      <c r="WBY61" s="543"/>
      <c r="WBZ61" s="543"/>
      <c r="WCA61" s="543"/>
      <c r="WCB61" s="543"/>
      <c r="WCC61" s="543"/>
      <c r="WCD61" s="543"/>
      <c r="WCE61" s="543"/>
      <c r="WCF61" s="543"/>
      <c r="WCG61" s="543"/>
      <c r="WCH61" s="543"/>
      <c r="WCI61" s="543"/>
      <c r="WCJ61" s="543"/>
      <c r="WCK61" s="543"/>
      <c r="WCL61" s="543"/>
      <c r="WCM61" s="543"/>
      <c r="WCN61" s="543"/>
      <c r="WCO61" s="543"/>
      <c r="WCP61" s="543"/>
      <c r="WCQ61" s="543"/>
      <c r="WCR61" s="543"/>
      <c r="WCS61" s="543"/>
      <c r="WCT61" s="543"/>
      <c r="WCU61" s="543"/>
      <c r="WCV61" s="543"/>
      <c r="WCW61" s="543"/>
      <c r="WCX61" s="543"/>
      <c r="WCY61" s="543"/>
      <c r="WCZ61" s="543"/>
      <c r="WDA61" s="543"/>
      <c r="WDB61" s="543"/>
      <c r="WDC61" s="543"/>
      <c r="WDD61" s="543"/>
      <c r="WDE61" s="543"/>
      <c r="WDF61" s="543"/>
      <c r="WDG61" s="543"/>
      <c r="WDH61" s="543"/>
      <c r="WDI61" s="543"/>
      <c r="WDJ61" s="543"/>
      <c r="WDK61" s="543"/>
      <c r="WDL61" s="543"/>
      <c r="WDM61" s="543"/>
      <c r="WDN61" s="543"/>
      <c r="WDO61" s="543"/>
      <c r="WDP61" s="543"/>
      <c r="WDQ61" s="543"/>
      <c r="WDR61" s="543"/>
      <c r="WDS61" s="543"/>
      <c r="WDT61" s="543"/>
      <c r="WDU61" s="543"/>
      <c r="WDV61" s="543"/>
      <c r="WDW61" s="543"/>
      <c r="WDX61" s="543"/>
      <c r="WDY61" s="543"/>
      <c r="WDZ61" s="543"/>
      <c r="WEA61" s="543"/>
      <c r="WEB61" s="543"/>
      <c r="WEC61" s="543"/>
      <c r="WED61" s="543"/>
      <c r="WEE61" s="543"/>
      <c r="WEF61" s="543"/>
      <c r="WEG61" s="543"/>
      <c r="WEH61" s="543"/>
      <c r="WEI61" s="543"/>
      <c r="WEJ61" s="543"/>
      <c r="WEK61" s="543"/>
      <c r="WEL61" s="543"/>
      <c r="WEM61" s="543"/>
      <c r="WEN61" s="543"/>
      <c r="WEO61" s="543"/>
      <c r="WEP61" s="543"/>
      <c r="WEQ61" s="543"/>
      <c r="WER61" s="543"/>
      <c r="WES61" s="543"/>
      <c r="WET61" s="543"/>
      <c r="WEU61" s="543"/>
      <c r="WEV61" s="543"/>
      <c r="WEW61" s="543"/>
      <c r="WEX61" s="543"/>
      <c r="WEY61" s="543"/>
      <c r="WEZ61" s="543"/>
      <c r="WFA61" s="543"/>
      <c r="WFB61" s="543"/>
      <c r="WFC61" s="543"/>
      <c r="WFD61" s="543"/>
      <c r="WFE61" s="543"/>
      <c r="WFF61" s="543"/>
      <c r="WFG61" s="543"/>
      <c r="WFH61" s="543"/>
      <c r="WFI61" s="543"/>
      <c r="WFJ61" s="543"/>
      <c r="WFK61" s="543"/>
      <c r="WFL61" s="543"/>
      <c r="WFM61" s="543"/>
      <c r="WFN61" s="543"/>
      <c r="WFO61" s="543"/>
      <c r="WFP61" s="543"/>
      <c r="WFQ61" s="543"/>
      <c r="WFR61" s="543"/>
      <c r="WFS61" s="543"/>
      <c r="WFT61" s="543"/>
      <c r="WFU61" s="543"/>
      <c r="WFV61" s="543"/>
      <c r="WFW61" s="543"/>
      <c r="WFX61" s="543"/>
      <c r="WFY61" s="543"/>
      <c r="WFZ61" s="543"/>
      <c r="WGA61" s="543"/>
      <c r="WGB61" s="543"/>
      <c r="WGC61" s="543"/>
      <c r="WGD61" s="543"/>
      <c r="WGE61" s="543"/>
      <c r="WGF61" s="543"/>
      <c r="WGG61" s="543"/>
      <c r="WGH61" s="543"/>
      <c r="WGI61" s="543"/>
      <c r="WGJ61" s="543"/>
      <c r="WGK61" s="543"/>
      <c r="WGL61" s="543"/>
      <c r="WGM61" s="543"/>
      <c r="WGN61" s="543"/>
      <c r="WGO61" s="543"/>
      <c r="WGP61" s="543"/>
      <c r="WGQ61" s="543"/>
      <c r="WGR61" s="543"/>
      <c r="WGS61" s="543"/>
      <c r="WGT61" s="543"/>
      <c r="WGU61" s="543"/>
      <c r="WGV61" s="543"/>
      <c r="WGW61" s="543"/>
      <c r="WGX61" s="543"/>
      <c r="WGY61" s="543"/>
      <c r="WGZ61" s="543"/>
      <c r="WHA61" s="543"/>
      <c r="WHB61" s="543"/>
      <c r="WHC61" s="543"/>
      <c r="WHD61" s="543"/>
      <c r="WHE61" s="543"/>
      <c r="WHF61" s="543"/>
      <c r="WHG61" s="543"/>
      <c r="WHH61" s="543"/>
      <c r="WHI61" s="543"/>
      <c r="WHJ61" s="543"/>
      <c r="WHK61" s="543"/>
      <c r="WHL61" s="543"/>
      <c r="WHM61" s="543"/>
      <c r="WHN61" s="543"/>
      <c r="WHO61" s="543"/>
      <c r="WHP61" s="543"/>
      <c r="WHQ61" s="543"/>
      <c r="WHR61" s="543"/>
      <c r="WHS61" s="543"/>
      <c r="WHT61" s="543"/>
      <c r="WHU61" s="543"/>
      <c r="WHV61" s="543"/>
      <c r="WHW61" s="543"/>
      <c r="WHX61" s="543"/>
      <c r="WHY61" s="543"/>
      <c r="WHZ61" s="543"/>
      <c r="WIA61" s="543"/>
      <c r="WIB61" s="543"/>
      <c r="WIC61" s="543"/>
      <c r="WID61" s="543"/>
      <c r="WIE61" s="543"/>
      <c r="WIF61" s="543"/>
      <c r="WIG61" s="543"/>
      <c r="WIH61" s="543"/>
      <c r="WII61" s="543"/>
      <c r="WIJ61" s="543"/>
      <c r="WIK61" s="543"/>
      <c r="WIL61" s="543"/>
      <c r="WIM61" s="543"/>
      <c r="WIN61" s="543"/>
      <c r="WIO61" s="543"/>
      <c r="WIP61" s="543"/>
      <c r="WIQ61" s="543"/>
      <c r="WIR61" s="543"/>
      <c r="WIS61" s="543"/>
      <c r="WIT61" s="543"/>
      <c r="WIU61" s="543"/>
      <c r="WIV61" s="543"/>
      <c r="WIW61" s="543"/>
      <c r="WIX61" s="543"/>
      <c r="WIY61" s="543"/>
      <c r="WIZ61" s="543"/>
      <c r="WJA61" s="543"/>
      <c r="WJB61" s="543"/>
      <c r="WJC61" s="543"/>
      <c r="WJD61" s="543"/>
      <c r="WJE61" s="543"/>
      <c r="WJF61" s="543"/>
      <c r="WJG61" s="543"/>
      <c r="WJH61" s="543"/>
      <c r="WJI61" s="543"/>
      <c r="WJJ61" s="543"/>
      <c r="WJK61" s="543"/>
      <c r="WJL61" s="543"/>
      <c r="WJM61" s="543"/>
      <c r="WJN61" s="543"/>
      <c r="WJO61" s="543"/>
      <c r="WJP61" s="543"/>
      <c r="WJQ61" s="543"/>
      <c r="WJR61" s="543"/>
      <c r="WJS61" s="543"/>
      <c r="WJT61" s="543"/>
      <c r="WJU61" s="543"/>
      <c r="WJV61" s="543"/>
      <c r="WJW61" s="543"/>
      <c r="WJX61" s="543"/>
      <c r="WJY61" s="543"/>
      <c r="WJZ61" s="543"/>
      <c r="WKA61" s="543"/>
      <c r="WKB61" s="543"/>
      <c r="WKC61" s="543"/>
      <c r="WKD61" s="543"/>
      <c r="WKE61" s="543"/>
      <c r="WKF61" s="543"/>
      <c r="WKG61" s="543"/>
      <c r="WKH61" s="543"/>
      <c r="WKI61" s="543"/>
      <c r="WKJ61" s="543"/>
      <c r="WKK61" s="543"/>
      <c r="WKL61" s="543"/>
      <c r="WKM61" s="543"/>
      <c r="WKN61" s="543"/>
      <c r="WKO61" s="543"/>
      <c r="WKP61" s="543"/>
      <c r="WKQ61" s="543"/>
      <c r="WKR61" s="543"/>
      <c r="WKS61" s="543"/>
      <c r="WKT61" s="543"/>
      <c r="WKU61" s="543"/>
      <c r="WKV61" s="543"/>
      <c r="WKW61" s="543"/>
      <c r="WKX61" s="543"/>
      <c r="WKY61" s="543"/>
      <c r="WKZ61" s="543"/>
      <c r="WLA61" s="543"/>
      <c r="WLB61" s="543"/>
      <c r="WLC61" s="543"/>
      <c r="WLD61" s="543"/>
      <c r="WLE61" s="543"/>
      <c r="WLF61" s="543"/>
      <c r="WLG61" s="543"/>
      <c r="WLH61" s="543"/>
      <c r="WLI61" s="543"/>
      <c r="WLJ61" s="543"/>
      <c r="WLK61" s="543"/>
      <c r="WLL61" s="543"/>
      <c r="WLM61" s="543"/>
      <c r="WLN61" s="543"/>
      <c r="WLO61" s="543"/>
      <c r="WLP61" s="543"/>
      <c r="WLQ61" s="543"/>
      <c r="WLR61" s="543"/>
      <c r="WLS61" s="543"/>
      <c r="WLT61" s="543"/>
      <c r="WLU61" s="543"/>
      <c r="WLV61" s="543"/>
      <c r="WLW61" s="543"/>
      <c r="WLX61" s="543"/>
      <c r="WLY61" s="543"/>
      <c r="WLZ61" s="543"/>
      <c r="WMA61" s="543"/>
      <c r="WMB61" s="543"/>
      <c r="WMC61" s="543"/>
      <c r="WMD61" s="543"/>
      <c r="WME61" s="543"/>
      <c r="WMF61" s="543"/>
      <c r="WMG61" s="543"/>
      <c r="WMH61" s="543"/>
      <c r="WMI61" s="543"/>
      <c r="WMJ61" s="543"/>
      <c r="WMK61" s="543"/>
      <c r="WML61" s="543"/>
      <c r="WMM61" s="543"/>
      <c r="WMN61" s="543"/>
      <c r="WMO61" s="543"/>
      <c r="WMP61" s="543"/>
      <c r="WMQ61" s="543"/>
      <c r="WMR61" s="543"/>
      <c r="WMS61" s="543"/>
      <c r="WMT61" s="543"/>
      <c r="WMU61" s="543"/>
      <c r="WMV61" s="543"/>
      <c r="WMW61" s="543"/>
      <c r="WMX61" s="543"/>
      <c r="WMY61" s="543"/>
      <c r="WMZ61" s="543"/>
      <c r="WNA61" s="543"/>
      <c r="WNB61" s="543"/>
      <c r="WNC61" s="543"/>
      <c r="WND61" s="543"/>
      <c r="WNE61" s="543"/>
      <c r="WNF61" s="543"/>
      <c r="WNG61" s="543"/>
      <c r="WNH61" s="543"/>
      <c r="WNI61" s="543"/>
      <c r="WNJ61" s="543"/>
      <c r="WNK61" s="543"/>
      <c r="WNL61" s="543"/>
      <c r="WNM61" s="543"/>
      <c r="WNN61" s="543"/>
      <c r="WNO61" s="543"/>
      <c r="WNP61" s="543"/>
      <c r="WNQ61" s="543"/>
      <c r="WNR61" s="543"/>
      <c r="WNS61" s="543"/>
      <c r="WNT61" s="543"/>
      <c r="WNU61" s="543"/>
      <c r="WNV61" s="543"/>
      <c r="WNW61" s="543"/>
      <c r="WNX61" s="543"/>
      <c r="WNY61" s="543"/>
      <c r="WNZ61" s="543"/>
      <c r="WOA61" s="543"/>
      <c r="WOB61" s="543"/>
      <c r="WOC61" s="543"/>
      <c r="WOD61" s="543"/>
      <c r="WOE61" s="543"/>
      <c r="WOF61" s="543"/>
      <c r="WOG61" s="543"/>
      <c r="WOH61" s="543"/>
      <c r="WOI61" s="543"/>
      <c r="WOJ61" s="543"/>
      <c r="WOK61" s="543"/>
      <c r="WOL61" s="543"/>
      <c r="WOM61" s="543"/>
      <c r="WON61" s="543"/>
      <c r="WOO61" s="543"/>
      <c r="WOP61" s="543"/>
      <c r="WOQ61" s="543"/>
      <c r="WOR61" s="543"/>
      <c r="WOS61" s="543"/>
      <c r="WOT61" s="543"/>
      <c r="WOU61" s="543"/>
      <c r="WOV61" s="543"/>
      <c r="WOW61" s="543"/>
      <c r="WOX61" s="543"/>
      <c r="WOY61" s="543"/>
      <c r="WOZ61" s="543"/>
      <c r="WPA61" s="543"/>
      <c r="WPB61" s="543"/>
      <c r="WPC61" s="543"/>
      <c r="WPD61" s="543"/>
      <c r="WPE61" s="543"/>
      <c r="WPF61" s="543"/>
      <c r="WPG61" s="543"/>
      <c r="WPH61" s="543"/>
      <c r="WPI61" s="543"/>
      <c r="WPJ61" s="543"/>
      <c r="WPK61" s="543"/>
      <c r="WPL61" s="543"/>
      <c r="WPM61" s="543"/>
      <c r="WPN61" s="543"/>
      <c r="WPO61" s="543"/>
      <c r="WPP61" s="543"/>
      <c r="WPQ61" s="543"/>
      <c r="WPR61" s="543"/>
      <c r="WPS61" s="543"/>
      <c r="WPT61" s="543"/>
      <c r="WPU61" s="543"/>
      <c r="WPV61" s="543"/>
      <c r="WPW61" s="543"/>
      <c r="WPX61" s="543"/>
      <c r="WPY61" s="543"/>
      <c r="WPZ61" s="543"/>
      <c r="WQA61" s="543"/>
      <c r="WQB61" s="543"/>
      <c r="WQC61" s="543"/>
      <c r="WQD61" s="543"/>
      <c r="WQE61" s="543"/>
      <c r="WQF61" s="543"/>
      <c r="WQG61" s="543"/>
      <c r="WQH61" s="543"/>
      <c r="WQI61" s="543"/>
      <c r="WQJ61" s="543"/>
      <c r="WQK61" s="543"/>
      <c r="WQL61" s="543"/>
      <c r="WQM61" s="543"/>
      <c r="WQN61" s="543"/>
      <c r="WQO61" s="543"/>
      <c r="WQP61" s="543"/>
      <c r="WQQ61" s="543"/>
      <c r="WQR61" s="543"/>
      <c r="WQS61" s="543"/>
      <c r="WQT61" s="543"/>
      <c r="WQU61" s="543"/>
      <c r="WQV61" s="543"/>
      <c r="WQW61" s="543"/>
      <c r="WQX61" s="543"/>
      <c r="WQY61" s="543"/>
      <c r="WQZ61" s="543"/>
      <c r="WRA61" s="543"/>
      <c r="WRB61" s="543"/>
      <c r="WRC61" s="543"/>
      <c r="WRD61" s="543"/>
      <c r="WRE61" s="543"/>
      <c r="WRF61" s="543"/>
      <c r="WRG61" s="543"/>
      <c r="WRH61" s="543"/>
      <c r="WRI61" s="543"/>
      <c r="WRJ61" s="543"/>
      <c r="WRK61" s="543"/>
      <c r="WRL61" s="543"/>
      <c r="WRM61" s="543"/>
      <c r="WRN61" s="543"/>
      <c r="WRO61" s="543"/>
      <c r="WRP61" s="543"/>
      <c r="WRQ61" s="543"/>
      <c r="WRR61" s="543"/>
      <c r="WRS61" s="543"/>
      <c r="WRT61" s="543"/>
      <c r="WRU61" s="543"/>
      <c r="WRV61" s="543"/>
      <c r="WRW61" s="543"/>
      <c r="WRX61" s="543"/>
      <c r="WRY61" s="543"/>
      <c r="WRZ61" s="543"/>
      <c r="WSA61" s="543"/>
      <c r="WSB61" s="543"/>
      <c r="WSC61" s="543"/>
      <c r="WSD61" s="543"/>
      <c r="WSE61" s="543"/>
      <c r="WSF61" s="543"/>
      <c r="WSG61" s="543"/>
      <c r="WSH61" s="543"/>
      <c r="WSI61" s="543"/>
      <c r="WSJ61" s="543"/>
      <c r="WSK61" s="543"/>
      <c r="WSL61" s="543"/>
      <c r="WSM61" s="543"/>
      <c r="WSN61" s="543"/>
      <c r="WSO61" s="543"/>
      <c r="WSP61" s="543"/>
      <c r="WSQ61" s="543"/>
      <c r="WSR61" s="543"/>
      <c r="WSS61" s="543"/>
      <c r="WST61" s="543"/>
      <c r="WSU61" s="543"/>
      <c r="WSV61" s="543"/>
      <c r="WSW61" s="543"/>
      <c r="WSX61" s="543"/>
      <c r="WSY61" s="543"/>
      <c r="WSZ61" s="543"/>
      <c r="WTA61" s="543"/>
      <c r="WTB61" s="543"/>
      <c r="WTC61" s="543"/>
      <c r="WTD61" s="543"/>
      <c r="WTE61" s="543"/>
      <c r="WTF61" s="543"/>
      <c r="WTG61" s="543"/>
      <c r="WTH61" s="543"/>
      <c r="WTI61" s="543"/>
      <c r="WTJ61" s="543"/>
      <c r="WTK61" s="543"/>
      <c r="WTL61" s="543"/>
      <c r="WTM61" s="543"/>
      <c r="WTN61" s="543"/>
      <c r="WTO61" s="543"/>
      <c r="WTP61" s="543"/>
      <c r="WTQ61" s="543"/>
      <c r="WTR61" s="543"/>
      <c r="WTS61" s="543"/>
      <c r="WTT61" s="543"/>
      <c r="WTU61" s="543"/>
      <c r="WTV61" s="543"/>
      <c r="WTW61" s="543"/>
      <c r="WTX61" s="543"/>
      <c r="WTY61" s="543"/>
      <c r="WTZ61" s="543"/>
      <c r="WUA61" s="543"/>
      <c r="WUB61" s="543"/>
      <c r="WUC61" s="543"/>
      <c r="WUD61" s="543"/>
      <c r="WUE61" s="543"/>
      <c r="WUF61" s="543"/>
      <c r="WUG61" s="543"/>
      <c r="WUH61" s="543"/>
      <c r="WUI61" s="543"/>
      <c r="WUJ61" s="543"/>
      <c r="WUK61" s="543"/>
      <c r="WUL61" s="543"/>
      <c r="WUM61" s="543"/>
      <c r="WUN61" s="543"/>
      <c r="WUO61" s="543"/>
      <c r="WUP61" s="543"/>
      <c r="WUQ61" s="543"/>
      <c r="WUR61" s="543"/>
      <c r="WUS61" s="543"/>
      <c r="WUT61" s="543"/>
      <c r="WUU61" s="543"/>
      <c r="WUV61" s="543"/>
      <c r="WUW61" s="543"/>
      <c r="WUX61" s="543"/>
      <c r="WUY61" s="543"/>
      <c r="WUZ61" s="543"/>
      <c r="WVA61" s="543"/>
      <c r="WVB61" s="543"/>
      <c r="WVC61" s="543"/>
      <c r="WVD61" s="543"/>
      <c r="WVE61" s="543"/>
      <c r="WVF61" s="543"/>
      <c r="WVG61" s="543"/>
      <c r="WVH61" s="543"/>
      <c r="WVI61" s="543"/>
      <c r="WVJ61" s="543"/>
      <c r="WVK61" s="543"/>
      <c r="WVL61" s="543"/>
      <c r="WVM61" s="543"/>
      <c r="WVN61" s="543"/>
      <c r="WVO61" s="543"/>
      <c r="WVP61" s="543"/>
      <c r="WVQ61" s="543"/>
      <c r="WVR61" s="543"/>
      <c r="WVS61" s="543"/>
      <c r="WVT61" s="543"/>
      <c r="WVU61" s="543"/>
      <c r="WVV61" s="543"/>
      <c r="WVW61" s="543"/>
      <c r="WVX61" s="543"/>
      <c r="WVY61" s="543"/>
      <c r="WVZ61" s="543"/>
      <c r="WWA61" s="543"/>
      <c r="WWB61" s="543"/>
      <c r="WWC61" s="543"/>
      <c r="WWD61" s="543"/>
      <c r="WWE61" s="543"/>
      <c r="WWF61" s="543"/>
      <c r="WWG61" s="543"/>
      <c r="WWH61" s="543"/>
      <c r="WWI61" s="543"/>
      <c r="WWJ61" s="543"/>
      <c r="WWK61" s="543"/>
      <c r="WWL61" s="543"/>
      <c r="WWM61" s="543"/>
      <c r="WWN61" s="543"/>
      <c r="WWO61" s="543"/>
      <c r="WWP61" s="543"/>
      <c r="WWQ61" s="543"/>
      <c r="WWR61" s="543"/>
      <c r="WWS61" s="543"/>
      <c r="WWT61" s="543"/>
      <c r="WWU61" s="543"/>
      <c r="WWV61" s="543"/>
      <c r="WWW61" s="543"/>
      <c r="WWX61" s="543"/>
      <c r="WWY61" s="543"/>
      <c r="WWZ61" s="543"/>
      <c r="WXA61" s="543"/>
      <c r="WXB61" s="543"/>
      <c r="WXC61" s="543"/>
      <c r="WXD61" s="543"/>
      <c r="WXE61" s="543"/>
      <c r="WXF61" s="543"/>
      <c r="WXG61" s="543"/>
      <c r="WXH61" s="543"/>
      <c r="WXI61" s="543"/>
      <c r="WXJ61" s="543"/>
      <c r="WXK61" s="543"/>
      <c r="WXL61" s="543"/>
      <c r="WXM61" s="543"/>
      <c r="WXN61" s="543"/>
      <c r="WXO61" s="543"/>
      <c r="WXP61" s="543"/>
      <c r="WXQ61" s="543"/>
      <c r="WXR61" s="543"/>
      <c r="WXS61" s="543"/>
      <c r="WXT61" s="543"/>
      <c r="WXU61" s="543"/>
      <c r="WXV61" s="543"/>
      <c r="WXW61" s="543"/>
      <c r="WXX61" s="543"/>
      <c r="WXY61" s="543"/>
      <c r="WXZ61" s="543"/>
      <c r="WYA61" s="543"/>
      <c r="WYB61" s="543"/>
      <c r="WYC61" s="543"/>
      <c r="WYD61" s="543"/>
      <c r="WYE61" s="543"/>
      <c r="WYF61" s="543"/>
      <c r="WYG61" s="543"/>
      <c r="WYH61" s="543"/>
      <c r="WYI61" s="543"/>
      <c r="WYJ61" s="543"/>
      <c r="WYK61" s="543"/>
      <c r="WYL61" s="543"/>
      <c r="WYM61" s="543"/>
      <c r="WYN61" s="543"/>
      <c r="WYO61" s="543"/>
      <c r="WYP61" s="543"/>
      <c r="WYQ61" s="543"/>
      <c r="WYR61" s="543"/>
      <c r="WYS61" s="543"/>
      <c r="WYT61" s="543"/>
      <c r="WYU61" s="543"/>
      <c r="WYV61" s="543"/>
      <c r="WYW61" s="543"/>
      <c r="WYX61" s="543"/>
      <c r="WYY61" s="543"/>
      <c r="WYZ61" s="543"/>
      <c r="WZA61" s="543"/>
      <c r="WZB61" s="543"/>
      <c r="WZC61" s="543"/>
      <c r="WZD61" s="543"/>
      <c r="WZE61" s="543"/>
      <c r="WZF61" s="543"/>
      <c r="WZG61" s="543"/>
      <c r="WZH61" s="543"/>
      <c r="WZI61" s="543"/>
      <c r="WZJ61" s="543"/>
      <c r="WZK61" s="543"/>
      <c r="WZL61" s="543"/>
      <c r="WZM61" s="543"/>
      <c r="WZN61" s="543"/>
      <c r="WZO61" s="543"/>
      <c r="WZP61" s="543"/>
      <c r="WZQ61" s="543"/>
      <c r="WZR61" s="543"/>
      <c r="WZS61" s="543"/>
      <c r="WZT61" s="543"/>
      <c r="WZU61" s="543"/>
      <c r="WZV61" s="543"/>
      <c r="WZW61" s="543"/>
      <c r="WZX61" s="543"/>
      <c r="WZY61" s="543"/>
      <c r="WZZ61" s="543"/>
      <c r="XAA61" s="543"/>
      <c r="XAB61" s="543"/>
      <c r="XAC61" s="543"/>
      <c r="XAD61" s="543"/>
      <c r="XAE61" s="543"/>
      <c r="XAF61" s="543"/>
      <c r="XAG61" s="543"/>
      <c r="XAH61" s="543"/>
      <c r="XAI61" s="543"/>
      <c r="XAJ61" s="543"/>
      <c r="XAK61" s="543"/>
      <c r="XAL61" s="543"/>
      <c r="XAM61" s="543"/>
      <c r="XAN61" s="543"/>
      <c r="XAO61" s="543"/>
      <c r="XAP61" s="543"/>
      <c r="XAQ61" s="543"/>
      <c r="XAR61" s="543"/>
      <c r="XAS61" s="543"/>
      <c r="XAT61" s="543"/>
      <c r="XAU61" s="543"/>
      <c r="XAV61" s="543"/>
      <c r="XAW61" s="543"/>
      <c r="XAX61" s="543"/>
      <c r="XAY61" s="543"/>
      <c r="XAZ61" s="543"/>
      <c r="XBA61" s="543"/>
      <c r="XBB61" s="543"/>
      <c r="XBC61" s="543"/>
      <c r="XBD61" s="543"/>
      <c r="XBE61" s="543"/>
      <c r="XBF61" s="543"/>
      <c r="XBG61" s="543"/>
      <c r="XBH61" s="543"/>
      <c r="XBI61" s="543"/>
      <c r="XBJ61" s="543"/>
      <c r="XBK61" s="543"/>
      <c r="XBL61" s="543"/>
      <c r="XBM61" s="543"/>
      <c r="XBN61" s="543"/>
      <c r="XBO61" s="543"/>
      <c r="XBP61" s="543"/>
      <c r="XBQ61" s="543"/>
      <c r="XBR61" s="543"/>
      <c r="XBS61" s="543"/>
      <c r="XBT61" s="543"/>
      <c r="XBU61" s="543"/>
      <c r="XBV61" s="543"/>
      <c r="XBW61" s="543"/>
      <c r="XBX61" s="543"/>
      <c r="XBY61" s="543"/>
      <c r="XBZ61" s="543"/>
      <c r="XCA61" s="543"/>
      <c r="XCB61" s="543"/>
      <c r="XCC61" s="543"/>
      <c r="XCD61" s="543"/>
      <c r="XCE61" s="543"/>
      <c r="XCF61" s="543"/>
      <c r="XCG61" s="543"/>
      <c r="XCH61" s="543"/>
      <c r="XCI61" s="543"/>
      <c r="XCJ61" s="543"/>
      <c r="XCK61" s="543"/>
      <c r="XCL61" s="543"/>
      <c r="XCM61" s="543"/>
      <c r="XCN61" s="543"/>
      <c r="XCO61" s="543"/>
      <c r="XCP61" s="543"/>
      <c r="XCQ61" s="543"/>
      <c r="XCR61" s="543"/>
      <c r="XCS61" s="543"/>
      <c r="XCT61" s="543"/>
      <c r="XCU61" s="543"/>
      <c r="XCV61" s="543"/>
      <c r="XCW61" s="543"/>
      <c r="XCX61" s="543"/>
      <c r="XCY61" s="543"/>
      <c r="XCZ61" s="543"/>
      <c r="XDA61" s="543"/>
      <c r="XDB61" s="543"/>
      <c r="XDC61" s="543"/>
      <c r="XDD61" s="543"/>
      <c r="XDE61" s="543"/>
      <c r="XDF61" s="543"/>
      <c r="XDG61" s="543"/>
      <c r="XDH61" s="543"/>
      <c r="XDI61" s="543"/>
      <c r="XDJ61" s="543"/>
      <c r="XDK61" s="543"/>
      <c r="XDL61" s="543"/>
      <c r="XDM61" s="543"/>
      <c r="XDN61" s="543"/>
      <c r="XDO61" s="543"/>
      <c r="XDP61" s="543"/>
      <c r="XDQ61" s="543"/>
      <c r="XDR61" s="543"/>
      <c r="XDS61" s="543"/>
      <c r="XDT61" s="543"/>
      <c r="XDU61" s="543"/>
      <c r="XDV61" s="543"/>
      <c r="XDW61" s="543"/>
      <c r="XDX61" s="543"/>
      <c r="XDY61" s="543"/>
      <c r="XDZ61" s="543"/>
      <c r="XEA61" s="543"/>
      <c r="XEB61" s="543"/>
      <c r="XEC61" s="543"/>
      <c r="XED61" s="543"/>
      <c r="XEE61" s="543"/>
      <c r="XEF61" s="543"/>
      <c r="XEG61" s="543"/>
      <c r="XEH61" s="543"/>
      <c r="XEI61" s="543"/>
      <c r="XEJ61" s="543"/>
      <c r="XEK61" s="543"/>
      <c r="XEL61" s="543"/>
      <c r="XEM61" s="543"/>
      <c r="XEN61" s="543"/>
    </row>
    <row r="62" spans="1:16368" x14ac:dyDescent="0.2">
      <c r="A62" s="341">
        <v>42</v>
      </c>
      <c r="B62" s="342" t="s">
        <v>2449</v>
      </c>
      <c r="C62" s="343">
        <f t="shared" ref="C62:Z62" si="30">SUM(C53:C60)+C49</f>
        <v>-12332031.7608</v>
      </c>
      <c r="D62" s="343">
        <f t="shared" si="30"/>
        <v>-5204987.2391999988</v>
      </c>
      <c r="E62" s="343">
        <f t="shared" si="30"/>
        <v>17537019</v>
      </c>
      <c r="F62" s="343">
        <f t="shared" si="30"/>
        <v>104613957.52620001</v>
      </c>
      <c r="G62" s="343">
        <f t="shared" si="30"/>
        <v>-15472546.598563854</v>
      </c>
      <c r="H62" s="343">
        <f t="shared" si="30"/>
        <v>-6972972.1214361461</v>
      </c>
      <c r="I62" s="343">
        <f t="shared" si="30"/>
        <v>22445518.719999999</v>
      </c>
      <c r="J62" s="343">
        <f t="shared" si="30"/>
        <v>110363499.80281444</v>
      </c>
      <c r="K62" s="343">
        <f t="shared" si="30"/>
        <v>-15608134.301966988</v>
      </c>
      <c r="L62" s="343">
        <f t="shared" si="30"/>
        <v>-7034482.7167882118</v>
      </c>
      <c r="M62" s="343">
        <f t="shared" si="30"/>
        <v>22642617.018755201</v>
      </c>
      <c r="N62" s="343">
        <f t="shared" si="30"/>
        <v>112810321.50252691</v>
      </c>
      <c r="O62" s="343">
        <f t="shared" si="30"/>
        <v>-15746272.167904757</v>
      </c>
      <c r="P62" s="343">
        <f t="shared" si="30"/>
        <v>-7097147.8350369735</v>
      </c>
      <c r="Q62" s="343">
        <f t="shared" si="30"/>
        <v>22843420.002941728</v>
      </c>
      <c r="R62" s="343">
        <f t="shared" si="30"/>
        <v>116166997.66064346</v>
      </c>
      <c r="S62" s="343">
        <f t="shared" si="30"/>
        <v>-15887013.865957538</v>
      </c>
      <c r="T62" s="343">
        <f t="shared" si="30"/>
        <v>-7160991.8232120201</v>
      </c>
      <c r="U62" s="343">
        <f t="shared" si="30"/>
        <v>23048005.689169556</v>
      </c>
      <c r="V62" s="343">
        <f t="shared" si="30"/>
        <v>120017211.98915376</v>
      </c>
      <c r="W62" s="343">
        <f t="shared" si="30"/>
        <v>-16029382.866888622</v>
      </c>
      <c r="X62" s="343">
        <f t="shared" si="30"/>
        <v>-7225574.6488990327</v>
      </c>
      <c r="Y62" s="343">
        <f t="shared" si="30"/>
        <v>23254957.515787654</v>
      </c>
      <c r="Z62" s="343">
        <f t="shared" si="30"/>
        <v>124004774.76478103</v>
      </c>
    </row>
    <row r="63" spans="1:16368" x14ac:dyDescent="0.2">
      <c r="A63" s="331">
        <v>43</v>
      </c>
      <c r="B63" s="358" t="s">
        <v>5</v>
      </c>
      <c r="C63" s="11">
        <v>28167403</v>
      </c>
      <c r="D63" s="11">
        <v>13091889</v>
      </c>
      <c r="E63" s="11">
        <v>614672</v>
      </c>
      <c r="F63" s="10">
        <f>SUM(C63:E63)</f>
        <v>41873964</v>
      </c>
      <c r="G63" s="13">
        <v>31932231</v>
      </c>
      <c r="H63" s="13">
        <v>15249015</v>
      </c>
      <c r="I63" s="13">
        <v>819392.72</v>
      </c>
      <c r="J63" s="21">
        <f>SUM(G63:I63)</f>
        <v>48000638.719999999</v>
      </c>
      <c r="K63" s="11">
        <f>G63+K119+K126+K135+K142</f>
        <v>32152719.074999999</v>
      </c>
      <c r="L63" s="11">
        <f t="shared" ref="L63:M63" si="31">H63+L119+L126+L135+L142</f>
        <v>15352944.069150001</v>
      </c>
      <c r="M63" s="11">
        <f t="shared" si="31"/>
        <v>819392.72</v>
      </c>
      <c r="N63" s="10">
        <f>SUM(K63:M63)</f>
        <v>48325055.864150003</v>
      </c>
      <c r="O63" s="13">
        <f>K63+O119+O126+O135+O142</f>
        <v>32376514.471124999</v>
      </c>
      <c r="P63" s="13">
        <f t="shared" ref="P63" si="32">L63+P119+P126+P135+P142</f>
        <v>15458432.074337251</v>
      </c>
      <c r="Q63" s="13">
        <f t="shared" ref="Q63" si="33">M63+Q119+Q126+Q135+Q142</f>
        <v>819392.72</v>
      </c>
      <c r="R63" s="21">
        <f>SUM(O63:Q63)</f>
        <v>48654339.26546225</v>
      </c>
      <c r="S63" s="11">
        <f>O63+S119+S126+S135+S142</f>
        <v>32603666.798191875</v>
      </c>
      <c r="T63" s="11">
        <f t="shared" ref="T63" si="34">P63+T119+T126+T135+T142</f>
        <v>15565502.399602311</v>
      </c>
      <c r="U63" s="11">
        <f t="shared" ref="U63" si="35">Q63+U119+U126+U135+U142</f>
        <v>819392.72</v>
      </c>
      <c r="V63" s="10">
        <f>SUM(S63:U63)</f>
        <v>48988561.917794183</v>
      </c>
      <c r="W63" s="13">
        <f>S63+W119+W126+W135+W142</f>
        <v>32834226.410164755</v>
      </c>
      <c r="X63" s="13">
        <f t="shared" ref="X63" si="36">T63+X119+X126+X135+X142</f>
        <v>15674178.779746346</v>
      </c>
      <c r="Y63" s="13">
        <f t="shared" ref="Y63" si="37">U63+Y119+Y126+Y135+Y142</f>
        <v>819392.72</v>
      </c>
      <c r="Z63" s="21">
        <f>SUM(W63:Y63)</f>
        <v>49327797.909911096</v>
      </c>
    </row>
    <row r="64" spans="1:16368" x14ac:dyDescent="0.2">
      <c r="A64" s="331">
        <v>44</v>
      </c>
      <c r="B64" s="359" t="s">
        <v>6</v>
      </c>
      <c r="C64" s="11">
        <v>10768316</v>
      </c>
      <c r="D64" s="11">
        <v>6279688</v>
      </c>
      <c r="E64" s="11">
        <v>8839395</v>
      </c>
      <c r="F64" s="10">
        <f t="shared" ref="F64:F69" si="38">SUM(C64:E64)</f>
        <v>25887399</v>
      </c>
      <c r="G64" s="13">
        <v>11133251</v>
      </c>
      <c r="H64" s="13">
        <v>6641522</v>
      </c>
      <c r="I64" s="13">
        <v>9878255</v>
      </c>
      <c r="J64" s="21">
        <f t="shared" ref="J64:J69" si="39">SUM(G64:I64)</f>
        <v>27653028</v>
      </c>
      <c r="K64" s="11">
        <f>G64+K120+K127+K136+K143+K154</f>
        <v>11288335.085000001</v>
      </c>
      <c r="L64" s="11">
        <f t="shared" ref="L64:M64" si="40">H64+L120+L127+L136+L143+L154</f>
        <v>6741190.3855999997</v>
      </c>
      <c r="M64" s="11">
        <f t="shared" si="40"/>
        <v>9995280.0943999998</v>
      </c>
      <c r="N64" s="10">
        <f t="shared" ref="N64:N69" si="41">SUM(K64:M64)</f>
        <v>28024805.565000001</v>
      </c>
      <c r="O64" s="13">
        <f>K64+O120+O127+O136+O143+O154</f>
        <v>11445745.431275001</v>
      </c>
      <c r="P64" s="13">
        <f t="shared" ref="P64" si="42">L64+P120+P127+P136+P143+P154</f>
        <v>6842353.7969840001</v>
      </c>
      <c r="Q64" s="13">
        <f t="shared" ref="Q64" si="43">M64+Q120+Q127+Q136+Q143+Q154</f>
        <v>10114060.565215999</v>
      </c>
      <c r="R64" s="21">
        <f t="shared" ref="R64:R69" si="44">SUM(O64:Q64)</f>
        <v>28402159.793475002</v>
      </c>
      <c r="S64" s="11">
        <f>O64+S120+S127+S136+S143+S154</f>
        <v>11605516.932744125</v>
      </c>
      <c r="T64" s="11">
        <f t="shared" ref="T64" si="45">P64+T120+T127+T136+T143+T154</f>
        <v>6945034.6595387598</v>
      </c>
      <c r="U64" s="11">
        <f t="shared" ref="U64" si="46">Q64+U120+U127+U136+U143+U154</f>
        <v>10234622.743094239</v>
      </c>
      <c r="V64" s="10">
        <f t="shared" ref="V64:V69" si="47">SUM(S64:U64)</f>
        <v>28785174.335377123</v>
      </c>
      <c r="W64" s="13">
        <f>S64+W120+W127+W136+W143+W154</f>
        <v>11767685.006735288</v>
      </c>
      <c r="X64" s="13">
        <f t="shared" ref="X64" si="48">T64+X120+X127+X136+X143+X154</f>
        <v>7049255.7350318413</v>
      </c>
      <c r="Y64" s="13">
        <f t="shared" ref="Y64" si="49">U64+Y120+Y127+Y136+Y143+Y154</f>
        <v>10356993.353640653</v>
      </c>
      <c r="Z64" s="21">
        <f t="shared" ref="Z64:Z69" si="50">SUM(W64:Y64)</f>
        <v>29173934.095407784</v>
      </c>
    </row>
    <row r="65" spans="1:26" x14ac:dyDescent="0.2">
      <c r="A65" s="331">
        <v>45</v>
      </c>
      <c r="B65" s="359" t="s">
        <v>7</v>
      </c>
      <c r="C65" s="11">
        <v>12213363.75</v>
      </c>
      <c r="D65" s="11">
        <v>6327130</v>
      </c>
      <c r="E65" s="11">
        <v>4344856</v>
      </c>
      <c r="F65" s="10">
        <f t="shared" si="38"/>
        <v>22885349.75</v>
      </c>
      <c r="G65" s="13">
        <v>13518370</v>
      </c>
      <c r="H65" s="13">
        <v>7130360</v>
      </c>
      <c r="I65" s="13">
        <v>5065231</v>
      </c>
      <c r="J65" s="21">
        <f t="shared" si="39"/>
        <v>25713961</v>
      </c>
      <c r="K65" s="11">
        <f>G65+K121+K128+K137+K144+K155+K129</f>
        <v>13738961.513665</v>
      </c>
      <c r="L65" s="11">
        <f t="shared" ref="L65:M65" si="51">H65+L121+L128+L137+L144+L155+L129</f>
        <v>7211931.2619796703</v>
      </c>
      <c r="M65" s="11">
        <f t="shared" si="51"/>
        <v>5145304.2043552008</v>
      </c>
      <c r="N65" s="10">
        <f t="shared" si="41"/>
        <v>26096196.97999987</v>
      </c>
      <c r="O65" s="13">
        <f>K65+O121+O128+O137+O144+O155+O129</f>
        <v>13964982.555634974</v>
      </c>
      <c r="P65" s="13">
        <f t="shared" ref="P65" si="52">L65+P121+P128+P137+P144+P155+P129</f>
        <v>7295286.7663390348</v>
      </c>
      <c r="Q65" s="13">
        <f t="shared" ref="Q65" si="53">M65+Q121+Q128+Q137+Q144+Q155+Q129</f>
        <v>5227326.7177257286</v>
      </c>
      <c r="R65" s="21">
        <f t="shared" si="44"/>
        <v>26487596.039699737</v>
      </c>
      <c r="S65" s="11">
        <f>O65+S121+S128+S137+S144+S155+S129</f>
        <v>14196578.188502498</v>
      </c>
      <c r="T65" s="11">
        <f t="shared" ref="T65" si="54">P65+T121+T128+T137+T144+T155+T129</f>
        <v>7380470.0969172902</v>
      </c>
      <c r="U65" s="11">
        <f t="shared" ref="U65" si="55">Q65+U121+U128+U137+U144+U155+U129</f>
        <v>5311350.2260753149</v>
      </c>
      <c r="V65" s="10">
        <f t="shared" si="47"/>
        <v>26888398.511495102</v>
      </c>
      <c r="W65" s="13">
        <f>S65+W121+W128+W137+W144+W155+W129</f>
        <v>14429656.248189077</v>
      </c>
      <c r="X65" s="13">
        <f t="shared" ref="X65" si="56">T65+X121+X128+X137+X144+X155+X129</f>
        <v>7466404.6490173247</v>
      </c>
      <c r="Y65" s="13">
        <f t="shared" ref="Y65" si="57">U65+Y121+Y128+Y137+Y144+Y155+Y129</f>
        <v>5395931.4421469998</v>
      </c>
      <c r="Z65" s="21">
        <f t="shared" si="50"/>
        <v>27291992.339353405</v>
      </c>
    </row>
    <row r="66" spans="1:26" x14ac:dyDescent="0.2">
      <c r="A66" s="331">
        <v>46</v>
      </c>
      <c r="B66" s="359" t="s">
        <v>8</v>
      </c>
      <c r="C66" s="11">
        <v>600355</v>
      </c>
      <c r="D66" s="11">
        <v>201804</v>
      </c>
      <c r="E66" s="11">
        <v>252888</v>
      </c>
      <c r="F66" s="10">
        <f t="shared" si="38"/>
        <v>1055047</v>
      </c>
      <c r="G66" s="13">
        <v>787548</v>
      </c>
      <c r="H66" s="13">
        <v>275525</v>
      </c>
      <c r="I66" s="13">
        <v>380235</v>
      </c>
      <c r="J66" s="21">
        <f t="shared" si="39"/>
        <v>1443308</v>
      </c>
      <c r="K66" s="11">
        <f>G66*(1+K108)</f>
        <v>787548</v>
      </c>
      <c r="L66" s="11">
        <f t="shared" ref="L66:M66" si="58">H66*(1+L108)</f>
        <v>275525</v>
      </c>
      <c r="M66" s="11">
        <f t="shared" si="58"/>
        <v>380235</v>
      </c>
      <c r="N66" s="10">
        <f t="shared" si="41"/>
        <v>1443308</v>
      </c>
      <c r="O66" s="13">
        <f>K66*(1+O108)</f>
        <v>787548</v>
      </c>
      <c r="P66" s="13">
        <f t="shared" ref="P66" si="59">L66*(1+P108)</f>
        <v>275525</v>
      </c>
      <c r="Q66" s="13">
        <f t="shared" ref="Q66" si="60">M66*(1+Q108)</f>
        <v>380235</v>
      </c>
      <c r="R66" s="21">
        <f t="shared" si="44"/>
        <v>1443308</v>
      </c>
      <c r="S66" s="11">
        <f>O66*(1+S108)</f>
        <v>787548</v>
      </c>
      <c r="T66" s="11">
        <f t="shared" ref="T66" si="61">P66*(1+T108)</f>
        <v>275525</v>
      </c>
      <c r="U66" s="11">
        <f t="shared" ref="U66" si="62">Q66*(1+U108)</f>
        <v>380235</v>
      </c>
      <c r="V66" s="10">
        <f t="shared" si="47"/>
        <v>1443308</v>
      </c>
      <c r="W66" s="13">
        <f>S66*(1+W108)</f>
        <v>787548</v>
      </c>
      <c r="X66" s="13">
        <f t="shared" ref="X66" si="63">T66*(1+X108)</f>
        <v>275525</v>
      </c>
      <c r="Y66" s="13">
        <f t="shared" ref="Y66" si="64">U66*(1+Y108)</f>
        <v>380235</v>
      </c>
      <c r="Z66" s="21">
        <f t="shared" si="50"/>
        <v>1443308</v>
      </c>
    </row>
    <row r="67" spans="1:26" x14ac:dyDescent="0.2">
      <c r="A67" s="331">
        <v>47</v>
      </c>
      <c r="B67" s="359" t="s">
        <v>9</v>
      </c>
      <c r="C67" s="11">
        <v>4734203</v>
      </c>
      <c r="D67" s="11">
        <v>1701053</v>
      </c>
      <c r="E67" s="11">
        <v>2618353</v>
      </c>
      <c r="F67" s="10">
        <f t="shared" si="38"/>
        <v>9053609</v>
      </c>
      <c r="G67" s="13">
        <v>5955030</v>
      </c>
      <c r="H67" s="13">
        <v>2174071</v>
      </c>
      <c r="I67" s="13">
        <f>5679855-(545200)</f>
        <v>5134655</v>
      </c>
      <c r="J67" s="21">
        <f t="shared" si="39"/>
        <v>13263756</v>
      </c>
      <c r="K67" s="11">
        <f>G67*(1+K108)</f>
        <v>5955030</v>
      </c>
      <c r="L67" s="11">
        <f t="shared" ref="L67" si="65">H67*(1+L108)</f>
        <v>2174071</v>
      </c>
      <c r="M67" s="11">
        <f>I67*(1+M108)</f>
        <v>5134655</v>
      </c>
      <c r="N67" s="10">
        <f t="shared" si="41"/>
        <v>13263756</v>
      </c>
      <c r="O67" s="13">
        <f>K67*(1+O108)</f>
        <v>5955030</v>
      </c>
      <c r="P67" s="13">
        <f t="shared" ref="P67" si="66">L67*(1+P108)</f>
        <v>2174071</v>
      </c>
      <c r="Q67" s="13">
        <f t="shared" ref="Q67" si="67">M67*(1+Q108)</f>
        <v>5134655</v>
      </c>
      <c r="R67" s="21">
        <f t="shared" si="44"/>
        <v>13263756</v>
      </c>
      <c r="S67" s="11">
        <f>O67*(1+S108)</f>
        <v>5955030</v>
      </c>
      <c r="T67" s="11">
        <f t="shared" ref="T67" si="68">P67*(1+T108)</f>
        <v>2174071</v>
      </c>
      <c r="U67" s="11">
        <f t="shared" ref="U67" si="69">Q67*(1+U108)</f>
        <v>5134655</v>
      </c>
      <c r="V67" s="10">
        <f t="shared" si="47"/>
        <v>13263756</v>
      </c>
      <c r="W67" s="13">
        <f>S67*(1+W108)</f>
        <v>5955030</v>
      </c>
      <c r="X67" s="13">
        <f t="shared" ref="X67" si="70">T67*(1+X108)</f>
        <v>2174071</v>
      </c>
      <c r="Y67" s="13">
        <f t="shared" ref="Y67" si="71">U67*(1+Y108)</f>
        <v>5134655</v>
      </c>
      <c r="Z67" s="21">
        <f t="shared" si="50"/>
        <v>13263756</v>
      </c>
    </row>
    <row r="68" spans="1:26" ht="15" customHeight="1" x14ac:dyDescent="0.2">
      <c r="A68" s="331">
        <v>48</v>
      </c>
      <c r="B68" s="359" t="s">
        <v>10</v>
      </c>
      <c r="C68" s="11">
        <v>516928</v>
      </c>
      <c r="D68" s="11">
        <v>45878</v>
      </c>
      <c r="E68" s="11">
        <v>96855</v>
      </c>
      <c r="F68" s="10">
        <f t="shared" si="38"/>
        <v>659661</v>
      </c>
      <c r="G68" s="13">
        <v>306375</v>
      </c>
      <c r="H68" s="13">
        <v>58200</v>
      </c>
      <c r="I68" s="13">
        <v>367750</v>
      </c>
      <c r="J68" s="21">
        <f t="shared" si="39"/>
        <v>732325</v>
      </c>
      <c r="K68" s="11">
        <f>G68*(1+K108)</f>
        <v>306375</v>
      </c>
      <c r="L68" s="11">
        <f t="shared" ref="L68:M68" si="72">H68*(1+L108)</f>
        <v>58200</v>
      </c>
      <c r="M68" s="11">
        <f t="shared" si="72"/>
        <v>367750</v>
      </c>
      <c r="N68" s="10">
        <f t="shared" si="41"/>
        <v>732325</v>
      </c>
      <c r="O68" s="13">
        <f>K68*(1+O108)</f>
        <v>306375</v>
      </c>
      <c r="P68" s="13">
        <f t="shared" ref="P68" si="73">L68*(1+P108)</f>
        <v>58200</v>
      </c>
      <c r="Q68" s="13">
        <f t="shared" ref="Q68" si="74">M68*(1+Q108)</f>
        <v>367750</v>
      </c>
      <c r="R68" s="21">
        <f t="shared" si="44"/>
        <v>732325</v>
      </c>
      <c r="S68" s="11">
        <f>O68*(1+S108)</f>
        <v>306375</v>
      </c>
      <c r="T68" s="11">
        <f t="shared" ref="T68" si="75">P68*(1+T108)</f>
        <v>58200</v>
      </c>
      <c r="U68" s="11">
        <f t="shared" ref="U68" si="76">Q68*(1+U108)</f>
        <v>367750</v>
      </c>
      <c r="V68" s="10">
        <f t="shared" si="47"/>
        <v>732325</v>
      </c>
      <c r="W68" s="13">
        <f>S68*(1+W108)</f>
        <v>306375</v>
      </c>
      <c r="X68" s="13">
        <f t="shared" ref="X68" si="77">T68*(1+X108)</f>
        <v>58200</v>
      </c>
      <c r="Y68" s="13">
        <f t="shared" ref="Y68" si="78">U68*(1+Y108)</f>
        <v>367750</v>
      </c>
      <c r="Z68" s="21">
        <f t="shared" si="50"/>
        <v>732325</v>
      </c>
    </row>
    <row r="69" spans="1:26" x14ac:dyDescent="0.2">
      <c r="A69" s="331">
        <v>49</v>
      </c>
      <c r="B69" s="359" t="s">
        <v>11</v>
      </c>
      <c r="C69" s="11">
        <v>17043</v>
      </c>
      <c r="D69" s="11">
        <v>20340</v>
      </c>
      <c r="E69" s="11">
        <v>770000</v>
      </c>
      <c r="F69" s="10">
        <f t="shared" si="38"/>
        <v>807383</v>
      </c>
      <c r="G69" s="13">
        <v>5716</v>
      </c>
      <c r="H69" s="13">
        <v>20340</v>
      </c>
      <c r="I69" s="21">
        <f>550000+250000</f>
        <v>800000</v>
      </c>
      <c r="J69" s="21">
        <f t="shared" si="39"/>
        <v>826056</v>
      </c>
      <c r="K69" s="11">
        <v>0</v>
      </c>
      <c r="L69" s="11">
        <v>0</v>
      </c>
      <c r="M69" s="11">
        <f>I69</f>
        <v>800000</v>
      </c>
      <c r="N69" s="10">
        <f t="shared" si="41"/>
        <v>800000</v>
      </c>
      <c r="O69" s="13">
        <v>0</v>
      </c>
      <c r="P69" s="13">
        <v>0</v>
      </c>
      <c r="Q69" s="21">
        <f>M69</f>
        <v>800000</v>
      </c>
      <c r="R69" s="21">
        <f t="shared" si="44"/>
        <v>800000</v>
      </c>
      <c r="S69" s="11">
        <v>0</v>
      </c>
      <c r="T69" s="11">
        <v>0</v>
      </c>
      <c r="U69" s="11">
        <f>Q69</f>
        <v>800000</v>
      </c>
      <c r="V69" s="10">
        <f t="shared" si="47"/>
        <v>800000</v>
      </c>
      <c r="W69" s="13">
        <v>0</v>
      </c>
      <c r="X69" s="13">
        <v>0</v>
      </c>
      <c r="Y69" s="21">
        <f>U69</f>
        <v>800000</v>
      </c>
      <c r="Z69" s="21">
        <f t="shared" si="50"/>
        <v>800000</v>
      </c>
    </row>
    <row r="70" spans="1:26" hidden="1" x14ac:dyDescent="0.2">
      <c r="A70" s="331">
        <v>50</v>
      </c>
      <c r="B70" s="360" t="s">
        <v>14</v>
      </c>
      <c r="C70" s="11">
        <v>0</v>
      </c>
      <c r="D70" s="11">
        <v>0</v>
      </c>
      <c r="E70" s="11">
        <v>0</v>
      </c>
      <c r="F70" s="10">
        <f t="shared" ref="F70" si="79">SUM(C70:E70)</f>
        <v>0</v>
      </c>
      <c r="G70" s="13">
        <v>0</v>
      </c>
      <c r="H70" s="13">
        <v>0</v>
      </c>
      <c r="I70" s="13">
        <v>0</v>
      </c>
      <c r="J70" s="21">
        <f t="shared" ref="J70" si="80">SUM(G70:I70)</f>
        <v>0</v>
      </c>
      <c r="K70" s="9">
        <v>0</v>
      </c>
      <c r="L70" s="9">
        <v>0</v>
      </c>
      <c r="M70" s="9">
        <v>0</v>
      </c>
      <c r="N70" s="10">
        <f t="shared" ref="N70" si="81">SUM(K70:M70)</f>
        <v>0</v>
      </c>
      <c r="O70" s="2">
        <v>0</v>
      </c>
      <c r="P70" s="2">
        <v>0</v>
      </c>
      <c r="Q70" s="2">
        <v>0</v>
      </c>
      <c r="R70" s="21">
        <f t="shared" ref="R70" si="82">SUM(O70:Q70)</f>
        <v>0</v>
      </c>
      <c r="S70" s="9">
        <v>0</v>
      </c>
      <c r="T70" s="9">
        <v>0</v>
      </c>
      <c r="U70" s="9">
        <v>0</v>
      </c>
      <c r="V70" s="10">
        <f t="shared" ref="V70" si="83">SUM(S70:U70)</f>
        <v>0</v>
      </c>
      <c r="W70" s="2">
        <v>0</v>
      </c>
      <c r="X70" s="2">
        <v>0</v>
      </c>
      <c r="Y70" s="2">
        <v>0</v>
      </c>
      <c r="Z70" s="21">
        <f t="shared" ref="Z70" si="84">SUM(W70:Y70)</f>
        <v>0</v>
      </c>
    </row>
    <row r="71" spans="1:26" x14ac:dyDescent="0.2">
      <c r="A71" s="344">
        <v>51</v>
      </c>
      <c r="B71" s="345" t="s">
        <v>170</v>
      </c>
      <c r="C71" s="346">
        <f t="shared" ref="C71:Z71" si="85">SUM(C63:C70)</f>
        <v>57017611.75</v>
      </c>
      <c r="D71" s="346">
        <f t="shared" si="85"/>
        <v>27667782</v>
      </c>
      <c r="E71" s="346">
        <f t="shared" si="85"/>
        <v>17537019</v>
      </c>
      <c r="F71" s="346">
        <f>SUM(F63:F70)</f>
        <v>102222412.75</v>
      </c>
      <c r="G71" s="346">
        <f t="shared" si="85"/>
        <v>63638521</v>
      </c>
      <c r="H71" s="346">
        <f t="shared" si="85"/>
        <v>31549033</v>
      </c>
      <c r="I71" s="346">
        <f t="shared" si="85"/>
        <v>22445518.719999999</v>
      </c>
      <c r="J71" s="346">
        <f>SUM(J63:J69)</f>
        <v>117633072.72</v>
      </c>
      <c r="K71" s="346">
        <f t="shared" si="85"/>
        <v>64228968.673664995</v>
      </c>
      <c r="L71" s="346">
        <f t="shared" si="85"/>
        <v>31813861.716729671</v>
      </c>
      <c r="M71" s="346">
        <f t="shared" si="85"/>
        <v>22642617.018755201</v>
      </c>
      <c r="N71" s="346">
        <f>SUM(N63:N70)</f>
        <v>118685447.40914987</v>
      </c>
      <c r="O71" s="346">
        <f t="shared" si="85"/>
        <v>64836195.458034977</v>
      </c>
      <c r="P71" s="346">
        <f t="shared" si="85"/>
        <v>32103868.637660287</v>
      </c>
      <c r="Q71" s="346">
        <f t="shared" si="85"/>
        <v>22843420.002941728</v>
      </c>
      <c r="R71" s="346">
        <f t="shared" si="85"/>
        <v>119783484.09863698</v>
      </c>
      <c r="S71" s="346">
        <f t="shared" si="85"/>
        <v>65454714.919438496</v>
      </c>
      <c r="T71" s="346">
        <f t="shared" si="85"/>
        <v>32398803.15605836</v>
      </c>
      <c r="U71" s="346">
        <f t="shared" si="85"/>
        <v>23048005.689169556</v>
      </c>
      <c r="V71" s="346">
        <f t="shared" si="85"/>
        <v>120901523.76466641</v>
      </c>
      <c r="W71" s="346">
        <f t="shared" si="85"/>
        <v>66080520.665089116</v>
      </c>
      <c r="X71" s="346">
        <f t="shared" si="85"/>
        <v>32697635.163795516</v>
      </c>
      <c r="Y71" s="346">
        <f t="shared" si="85"/>
        <v>23254957.515787654</v>
      </c>
      <c r="Z71" s="346">
        <f t="shared" si="85"/>
        <v>122033113.34467229</v>
      </c>
    </row>
    <row r="72" spans="1:26" ht="12.75" customHeight="1" x14ac:dyDescent="0.2">
      <c r="A72" s="347">
        <v>52</v>
      </c>
      <c r="B72" s="348" t="s">
        <v>2454</v>
      </c>
      <c r="C72" s="388">
        <f>C71/F71</f>
        <v>0.55777994488786897</v>
      </c>
      <c r="D72" s="388">
        <f>D71/F71</f>
        <v>0.27066258030580481</v>
      </c>
      <c r="E72" s="388">
        <f>E71/F71</f>
        <v>0.17155747480632616</v>
      </c>
      <c r="F72" s="343"/>
      <c r="G72" s="388">
        <f>G71/J71</f>
        <v>0.5409917426154266</v>
      </c>
      <c r="H72" s="388">
        <f>H71/J71</f>
        <v>0.26819866446144469</v>
      </c>
      <c r="I72" s="388">
        <f>I71/J71</f>
        <v>0.19080959292312874</v>
      </c>
      <c r="J72" s="343"/>
      <c r="K72" s="388">
        <f>K71/N71</f>
        <v>0.54116970593914082</v>
      </c>
      <c r="L72" s="388">
        <f>L71/N71</f>
        <v>0.26805191715759613</v>
      </c>
      <c r="M72" s="388">
        <f>M71/N71</f>
        <v>0.19077837690326307</v>
      </c>
      <c r="N72" s="343"/>
      <c r="O72" s="388">
        <f>O71/R71</f>
        <v>0.5412782567306601</v>
      </c>
      <c r="P72" s="388">
        <f>P71/R71</f>
        <v>0.26801581936975566</v>
      </c>
      <c r="Q72" s="388">
        <f>Q71/R71</f>
        <v>0.19070592389958427</v>
      </c>
      <c r="R72" s="343"/>
      <c r="S72" s="388">
        <f>S71/V71</f>
        <v>0.54138866807704955</v>
      </c>
      <c r="T72" s="388">
        <f>T71/V71</f>
        <v>0.26797679753914683</v>
      </c>
      <c r="U72" s="388">
        <f>U71/V71</f>
        <v>0.19063453438380368</v>
      </c>
      <c r="V72" s="343"/>
      <c r="W72" s="388">
        <f>W71/Z71</f>
        <v>0.54149663852671059</v>
      </c>
      <c r="X72" s="388">
        <f>X71/Z71</f>
        <v>0.26794067829314316</v>
      </c>
      <c r="Y72" s="388">
        <f>Y71/Z71</f>
        <v>0.19056268318014616</v>
      </c>
      <c r="Z72" s="343"/>
    </row>
    <row r="73" spans="1:26" ht="12.75" hidden="1" customHeight="1" x14ac:dyDescent="0.2">
      <c r="A73" s="347">
        <v>63</v>
      </c>
      <c r="B73" s="349" t="s">
        <v>32</v>
      </c>
      <c r="C73" s="350"/>
      <c r="D73" s="350"/>
      <c r="E73" s="350"/>
      <c r="F73" s="343">
        <f>SUM(C73:E73)</f>
        <v>0</v>
      </c>
      <c r="G73" s="350"/>
      <c r="H73" s="350"/>
      <c r="I73" s="350"/>
      <c r="J73" s="350">
        <f t="shared" ref="J73" si="86">SUM(G73:I73)</f>
        <v>0</v>
      </c>
      <c r="K73" s="350"/>
      <c r="L73" s="350"/>
      <c r="M73" s="350"/>
      <c r="N73" s="343">
        <f t="shared" ref="N73" si="87">SUM(K73:M73)</f>
        <v>0</v>
      </c>
      <c r="O73" s="350"/>
      <c r="P73" s="350"/>
      <c r="Q73" s="350"/>
      <c r="R73" s="350">
        <f t="shared" ref="R73" si="88">SUM(O73:Q73)</f>
        <v>0</v>
      </c>
      <c r="S73" s="350"/>
      <c r="T73" s="350"/>
      <c r="U73" s="350"/>
      <c r="V73" s="343">
        <f t="shared" ref="V73" si="89">SUM(S73:U73)</f>
        <v>0</v>
      </c>
      <c r="W73" s="350"/>
      <c r="X73" s="350"/>
      <c r="Y73" s="350"/>
      <c r="Z73" s="350">
        <f t="shared" ref="Z73" si="90">SUM(W73:Y73)</f>
        <v>0</v>
      </c>
    </row>
    <row r="74" spans="1:26" x14ac:dyDescent="0.2">
      <c r="A74" s="344">
        <v>53</v>
      </c>
      <c r="B74" s="345" t="s">
        <v>2448</v>
      </c>
      <c r="C74" s="346"/>
      <c r="D74" s="346"/>
      <c r="E74" s="346"/>
      <c r="F74" s="346">
        <f>F62-F71+F72+F73</f>
        <v>2391544.7762000114</v>
      </c>
      <c r="G74" s="346"/>
      <c r="H74" s="346"/>
      <c r="I74" s="346"/>
      <c r="J74" s="346">
        <f t="shared" ref="J74:Z74" si="91">J62-J71+J72+J73</f>
        <v>-7269572.9171855599</v>
      </c>
      <c r="K74" s="346"/>
      <c r="L74" s="346"/>
      <c r="M74" s="346"/>
      <c r="N74" s="346">
        <f t="shared" si="91"/>
        <v>-5875125.9066229612</v>
      </c>
      <c r="O74" s="346"/>
      <c r="P74" s="346"/>
      <c r="Q74" s="346"/>
      <c r="R74" s="346">
        <f t="shared" si="91"/>
        <v>-3616486.4379935265</v>
      </c>
      <c r="S74" s="346"/>
      <c r="T74" s="346"/>
      <c r="U74" s="346"/>
      <c r="V74" s="346">
        <f t="shared" si="91"/>
        <v>-884311.77551265061</v>
      </c>
      <c r="W74" s="346"/>
      <c r="X74" s="346"/>
      <c r="Y74" s="346"/>
      <c r="Z74" s="346">
        <f t="shared" si="91"/>
        <v>1971661.4201087356</v>
      </c>
    </row>
    <row r="75" spans="1:26" x14ac:dyDescent="0.2">
      <c r="A75" s="544" t="s">
        <v>142</v>
      </c>
      <c r="B75" s="544"/>
      <c r="C75" s="552"/>
      <c r="D75" s="552"/>
      <c r="E75" s="552"/>
      <c r="F75" s="552"/>
      <c r="G75" s="552"/>
      <c r="H75" s="552"/>
      <c r="I75" s="552"/>
      <c r="J75" s="552"/>
      <c r="K75" s="542"/>
      <c r="L75" s="542"/>
      <c r="M75" s="542"/>
      <c r="N75" s="542"/>
      <c r="O75" s="542"/>
      <c r="P75" s="542"/>
      <c r="Q75" s="542"/>
      <c r="R75" s="542"/>
      <c r="S75" s="542"/>
      <c r="T75" s="542"/>
      <c r="U75" s="542"/>
      <c r="V75" s="542"/>
      <c r="W75" s="542"/>
      <c r="X75" s="542"/>
      <c r="Y75" s="542"/>
      <c r="Z75" s="542"/>
    </row>
    <row r="76" spans="1:26" hidden="1" x14ac:dyDescent="0.2">
      <c r="A76" s="361">
        <v>54</v>
      </c>
      <c r="B76" s="362" t="s">
        <v>2386</v>
      </c>
      <c r="C76" s="10"/>
      <c r="D76" s="10"/>
      <c r="E76" s="10"/>
      <c r="F76" s="11"/>
      <c r="G76" s="21"/>
      <c r="H76" s="21"/>
      <c r="I76" s="21"/>
      <c r="J76" s="13"/>
      <c r="K76" s="10"/>
      <c r="L76" s="10"/>
      <c r="M76" s="10"/>
      <c r="N76" s="11"/>
      <c r="O76" s="21"/>
      <c r="P76" s="21"/>
      <c r="Q76" s="21"/>
      <c r="R76" s="13"/>
      <c r="S76" s="10"/>
      <c r="T76" s="10"/>
      <c r="U76" s="10"/>
      <c r="V76" s="11"/>
      <c r="W76" s="21"/>
      <c r="X76" s="21"/>
      <c r="Y76" s="21"/>
      <c r="Z76" s="13"/>
    </row>
    <row r="77" spans="1:26" x14ac:dyDescent="0.2">
      <c r="A77" s="361">
        <v>55</v>
      </c>
      <c r="B77" s="362" t="s">
        <v>2424</v>
      </c>
      <c r="C77" s="10"/>
      <c r="D77" s="10"/>
      <c r="E77" s="10"/>
      <c r="F77" s="11"/>
      <c r="G77" s="21"/>
      <c r="H77" s="21"/>
      <c r="I77" s="21"/>
      <c r="J77" s="13">
        <v>2000000</v>
      </c>
      <c r="K77" s="10"/>
      <c r="L77" s="10"/>
      <c r="M77" s="10"/>
      <c r="N77" s="11"/>
      <c r="O77" s="21"/>
      <c r="P77" s="21"/>
      <c r="Q77" s="21"/>
      <c r="R77" s="13"/>
      <c r="S77" s="10"/>
      <c r="T77" s="10"/>
      <c r="U77" s="10"/>
      <c r="V77" s="11"/>
      <c r="W77" s="21"/>
      <c r="X77" s="21"/>
      <c r="Y77" s="21"/>
      <c r="Z77" s="13"/>
    </row>
    <row r="78" spans="1:26" hidden="1" x14ac:dyDescent="0.2">
      <c r="A78" s="361">
        <v>68</v>
      </c>
      <c r="B78" s="362" t="s">
        <v>233</v>
      </c>
      <c r="C78" s="10"/>
      <c r="D78" s="10"/>
      <c r="E78" s="10"/>
      <c r="F78" s="11">
        <v>0</v>
      </c>
      <c r="G78" s="21"/>
      <c r="H78" s="21"/>
      <c r="I78" s="21"/>
      <c r="J78" s="13">
        <f t="shared" ref="J78:J80" si="92">SUM(G78:I78)</f>
        <v>0</v>
      </c>
      <c r="K78" s="10"/>
      <c r="L78" s="10"/>
      <c r="M78" s="10"/>
      <c r="N78" s="11">
        <v>0</v>
      </c>
      <c r="O78" s="21"/>
      <c r="P78" s="21"/>
      <c r="Q78" s="21"/>
      <c r="R78" s="13">
        <v>0</v>
      </c>
      <c r="S78" s="10"/>
      <c r="T78" s="10"/>
      <c r="U78" s="10"/>
      <c r="V78" s="11">
        <v>0</v>
      </c>
      <c r="W78" s="21"/>
      <c r="X78" s="21"/>
      <c r="Y78" s="21"/>
      <c r="Z78" s="13">
        <v>0</v>
      </c>
    </row>
    <row r="79" spans="1:26" hidden="1" x14ac:dyDescent="0.2">
      <c r="A79" s="361">
        <v>56</v>
      </c>
      <c r="B79" s="362" t="s">
        <v>238</v>
      </c>
      <c r="C79" s="10"/>
      <c r="D79" s="10"/>
      <c r="E79" s="10"/>
      <c r="F79" s="10"/>
      <c r="G79" s="21"/>
      <c r="H79" s="21"/>
      <c r="I79" s="21"/>
      <c r="J79" s="13"/>
      <c r="K79" s="10"/>
      <c r="L79" s="10"/>
      <c r="M79" s="10"/>
      <c r="N79" s="11">
        <v>0</v>
      </c>
      <c r="O79" s="21"/>
      <c r="P79" s="21"/>
      <c r="Q79" s="21"/>
      <c r="R79" s="13">
        <v>0</v>
      </c>
      <c r="S79" s="10"/>
      <c r="T79" s="10"/>
      <c r="U79" s="10"/>
      <c r="V79" s="11">
        <v>0</v>
      </c>
      <c r="W79" s="21"/>
      <c r="X79" s="21"/>
      <c r="Y79" s="21"/>
      <c r="Z79" s="13">
        <v>0</v>
      </c>
    </row>
    <row r="80" spans="1:26" hidden="1" x14ac:dyDescent="0.2">
      <c r="A80" s="361">
        <v>57</v>
      </c>
      <c r="B80" s="362" t="s">
        <v>267</v>
      </c>
      <c r="C80" s="10"/>
      <c r="D80" s="10"/>
      <c r="E80" s="10"/>
      <c r="F80" s="11">
        <v>0</v>
      </c>
      <c r="G80" s="21"/>
      <c r="H80" s="21"/>
      <c r="I80" s="21"/>
      <c r="J80" s="13">
        <f t="shared" si="92"/>
        <v>0</v>
      </c>
      <c r="K80" s="10"/>
      <c r="L80" s="10"/>
      <c r="M80" s="10"/>
      <c r="N80" s="11">
        <v>0</v>
      </c>
      <c r="O80" s="21"/>
      <c r="P80" s="21"/>
      <c r="Q80" s="21"/>
      <c r="R80" s="13">
        <v>0</v>
      </c>
      <c r="S80" s="10"/>
      <c r="T80" s="10"/>
      <c r="U80" s="10"/>
      <c r="V80" s="11">
        <v>0</v>
      </c>
      <c r="W80" s="21"/>
      <c r="X80" s="21"/>
      <c r="Y80" s="21"/>
      <c r="Z80" s="13">
        <v>0</v>
      </c>
    </row>
    <row r="81" spans="1:26" x14ac:dyDescent="0.2">
      <c r="A81" s="361">
        <v>58</v>
      </c>
      <c r="B81" s="362" t="s">
        <v>2529</v>
      </c>
      <c r="C81" s="10">
        <v>-157537</v>
      </c>
      <c r="D81" s="10">
        <v>-111194</v>
      </c>
      <c r="E81" s="10">
        <v>-355761</v>
      </c>
      <c r="F81" s="11">
        <f>SUM(C81:E81)</f>
        <v>-624492</v>
      </c>
      <c r="G81" s="21"/>
      <c r="H81" s="21"/>
      <c r="I81" s="21"/>
      <c r="J81" s="13"/>
      <c r="K81" s="10"/>
      <c r="L81" s="10"/>
      <c r="M81" s="10"/>
      <c r="N81" s="11"/>
      <c r="O81" s="21"/>
      <c r="P81" s="21"/>
      <c r="Q81" s="21"/>
      <c r="R81" s="13"/>
      <c r="S81" s="10"/>
      <c r="T81" s="10"/>
      <c r="U81" s="10"/>
      <c r="V81" s="11"/>
      <c r="W81" s="21"/>
      <c r="X81" s="21"/>
      <c r="Y81" s="21"/>
      <c r="Z81" s="13"/>
    </row>
    <row r="82" spans="1:26" hidden="1" x14ac:dyDescent="0.2">
      <c r="A82" s="361">
        <v>72</v>
      </c>
      <c r="B82" s="362" t="s">
        <v>2389</v>
      </c>
      <c r="C82" s="10"/>
      <c r="D82" s="10"/>
      <c r="E82" s="10"/>
      <c r="F82" s="11">
        <v>0</v>
      </c>
      <c r="G82" s="21"/>
      <c r="H82" s="21"/>
      <c r="I82" s="21"/>
      <c r="J82" s="13">
        <f>SUM(G82:I82)</f>
        <v>0</v>
      </c>
      <c r="K82" s="10"/>
      <c r="L82" s="10"/>
      <c r="M82" s="10"/>
      <c r="N82" s="11">
        <v>0</v>
      </c>
      <c r="O82" s="21"/>
      <c r="P82" s="21"/>
      <c r="Q82" s="21"/>
      <c r="R82" s="13">
        <v>0</v>
      </c>
      <c r="S82" s="10"/>
      <c r="T82" s="10"/>
      <c r="U82" s="10"/>
      <c r="V82" s="11">
        <v>0</v>
      </c>
      <c r="W82" s="21"/>
      <c r="X82" s="21"/>
      <c r="Y82" s="21"/>
      <c r="Z82" s="13">
        <v>0</v>
      </c>
    </row>
    <row r="83" spans="1:26" hidden="1" x14ac:dyDescent="0.2">
      <c r="A83" s="361">
        <v>73</v>
      </c>
      <c r="B83" s="362" t="s">
        <v>2388</v>
      </c>
      <c r="C83" s="10"/>
      <c r="D83" s="10"/>
      <c r="E83" s="10"/>
      <c r="F83" s="11">
        <v>0</v>
      </c>
      <c r="G83" s="21"/>
      <c r="H83" s="21"/>
      <c r="I83" s="21"/>
      <c r="J83" s="21">
        <v>0</v>
      </c>
      <c r="K83" s="10"/>
      <c r="L83" s="10"/>
      <c r="M83" s="10"/>
      <c r="N83" s="11">
        <v>0</v>
      </c>
      <c r="O83" s="21"/>
      <c r="P83" s="21"/>
      <c r="Q83" s="21"/>
      <c r="R83" s="13">
        <v>0</v>
      </c>
      <c r="S83" s="10"/>
      <c r="T83" s="10"/>
      <c r="U83" s="10"/>
      <c r="V83" s="11">
        <v>0</v>
      </c>
      <c r="W83" s="21"/>
      <c r="X83" s="21"/>
      <c r="Y83" s="21"/>
      <c r="Z83" s="13">
        <v>0</v>
      </c>
    </row>
    <row r="84" spans="1:26" x14ac:dyDescent="0.2">
      <c r="A84" s="361">
        <v>59</v>
      </c>
      <c r="B84" s="334" t="s">
        <v>147</v>
      </c>
      <c r="C84" s="10"/>
      <c r="D84" s="10"/>
      <c r="E84" s="10"/>
      <c r="F84" s="11">
        <f>SUM(F74:F83)</f>
        <v>1767052.7762000114</v>
      </c>
      <c r="G84" s="21"/>
      <c r="H84" s="21"/>
      <c r="I84" s="21"/>
      <c r="J84" s="13">
        <f t="shared" ref="J84" si="93">SUM(J74:J83)</f>
        <v>-5269572.9171855599</v>
      </c>
      <c r="K84" s="10"/>
      <c r="L84" s="10"/>
      <c r="M84" s="10"/>
      <c r="N84" s="10">
        <f t="shared" ref="N84:Z84" si="94">SUM(N74:N83)</f>
        <v>-5875125.9066229612</v>
      </c>
      <c r="O84" s="21"/>
      <c r="P84" s="21"/>
      <c r="Q84" s="21"/>
      <c r="R84" s="13">
        <f t="shared" si="94"/>
        <v>-3616486.4379935265</v>
      </c>
      <c r="S84" s="10"/>
      <c r="T84" s="10"/>
      <c r="U84" s="10"/>
      <c r="V84" s="10">
        <f t="shared" si="94"/>
        <v>-884311.77551265061</v>
      </c>
      <c r="W84" s="21"/>
      <c r="X84" s="21"/>
      <c r="Y84" s="21"/>
      <c r="Z84" s="13">
        <f t="shared" si="94"/>
        <v>1971661.4201087356</v>
      </c>
    </row>
    <row r="85" spans="1:26" x14ac:dyDescent="0.2">
      <c r="A85" s="361">
        <v>60</v>
      </c>
      <c r="B85" s="334" t="s">
        <v>2390</v>
      </c>
      <c r="C85" s="10"/>
      <c r="D85" s="10"/>
      <c r="E85" s="10"/>
      <c r="F85" s="10"/>
      <c r="G85" s="21"/>
      <c r="H85" s="21"/>
      <c r="I85" s="21"/>
      <c r="J85" s="13"/>
      <c r="K85" s="10"/>
      <c r="L85" s="10"/>
      <c r="M85" s="10"/>
      <c r="N85" s="10"/>
      <c r="O85" s="21"/>
      <c r="P85" s="21"/>
      <c r="Q85" s="21"/>
      <c r="R85" s="13"/>
      <c r="S85" s="10"/>
      <c r="T85" s="10"/>
      <c r="U85" s="10"/>
      <c r="V85" s="10"/>
      <c r="W85" s="21"/>
      <c r="X85" s="21"/>
      <c r="Y85" s="21"/>
      <c r="Z85" s="13"/>
    </row>
    <row r="86" spans="1:26" x14ac:dyDescent="0.2">
      <c r="A86" s="361">
        <v>61</v>
      </c>
      <c r="B86" s="334" t="s">
        <v>2451</v>
      </c>
      <c r="C86" s="11"/>
      <c r="D86" s="11"/>
      <c r="E86" s="11"/>
      <c r="F86" s="11">
        <v>24688776</v>
      </c>
      <c r="G86" s="13"/>
      <c r="H86" s="13"/>
      <c r="I86" s="13"/>
      <c r="J86" s="13">
        <f>F87</f>
        <v>26455828.776200011</v>
      </c>
      <c r="K86" s="11"/>
      <c r="L86" s="11"/>
      <c r="M86" s="11"/>
      <c r="N86" s="11">
        <f>J87</f>
        <v>21186255.859014452</v>
      </c>
      <c r="O86" s="13"/>
      <c r="P86" s="13"/>
      <c r="Q86" s="13"/>
      <c r="R86" s="13">
        <f>N89</f>
        <v>15311129.95239149</v>
      </c>
      <c r="S86" s="11"/>
      <c r="T86" s="11"/>
      <c r="U86" s="11"/>
      <c r="V86" s="11">
        <f>R89</f>
        <v>11694643.514397964</v>
      </c>
      <c r="W86" s="13"/>
      <c r="X86" s="13"/>
      <c r="Y86" s="13"/>
      <c r="Z86" s="13">
        <f>V89</f>
        <v>10810331.738885313</v>
      </c>
    </row>
    <row r="87" spans="1:26" x14ac:dyDescent="0.2">
      <c r="A87" s="347">
        <v>62</v>
      </c>
      <c r="B87" s="345" t="s">
        <v>2452</v>
      </c>
      <c r="C87" s="346">
        <f t="shared" ref="C87:Z87" si="95">SUM(C84:C86)</f>
        <v>0</v>
      </c>
      <c r="D87" s="346">
        <f t="shared" si="95"/>
        <v>0</v>
      </c>
      <c r="E87" s="346">
        <f t="shared" si="95"/>
        <v>0</v>
      </c>
      <c r="F87" s="346">
        <f>SUM(F84:F86)</f>
        <v>26455828.776200011</v>
      </c>
      <c r="G87" s="346"/>
      <c r="H87" s="346"/>
      <c r="I87" s="346"/>
      <c r="J87" s="346">
        <f>SUM(J84:J86)</f>
        <v>21186255.859014452</v>
      </c>
      <c r="K87" s="346"/>
      <c r="L87" s="346"/>
      <c r="M87" s="346"/>
      <c r="N87" s="346">
        <f t="shared" si="95"/>
        <v>15311129.95239149</v>
      </c>
      <c r="O87" s="346"/>
      <c r="P87" s="346"/>
      <c r="Q87" s="346"/>
      <c r="R87" s="346">
        <f t="shared" si="95"/>
        <v>11694643.514397964</v>
      </c>
      <c r="S87" s="346"/>
      <c r="T87" s="346"/>
      <c r="U87" s="346"/>
      <c r="V87" s="346">
        <f t="shared" si="95"/>
        <v>10810331.738885313</v>
      </c>
      <c r="W87" s="346"/>
      <c r="X87" s="346"/>
      <c r="Y87" s="346"/>
      <c r="Z87" s="346">
        <f t="shared" si="95"/>
        <v>12781993.158994049</v>
      </c>
    </row>
    <row r="88" spans="1:26" s="6" customFormat="1" x14ac:dyDescent="0.2">
      <c r="A88" s="336"/>
      <c r="B88" s="337"/>
      <c r="C88" s="9"/>
      <c r="D88" s="9"/>
      <c r="E88" s="9"/>
      <c r="F88" s="326">
        <f>F89/(F71-F76-F83)</f>
        <v>0.25880653825792244</v>
      </c>
      <c r="G88" s="2"/>
      <c r="H88" s="2"/>
      <c r="I88" s="2"/>
      <c r="J88" s="35">
        <f>J89/(J71-J76-J83-J82)</f>
        <v>0.18010458597339998</v>
      </c>
      <c r="K88" s="9"/>
      <c r="L88" s="9"/>
      <c r="M88" s="9"/>
      <c r="N88" s="326">
        <f>N89/(N71-N76-N83-N82)</f>
        <v>0.12900595891599684</v>
      </c>
      <c r="O88" s="2"/>
      <c r="P88" s="2"/>
      <c r="Q88" s="2"/>
      <c r="R88" s="35">
        <f>R89/(R71-R76-R83-R82)</f>
        <v>9.7631519089625793E-2</v>
      </c>
      <c r="S88" s="9"/>
      <c r="T88" s="9"/>
      <c r="U88" s="9"/>
      <c r="V88" s="326">
        <f>V89/(V71-V76-V83-V82)</f>
        <v>8.9414354776268287E-2</v>
      </c>
      <c r="W88" s="2"/>
      <c r="X88" s="2"/>
      <c r="Y88" s="2"/>
      <c r="Z88" s="35">
        <f>Z89/(Z71-Z76-Z83-Z82)</f>
        <v>0.1047420065641723</v>
      </c>
    </row>
    <row r="89" spans="1:26" ht="13.5" thickBot="1" x14ac:dyDescent="0.25">
      <c r="A89" s="338">
        <v>63</v>
      </c>
      <c r="B89" s="339" t="s">
        <v>15</v>
      </c>
      <c r="C89" s="24"/>
      <c r="D89" s="24"/>
      <c r="E89" s="24"/>
      <c r="F89" s="24">
        <f>F87</f>
        <v>26455828.776200011</v>
      </c>
      <c r="G89" s="25"/>
      <c r="H89" s="25"/>
      <c r="I89" s="25"/>
      <c r="J89" s="25">
        <f>J87</f>
        <v>21186255.859014452</v>
      </c>
      <c r="K89" s="24"/>
      <c r="L89" s="24"/>
      <c r="M89" s="24"/>
      <c r="N89" s="24">
        <f>N87</f>
        <v>15311129.95239149</v>
      </c>
      <c r="O89" s="25"/>
      <c r="P89" s="25"/>
      <c r="Q89" s="25"/>
      <c r="R89" s="25">
        <f>R87</f>
        <v>11694643.514397964</v>
      </c>
      <c r="S89" s="24"/>
      <c r="T89" s="24"/>
      <c r="U89" s="24"/>
      <c r="V89" s="24">
        <f>V87</f>
        <v>10810331.738885313</v>
      </c>
      <c r="W89" s="25"/>
      <c r="X89" s="25"/>
      <c r="Y89" s="25"/>
      <c r="Z89" s="25">
        <f>Z87</f>
        <v>12781993.158994049</v>
      </c>
    </row>
    <row r="90" spans="1:26" ht="13.5" thickTop="1" x14ac:dyDescent="0.2">
      <c r="A90" s="282"/>
      <c r="B90" s="1"/>
      <c r="C90" s="121"/>
      <c r="D90" s="121"/>
      <c r="F90" s="121"/>
      <c r="G90" s="121"/>
      <c r="H90" s="121"/>
      <c r="J90" s="121"/>
      <c r="K90" s="121"/>
      <c r="L90" s="121"/>
      <c r="N90" s="121"/>
      <c r="O90" s="121"/>
      <c r="P90" s="121"/>
      <c r="R90" s="121"/>
      <c r="S90" s="121"/>
      <c r="T90" s="121"/>
      <c r="V90" s="121"/>
      <c r="W90" s="121"/>
      <c r="X90" s="121"/>
      <c r="Z90" s="121"/>
    </row>
    <row r="91" spans="1:26" x14ac:dyDescent="0.2">
      <c r="A91" s="279" t="s">
        <v>204</v>
      </c>
      <c r="C91" s="121"/>
      <c r="D91" s="121"/>
      <c r="F91" s="121">
        <f>(F71-F76-F83)/12</f>
        <v>8518534.395833334</v>
      </c>
      <c r="G91" s="121"/>
      <c r="H91" s="121"/>
      <c r="J91" s="121">
        <f>(J71-J76-J83)/12</f>
        <v>9802756.0600000005</v>
      </c>
      <c r="K91" s="121"/>
      <c r="L91" s="121"/>
      <c r="N91" s="121">
        <f>(N71-N76-N83)/12</f>
        <v>9890453.9507624898</v>
      </c>
      <c r="O91" s="121"/>
      <c r="P91" s="121"/>
      <c r="R91" s="121">
        <f>(R71-R76-R83)/12</f>
        <v>9981957.0082197487</v>
      </c>
      <c r="S91" s="121"/>
      <c r="T91" s="121"/>
      <c r="V91" s="121">
        <f>(V71-V76-V83)/12</f>
        <v>10075126.980388867</v>
      </c>
      <c r="W91" s="121"/>
      <c r="X91" s="121"/>
      <c r="Z91" s="121">
        <f>(Z71-Z76-Z83)/12</f>
        <v>10169426.112056024</v>
      </c>
    </row>
    <row r="92" spans="1:26" x14ac:dyDescent="0.2">
      <c r="A92" s="278" t="s">
        <v>75</v>
      </c>
      <c r="F92" s="145">
        <f>F89/F91</f>
        <v>3.1056784590950688</v>
      </c>
      <c r="G92" s="121"/>
      <c r="H92" s="121"/>
      <c r="I92" s="121"/>
      <c r="J92" s="145">
        <f>J89/J91</f>
        <v>2.1612550316807995</v>
      </c>
      <c r="N92" s="145">
        <f>N89/N91</f>
        <v>1.5480715069919619</v>
      </c>
      <c r="O92" s="121"/>
      <c r="P92" s="121"/>
      <c r="R92" s="145">
        <f>R89/R91</f>
        <v>1.1715782290755095</v>
      </c>
      <c r="V92" s="145">
        <f>V89/V91</f>
        <v>1.0729722573152194</v>
      </c>
      <c r="W92" s="121"/>
      <c r="X92" s="121"/>
      <c r="Z92" s="145">
        <f>Z89/Z91</f>
        <v>1.2569040787700678</v>
      </c>
    </row>
    <row r="93" spans="1:26" x14ac:dyDescent="0.2">
      <c r="A93" s="278" t="s">
        <v>270</v>
      </c>
      <c r="F93" s="145"/>
      <c r="G93" s="121"/>
      <c r="H93" s="121"/>
      <c r="J93" s="150">
        <f>(SUM(J63:J65)-SUM(F63:F65))/SUM(F63:F65)</f>
        <v>0.11827141486716515</v>
      </c>
      <c r="N93" s="150">
        <f>(SUM(N63:N65)-SUM(J63:J65))/SUM(J63:J65)</f>
        <v>1.0638807609552998E-2</v>
      </c>
      <c r="O93" s="121"/>
      <c r="P93" s="121"/>
      <c r="R93" s="150">
        <f>(SUM(R63:R65)-SUM(N63:N65))/SUM(N63:N65)</f>
        <v>1.0718193618555505E-2</v>
      </c>
      <c r="V93" s="150">
        <f>(SUM(V63:V65)-SUM(R63:R65))/SUM(R63:R65)</f>
        <v>1.0797715359474332E-2</v>
      </c>
      <c r="W93" s="121"/>
      <c r="X93" s="121"/>
      <c r="Z93" s="150">
        <f>(SUM(Z63:Z65)-SUM(V63:V65))/SUM(V63:V65)</f>
        <v>1.0811833549451975E-2</v>
      </c>
    </row>
    <row r="94" spans="1:26" x14ac:dyDescent="0.2">
      <c r="A94" s="278" t="s">
        <v>271</v>
      </c>
      <c r="F94" s="145"/>
      <c r="G94" s="121"/>
      <c r="H94" s="121"/>
      <c r="J94" s="162">
        <f>SUM(J63:J65)-SUM(F63:F65)</f>
        <v>10720914.969999999</v>
      </c>
      <c r="N94" s="162">
        <f>SUM(N63:N65)-SUM(J63:J65)</f>
        <v>1078430.6891498715</v>
      </c>
      <c r="O94" s="121"/>
      <c r="P94" s="121"/>
      <c r="R94" s="162">
        <f>SUM(R63:R65)-SUM(N63:N65)</f>
        <v>1098036.6894871145</v>
      </c>
      <c r="V94" s="162">
        <f>SUM(V63:V65)-SUM(R63:R65)</f>
        <v>1118039.6660294235</v>
      </c>
      <c r="W94" s="121"/>
      <c r="X94" s="121"/>
      <c r="Z94" s="162">
        <f>SUM(Z63:Z65)-SUM(V63:V65)</f>
        <v>1131589.5800058842</v>
      </c>
    </row>
    <row r="95" spans="1:26" x14ac:dyDescent="0.2">
      <c r="A95" s="3"/>
      <c r="F95" s="145"/>
      <c r="G95" s="121"/>
      <c r="H95" s="121"/>
      <c r="J95" s="162"/>
      <c r="N95" s="162"/>
      <c r="O95" s="121"/>
      <c r="P95" s="121"/>
      <c r="R95" s="162"/>
      <c r="V95" s="162"/>
      <c r="W95" s="121"/>
      <c r="X95" s="121"/>
      <c r="Z95" s="162"/>
    </row>
    <row r="96" spans="1:26" x14ac:dyDescent="0.2">
      <c r="A96" s="3" t="s">
        <v>262</v>
      </c>
      <c r="C96" s="121">
        <f>C49+C78</f>
        <v>0</v>
      </c>
      <c r="D96" s="121">
        <f>D49+D78</f>
        <v>0</v>
      </c>
      <c r="E96" s="121">
        <f>E49+E78</f>
        <v>0</v>
      </c>
      <c r="F96" s="121">
        <f>F49+F78</f>
        <v>104613957.52620001</v>
      </c>
      <c r="G96" s="121">
        <f t="shared" ref="G96:Z96" si="96">G49+G78+G80+G81</f>
        <v>0</v>
      </c>
      <c r="H96" s="121">
        <f t="shared" si="96"/>
        <v>0</v>
      </c>
      <c r="I96" s="121">
        <f t="shared" si="96"/>
        <v>0</v>
      </c>
      <c r="J96" s="121">
        <f t="shared" si="96"/>
        <v>110363499.80281444</v>
      </c>
      <c r="K96" s="121">
        <f t="shared" si="96"/>
        <v>0</v>
      </c>
      <c r="L96" s="121">
        <f t="shared" si="96"/>
        <v>0</v>
      </c>
      <c r="M96" s="121">
        <f t="shared" si="96"/>
        <v>0</v>
      </c>
      <c r="N96" s="121">
        <f t="shared" si="96"/>
        <v>112810321.50252691</v>
      </c>
      <c r="O96" s="121">
        <f t="shared" si="96"/>
        <v>0</v>
      </c>
      <c r="P96" s="121">
        <f t="shared" si="96"/>
        <v>0</v>
      </c>
      <c r="Q96" s="121">
        <f t="shared" si="96"/>
        <v>0</v>
      </c>
      <c r="R96" s="121">
        <f t="shared" si="96"/>
        <v>116166997.66064346</v>
      </c>
      <c r="S96" s="121">
        <f t="shared" si="96"/>
        <v>0</v>
      </c>
      <c r="T96" s="121">
        <f t="shared" si="96"/>
        <v>0</v>
      </c>
      <c r="U96" s="121">
        <f t="shared" si="96"/>
        <v>0</v>
      </c>
      <c r="V96" s="121">
        <f t="shared" si="96"/>
        <v>120017211.98915376</v>
      </c>
      <c r="W96" s="121">
        <f t="shared" si="96"/>
        <v>0</v>
      </c>
      <c r="X96" s="121">
        <f t="shared" si="96"/>
        <v>0</v>
      </c>
      <c r="Y96" s="121">
        <f t="shared" si="96"/>
        <v>0</v>
      </c>
      <c r="Z96" s="121">
        <f t="shared" si="96"/>
        <v>124004774.76478103</v>
      </c>
    </row>
    <row r="97" spans="1:26" x14ac:dyDescent="0.2">
      <c r="A97" s="36" t="s">
        <v>208</v>
      </c>
      <c r="C97" s="162">
        <f>C71-C83-C79-C80-C81-C82</f>
        <v>57175148.75</v>
      </c>
      <c r="D97" s="162">
        <f>D71-D83-D79-D80-D81-D82</f>
        <v>27778976</v>
      </c>
      <c r="E97" s="162">
        <f>E71-E83-E79-E80-E81-E82</f>
        <v>17892780</v>
      </c>
      <c r="F97" s="162">
        <f>F71-F83-F80-F81-F82</f>
        <v>102846904.75</v>
      </c>
      <c r="G97" s="162">
        <f t="shared" ref="G97:Z97" si="97">G71-G83-G79-G82</f>
        <v>63638521</v>
      </c>
      <c r="H97" s="162">
        <f t="shared" si="97"/>
        <v>31549033</v>
      </c>
      <c r="I97" s="162">
        <f t="shared" si="97"/>
        <v>22445518.719999999</v>
      </c>
      <c r="J97" s="162">
        <f>J71-J83-J79-J82</f>
        <v>117633072.72</v>
      </c>
      <c r="K97" s="162">
        <f t="shared" si="97"/>
        <v>64228968.673664995</v>
      </c>
      <c r="L97" s="162">
        <f t="shared" si="97"/>
        <v>31813861.716729671</v>
      </c>
      <c r="M97" s="162">
        <f t="shared" si="97"/>
        <v>22642617.018755201</v>
      </c>
      <c r="N97" s="162">
        <f t="shared" si="97"/>
        <v>118685447.40914987</v>
      </c>
      <c r="O97" s="162">
        <f t="shared" si="97"/>
        <v>64836195.458034977</v>
      </c>
      <c r="P97" s="162">
        <f t="shared" si="97"/>
        <v>32103868.637660287</v>
      </c>
      <c r="Q97" s="162">
        <f t="shared" si="97"/>
        <v>22843420.002941728</v>
      </c>
      <c r="R97" s="162">
        <f t="shared" si="97"/>
        <v>119783484.09863698</v>
      </c>
      <c r="S97" s="162">
        <f t="shared" si="97"/>
        <v>65454714.919438496</v>
      </c>
      <c r="T97" s="162">
        <f t="shared" si="97"/>
        <v>32398803.15605836</v>
      </c>
      <c r="U97" s="162">
        <f t="shared" si="97"/>
        <v>23048005.689169556</v>
      </c>
      <c r="V97" s="162">
        <f t="shared" si="97"/>
        <v>120901523.76466641</v>
      </c>
      <c r="W97" s="162">
        <f t="shared" si="97"/>
        <v>66080520.665089116</v>
      </c>
      <c r="X97" s="162">
        <f t="shared" si="97"/>
        <v>32697635.163795516</v>
      </c>
      <c r="Y97" s="162">
        <f t="shared" si="97"/>
        <v>23254957.515787654</v>
      </c>
      <c r="Z97" s="162">
        <f t="shared" si="97"/>
        <v>122033113.34467229</v>
      </c>
    </row>
    <row r="98" spans="1:26" x14ac:dyDescent="0.2">
      <c r="A98" s="36" t="s">
        <v>147</v>
      </c>
      <c r="C98" s="162"/>
      <c r="D98" s="162"/>
      <c r="E98" s="162"/>
      <c r="F98" s="162"/>
      <c r="G98" s="150"/>
      <c r="H98" s="150"/>
      <c r="I98" s="150"/>
      <c r="J98" s="121">
        <f>J96-J97</f>
        <v>-7269572.9171855599</v>
      </c>
      <c r="K98" s="150"/>
      <c r="L98" s="150"/>
      <c r="M98" s="150"/>
      <c r="N98" s="121">
        <f>N96-N97</f>
        <v>-5875125.9066229612</v>
      </c>
      <c r="O98" s="150"/>
      <c r="P98" s="150"/>
      <c r="Q98" s="150"/>
      <c r="R98" s="121">
        <f>R96-R97</f>
        <v>-3616486.4379935265</v>
      </c>
      <c r="S98" s="150"/>
      <c r="T98" s="150"/>
      <c r="U98" s="150"/>
      <c r="V98" s="121">
        <f>V96-V97</f>
        <v>-884311.77551265061</v>
      </c>
      <c r="W98" s="150"/>
      <c r="X98" s="150"/>
      <c r="Y98" s="150"/>
      <c r="Z98" s="121">
        <f>Z96-Z97</f>
        <v>1971661.4201087356</v>
      </c>
    </row>
    <row r="99" spans="1:26" ht="16.5" thickBot="1" x14ac:dyDescent="0.3">
      <c r="A99" s="143" t="s">
        <v>24</v>
      </c>
      <c r="B99" s="5"/>
      <c r="C99" s="121"/>
      <c r="D99" s="121"/>
      <c r="E99" s="121"/>
      <c r="I99" s="121"/>
      <c r="K99" s="121"/>
      <c r="L99" s="121"/>
      <c r="M99" s="121"/>
      <c r="S99" s="121"/>
      <c r="T99" s="121"/>
      <c r="U99" s="121"/>
    </row>
    <row r="100" spans="1:26" s="6" customFormat="1" ht="15" x14ac:dyDescent="0.25">
      <c r="A100" s="4" t="s">
        <v>58</v>
      </c>
      <c r="B100" s="5"/>
      <c r="C100" s="117">
        <f>'FTES Planning'!E56</f>
        <v>2.7099999999999999E-2</v>
      </c>
      <c r="D100" s="105">
        <f t="shared" ref="D100:F101" si="98">C100</f>
        <v>2.7099999999999999E-2</v>
      </c>
      <c r="E100" s="105">
        <f t="shared" si="98"/>
        <v>2.7099999999999999E-2</v>
      </c>
      <c r="F100" s="106">
        <f t="shared" si="98"/>
        <v>2.7099999999999999E-2</v>
      </c>
      <c r="G100" s="117">
        <f>'FTES Planning'!F56</f>
        <v>3.2599999999999997E-2</v>
      </c>
      <c r="H100" s="105">
        <f t="shared" ref="H100:J101" si="99">G100</f>
        <v>3.2599999999999997E-2</v>
      </c>
      <c r="I100" s="105">
        <f t="shared" si="99"/>
        <v>3.2599999999999997E-2</v>
      </c>
      <c r="J100" s="106">
        <f t="shared" si="99"/>
        <v>3.2599999999999997E-2</v>
      </c>
      <c r="K100" s="117">
        <f>'FTES Planning'!G56</f>
        <v>0.03</v>
      </c>
      <c r="L100" s="105">
        <f t="shared" ref="L100:N101" si="100">K100</f>
        <v>0.03</v>
      </c>
      <c r="M100" s="105">
        <f t="shared" si="100"/>
        <v>0.03</v>
      </c>
      <c r="N100" s="106">
        <f t="shared" si="100"/>
        <v>0.03</v>
      </c>
      <c r="O100" s="117">
        <f>'FTES Planning'!H56</f>
        <v>2.8000000000000001E-2</v>
      </c>
      <c r="P100" s="105">
        <f t="shared" ref="P100:R101" si="101">O100</f>
        <v>2.8000000000000001E-2</v>
      </c>
      <c r="Q100" s="105">
        <f t="shared" si="101"/>
        <v>2.8000000000000001E-2</v>
      </c>
      <c r="R100" s="106">
        <f t="shared" si="101"/>
        <v>2.8000000000000001E-2</v>
      </c>
      <c r="S100" s="117">
        <f>'FTES Planning'!I56</f>
        <v>3.1600000000000003E-2</v>
      </c>
      <c r="T100" s="105">
        <f t="shared" ref="T100:V101" si="102">S100</f>
        <v>3.1600000000000003E-2</v>
      </c>
      <c r="U100" s="105">
        <f t="shared" si="102"/>
        <v>3.1600000000000003E-2</v>
      </c>
      <c r="V100" s="106">
        <f t="shared" si="102"/>
        <v>3.1600000000000003E-2</v>
      </c>
      <c r="W100" s="117">
        <f>'FTES Planning'!J56</f>
        <v>3.1600000000000003E-2</v>
      </c>
      <c r="X100" s="105">
        <f t="shared" ref="X100:Z101" si="103">W100</f>
        <v>3.1600000000000003E-2</v>
      </c>
      <c r="Y100" s="105">
        <f t="shared" si="103"/>
        <v>3.1600000000000003E-2</v>
      </c>
      <c r="Z100" s="106">
        <f t="shared" si="103"/>
        <v>3.1600000000000003E-2</v>
      </c>
    </row>
    <row r="101" spans="1:26" s="6" customFormat="1" ht="15" x14ac:dyDescent="0.25">
      <c r="A101" s="4" t="s">
        <v>232</v>
      </c>
      <c r="B101" s="5"/>
      <c r="C101" s="107">
        <f>'FTES Planning'!E57</f>
        <v>4.4600000000000001E-2</v>
      </c>
      <c r="D101" s="255">
        <f t="shared" si="98"/>
        <v>4.4600000000000001E-2</v>
      </c>
      <c r="E101" s="255">
        <f t="shared" si="98"/>
        <v>4.4600000000000001E-2</v>
      </c>
      <c r="F101" s="256">
        <f t="shared" si="98"/>
        <v>4.4600000000000001E-2</v>
      </c>
      <c r="G101" s="107">
        <f>'FTES Planning'!F57</f>
        <v>0.01</v>
      </c>
      <c r="H101" s="255">
        <f t="shared" si="99"/>
        <v>0.01</v>
      </c>
      <c r="I101" s="255">
        <f t="shared" si="99"/>
        <v>0.01</v>
      </c>
      <c r="J101" s="256">
        <f t="shared" si="99"/>
        <v>0.01</v>
      </c>
      <c r="K101" s="107">
        <f>'FTES Planning'!G57</f>
        <v>0.01</v>
      </c>
      <c r="L101" s="255">
        <f t="shared" si="100"/>
        <v>0.01</v>
      </c>
      <c r="M101" s="255">
        <f t="shared" si="100"/>
        <v>0.01</v>
      </c>
      <c r="N101" s="256">
        <f t="shared" si="100"/>
        <v>0.01</v>
      </c>
      <c r="O101" s="107">
        <f>'FTES Planning'!H57</f>
        <v>0.01</v>
      </c>
      <c r="P101" s="255">
        <f t="shared" si="101"/>
        <v>0.01</v>
      </c>
      <c r="Q101" s="255">
        <f t="shared" si="101"/>
        <v>0.01</v>
      </c>
      <c r="R101" s="256">
        <f t="shared" si="101"/>
        <v>0.01</v>
      </c>
      <c r="S101" s="107">
        <f>'FTES Planning'!I57</f>
        <v>0.01</v>
      </c>
      <c r="T101" s="255">
        <f t="shared" si="102"/>
        <v>0.01</v>
      </c>
      <c r="U101" s="255">
        <f t="shared" si="102"/>
        <v>0.01</v>
      </c>
      <c r="V101" s="256">
        <f t="shared" si="102"/>
        <v>0.01</v>
      </c>
      <c r="W101" s="107">
        <f>'FTES Planning'!J57</f>
        <v>0.01</v>
      </c>
      <c r="X101" s="255">
        <f t="shared" si="103"/>
        <v>0.01</v>
      </c>
      <c r="Y101" s="255">
        <f t="shared" si="103"/>
        <v>0.01</v>
      </c>
      <c r="Z101" s="256">
        <f t="shared" si="103"/>
        <v>0.01</v>
      </c>
    </row>
    <row r="102" spans="1:26" s="6" customFormat="1" ht="15" x14ac:dyDescent="0.25">
      <c r="A102" s="4" t="s">
        <v>57</v>
      </c>
      <c r="B102" s="5"/>
      <c r="C102" s="107">
        <f>'FTES Planning'!E27</f>
        <v>-2.0944402132520943E-2</v>
      </c>
      <c r="D102" s="104">
        <f>'FTES Planning'!E28</f>
        <v>-0.10478547854785479</v>
      </c>
      <c r="E102" s="104"/>
      <c r="F102" s="108">
        <f>D102</f>
        <v>-0.10478547854785479</v>
      </c>
      <c r="G102" s="107">
        <f>'FTES Planning'!F27</f>
        <v>5.5425904317386232E-3</v>
      </c>
      <c r="H102" s="104">
        <f>'FTES Planning'!F28</f>
        <v>1.2442396313364055E-2</v>
      </c>
      <c r="I102" s="104"/>
      <c r="J102" s="108">
        <f>H102</f>
        <v>1.2442396313364055E-2</v>
      </c>
      <c r="K102" s="107">
        <f>'FTES Planning'!G27</f>
        <v>2.0017406440382943E-2</v>
      </c>
      <c r="L102" s="104">
        <f>'FTES Planning'!G28</f>
        <v>2.7309968138370506E-2</v>
      </c>
      <c r="M102" s="104"/>
      <c r="N102" s="108">
        <f>L102</f>
        <v>2.7309968138370506E-2</v>
      </c>
      <c r="O102" s="107">
        <f>'FTES Planning'!H27</f>
        <v>2.0003792188092531E-2</v>
      </c>
      <c r="P102" s="104">
        <f>'FTES Planning'!H28</f>
        <v>2.724856003544528E-2</v>
      </c>
      <c r="Q102" s="104"/>
      <c r="R102" s="108">
        <f>P102</f>
        <v>2.724856003544528E-2</v>
      </c>
      <c r="S102" s="107">
        <f>'FTES Planning'!I27</f>
        <v>1.9983269820615299E-2</v>
      </c>
      <c r="T102" s="104">
        <f>'FTES Planning'!I28</f>
        <v>2.7388397670907914E-2</v>
      </c>
      <c r="U102" s="104"/>
      <c r="V102" s="108">
        <f>T102</f>
        <v>2.7388397670907914E-2</v>
      </c>
      <c r="W102" s="107">
        <f>'FTES Planning'!J27</f>
        <v>1.9956260251503554E-2</v>
      </c>
      <c r="X102" s="104">
        <f>'FTES Planning'!J28</f>
        <v>2.7287993282955499E-2</v>
      </c>
      <c r="Y102" s="104"/>
      <c r="Z102" s="108">
        <f>X102</f>
        <v>2.7287993282955499E-2</v>
      </c>
    </row>
    <row r="103" spans="1:26" s="6" customFormat="1" ht="15" x14ac:dyDescent="0.25">
      <c r="A103" s="4" t="s">
        <v>53</v>
      </c>
      <c r="B103" s="5"/>
      <c r="C103" s="109">
        <f>'FTES Planning'!E21</f>
        <v>-401</v>
      </c>
      <c r="D103" s="102">
        <f>'FTES Planning'!E22</f>
        <v>-251</v>
      </c>
      <c r="E103" s="102"/>
      <c r="F103" s="110">
        <f>SUM(C103:E103)</f>
        <v>-652</v>
      </c>
      <c r="G103" s="109">
        <f>'FTES Planning'!F21</f>
        <v>281</v>
      </c>
      <c r="H103" s="102">
        <f>'FTES Planning'!F22</f>
        <v>119</v>
      </c>
      <c r="I103" s="102"/>
      <c r="J103" s="110">
        <f>SUM(G103:I103)</f>
        <v>400</v>
      </c>
      <c r="K103" s="109">
        <f>'FTES Planning'!G37</f>
        <v>207</v>
      </c>
      <c r="L103" s="102">
        <f>'FTES Planning'!G38</f>
        <v>120</v>
      </c>
      <c r="M103" s="102"/>
      <c r="N103" s="110">
        <f>SUM(K103:M103)</f>
        <v>327</v>
      </c>
      <c r="O103" s="109">
        <f>'FTES Planning'!H37</f>
        <v>211</v>
      </c>
      <c r="P103" s="102">
        <f>'FTES Planning'!H38</f>
        <v>123</v>
      </c>
      <c r="Q103" s="102"/>
      <c r="R103" s="110">
        <f>SUM(O103:Q103)</f>
        <v>334</v>
      </c>
      <c r="S103" s="109">
        <f>'FTES Planning'!I37</f>
        <v>215</v>
      </c>
      <c r="T103" s="102">
        <f>'FTES Planning'!I38</f>
        <v>127</v>
      </c>
      <c r="U103" s="102"/>
      <c r="V103" s="110">
        <f>SUM(S103:U103)</f>
        <v>342</v>
      </c>
      <c r="W103" s="109">
        <f>'FTES Planning'!J37</f>
        <v>219</v>
      </c>
      <c r="X103" s="102">
        <f>'FTES Planning'!J38</f>
        <v>130</v>
      </c>
      <c r="Y103" s="102"/>
      <c r="Z103" s="110">
        <f>SUM(W103:Y103)</f>
        <v>349</v>
      </c>
    </row>
    <row r="104" spans="1:26" s="6" customFormat="1" ht="15" x14ac:dyDescent="0.25">
      <c r="A104" s="4" t="s">
        <v>54</v>
      </c>
      <c r="B104" s="5"/>
      <c r="C104" s="111">
        <v>0</v>
      </c>
      <c r="D104" s="37">
        <v>0</v>
      </c>
      <c r="E104" s="37"/>
      <c r="F104" s="112">
        <f>SUM(C104:E104)</f>
        <v>0</v>
      </c>
      <c r="G104" s="111">
        <f>'FTES Planning'!F76</f>
        <v>261184</v>
      </c>
      <c r="H104" s="37">
        <f>'FTES Planning'!F77</f>
        <v>75790</v>
      </c>
      <c r="I104" s="37"/>
      <c r="J104" s="112">
        <f t="shared" ref="J104" si="104">I104</f>
        <v>0</v>
      </c>
      <c r="K104" s="111">
        <f>'FTES Planning'!G76</f>
        <v>94446</v>
      </c>
      <c r="L104" s="37">
        <f>'FTES Planning'!G77</f>
        <v>3498</v>
      </c>
      <c r="M104" s="37"/>
      <c r="N104" s="112">
        <f t="shared" ref="N104" si="105">M104</f>
        <v>0</v>
      </c>
      <c r="O104" s="111">
        <f>'FTES Planning'!H76</f>
        <v>104941.6324</v>
      </c>
      <c r="P104" s="37">
        <f>'FTES Planning'!H77</f>
        <v>3703.8223200000002</v>
      </c>
      <c r="Q104" s="37"/>
      <c r="R104" s="112">
        <f>SUM(O104:Q104)</f>
        <v>108645.45472000001</v>
      </c>
      <c r="S104" s="111">
        <f>'FTES Planning'!I76</f>
        <v>103774</v>
      </c>
      <c r="T104" s="37">
        <f>'FTES Planning'!I77</f>
        <v>2332</v>
      </c>
      <c r="U104" s="37"/>
      <c r="V104" s="112">
        <f>SUM(S104:U104)</f>
        <v>106106</v>
      </c>
      <c r="W104" s="111">
        <f>'FTES Planning'!J76</f>
        <v>109604</v>
      </c>
      <c r="X104" s="37">
        <f>'FTES Planning'!J77</f>
        <v>3498</v>
      </c>
      <c r="Y104" s="37"/>
      <c r="Z104" s="112">
        <f>SUM(W104:Y104)</f>
        <v>113102</v>
      </c>
    </row>
    <row r="105" spans="1:26" s="6" customFormat="1" ht="15" x14ac:dyDescent="0.25">
      <c r="A105" s="4" t="s">
        <v>272</v>
      </c>
      <c r="B105" s="4"/>
      <c r="C105" s="113" t="s">
        <v>31</v>
      </c>
      <c r="D105" s="104" t="str">
        <f t="shared" ref="D105:F108" si="106">C105</f>
        <v>Forecasted</v>
      </c>
      <c r="E105" s="104" t="str">
        <f t="shared" si="106"/>
        <v>Forecasted</v>
      </c>
      <c r="F105" s="108" t="str">
        <f t="shared" si="106"/>
        <v>Forecasted</v>
      </c>
      <c r="G105" s="113">
        <v>0</v>
      </c>
      <c r="H105" s="104">
        <f t="shared" ref="H105:J107" si="107">G105</f>
        <v>0</v>
      </c>
      <c r="I105" s="104">
        <f t="shared" si="107"/>
        <v>0</v>
      </c>
      <c r="J105" s="108">
        <f t="shared" si="107"/>
        <v>0</v>
      </c>
      <c r="K105" s="113">
        <v>1.4999999999999999E-2</v>
      </c>
      <c r="L105" s="104">
        <f t="shared" ref="L105:N108" si="108">K105</f>
        <v>1.4999999999999999E-2</v>
      </c>
      <c r="M105" s="104">
        <f t="shared" si="108"/>
        <v>1.4999999999999999E-2</v>
      </c>
      <c r="N105" s="108">
        <f t="shared" si="108"/>
        <v>1.4999999999999999E-2</v>
      </c>
      <c r="O105" s="113">
        <f>K105</f>
        <v>1.4999999999999999E-2</v>
      </c>
      <c r="P105" s="104">
        <f t="shared" ref="P105:R108" si="109">O105</f>
        <v>1.4999999999999999E-2</v>
      </c>
      <c r="Q105" s="104">
        <f t="shared" si="109"/>
        <v>1.4999999999999999E-2</v>
      </c>
      <c r="R105" s="108">
        <f t="shared" si="109"/>
        <v>1.4999999999999999E-2</v>
      </c>
      <c r="S105" s="113">
        <f>O105</f>
        <v>1.4999999999999999E-2</v>
      </c>
      <c r="T105" s="104">
        <f t="shared" ref="T105:V108" si="110">S105</f>
        <v>1.4999999999999999E-2</v>
      </c>
      <c r="U105" s="104">
        <f t="shared" si="110"/>
        <v>1.4999999999999999E-2</v>
      </c>
      <c r="V105" s="108">
        <f t="shared" si="110"/>
        <v>1.4999999999999999E-2</v>
      </c>
      <c r="W105" s="113">
        <f>S105</f>
        <v>1.4999999999999999E-2</v>
      </c>
      <c r="X105" s="104">
        <f t="shared" ref="X105:X108" si="111">W105</f>
        <v>1.4999999999999999E-2</v>
      </c>
      <c r="Y105" s="104">
        <f t="shared" ref="Y105:Y108" si="112">X105</f>
        <v>1.4999999999999999E-2</v>
      </c>
      <c r="Z105" s="108">
        <f t="shared" ref="Z105:Z106" si="113">Y105</f>
        <v>1.4999999999999999E-2</v>
      </c>
    </row>
    <row r="106" spans="1:26" s="6" customFormat="1" ht="15" x14ac:dyDescent="0.25">
      <c r="A106" s="4" t="s">
        <v>55</v>
      </c>
      <c r="B106" s="5"/>
      <c r="C106" s="113" t="s">
        <v>31</v>
      </c>
      <c r="D106" s="104" t="str">
        <f t="shared" si="106"/>
        <v>Forecasted</v>
      </c>
      <c r="E106" s="104" t="str">
        <f t="shared" si="106"/>
        <v>Forecasted</v>
      </c>
      <c r="F106" s="108" t="str">
        <f t="shared" si="106"/>
        <v>Forecasted</v>
      </c>
      <c r="G106" s="113">
        <v>0</v>
      </c>
      <c r="H106" s="104">
        <f t="shared" si="107"/>
        <v>0</v>
      </c>
      <c r="I106" s="104">
        <f t="shared" si="107"/>
        <v>0</v>
      </c>
      <c r="J106" s="108">
        <f t="shared" si="107"/>
        <v>0</v>
      </c>
      <c r="K106" s="113">
        <v>0</v>
      </c>
      <c r="L106" s="104">
        <f t="shared" si="108"/>
        <v>0</v>
      </c>
      <c r="M106" s="104">
        <f t="shared" si="108"/>
        <v>0</v>
      </c>
      <c r="N106" s="108">
        <f t="shared" si="108"/>
        <v>0</v>
      </c>
      <c r="O106" s="113">
        <v>0</v>
      </c>
      <c r="P106" s="104">
        <f t="shared" si="109"/>
        <v>0</v>
      </c>
      <c r="Q106" s="104">
        <f t="shared" si="109"/>
        <v>0</v>
      </c>
      <c r="R106" s="108">
        <f t="shared" si="109"/>
        <v>0</v>
      </c>
      <c r="S106" s="113">
        <v>0</v>
      </c>
      <c r="T106" s="104">
        <f t="shared" si="110"/>
        <v>0</v>
      </c>
      <c r="U106" s="104">
        <f t="shared" si="110"/>
        <v>0</v>
      </c>
      <c r="V106" s="108">
        <f t="shared" si="110"/>
        <v>0</v>
      </c>
      <c r="W106" s="113">
        <f>S106</f>
        <v>0</v>
      </c>
      <c r="X106" s="104">
        <f t="shared" si="111"/>
        <v>0</v>
      </c>
      <c r="Y106" s="104">
        <f t="shared" si="112"/>
        <v>0</v>
      </c>
      <c r="Z106" s="108">
        <f t="shared" si="113"/>
        <v>0</v>
      </c>
    </row>
    <row r="107" spans="1:26" s="6" customFormat="1" ht="15" x14ac:dyDescent="0.25">
      <c r="A107" s="4" t="s">
        <v>56</v>
      </c>
      <c r="B107" s="5"/>
      <c r="C107" s="113" t="s">
        <v>31</v>
      </c>
      <c r="D107" s="104" t="str">
        <f t="shared" si="106"/>
        <v>Forecasted</v>
      </c>
      <c r="E107" s="104" t="str">
        <f t="shared" si="106"/>
        <v>Forecasted</v>
      </c>
      <c r="F107" s="108" t="str">
        <f>E107</f>
        <v>Forecasted</v>
      </c>
      <c r="G107" s="113">
        <v>0</v>
      </c>
      <c r="H107" s="104">
        <f t="shared" si="107"/>
        <v>0</v>
      </c>
      <c r="I107" s="104">
        <f t="shared" si="107"/>
        <v>0</v>
      </c>
      <c r="J107" s="108">
        <f>I107</f>
        <v>0</v>
      </c>
      <c r="K107" s="113">
        <v>0.03</v>
      </c>
      <c r="L107" s="104">
        <f t="shared" si="108"/>
        <v>0.03</v>
      </c>
      <c r="M107" s="104">
        <f t="shared" si="108"/>
        <v>0.03</v>
      </c>
      <c r="N107" s="108">
        <f>M107</f>
        <v>0.03</v>
      </c>
      <c r="O107" s="113">
        <f>K107</f>
        <v>0.03</v>
      </c>
      <c r="P107" s="104">
        <f t="shared" si="109"/>
        <v>0.03</v>
      </c>
      <c r="Q107" s="104">
        <f t="shared" si="109"/>
        <v>0.03</v>
      </c>
      <c r="R107" s="108">
        <f>Q107</f>
        <v>0.03</v>
      </c>
      <c r="S107" s="113">
        <f>O107</f>
        <v>0.03</v>
      </c>
      <c r="T107" s="104">
        <f t="shared" si="110"/>
        <v>0.03</v>
      </c>
      <c r="U107" s="104">
        <f t="shared" si="110"/>
        <v>0.03</v>
      </c>
      <c r="V107" s="108">
        <f>U107</f>
        <v>0.03</v>
      </c>
      <c r="W107" s="113">
        <f>S107</f>
        <v>0.03</v>
      </c>
      <c r="X107" s="104">
        <f t="shared" si="111"/>
        <v>0.03</v>
      </c>
      <c r="Y107" s="104">
        <f t="shared" si="112"/>
        <v>0.03</v>
      </c>
      <c r="Z107" s="108">
        <f>Y107</f>
        <v>0.03</v>
      </c>
    </row>
    <row r="108" spans="1:26" s="6" customFormat="1" ht="15" x14ac:dyDescent="0.25">
      <c r="A108" s="4" t="s">
        <v>71</v>
      </c>
      <c r="B108" s="5"/>
      <c r="C108" s="107" t="s">
        <v>31</v>
      </c>
      <c r="D108" s="104" t="str">
        <f t="shared" si="106"/>
        <v>Forecasted</v>
      </c>
      <c r="E108" s="104" t="str">
        <f t="shared" si="106"/>
        <v>Forecasted</v>
      </c>
      <c r="F108" s="108" t="str">
        <f>E108</f>
        <v>Forecasted</v>
      </c>
      <c r="G108" s="107">
        <f>G100</f>
        <v>3.2599999999999997E-2</v>
      </c>
      <c r="H108" s="104">
        <f t="shared" ref="H108" si="114">G108</f>
        <v>3.2599999999999997E-2</v>
      </c>
      <c r="I108" s="104">
        <f t="shared" ref="I108" si="115">H108</f>
        <v>3.2599999999999997E-2</v>
      </c>
      <c r="J108" s="108">
        <f>I108</f>
        <v>3.2599999999999997E-2</v>
      </c>
      <c r="K108" s="31">
        <v>0</v>
      </c>
      <c r="L108" s="104">
        <f t="shared" si="108"/>
        <v>0</v>
      </c>
      <c r="M108" s="104">
        <f t="shared" si="108"/>
        <v>0</v>
      </c>
      <c r="N108" s="108">
        <f>M108</f>
        <v>0</v>
      </c>
      <c r="O108" s="31">
        <f>K108</f>
        <v>0</v>
      </c>
      <c r="P108" s="104">
        <f t="shared" si="109"/>
        <v>0</v>
      </c>
      <c r="Q108" s="104">
        <f t="shared" si="109"/>
        <v>0</v>
      </c>
      <c r="R108" s="108">
        <f>Q108</f>
        <v>0</v>
      </c>
      <c r="S108" s="31">
        <f>O108</f>
        <v>0</v>
      </c>
      <c r="T108" s="104">
        <f t="shared" si="110"/>
        <v>0</v>
      </c>
      <c r="U108" s="104">
        <f t="shared" si="110"/>
        <v>0</v>
      </c>
      <c r="V108" s="108">
        <f>U108</f>
        <v>0</v>
      </c>
      <c r="W108" s="31">
        <f>S108</f>
        <v>0</v>
      </c>
      <c r="X108" s="104">
        <f t="shared" si="111"/>
        <v>0</v>
      </c>
      <c r="Y108" s="104">
        <f t="shared" si="112"/>
        <v>0</v>
      </c>
      <c r="Z108" s="108">
        <f>Y108</f>
        <v>0</v>
      </c>
    </row>
    <row r="109" spans="1:26" s="6" customFormat="1" ht="15" x14ac:dyDescent="0.25">
      <c r="A109" s="4" t="s">
        <v>60</v>
      </c>
      <c r="B109" s="5"/>
      <c r="C109" s="122">
        <f>F109*C5</f>
        <v>0</v>
      </c>
      <c r="D109" s="123">
        <f>F109*D5</f>
        <v>0</v>
      </c>
      <c r="E109" s="123">
        <v>0</v>
      </c>
      <c r="F109" s="130">
        <v>0</v>
      </c>
      <c r="G109" s="122">
        <f>J109*G5</f>
        <v>0</v>
      </c>
      <c r="H109" s="123">
        <f>J109*H5</f>
        <v>0</v>
      </c>
      <c r="I109" s="123">
        <v>0</v>
      </c>
      <c r="J109" s="130">
        <v>0</v>
      </c>
      <c r="K109" s="122">
        <f>N109*K5</f>
        <v>0</v>
      </c>
      <c r="L109" s="123">
        <f>N109*L5</f>
        <v>0</v>
      </c>
      <c r="M109" s="123">
        <v>0</v>
      </c>
      <c r="N109" s="130">
        <v>0</v>
      </c>
      <c r="O109" s="122">
        <f>R109*O5</f>
        <v>0</v>
      </c>
      <c r="P109" s="123">
        <f>R109*P5</f>
        <v>0</v>
      </c>
      <c r="Q109" s="123">
        <v>0</v>
      </c>
      <c r="R109" s="130">
        <v>0</v>
      </c>
      <c r="S109" s="122">
        <f>V109*S5</f>
        <v>0</v>
      </c>
      <c r="T109" s="123">
        <f>V109*T5</f>
        <v>0</v>
      </c>
      <c r="U109" s="123">
        <v>0</v>
      </c>
      <c r="V109" s="130">
        <v>0</v>
      </c>
      <c r="W109" s="122">
        <f>Z109*W5</f>
        <v>0</v>
      </c>
      <c r="X109" s="123">
        <f>Z109*X5</f>
        <v>0</v>
      </c>
      <c r="Y109" s="123">
        <v>0</v>
      </c>
      <c r="Z109" s="130">
        <v>0</v>
      </c>
    </row>
    <row r="110" spans="1:26" s="6" customFormat="1" ht="15" x14ac:dyDescent="0.25">
      <c r="A110" s="4" t="s">
        <v>61</v>
      </c>
      <c r="B110" s="5"/>
      <c r="C110" s="122">
        <f>F110*C5</f>
        <v>0</v>
      </c>
      <c r="D110" s="123">
        <f>F110*D5</f>
        <v>0</v>
      </c>
      <c r="E110" s="123">
        <v>0</v>
      </c>
      <c r="F110" s="130">
        <v>0</v>
      </c>
      <c r="G110" s="122">
        <f>J110*G5</f>
        <v>0</v>
      </c>
      <c r="H110" s="123">
        <f>J110*H5</f>
        <v>0</v>
      </c>
      <c r="I110" s="123">
        <v>0</v>
      </c>
      <c r="J110" s="130">
        <v>0</v>
      </c>
      <c r="K110" s="122">
        <f>N110*K5</f>
        <v>0</v>
      </c>
      <c r="L110" s="123">
        <f>N110*L5</f>
        <v>0</v>
      </c>
      <c r="M110" s="123">
        <v>0</v>
      </c>
      <c r="N110" s="130">
        <v>0</v>
      </c>
      <c r="O110" s="122">
        <f>R110*O5</f>
        <v>0</v>
      </c>
      <c r="P110" s="123">
        <f>R110*P5</f>
        <v>0</v>
      </c>
      <c r="Q110" s="123">
        <v>0</v>
      </c>
      <c r="R110" s="130">
        <v>0</v>
      </c>
      <c r="S110" s="122">
        <f>V110*S5</f>
        <v>0</v>
      </c>
      <c r="T110" s="123">
        <f>V110*T5</f>
        <v>0</v>
      </c>
      <c r="U110" s="123">
        <v>0</v>
      </c>
      <c r="V110" s="130">
        <v>0</v>
      </c>
      <c r="W110" s="122">
        <f>Z110*W5</f>
        <v>0</v>
      </c>
      <c r="X110" s="123">
        <f>Z110*X5</f>
        <v>0</v>
      </c>
      <c r="Y110" s="123">
        <v>0</v>
      </c>
      <c r="Z110" s="130">
        <v>0</v>
      </c>
    </row>
    <row r="111" spans="1:26" s="6" customFormat="1" ht="15" x14ac:dyDescent="0.25">
      <c r="A111" s="4" t="s">
        <v>230</v>
      </c>
      <c r="B111" s="5"/>
      <c r="C111" s="122"/>
      <c r="D111" s="123"/>
      <c r="E111" s="123">
        <f>F111</f>
        <v>0</v>
      </c>
      <c r="F111" s="130">
        <v>0</v>
      </c>
      <c r="G111" s="122"/>
      <c r="H111" s="123"/>
      <c r="I111" s="123">
        <f>J111</f>
        <v>0</v>
      </c>
      <c r="J111" s="130">
        <v>0</v>
      </c>
      <c r="K111" s="122"/>
      <c r="L111" s="123"/>
      <c r="M111" s="123">
        <f>N111</f>
        <v>0</v>
      </c>
      <c r="N111" s="130">
        <v>0</v>
      </c>
      <c r="O111" s="122"/>
      <c r="P111" s="123"/>
      <c r="Q111" s="123">
        <f>R111</f>
        <v>0</v>
      </c>
      <c r="R111" s="130">
        <v>0</v>
      </c>
      <c r="S111" s="122"/>
      <c r="T111" s="123"/>
      <c r="U111" s="123">
        <f>V111</f>
        <v>0</v>
      </c>
      <c r="V111" s="130">
        <v>0</v>
      </c>
      <c r="W111" s="122"/>
      <c r="X111" s="123"/>
      <c r="Y111" s="123">
        <f>Z111</f>
        <v>0</v>
      </c>
      <c r="Z111" s="130">
        <v>0</v>
      </c>
    </row>
    <row r="112" spans="1:26" s="6" customFormat="1" ht="15.75" thickBot="1" x14ac:dyDescent="0.3">
      <c r="A112" s="4" t="s">
        <v>35</v>
      </c>
      <c r="B112" s="5"/>
      <c r="C112" s="114">
        <v>0</v>
      </c>
      <c r="D112" s="115">
        <v>0</v>
      </c>
      <c r="E112" s="115">
        <v>0</v>
      </c>
      <c r="F112" s="116">
        <f>SUM(C112:E112)</f>
        <v>0</v>
      </c>
      <c r="G112" s="114">
        <f>C112</f>
        <v>0</v>
      </c>
      <c r="H112" s="115">
        <f>D112</f>
        <v>0</v>
      </c>
      <c r="I112" s="115">
        <f>E112</f>
        <v>0</v>
      </c>
      <c r="J112" s="116">
        <f>SUM(G112:I112)</f>
        <v>0</v>
      </c>
      <c r="K112" s="114">
        <f>G112</f>
        <v>0</v>
      </c>
      <c r="L112" s="115">
        <f>H112</f>
        <v>0</v>
      </c>
      <c r="M112" s="115">
        <f>I112</f>
        <v>0</v>
      </c>
      <c r="N112" s="116">
        <f>SUM(K112:M112)</f>
        <v>0</v>
      </c>
      <c r="O112" s="114">
        <f>K112</f>
        <v>0</v>
      </c>
      <c r="P112" s="115">
        <f>L112</f>
        <v>0</v>
      </c>
      <c r="Q112" s="115">
        <f>M112</f>
        <v>0</v>
      </c>
      <c r="R112" s="116">
        <f>SUM(O112:Q112)</f>
        <v>0</v>
      </c>
      <c r="S112" s="114">
        <f>O112</f>
        <v>0</v>
      </c>
      <c r="T112" s="115">
        <f>P112</f>
        <v>0</v>
      </c>
      <c r="U112" s="115">
        <f>Q112</f>
        <v>0</v>
      </c>
      <c r="V112" s="116">
        <f>SUM(S112:U112)</f>
        <v>0</v>
      </c>
      <c r="W112" s="114">
        <f>S112</f>
        <v>0</v>
      </c>
      <c r="X112" s="115">
        <f>T112</f>
        <v>0</v>
      </c>
      <c r="Y112" s="115">
        <f>U112</f>
        <v>0</v>
      </c>
      <c r="Z112" s="116">
        <f>SUM(W112:Y112)</f>
        <v>0</v>
      </c>
    </row>
    <row r="113" spans="1:26" s="6" customFormat="1" x14ac:dyDescent="0.2">
      <c r="A113" s="5"/>
    </row>
    <row r="114" spans="1:26" x14ac:dyDescent="0.2">
      <c r="A114" s="7"/>
    </row>
    <row r="115" spans="1:26" x14ac:dyDescent="0.2">
      <c r="A115" s="101" t="s">
        <v>252</v>
      </c>
      <c r="E115" s="121"/>
      <c r="F115" s="121">
        <f>F71-F76-F83</f>
        <v>102222412.75</v>
      </c>
      <c r="J115" s="121">
        <f>J71-J76-J83</f>
        <v>117633072.72</v>
      </c>
      <c r="M115" s="121"/>
      <c r="N115" s="121">
        <f>N71-N76-N83</f>
        <v>118685447.40914987</v>
      </c>
      <c r="R115" s="121">
        <f>R71-R76-R83</f>
        <v>119783484.09863698</v>
      </c>
      <c r="U115" s="121"/>
      <c r="V115" s="121">
        <f>V71-V76-V83</f>
        <v>120901523.76466641</v>
      </c>
      <c r="Z115" s="121">
        <f>Z71-Z76-Z83</f>
        <v>122033113.34467229</v>
      </c>
    </row>
    <row r="116" spans="1:26" x14ac:dyDescent="0.2">
      <c r="A116" s="101" t="s">
        <v>265</v>
      </c>
      <c r="F116" s="121">
        <f>F115*0.12</f>
        <v>12266689.529999999</v>
      </c>
      <c r="J116" s="121">
        <f>J115*0.12</f>
        <v>14115968.726399999</v>
      </c>
      <c r="N116" s="121">
        <f>N115*0.12</f>
        <v>14242253.689097984</v>
      </c>
      <c r="R116" s="121">
        <f>R115*0.12</f>
        <v>14374018.091836438</v>
      </c>
      <c r="V116" s="121">
        <f>V115*0.12</f>
        <v>14508182.851759968</v>
      </c>
      <c r="Z116" s="121">
        <f>Z115*0.12</f>
        <v>14643973.601360675</v>
      </c>
    </row>
    <row r="117" spans="1:26" x14ac:dyDescent="0.2">
      <c r="A117" s="7"/>
      <c r="F117" s="121"/>
      <c r="J117" s="121"/>
      <c r="N117" s="121"/>
      <c r="R117" s="121"/>
      <c r="V117" s="121"/>
      <c r="Z117" s="121"/>
    </row>
    <row r="118" spans="1:26" ht="13.5" thickBot="1" x14ac:dyDescent="0.25">
      <c r="A118" s="101" t="s">
        <v>46</v>
      </c>
    </row>
    <row r="119" spans="1:26" x14ac:dyDescent="0.2">
      <c r="A119" s="3" t="s">
        <v>39</v>
      </c>
      <c r="C119" s="50"/>
      <c r="D119" s="51"/>
      <c r="E119" s="51"/>
      <c r="F119" s="52">
        <f>SUM(C119:E119)</f>
        <v>0</v>
      </c>
      <c r="G119" s="50"/>
      <c r="H119" s="51"/>
      <c r="I119" s="51"/>
      <c r="J119" s="52">
        <f>SUM(G119:I119)</f>
        <v>0</v>
      </c>
      <c r="K119" s="50"/>
      <c r="L119" s="51"/>
      <c r="M119" s="51"/>
      <c r="N119" s="52">
        <f>SUM(K119:M119)</f>
        <v>0</v>
      </c>
      <c r="O119" s="50">
        <f>VLOOKUP(O106&amp;$A$119,'Salary Increases 2'!$C$7:$F$33,2,FALSE)</f>
        <v>0</v>
      </c>
      <c r="P119" s="51">
        <f>VLOOKUP(P106&amp;$A$119,'Salary Increases 2'!$C$7:$F$33,3,FALSE)</f>
        <v>0</v>
      </c>
      <c r="Q119" s="51">
        <f>VLOOKUP(Q106&amp;$A$119,'Salary Increases 2'!$C$7:$F$33,4,FALSE)</f>
        <v>0</v>
      </c>
      <c r="R119" s="52">
        <f>SUM(O119:Q119)</f>
        <v>0</v>
      </c>
      <c r="S119" s="50">
        <f>VLOOKUP(S106&amp;$A$119,'Salary Increases 2'!$C$7:$F$33,2,FALSE)</f>
        <v>0</v>
      </c>
      <c r="T119" s="51">
        <f>VLOOKUP(T106&amp;$A$119,'Salary Increases 2'!$C$7:$F$33,3,FALSE)</f>
        <v>0</v>
      </c>
      <c r="U119" s="51">
        <f>VLOOKUP(U106&amp;$A$119,'Salary Increases 2'!$C$7:$F$33,4,FALSE)</f>
        <v>0</v>
      </c>
      <c r="V119" s="52">
        <f>SUM(S119:U119)</f>
        <v>0</v>
      </c>
      <c r="W119" s="50">
        <f>VLOOKUP(W106&amp;$A$119,'Salary Increases 2'!$C$7:$F$33,2,FALSE)</f>
        <v>0</v>
      </c>
      <c r="X119" s="51">
        <f>VLOOKUP(X106&amp;$A$119,'Salary Increases 2'!$C$7:$F$33,3,FALSE)</f>
        <v>0</v>
      </c>
      <c r="Y119" s="51">
        <f>VLOOKUP(Y106&amp;$A$119,'Salary Increases 2'!$C$7:$F$33,4,FALSE)</f>
        <v>0</v>
      </c>
      <c r="Z119" s="52">
        <f>SUM(W119:Y119)</f>
        <v>0</v>
      </c>
    </row>
    <row r="120" spans="1:26" x14ac:dyDescent="0.2">
      <c r="A120" s="3" t="s">
        <v>40</v>
      </c>
      <c r="C120" s="53"/>
      <c r="D120" s="46"/>
      <c r="E120" s="46"/>
      <c r="F120" s="54">
        <f t="shared" ref="F120:F121" si="116">SUM(C120:E120)</f>
        <v>0</v>
      </c>
      <c r="G120" s="53"/>
      <c r="H120" s="46"/>
      <c r="I120" s="46"/>
      <c r="J120" s="54">
        <f t="shared" ref="J120:J121" si="117">SUM(G120:I120)</f>
        <v>0</v>
      </c>
      <c r="K120" s="53"/>
      <c r="L120" s="46"/>
      <c r="M120" s="46"/>
      <c r="N120" s="54">
        <f t="shared" ref="N120:N121" si="118">SUM(K120:M120)</f>
        <v>0</v>
      </c>
      <c r="O120" s="53">
        <f>VLOOKUP(O106&amp;$A$120,'Salary Increases 2'!$C$7:$F$33,2,FALSE)</f>
        <v>0</v>
      </c>
      <c r="P120" s="46">
        <f>VLOOKUP(P106&amp;$A$120,'Salary Increases 2'!$C$7:$F$33,3,FALSE)</f>
        <v>0</v>
      </c>
      <c r="Q120" s="46">
        <f>VLOOKUP(Q106&amp;$A$120,'Salary Increases 2'!$C$7:$F$33,4,FALSE)</f>
        <v>0</v>
      </c>
      <c r="R120" s="54">
        <f t="shared" ref="R120:R121" si="119">SUM(O120:Q120)</f>
        <v>0</v>
      </c>
      <c r="S120" s="53">
        <f>VLOOKUP(S106&amp;$A$120,'Salary Increases 2'!$C$7:$F$33,2,FALSE)</f>
        <v>0</v>
      </c>
      <c r="T120" s="46">
        <f>VLOOKUP(T106&amp;$A$120,'Salary Increases 2'!$C$7:$F$33,3,FALSE)</f>
        <v>0</v>
      </c>
      <c r="U120" s="46">
        <f>VLOOKUP(U106&amp;$A$120,'Salary Increases 2'!$C$7:$F$33,4,FALSE)</f>
        <v>0</v>
      </c>
      <c r="V120" s="54">
        <f t="shared" ref="V120:V121" si="120">SUM(S120:U120)</f>
        <v>0</v>
      </c>
      <c r="W120" s="53">
        <f>VLOOKUP(W106&amp;$A$120,'Salary Increases 2'!$C$7:$F$33,2,FALSE)</f>
        <v>0</v>
      </c>
      <c r="X120" s="46">
        <f>VLOOKUP(X106&amp;$A$120,'Salary Increases 2'!$C$7:$F$33,3,FALSE)</f>
        <v>0</v>
      </c>
      <c r="Y120" s="46">
        <f>VLOOKUP(Y106&amp;$A$120,'Salary Increases 2'!$C$7:$F$33,4,FALSE)</f>
        <v>0</v>
      </c>
      <c r="Z120" s="54">
        <f t="shared" ref="Z120:Z121" si="121">SUM(W120:Y120)</f>
        <v>0</v>
      </c>
    </row>
    <row r="121" spans="1:26" x14ac:dyDescent="0.2">
      <c r="A121" s="3" t="s">
        <v>41</v>
      </c>
      <c r="C121" s="53"/>
      <c r="D121" s="46"/>
      <c r="E121" s="46"/>
      <c r="F121" s="54">
        <f t="shared" si="116"/>
        <v>0</v>
      </c>
      <c r="G121" s="53"/>
      <c r="H121" s="46"/>
      <c r="I121" s="46"/>
      <c r="J121" s="54">
        <f t="shared" si="117"/>
        <v>0</v>
      </c>
      <c r="K121" s="53"/>
      <c r="L121" s="46"/>
      <c r="M121" s="46"/>
      <c r="N121" s="54">
        <f t="shared" si="118"/>
        <v>0</v>
      </c>
      <c r="O121" s="53">
        <f>VLOOKUP(O106&amp;$A$121,'Salary Increases 2'!$C$7:$F$33,2,FALSE)</f>
        <v>0</v>
      </c>
      <c r="P121" s="46">
        <f>VLOOKUP(P106&amp;$A$121,'Salary Increases 2'!$C$7:$F$33,3,FALSE)</f>
        <v>0</v>
      </c>
      <c r="Q121" s="46">
        <f>VLOOKUP(Q106&amp;$A$121,'Salary Increases 2'!$C$7:$F$33,4,FALSE)</f>
        <v>0</v>
      </c>
      <c r="R121" s="54">
        <f t="shared" si="119"/>
        <v>0</v>
      </c>
      <c r="S121" s="53">
        <f>VLOOKUP(S106&amp;$A$121,'Salary Increases 2'!$C$7:$F$33,2,FALSE)</f>
        <v>0</v>
      </c>
      <c r="T121" s="46">
        <f>VLOOKUP(T106&amp;$A$121,'Salary Increases 2'!$C$7:$F$33,3,FALSE)</f>
        <v>0</v>
      </c>
      <c r="U121" s="46">
        <f>VLOOKUP(U106&amp;$A$121,'Salary Increases 2'!$C$7:$F$33,4,FALSE)</f>
        <v>0</v>
      </c>
      <c r="V121" s="54">
        <f t="shared" si="120"/>
        <v>0</v>
      </c>
      <c r="W121" s="53">
        <f>VLOOKUP(W106&amp;$A$121,'Salary Increases 2'!$C$7:$F$33,2,FALSE)</f>
        <v>0</v>
      </c>
      <c r="X121" s="46">
        <f>VLOOKUP(X106&amp;$A$121,'Salary Increases 2'!$C$7:$F$33,3,FALSE)</f>
        <v>0</v>
      </c>
      <c r="Y121" s="46">
        <f>VLOOKUP(Y106&amp;$A$121,'Salary Increases 2'!$C$7:$F$33,4,FALSE)</f>
        <v>0</v>
      </c>
      <c r="Z121" s="54">
        <f t="shared" si="121"/>
        <v>0</v>
      </c>
    </row>
    <row r="122" spans="1:26" ht="13.5" thickBot="1" x14ac:dyDescent="0.25">
      <c r="A122" s="3" t="s">
        <v>45</v>
      </c>
      <c r="C122" s="55">
        <f>SUM(C119:C121)</f>
        <v>0</v>
      </c>
      <c r="D122" s="56">
        <f t="shared" ref="D122:F122" si="122">SUM(D119:D121)</f>
        <v>0</v>
      </c>
      <c r="E122" s="56">
        <f t="shared" si="122"/>
        <v>0</v>
      </c>
      <c r="F122" s="57">
        <f t="shared" si="122"/>
        <v>0</v>
      </c>
      <c r="G122" s="151">
        <f>SUM(G119:G121)</f>
        <v>0</v>
      </c>
      <c r="H122" s="152">
        <f t="shared" ref="H122:I122" si="123">SUM(H119:H121)</f>
        <v>0</v>
      </c>
      <c r="I122" s="152">
        <f t="shared" si="123"/>
        <v>0</v>
      </c>
      <c r="J122" s="57">
        <f t="shared" ref="J122" si="124">SUM(J119:J121)</f>
        <v>0</v>
      </c>
      <c r="K122" s="55">
        <f>SUM(K119:K121)</f>
        <v>0</v>
      </c>
      <c r="L122" s="56">
        <f t="shared" ref="L122:N122" si="125">SUM(L119:L121)</f>
        <v>0</v>
      </c>
      <c r="M122" s="56">
        <f t="shared" si="125"/>
        <v>0</v>
      </c>
      <c r="N122" s="57">
        <f t="shared" si="125"/>
        <v>0</v>
      </c>
      <c r="O122" s="55">
        <f>SUM(O119:O121)</f>
        <v>0</v>
      </c>
      <c r="P122" s="56">
        <f t="shared" ref="P122:R122" si="126">SUM(P119:P121)</f>
        <v>0</v>
      </c>
      <c r="Q122" s="56">
        <f t="shared" si="126"/>
        <v>0</v>
      </c>
      <c r="R122" s="57">
        <f t="shared" si="126"/>
        <v>0</v>
      </c>
      <c r="S122" s="55">
        <f>SUM(S119:S121)</f>
        <v>0</v>
      </c>
      <c r="T122" s="56">
        <f t="shared" ref="T122:V122" si="127">SUM(T119:T121)</f>
        <v>0</v>
      </c>
      <c r="U122" s="56">
        <f t="shared" si="127"/>
        <v>0</v>
      </c>
      <c r="V122" s="57">
        <f t="shared" si="127"/>
        <v>0</v>
      </c>
      <c r="W122" s="55">
        <f>SUM(W119:W121)</f>
        <v>0</v>
      </c>
      <c r="X122" s="56">
        <f t="shared" ref="X122:Z122" si="128">SUM(X119:X121)</f>
        <v>0</v>
      </c>
      <c r="Y122" s="56">
        <f t="shared" si="128"/>
        <v>0</v>
      </c>
      <c r="Z122" s="57">
        <f t="shared" si="128"/>
        <v>0</v>
      </c>
    </row>
    <row r="123" spans="1:26" x14ac:dyDescent="0.2">
      <c r="A123" s="7"/>
    </row>
    <row r="124" spans="1:26" x14ac:dyDescent="0.2">
      <c r="A124" s="7"/>
    </row>
    <row r="125" spans="1:26" ht="13.5" thickBot="1" x14ac:dyDescent="0.25">
      <c r="A125" s="101" t="s">
        <v>82</v>
      </c>
    </row>
    <row r="126" spans="1:26" x14ac:dyDescent="0.2">
      <c r="A126" s="3" t="s">
        <v>39</v>
      </c>
      <c r="C126" s="50">
        <v>14699205</v>
      </c>
      <c r="D126" s="51">
        <v>6928604.6100000003</v>
      </c>
      <c r="E126" s="51">
        <v>0</v>
      </c>
      <c r="F126" s="153">
        <f>SUM(C126:E126)</f>
        <v>21627809.609999999</v>
      </c>
      <c r="G126" s="50">
        <f>(C126+C135+C119)*G105</f>
        <v>0</v>
      </c>
      <c r="H126" s="51">
        <f>(D126+D135+D119)*H105</f>
        <v>0</v>
      </c>
      <c r="I126" s="51">
        <f>(E126+E135+E119)*I105</f>
        <v>0</v>
      </c>
      <c r="J126" s="153">
        <f>SUM(G126:I126)</f>
        <v>0</v>
      </c>
      <c r="K126" s="50">
        <f>(C126+G126+G135+G119)*K105</f>
        <v>220488.07499999998</v>
      </c>
      <c r="L126" s="51">
        <f t="shared" ref="L126:M126" si="129">(D126+H126+H135+H119)*L105</f>
        <v>103929.06915</v>
      </c>
      <c r="M126" s="51">
        <f t="shared" si="129"/>
        <v>0</v>
      </c>
      <c r="N126" s="153">
        <f>SUM(K126:M126)</f>
        <v>324417.14414999995</v>
      </c>
      <c r="O126" s="50">
        <f>(C126+G126+K119+K126+K135+G119)*O105</f>
        <v>223795.39612499997</v>
      </c>
      <c r="P126" s="51">
        <f>(D126+H126+L119+L126+L135+H119)*P105</f>
        <v>105488.00518725</v>
      </c>
      <c r="Q126" s="51">
        <f>(E126+I126+M119+M126+M135+I119)*Q105</f>
        <v>0</v>
      </c>
      <c r="R126" s="153">
        <f>SUM(O126:Q126)</f>
        <v>329283.40131224995</v>
      </c>
      <c r="S126" s="50">
        <f>($C$126+G126+K126+O126+O135+O119)*S105</f>
        <v>227152.32706687498</v>
      </c>
      <c r="T126" s="51">
        <f>(D126+H126+L126+P126+P135+P119)*T105</f>
        <v>107070.32526505874</v>
      </c>
      <c r="U126" s="51">
        <f>(E126+I126+M126+Q126+Q135+Q119)*U105</f>
        <v>0</v>
      </c>
      <c r="V126" s="153">
        <f>SUM(S126:U126)</f>
        <v>334222.65233193373</v>
      </c>
      <c r="W126" s="50">
        <f>(C126+G126+K126+O126+S126+S135+S119)*W105</f>
        <v>230559.61197287811</v>
      </c>
      <c r="X126" s="51">
        <f>(D126+H126+L126+P126+T126+T135+T119)*X105</f>
        <v>108676.38014403461</v>
      </c>
      <c r="Y126" s="51">
        <f>(E126+I126+M126+Q126+U126+U135+U119)*Y105</f>
        <v>0</v>
      </c>
      <c r="Z126" s="153">
        <f>SUM(W126:Y126)</f>
        <v>339235.99211691273</v>
      </c>
    </row>
    <row r="127" spans="1:26" x14ac:dyDescent="0.2">
      <c r="A127" s="3" t="s">
        <v>40</v>
      </c>
      <c r="C127" s="53">
        <f>25038144-C126</f>
        <v>10338939</v>
      </c>
      <c r="D127" s="46">
        <f>13573163.65-D126</f>
        <v>6644559.04</v>
      </c>
      <c r="E127" s="46">
        <v>7801672.96</v>
      </c>
      <c r="F127" s="154">
        <f t="shared" ref="F127:F129" si="130">SUM(C127:E127)</f>
        <v>24785171</v>
      </c>
      <c r="G127" s="53">
        <f>(C127+C136+C120)*G105</f>
        <v>0</v>
      </c>
      <c r="H127" s="46">
        <f>(D127+D136+D120)*H105</f>
        <v>0</v>
      </c>
      <c r="I127" s="46">
        <f>(E127+E136+E120)*I105</f>
        <v>0</v>
      </c>
      <c r="J127" s="154">
        <f t="shared" ref="J127:J128" si="131">SUM(G127:I127)</f>
        <v>0</v>
      </c>
      <c r="K127" s="53">
        <f>(C127+G127+G136+G120)*K105</f>
        <v>155084.08499999999</v>
      </c>
      <c r="L127" s="46">
        <f t="shared" ref="L127:M127" si="132">(D127+H127+H136+H120)*L105</f>
        <v>99668.385599999994</v>
      </c>
      <c r="M127" s="46">
        <f t="shared" si="132"/>
        <v>117025.0944</v>
      </c>
      <c r="N127" s="154">
        <f t="shared" ref="N127:N129" si="133">SUM(K127:M127)</f>
        <v>371777.565</v>
      </c>
      <c r="O127" s="53">
        <f>(C127+G127+K120+K127+K136+G120)*O105</f>
        <v>157410.34627500002</v>
      </c>
      <c r="P127" s="46">
        <f>(D127+H127+L120+L127+L136+H120)*P105</f>
        <v>101163.41138399999</v>
      </c>
      <c r="Q127" s="46">
        <f>(E127+I127+M120+M127+M136+I120)*Q105</f>
        <v>118780.47081599999</v>
      </c>
      <c r="R127" s="154">
        <f t="shared" ref="R127:R128" si="134">SUM(O127:Q127)</f>
        <v>377354.22847500001</v>
      </c>
      <c r="S127" s="53">
        <f>(C127+G127+K127+O127+O136+O120)*S105</f>
        <v>159771.50146912501</v>
      </c>
      <c r="T127" s="46">
        <f>(D127+H127+L127+P127+P136+P120)*T105</f>
        <v>102680.86255475999</v>
      </c>
      <c r="U127" s="46">
        <f>(E127+I127+M127+Q127+Q136+Q120)*U105</f>
        <v>120562.17787823999</v>
      </c>
      <c r="V127" s="154">
        <f t="shared" ref="V127:V128" si="135">SUM(S127:U127)</f>
        <v>383014.541902125</v>
      </c>
      <c r="W127" s="53">
        <f>(C127+G127+K127+O127+S127+S136+S120)*W105</f>
        <v>162168.07399116186</v>
      </c>
      <c r="X127" s="46">
        <f>(D127+H127+L127+P127+T127+T136+T120)*X105</f>
        <v>104221.0754930814</v>
      </c>
      <c r="Y127" s="46">
        <f>(E127+I127+M127+Q127+U127+U136+U120)*Y105</f>
        <v>122370.61054641361</v>
      </c>
      <c r="Z127" s="154">
        <f t="shared" ref="Z127:Z128" si="136">SUM(W127:Y127)</f>
        <v>388759.76003065682</v>
      </c>
    </row>
    <row r="128" spans="1:26" x14ac:dyDescent="0.2">
      <c r="A128" s="3" t="s">
        <v>2422</v>
      </c>
      <c r="C128" s="53">
        <f>(C126*0.1778)+(C127*0.258)</f>
        <v>5280964.9110000003</v>
      </c>
      <c r="D128" s="46">
        <f t="shared" ref="D128:E128" si="137">(D126*0.1778)+(D127*0.258)</f>
        <v>2946202.131978</v>
      </c>
      <c r="E128" s="46">
        <f t="shared" si="137"/>
        <v>2012831.62368</v>
      </c>
      <c r="F128" s="154">
        <f t="shared" si="130"/>
        <v>10239998.666657999</v>
      </c>
      <c r="G128" s="53">
        <f>(G126*0.1778)+(G127*0.258)</f>
        <v>0</v>
      </c>
      <c r="H128" s="46">
        <f t="shared" ref="H128" si="138">(H126*0.1778)+(H127*0.258)</f>
        <v>0</v>
      </c>
      <c r="I128" s="46">
        <f t="shared" ref="I128" si="139">(I126*0.1778)+(I127*0.258)</f>
        <v>0</v>
      </c>
      <c r="J128" s="154">
        <f t="shared" si="131"/>
        <v>0</v>
      </c>
      <c r="K128" s="53">
        <f>(K126*0.1778)+(K127*0.258)</f>
        <v>79214.473664999998</v>
      </c>
      <c r="L128" s="46">
        <f t="shared" ref="L128" si="140">(L126*0.1778)+(L127*0.258)</f>
        <v>44193.031979669999</v>
      </c>
      <c r="M128" s="46">
        <f t="shared" ref="M128" si="141">(M126*0.1778)+(M127*0.258)</f>
        <v>30192.4743552</v>
      </c>
      <c r="N128" s="154">
        <f t="shared" si="133"/>
        <v>153599.97999987</v>
      </c>
      <c r="O128" s="53">
        <f>(O126*0.1778)+(O127*0.258)</f>
        <v>80402.690769975001</v>
      </c>
      <c r="P128" s="46">
        <f t="shared" ref="P128" si="142">(P126*0.1778)+(P127*0.258)</f>
        <v>44855.927459365048</v>
      </c>
      <c r="Q128" s="46">
        <f t="shared" ref="Q128" si="143">(Q126*0.1778)+(Q127*0.258)</f>
        <v>30645.361470527998</v>
      </c>
      <c r="R128" s="154">
        <f t="shared" si="134"/>
        <v>155903.97969986804</v>
      </c>
      <c r="S128" s="53">
        <f>(S126*0.1778)+(S127*0.258)</f>
        <v>81608.731131524633</v>
      </c>
      <c r="T128" s="46">
        <f t="shared" ref="T128" si="144">(T126*0.1778)+(T127*0.258)</f>
        <v>45528.766371255522</v>
      </c>
      <c r="U128" s="46">
        <f t="shared" ref="U128" si="145">(U126*0.1778)+(U127*0.258)</f>
        <v>31105.041892585919</v>
      </c>
      <c r="V128" s="154">
        <f t="shared" si="135"/>
        <v>158242.53939536607</v>
      </c>
      <c r="W128" s="53">
        <f>(W126*0.1778)+(W127*0.258)</f>
        <v>82832.862098497484</v>
      </c>
      <c r="X128" s="46">
        <f t="shared" ref="X128" si="146">(X126*0.1778)+(X127*0.258)</f>
        <v>46211.697866824354</v>
      </c>
      <c r="Y128" s="46">
        <f t="shared" ref="Y128" si="147">(Y126*0.1778)+(Y127*0.258)</f>
        <v>31571.617520974713</v>
      </c>
      <c r="Z128" s="154">
        <f t="shared" si="136"/>
        <v>160616.17748629654</v>
      </c>
    </row>
    <row r="129" spans="1:26" x14ac:dyDescent="0.2">
      <c r="A129" s="3" t="s">
        <v>2421</v>
      </c>
      <c r="C129" s="375">
        <v>4712568</v>
      </c>
      <c r="D129" s="376">
        <v>1245941</v>
      </c>
      <c r="E129" s="376">
        <v>1662691</v>
      </c>
      <c r="F129" s="377">
        <f t="shared" si="130"/>
        <v>7621200</v>
      </c>
      <c r="G129" s="375"/>
      <c r="H129" s="376"/>
      <c r="I129" s="376"/>
      <c r="J129" s="377"/>
      <c r="K129" s="375">
        <f>C129*K107</f>
        <v>141377.04</v>
      </c>
      <c r="L129" s="376">
        <f t="shared" ref="L129:M129" si="148">D129*L107</f>
        <v>37378.229999999996</v>
      </c>
      <c r="M129" s="376">
        <f t="shared" si="148"/>
        <v>49880.729999999996</v>
      </c>
      <c r="N129" s="377">
        <f t="shared" si="133"/>
        <v>228636</v>
      </c>
      <c r="O129" s="375">
        <f>(C129+K129)*O107</f>
        <v>145618.3512</v>
      </c>
      <c r="P129" s="376">
        <f t="shared" ref="P129:Q129" si="149">(D129+L129)*P107</f>
        <v>38499.5769</v>
      </c>
      <c r="Q129" s="376">
        <f t="shared" si="149"/>
        <v>51377.151899999997</v>
      </c>
      <c r="R129" s="377">
        <f t="shared" ref="R129" si="150">SUM(O129:Q129)</f>
        <v>235495.08000000002</v>
      </c>
      <c r="S129" s="375">
        <f>(C129+K129+O129)*S107</f>
        <v>149986.901736</v>
      </c>
      <c r="T129" s="376">
        <f t="shared" ref="T129:U129" si="151">(D129+L129+P129)*T107</f>
        <v>39654.564206999996</v>
      </c>
      <c r="U129" s="376">
        <f t="shared" si="151"/>
        <v>52918.466456999995</v>
      </c>
      <c r="V129" s="377">
        <f t="shared" ref="V129" si="152">SUM(S129:U129)</f>
        <v>242559.93239999999</v>
      </c>
      <c r="W129" s="375">
        <f>(C129+G129+O129+S129)*W107</f>
        <v>150245.19758807999</v>
      </c>
      <c r="X129" s="376">
        <f t="shared" ref="X129:Y129" si="153">(D129+H129+P129+T129)*X107</f>
        <v>39722.854233209997</v>
      </c>
      <c r="Y129" s="376">
        <f t="shared" si="153"/>
        <v>53009.598550709998</v>
      </c>
      <c r="Z129" s="377">
        <f t="shared" ref="Z129" si="154">SUM(W129:Y129)</f>
        <v>242977.650372</v>
      </c>
    </row>
    <row r="130" spans="1:26" ht="13.5" thickBot="1" x14ac:dyDescent="0.25">
      <c r="A130" s="3" t="s">
        <v>45</v>
      </c>
      <c r="C130" s="151">
        <f>SUM(C126:C129)</f>
        <v>35031676.910999998</v>
      </c>
      <c r="D130" s="152">
        <f t="shared" ref="D130:F130" si="155">SUM(D126:D129)</f>
        <v>17765306.781978</v>
      </c>
      <c r="E130" s="152">
        <f t="shared" si="155"/>
        <v>11477195.58368</v>
      </c>
      <c r="F130" s="155">
        <f t="shared" si="155"/>
        <v>64274179.276657999</v>
      </c>
      <c r="G130" s="151">
        <f>SUM(G126:G128)</f>
        <v>0</v>
      </c>
      <c r="H130" s="152">
        <f t="shared" ref="H130:I130" si="156">SUM(H126:H128)</f>
        <v>0</v>
      </c>
      <c r="I130" s="152">
        <f t="shared" si="156"/>
        <v>0</v>
      </c>
      <c r="J130" s="155">
        <f t="shared" ref="J130" si="157">SUM(J126:J128)</f>
        <v>0</v>
      </c>
      <c r="K130" s="151">
        <f>SUM(K126:K128)</f>
        <v>454786.63366499997</v>
      </c>
      <c r="L130" s="152">
        <f t="shared" ref="L130" si="158">SUM(L126:L128)</f>
        <v>247790.48672966997</v>
      </c>
      <c r="M130" s="152">
        <f t="shared" ref="M130" si="159">SUM(M126:M128)</f>
        <v>147217.56875520002</v>
      </c>
      <c r="N130" s="155">
        <f t="shared" ref="N130" si="160">SUM(N126:N128)</f>
        <v>849794.68914987007</v>
      </c>
      <c r="O130" s="151">
        <f>SUM(O126:O128)</f>
        <v>461608.433169975</v>
      </c>
      <c r="P130" s="152">
        <f t="shared" ref="P130" si="161">SUM(P126:P128)</f>
        <v>251507.34403061506</v>
      </c>
      <c r="Q130" s="152">
        <f t="shared" ref="Q130" si="162">SUM(Q126:Q128)</f>
        <v>149425.83228652799</v>
      </c>
      <c r="R130" s="155">
        <f t="shared" ref="R130" si="163">SUM(R126:R128)</f>
        <v>862541.60948711797</v>
      </c>
      <c r="S130" s="151">
        <f>SUM(S126:S128)</f>
        <v>468532.55966752465</v>
      </c>
      <c r="T130" s="152">
        <f t="shared" ref="T130" si="164">SUM(T126:T128)</f>
        <v>255279.95419107424</v>
      </c>
      <c r="U130" s="152">
        <f t="shared" ref="U130" si="165">SUM(U126:U128)</f>
        <v>151667.2197708259</v>
      </c>
      <c r="V130" s="155">
        <f t="shared" ref="V130" si="166">SUM(V126:V128)</f>
        <v>875479.73362942482</v>
      </c>
      <c r="W130" s="151">
        <f>SUM(W126:W128)</f>
        <v>475560.54806253745</v>
      </c>
      <c r="X130" s="152">
        <f t="shared" ref="X130:Z130" si="167">SUM(X126:X128)</f>
        <v>259109.15350394038</v>
      </c>
      <c r="Y130" s="152">
        <f t="shared" si="167"/>
        <v>153942.22806738832</v>
      </c>
      <c r="Z130" s="155">
        <f t="shared" si="167"/>
        <v>888611.92963386606</v>
      </c>
    </row>
    <row r="131" spans="1:26" x14ac:dyDescent="0.2">
      <c r="A131" s="101" t="s">
        <v>74</v>
      </c>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x14ac:dyDescent="0.2">
      <c r="A132" s="7"/>
      <c r="C132" s="145">
        <f>C128/(C127+C126)</f>
        <v>0.21091678804147784</v>
      </c>
      <c r="D132" s="145"/>
      <c r="E132" s="145"/>
      <c r="F132" s="277"/>
      <c r="G132" s="145"/>
      <c r="J132" s="156"/>
      <c r="K132" s="145"/>
      <c r="L132" s="145"/>
      <c r="M132" s="145"/>
      <c r="N132" s="145"/>
      <c r="O132" s="145"/>
      <c r="R132" s="156"/>
      <c r="S132" s="145"/>
      <c r="T132" s="145"/>
      <c r="U132" s="145"/>
      <c r="V132" s="145"/>
      <c r="W132" s="145"/>
      <c r="Z132" s="156"/>
    </row>
    <row r="133" spans="1:26" x14ac:dyDescent="0.2">
      <c r="A133" s="7"/>
      <c r="C133" s="145"/>
      <c r="D133" s="145"/>
      <c r="E133" s="145"/>
      <c r="F133" s="145"/>
      <c r="G133" s="144"/>
      <c r="H133" s="145"/>
      <c r="J133" s="156"/>
      <c r="K133" s="145"/>
      <c r="L133" s="145"/>
      <c r="M133" s="145"/>
      <c r="N133" s="145"/>
      <c r="O133" s="144"/>
      <c r="P133" s="156"/>
      <c r="R133" s="156"/>
      <c r="S133" s="145"/>
      <c r="T133" s="145"/>
      <c r="U133" s="145"/>
      <c r="V133" s="145"/>
      <c r="W133" s="144"/>
      <c r="X133" s="156"/>
      <c r="Z133" s="156"/>
    </row>
    <row r="134" spans="1:26" ht="28.5" customHeight="1" thickBot="1" x14ac:dyDescent="0.3">
      <c r="A134" s="550" t="s">
        <v>254</v>
      </c>
      <c r="B134" s="551"/>
      <c r="C134" s="267">
        <v>0</v>
      </c>
      <c r="D134" s="267">
        <v>0</v>
      </c>
      <c r="E134" s="267"/>
      <c r="G134" s="267"/>
      <c r="H134" s="267"/>
      <c r="I134" s="267"/>
      <c r="K134" s="267"/>
      <c r="L134" s="267"/>
      <c r="M134" s="267"/>
      <c r="O134" s="267"/>
      <c r="P134" s="267"/>
      <c r="Q134" s="267"/>
      <c r="S134" s="267"/>
      <c r="T134" s="267"/>
      <c r="U134" s="267"/>
      <c r="W134" s="267"/>
      <c r="X134" s="267"/>
      <c r="Y134" s="267"/>
    </row>
    <row r="135" spans="1:26" x14ac:dyDescent="0.2">
      <c r="A135" s="3" t="s">
        <v>39</v>
      </c>
      <c r="C135" s="50">
        <f>C134*73265</f>
        <v>0</v>
      </c>
      <c r="D135" s="51">
        <f>D134*73265</f>
        <v>0</v>
      </c>
      <c r="E135" s="51"/>
      <c r="F135" s="153">
        <f>SUM(C135:E135)</f>
        <v>0</v>
      </c>
      <c r="G135" s="50">
        <f>G134*73265</f>
        <v>0</v>
      </c>
      <c r="H135" s="51">
        <f>H134*73265</f>
        <v>0</v>
      </c>
      <c r="I135" s="51"/>
      <c r="J135" s="153">
        <f>SUM(G135:I135)</f>
        <v>0</v>
      </c>
      <c r="K135" s="50">
        <f>K134*73265</f>
        <v>0</v>
      </c>
      <c r="L135" s="51">
        <f>L134*73265</f>
        <v>0</v>
      </c>
      <c r="M135" s="51"/>
      <c r="N135" s="153">
        <f>SUM(K135:M135)</f>
        <v>0</v>
      </c>
      <c r="O135" s="50">
        <f>O134*73265</f>
        <v>0</v>
      </c>
      <c r="P135" s="51">
        <f>P134*73265</f>
        <v>0</v>
      </c>
      <c r="Q135" s="51"/>
      <c r="R135" s="153">
        <f>SUM(O135:Q135)</f>
        <v>0</v>
      </c>
      <c r="S135" s="50">
        <f>S134*73265</f>
        <v>0</v>
      </c>
      <c r="T135" s="51">
        <f>T134*73265</f>
        <v>0</v>
      </c>
      <c r="U135" s="51"/>
      <c r="V135" s="153">
        <f>SUM(S135:U135)</f>
        <v>0</v>
      </c>
      <c r="W135" s="50">
        <f>W134*73265</f>
        <v>0</v>
      </c>
      <c r="X135" s="51">
        <f>X134*73265</f>
        <v>0</v>
      </c>
      <c r="Y135" s="51"/>
      <c r="Z135" s="153">
        <f>SUM(W135:Y135)</f>
        <v>0</v>
      </c>
    </row>
    <row r="136" spans="1:26" x14ac:dyDescent="0.2">
      <c r="A136" s="3" t="s">
        <v>40</v>
      </c>
      <c r="C136" s="53"/>
      <c r="D136" s="46"/>
      <c r="E136" s="46"/>
      <c r="F136" s="154">
        <f t="shared" ref="F136:F137" si="168">SUM(C136:E136)</f>
        <v>0</v>
      </c>
      <c r="G136" s="53"/>
      <c r="H136" s="46"/>
      <c r="I136" s="46"/>
      <c r="J136" s="154">
        <f t="shared" ref="J136:J137" si="169">SUM(G136:I136)</f>
        <v>0</v>
      </c>
      <c r="K136" s="53"/>
      <c r="L136" s="46"/>
      <c r="M136" s="46"/>
      <c r="N136" s="154">
        <f t="shared" ref="N136:N137" si="170">SUM(K136:M136)</f>
        <v>0</v>
      </c>
      <c r="O136" s="53"/>
      <c r="P136" s="46"/>
      <c r="Q136" s="46"/>
      <c r="R136" s="154">
        <f t="shared" ref="R136:R137" si="171">SUM(O136:Q136)</f>
        <v>0</v>
      </c>
      <c r="S136" s="53"/>
      <c r="T136" s="46"/>
      <c r="U136" s="46"/>
      <c r="V136" s="154">
        <f t="shared" ref="V136:V137" si="172">SUM(S136:U136)</f>
        <v>0</v>
      </c>
      <c r="W136" s="53"/>
      <c r="X136" s="46"/>
      <c r="Y136" s="46"/>
      <c r="Z136" s="154">
        <f t="shared" ref="Z136:Z137" si="173">SUM(W136:Y136)</f>
        <v>0</v>
      </c>
    </row>
    <row r="137" spans="1:26" x14ac:dyDescent="0.2">
      <c r="A137" s="3" t="s">
        <v>41</v>
      </c>
      <c r="C137" s="53">
        <f>(C135*0.1223)+(C134*15387)</f>
        <v>0</v>
      </c>
      <c r="D137" s="46">
        <f>(D135*0.1223)+(D134*15387)</f>
        <v>0</v>
      </c>
      <c r="E137" s="46"/>
      <c r="F137" s="154">
        <f t="shared" si="168"/>
        <v>0</v>
      </c>
      <c r="G137" s="53">
        <f>(G135*0.1455)+(G134*15933)</f>
        <v>0</v>
      </c>
      <c r="H137" s="46">
        <f>(H135*0.1455)+(H134*15933)</f>
        <v>0</v>
      </c>
      <c r="I137" s="46"/>
      <c r="J137" s="154">
        <f t="shared" si="169"/>
        <v>0</v>
      </c>
      <c r="K137" s="53">
        <f>(K135*0.1455)+(K134*15933)</f>
        <v>0</v>
      </c>
      <c r="L137" s="46">
        <f>(L135*0.1455)+(L134*15933)</f>
        <v>0</v>
      </c>
      <c r="M137" s="46"/>
      <c r="N137" s="154">
        <f t="shared" si="170"/>
        <v>0</v>
      </c>
      <c r="O137" s="53">
        <f>(O135*0.1455)+(O134*15933)</f>
        <v>0</v>
      </c>
      <c r="P137" s="46">
        <f>(P135*0.1455)+(P134*15933)</f>
        <v>0</v>
      </c>
      <c r="Q137" s="46"/>
      <c r="R137" s="154">
        <f t="shared" si="171"/>
        <v>0</v>
      </c>
      <c r="S137" s="53">
        <f>(S135*0.1455)+(S134*15933)</f>
        <v>0</v>
      </c>
      <c r="T137" s="46">
        <f>(T135*0.1455)+(T134*15933)</f>
        <v>0</v>
      </c>
      <c r="U137" s="46"/>
      <c r="V137" s="154">
        <f t="shared" si="172"/>
        <v>0</v>
      </c>
      <c r="W137" s="53">
        <f>(W135*0.1455)+(W134*15933)</f>
        <v>0</v>
      </c>
      <c r="X137" s="46">
        <f>(X135*0.1455)+(X134*15933)</f>
        <v>0</v>
      </c>
      <c r="Y137" s="46"/>
      <c r="Z137" s="154">
        <f t="shared" si="173"/>
        <v>0</v>
      </c>
    </row>
    <row r="138" spans="1:26" ht="13.5" thickBot="1" x14ac:dyDescent="0.25">
      <c r="A138" s="3" t="s">
        <v>45</v>
      </c>
      <c r="C138" s="151">
        <f>SUM(C135:C137)</f>
        <v>0</v>
      </c>
      <c r="D138" s="152">
        <f t="shared" ref="D138:F138" si="174">SUM(D135:D137)</f>
        <v>0</v>
      </c>
      <c r="E138" s="152">
        <f t="shared" si="174"/>
        <v>0</v>
      </c>
      <c r="F138" s="155">
        <f t="shared" si="174"/>
        <v>0</v>
      </c>
      <c r="G138" s="151">
        <f>SUM(G135:G137)</f>
        <v>0</v>
      </c>
      <c r="H138" s="152">
        <f t="shared" ref="H138:J138" si="175">SUM(H135:H137)</f>
        <v>0</v>
      </c>
      <c r="I138" s="152">
        <f t="shared" si="175"/>
        <v>0</v>
      </c>
      <c r="J138" s="155">
        <f t="shared" si="175"/>
        <v>0</v>
      </c>
      <c r="K138" s="151">
        <f>SUM(K135:K137)</f>
        <v>0</v>
      </c>
      <c r="L138" s="152">
        <f t="shared" ref="L138:N138" si="176">SUM(L135:L137)</f>
        <v>0</v>
      </c>
      <c r="M138" s="152">
        <f t="shared" si="176"/>
        <v>0</v>
      </c>
      <c r="N138" s="155">
        <f t="shared" si="176"/>
        <v>0</v>
      </c>
      <c r="O138" s="151">
        <f>SUM(O135:O137)</f>
        <v>0</v>
      </c>
      <c r="P138" s="152">
        <f t="shared" ref="P138:R138" si="177">SUM(P135:P137)</f>
        <v>0</v>
      </c>
      <c r="Q138" s="152">
        <f t="shared" si="177"/>
        <v>0</v>
      </c>
      <c r="R138" s="155">
        <f t="shared" si="177"/>
        <v>0</v>
      </c>
      <c r="S138" s="151">
        <f>SUM(S135:S137)</f>
        <v>0</v>
      </c>
      <c r="T138" s="152">
        <f t="shared" ref="T138:V138" si="178">SUM(T135:T137)</f>
        <v>0</v>
      </c>
      <c r="U138" s="152">
        <f t="shared" si="178"/>
        <v>0</v>
      </c>
      <c r="V138" s="155">
        <f t="shared" si="178"/>
        <v>0</v>
      </c>
      <c r="W138" s="151">
        <f>SUM(W135:W137)</f>
        <v>0</v>
      </c>
      <c r="X138" s="152">
        <f t="shared" ref="X138:Z138" si="179">SUM(X135:X137)</f>
        <v>0</v>
      </c>
      <c r="Y138" s="152">
        <f t="shared" si="179"/>
        <v>0</v>
      </c>
      <c r="Z138" s="155">
        <f t="shared" si="179"/>
        <v>0</v>
      </c>
    </row>
    <row r="139" spans="1:26" x14ac:dyDescent="0.2">
      <c r="A139" s="7"/>
      <c r="C139" s="145"/>
      <c r="D139" s="145"/>
      <c r="E139" s="145"/>
      <c r="F139" s="145"/>
      <c r="G139" s="145"/>
      <c r="J139" s="156"/>
      <c r="K139" s="145"/>
      <c r="L139" s="145"/>
      <c r="M139" s="145"/>
      <c r="N139" s="145"/>
      <c r="O139" s="145"/>
      <c r="R139" s="156"/>
      <c r="S139" s="145"/>
      <c r="T139" s="145"/>
      <c r="U139" s="145"/>
      <c r="V139" s="145"/>
      <c r="W139" s="145"/>
      <c r="Z139" s="156"/>
    </row>
    <row r="140" spans="1:26" x14ac:dyDescent="0.2">
      <c r="A140" s="7"/>
      <c r="C140" s="145"/>
      <c r="D140" s="145"/>
      <c r="E140" s="145"/>
      <c r="F140" s="145"/>
      <c r="G140" s="145"/>
      <c r="J140" s="156"/>
      <c r="K140" s="145"/>
      <c r="L140" s="145"/>
      <c r="M140" s="145"/>
      <c r="N140" s="145"/>
      <c r="O140" s="145"/>
      <c r="R140" s="156"/>
      <c r="S140" s="145"/>
      <c r="T140" s="145"/>
      <c r="U140" s="145"/>
      <c r="V140" s="145"/>
      <c r="W140" s="145"/>
      <c r="Z140" s="156"/>
    </row>
    <row r="141" spans="1:26" ht="30" customHeight="1" thickBot="1" x14ac:dyDescent="0.3">
      <c r="A141" s="550" t="s">
        <v>240</v>
      </c>
      <c r="B141" s="551"/>
      <c r="C141" s="267">
        <v>0</v>
      </c>
      <c r="D141" s="267">
        <v>0</v>
      </c>
      <c r="E141" s="267"/>
      <c r="G141" s="267">
        <f>-G134</f>
        <v>0</v>
      </c>
      <c r="H141" s="267">
        <f>-H134</f>
        <v>0</v>
      </c>
      <c r="I141" s="267"/>
      <c r="K141" s="267">
        <f>-K134</f>
        <v>0</v>
      </c>
      <c r="L141" s="267">
        <f>-L134</f>
        <v>0</v>
      </c>
      <c r="M141" s="267"/>
      <c r="O141" s="267">
        <f>-O134</f>
        <v>0</v>
      </c>
      <c r="P141" s="267">
        <f>-P134</f>
        <v>0</v>
      </c>
      <c r="Q141" s="267"/>
      <c r="S141" s="267">
        <f>-S134</f>
        <v>0</v>
      </c>
      <c r="T141" s="267">
        <f>-T134</f>
        <v>0</v>
      </c>
      <c r="U141" s="267"/>
      <c r="W141" s="267">
        <f>-W134</f>
        <v>0</v>
      </c>
      <c r="X141" s="267">
        <f>-X134</f>
        <v>0</v>
      </c>
      <c r="Y141" s="267"/>
    </row>
    <row r="142" spans="1:26" x14ac:dyDescent="0.2">
      <c r="A142" s="3" t="s">
        <v>39</v>
      </c>
      <c r="C142" s="50">
        <f>C141*73265</f>
        <v>0</v>
      </c>
      <c r="D142" s="51">
        <f>D141*73265</f>
        <v>0</v>
      </c>
      <c r="E142" s="51"/>
      <c r="F142" s="153">
        <f>SUM(C142:E142)</f>
        <v>0</v>
      </c>
      <c r="G142" s="50">
        <f>G141*30600</f>
        <v>0</v>
      </c>
      <c r="H142" s="51">
        <f>H141*30600</f>
        <v>0</v>
      </c>
      <c r="I142" s="51"/>
      <c r="J142" s="153">
        <f>SUM(G142:I142)</f>
        <v>0</v>
      </c>
      <c r="K142" s="50">
        <f>K141*30600</f>
        <v>0</v>
      </c>
      <c r="L142" s="51">
        <f>L141*30600</f>
        <v>0</v>
      </c>
      <c r="M142" s="51"/>
      <c r="N142" s="153">
        <f>SUM(K142:M142)</f>
        <v>0</v>
      </c>
      <c r="O142" s="50">
        <f>O141*30600</f>
        <v>0</v>
      </c>
      <c r="P142" s="51">
        <f>P141*30600</f>
        <v>0</v>
      </c>
      <c r="Q142" s="51"/>
      <c r="R142" s="153">
        <f>SUM(O142:Q142)</f>
        <v>0</v>
      </c>
      <c r="S142" s="50">
        <f>S141*30600</f>
        <v>0</v>
      </c>
      <c r="T142" s="51">
        <f>T141*30600</f>
        <v>0</v>
      </c>
      <c r="U142" s="51"/>
      <c r="V142" s="153">
        <f>SUM(S142:U142)</f>
        <v>0</v>
      </c>
      <c r="W142" s="50">
        <f>W141*30600</f>
        <v>0</v>
      </c>
      <c r="X142" s="51">
        <f>X141*30600</f>
        <v>0</v>
      </c>
      <c r="Y142" s="51"/>
      <c r="Z142" s="153">
        <f>SUM(W142:Y142)</f>
        <v>0</v>
      </c>
    </row>
    <row r="143" spans="1:26" x14ac:dyDescent="0.2">
      <c r="A143" s="3" t="s">
        <v>40</v>
      </c>
      <c r="C143" s="53"/>
      <c r="D143" s="46"/>
      <c r="E143" s="46"/>
      <c r="F143" s="154">
        <f t="shared" ref="F143:F144" si="180">SUM(C143:E143)</f>
        <v>0</v>
      </c>
      <c r="G143" s="53"/>
      <c r="H143" s="46"/>
      <c r="I143" s="46"/>
      <c r="J143" s="154">
        <f t="shared" ref="J143:J144" si="181">SUM(G143:I143)</f>
        <v>0</v>
      </c>
      <c r="K143" s="53"/>
      <c r="L143" s="46"/>
      <c r="M143" s="46"/>
      <c r="N143" s="154">
        <f t="shared" ref="N143:N144" si="182">SUM(K143:M143)</f>
        <v>0</v>
      </c>
      <c r="O143" s="53"/>
      <c r="P143" s="46"/>
      <c r="Q143" s="46"/>
      <c r="R143" s="154">
        <f t="shared" ref="R143:R144" si="183">SUM(O143:Q143)</f>
        <v>0</v>
      </c>
      <c r="S143" s="53"/>
      <c r="T143" s="46"/>
      <c r="U143" s="46"/>
      <c r="V143" s="154">
        <f t="shared" ref="V143:V144" si="184">SUM(S143:U143)</f>
        <v>0</v>
      </c>
      <c r="W143" s="53"/>
      <c r="X143" s="46"/>
      <c r="Y143" s="46"/>
      <c r="Z143" s="154">
        <f t="shared" ref="Z143:Z144" si="185">SUM(W143:Y143)</f>
        <v>0</v>
      </c>
    </row>
    <row r="144" spans="1:26" x14ac:dyDescent="0.2">
      <c r="A144" s="3" t="s">
        <v>41</v>
      </c>
      <c r="C144" s="53">
        <f>(C142*0.1223)+(C141*15387)</f>
        <v>0</v>
      </c>
      <c r="D144" s="46">
        <f>(D142*0.1223)+(D141*15387)</f>
        <v>0</v>
      </c>
      <c r="E144" s="46"/>
      <c r="F144" s="154">
        <f t="shared" si="180"/>
        <v>0</v>
      </c>
      <c r="G144" s="53">
        <f>G141*4400</f>
        <v>0</v>
      </c>
      <c r="H144" s="46">
        <f>H141*4400</f>
        <v>0</v>
      </c>
      <c r="I144" s="46"/>
      <c r="J144" s="154">
        <f t="shared" si="181"/>
        <v>0</v>
      </c>
      <c r="K144" s="53">
        <f>K141*4400</f>
        <v>0</v>
      </c>
      <c r="L144" s="46">
        <f>L141*4400</f>
        <v>0</v>
      </c>
      <c r="M144" s="46"/>
      <c r="N144" s="154">
        <f t="shared" si="182"/>
        <v>0</v>
      </c>
      <c r="O144" s="53">
        <f>O141*4400</f>
        <v>0</v>
      </c>
      <c r="P144" s="46">
        <f>P141*4400</f>
        <v>0</v>
      </c>
      <c r="Q144" s="46"/>
      <c r="R144" s="154">
        <f t="shared" si="183"/>
        <v>0</v>
      </c>
      <c r="S144" s="53">
        <f>S141*4400</f>
        <v>0</v>
      </c>
      <c r="T144" s="46">
        <f>T141*4400</f>
        <v>0</v>
      </c>
      <c r="U144" s="46"/>
      <c r="V144" s="154">
        <f t="shared" si="184"/>
        <v>0</v>
      </c>
      <c r="W144" s="53">
        <f>W141*4400</f>
        <v>0</v>
      </c>
      <c r="X144" s="46">
        <f>X141*4400</f>
        <v>0</v>
      </c>
      <c r="Y144" s="46"/>
      <c r="Z144" s="154">
        <f t="shared" si="185"/>
        <v>0</v>
      </c>
    </row>
    <row r="145" spans="1:26" ht="13.5" thickBot="1" x14ac:dyDescent="0.25">
      <c r="A145" s="3" t="s">
        <v>45</v>
      </c>
      <c r="C145" s="151">
        <f>SUM(C142:C144)</f>
        <v>0</v>
      </c>
      <c r="D145" s="152">
        <f t="shared" ref="D145:F145" si="186">SUM(D142:D144)</f>
        <v>0</v>
      </c>
      <c r="E145" s="152">
        <f t="shared" si="186"/>
        <v>0</v>
      </c>
      <c r="F145" s="155">
        <f t="shared" si="186"/>
        <v>0</v>
      </c>
      <c r="G145" s="151">
        <f>SUM(G142:G144)</f>
        <v>0</v>
      </c>
      <c r="H145" s="152">
        <f t="shared" ref="H145:J145" si="187">SUM(H142:H144)</f>
        <v>0</v>
      </c>
      <c r="I145" s="152">
        <f t="shared" si="187"/>
        <v>0</v>
      </c>
      <c r="J145" s="155">
        <f t="shared" si="187"/>
        <v>0</v>
      </c>
      <c r="K145" s="151">
        <f>SUM(K142:K144)</f>
        <v>0</v>
      </c>
      <c r="L145" s="152">
        <f t="shared" ref="L145" si="188">SUM(L142:L144)</f>
        <v>0</v>
      </c>
      <c r="M145" s="152">
        <f t="shared" ref="M145:N145" si="189">SUM(M142:M144)</f>
        <v>0</v>
      </c>
      <c r="N145" s="155">
        <f t="shared" si="189"/>
        <v>0</v>
      </c>
      <c r="O145" s="151">
        <f>SUM(O142:O144)</f>
        <v>0</v>
      </c>
      <c r="P145" s="152">
        <f t="shared" ref="P145" si="190">SUM(P142:P144)</f>
        <v>0</v>
      </c>
      <c r="Q145" s="152">
        <f t="shared" ref="Q145:R145" si="191">SUM(Q142:Q144)</f>
        <v>0</v>
      </c>
      <c r="R145" s="155">
        <f t="shared" si="191"/>
        <v>0</v>
      </c>
      <c r="S145" s="151">
        <f>SUM(S142:S144)</f>
        <v>0</v>
      </c>
      <c r="T145" s="152">
        <f t="shared" ref="T145" si="192">SUM(T142:T144)</f>
        <v>0</v>
      </c>
      <c r="U145" s="152">
        <f t="shared" ref="U145:V145" si="193">SUM(U142:U144)</f>
        <v>0</v>
      </c>
      <c r="V145" s="155">
        <f t="shared" si="193"/>
        <v>0</v>
      </c>
      <c r="W145" s="151">
        <f>SUM(W142:W144)</f>
        <v>0</v>
      </c>
      <c r="X145" s="152">
        <f t="shared" ref="X145" si="194">SUM(X142:X144)</f>
        <v>0</v>
      </c>
      <c r="Y145" s="152">
        <f t="shared" ref="Y145:Z145" si="195">SUM(Y142:Y144)</f>
        <v>0</v>
      </c>
      <c r="Z145" s="155">
        <f t="shared" si="195"/>
        <v>0</v>
      </c>
    </row>
    <row r="146" spans="1:26" x14ac:dyDescent="0.2">
      <c r="A146" s="7"/>
      <c r="C146" s="145"/>
      <c r="D146" s="145"/>
      <c r="E146" s="145"/>
      <c r="F146" s="144"/>
      <c r="G146" s="145"/>
      <c r="K146" s="145"/>
      <c r="L146" s="145"/>
      <c r="M146" s="145"/>
      <c r="N146" s="144"/>
      <c r="O146" s="145"/>
      <c r="S146" s="145"/>
      <c r="T146" s="145"/>
      <c r="U146" s="145"/>
      <c r="V146" s="144"/>
      <c r="W146" s="145"/>
    </row>
    <row r="147" spans="1:26" x14ac:dyDescent="0.2">
      <c r="A147" s="101" t="s">
        <v>239</v>
      </c>
      <c r="C147" s="268"/>
      <c r="D147" s="268"/>
      <c r="E147" s="268"/>
      <c r="F147" s="269"/>
      <c r="G147" s="270">
        <f>G138+G145</f>
        <v>0</v>
      </c>
      <c r="H147" s="270">
        <f>H138+H145</f>
        <v>0</v>
      </c>
      <c r="I147" s="270">
        <f t="shared" ref="I147:J147" si="196">I138+I145</f>
        <v>0</v>
      </c>
      <c r="J147" s="270">
        <f t="shared" si="196"/>
        <v>0</v>
      </c>
      <c r="K147" s="268">
        <f>K138+K145</f>
        <v>0</v>
      </c>
      <c r="L147" s="268">
        <f>L138+L145</f>
        <v>0</v>
      </c>
      <c r="M147" s="268">
        <f t="shared" ref="M147:N147" si="197">M138+M145</f>
        <v>0</v>
      </c>
      <c r="N147" s="269">
        <f t="shared" si="197"/>
        <v>0</v>
      </c>
      <c r="O147" s="270">
        <f>O138+O145</f>
        <v>0</v>
      </c>
      <c r="P147" s="270">
        <f>P138+P145</f>
        <v>0</v>
      </c>
      <c r="Q147" s="270">
        <f t="shared" ref="Q147:R147" si="198">Q138+Q145</f>
        <v>0</v>
      </c>
      <c r="R147" s="270">
        <f t="shared" si="198"/>
        <v>0</v>
      </c>
      <c r="S147" s="268">
        <f>S138+S145</f>
        <v>0</v>
      </c>
      <c r="T147" s="268">
        <f>T138+T145</f>
        <v>0</v>
      </c>
      <c r="U147" s="268">
        <f t="shared" ref="U147:V147" si="199">U138+U145</f>
        <v>0</v>
      </c>
      <c r="V147" s="269">
        <f t="shared" si="199"/>
        <v>0</v>
      </c>
      <c r="W147" s="270">
        <f>W138+W145</f>
        <v>0</v>
      </c>
      <c r="X147" s="270">
        <f>X138+X145</f>
        <v>0</v>
      </c>
      <c r="Y147" s="270">
        <f t="shared" ref="Y147:Z147" si="200">Y138+Y145</f>
        <v>0</v>
      </c>
      <c r="Z147" s="270">
        <f t="shared" si="200"/>
        <v>0</v>
      </c>
    </row>
    <row r="148" spans="1:26" x14ac:dyDescent="0.2">
      <c r="A148" s="7"/>
      <c r="C148" s="145"/>
      <c r="D148" s="145"/>
      <c r="E148" s="145"/>
      <c r="F148" s="144"/>
      <c r="G148" s="145"/>
      <c r="K148" s="145"/>
      <c r="L148" s="145"/>
      <c r="M148" s="145"/>
      <c r="N148" s="144"/>
      <c r="O148" s="145"/>
      <c r="S148" s="145"/>
      <c r="T148" s="145"/>
      <c r="U148" s="145"/>
      <c r="V148" s="144"/>
      <c r="W148" s="145"/>
    </row>
    <row r="149" spans="1:26" x14ac:dyDescent="0.2">
      <c r="A149" s="7"/>
      <c r="C149" s="145"/>
      <c r="D149" s="145"/>
      <c r="E149" s="145"/>
      <c r="F149" s="144"/>
      <c r="G149" s="145"/>
      <c r="K149" s="145"/>
      <c r="L149" s="145"/>
      <c r="M149" s="145"/>
      <c r="N149" s="144"/>
      <c r="O149" s="145"/>
      <c r="S149" s="145"/>
      <c r="T149" s="145"/>
      <c r="U149" s="145"/>
      <c r="V149" s="144"/>
      <c r="W149" s="145"/>
    </row>
    <row r="150" spans="1:26" x14ac:dyDescent="0.2">
      <c r="A150" s="101" t="s">
        <v>261</v>
      </c>
      <c r="C150" s="145"/>
      <c r="D150" s="145"/>
      <c r="E150" s="145"/>
      <c r="F150" s="144"/>
      <c r="G150" s="145"/>
      <c r="K150" s="145"/>
      <c r="L150" s="145"/>
      <c r="M150" s="145"/>
      <c r="N150" s="144"/>
      <c r="O150" s="145"/>
      <c r="S150" s="145"/>
      <c r="T150" s="145"/>
      <c r="U150" s="145"/>
      <c r="V150" s="144"/>
      <c r="W150" s="145"/>
    </row>
    <row r="151" spans="1:26" ht="30" customHeight="1" x14ac:dyDescent="0.25">
      <c r="A151" s="538" t="s">
        <v>260</v>
      </c>
      <c r="B151" s="539"/>
      <c r="C151" s="283"/>
      <c r="D151" s="283"/>
      <c r="E151" s="283"/>
      <c r="F151" s="284"/>
      <c r="G151" s="283"/>
      <c r="H151" s="283"/>
      <c r="I151" s="283"/>
      <c r="J151" s="284"/>
      <c r="K151" s="283"/>
      <c r="L151" s="283"/>
      <c r="M151" s="283"/>
      <c r="N151" s="284"/>
      <c r="O151" s="283"/>
      <c r="P151" s="283"/>
      <c r="Q151" s="283"/>
      <c r="R151" s="284"/>
      <c r="S151" s="283"/>
      <c r="T151" s="283"/>
      <c r="U151" s="283"/>
      <c r="V151" s="284"/>
      <c r="W151" s="283"/>
      <c r="X151" s="283"/>
      <c r="Y151" s="283"/>
      <c r="Z151" s="284"/>
    </row>
    <row r="152" spans="1:26" ht="30" customHeight="1" thickBot="1" x14ac:dyDescent="0.3">
      <c r="A152" s="538" t="s">
        <v>259</v>
      </c>
      <c r="B152" s="539"/>
      <c r="C152" s="281">
        <v>0</v>
      </c>
      <c r="D152" s="281">
        <v>0</v>
      </c>
      <c r="E152" s="281">
        <v>0</v>
      </c>
      <c r="G152" s="281">
        <v>0</v>
      </c>
      <c r="H152" s="281">
        <v>0</v>
      </c>
      <c r="I152" s="281">
        <v>0</v>
      </c>
      <c r="K152" s="281">
        <v>0</v>
      </c>
      <c r="L152" s="281">
        <v>0</v>
      </c>
      <c r="M152" s="281">
        <v>0</v>
      </c>
      <c r="O152" s="281">
        <v>0</v>
      </c>
      <c r="P152" s="281">
        <v>0</v>
      </c>
      <c r="Q152" s="281">
        <v>0</v>
      </c>
      <c r="S152" s="281">
        <v>0</v>
      </c>
      <c r="T152" s="281">
        <v>0</v>
      </c>
      <c r="U152" s="281">
        <v>0</v>
      </c>
      <c r="W152" s="281">
        <v>0</v>
      </c>
      <c r="X152" s="281">
        <v>0</v>
      </c>
      <c r="Y152" s="281">
        <v>0</v>
      </c>
    </row>
    <row r="153" spans="1:26" x14ac:dyDescent="0.2">
      <c r="A153" s="3" t="s">
        <v>39</v>
      </c>
      <c r="C153" s="50"/>
      <c r="D153" s="51"/>
      <c r="E153" s="51"/>
      <c r="F153" s="153"/>
      <c r="G153" s="50"/>
      <c r="H153" s="51"/>
      <c r="I153" s="51"/>
      <c r="J153" s="153"/>
      <c r="K153" s="50"/>
      <c r="L153" s="51"/>
      <c r="M153" s="51"/>
      <c r="N153" s="153"/>
      <c r="O153" s="50"/>
      <c r="P153" s="51"/>
      <c r="Q153" s="51"/>
      <c r="R153" s="153"/>
      <c r="S153" s="50"/>
      <c r="T153" s="51"/>
      <c r="U153" s="51"/>
      <c r="V153" s="153"/>
      <c r="W153" s="50"/>
      <c r="X153" s="51"/>
      <c r="Y153" s="51"/>
      <c r="Z153" s="153"/>
    </row>
    <row r="154" spans="1:26" x14ac:dyDescent="0.2">
      <c r="A154" s="3" t="s">
        <v>40</v>
      </c>
      <c r="C154" s="53">
        <f>C152</f>
        <v>0</v>
      </c>
      <c r="D154" s="46">
        <f t="shared" ref="D154:E154" si="201">D152</f>
        <v>0</v>
      </c>
      <c r="E154" s="46">
        <f t="shared" si="201"/>
        <v>0</v>
      </c>
      <c r="F154" s="154">
        <f t="shared" ref="F154:F155" si="202">SUM(C154:E154)</f>
        <v>0</v>
      </c>
      <c r="G154" s="53">
        <f>G152</f>
        <v>0</v>
      </c>
      <c r="H154" s="46">
        <f t="shared" ref="H154:I154" si="203">H152</f>
        <v>0</v>
      </c>
      <c r="I154" s="46">
        <f t="shared" si="203"/>
        <v>0</v>
      </c>
      <c r="J154" s="154">
        <f t="shared" ref="J154:J155" si="204">SUM(G154:I154)</f>
        <v>0</v>
      </c>
      <c r="K154" s="53">
        <f>K152</f>
        <v>0</v>
      </c>
      <c r="L154" s="46">
        <f t="shared" ref="L154:M154" si="205">L152</f>
        <v>0</v>
      </c>
      <c r="M154" s="46">
        <f t="shared" si="205"/>
        <v>0</v>
      </c>
      <c r="N154" s="154">
        <f t="shared" ref="N154:N155" si="206">SUM(K154:M154)</f>
        <v>0</v>
      </c>
      <c r="O154" s="53">
        <f>O152</f>
        <v>0</v>
      </c>
      <c r="P154" s="46">
        <f t="shared" ref="P154:Q154" si="207">P152</f>
        <v>0</v>
      </c>
      <c r="Q154" s="46">
        <f t="shared" si="207"/>
        <v>0</v>
      </c>
      <c r="R154" s="154">
        <f t="shared" ref="R154:R155" si="208">SUM(O154:Q154)</f>
        <v>0</v>
      </c>
      <c r="S154" s="53">
        <f>S152</f>
        <v>0</v>
      </c>
      <c r="T154" s="46">
        <f t="shared" ref="T154:U154" si="209">T152</f>
        <v>0</v>
      </c>
      <c r="U154" s="46">
        <f t="shared" si="209"/>
        <v>0</v>
      </c>
      <c r="V154" s="154">
        <f t="shared" ref="V154:V155" si="210">SUM(S154:U154)</f>
        <v>0</v>
      </c>
      <c r="W154" s="53">
        <f>W152</f>
        <v>0</v>
      </c>
      <c r="X154" s="46">
        <f t="shared" ref="X154:Y154" si="211">X152</f>
        <v>0</v>
      </c>
      <c r="Y154" s="46">
        <f t="shared" si="211"/>
        <v>0</v>
      </c>
      <c r="Z154" s="154">
        <f t="shared" ref="Z154:Z155" si="212">SUM(W154:Y154)</f>
        <v>0</v>
      </c>
    </row>
    <row r="155" spans="1:26" x14ac:dyDescent="0.2">
      <c r="A155" s="3" t="s">
        <v>41</v>
      </c>
      <c r="C155" s="53">
        <f>(C154*0.2028)+(C151*15933)</f>
        <v>0</v>
      </c>
      <c r="D155" s="46">
        <f t="shared" ref="D155" si="213">(D154*0.2028)+(D151*15933)</f>
        <v>0</v>
      </c>
      <c r="E155" s="46">
        <f t="shared" ref="E155" si="214">(E154*0.2028)+(E151*15933)</f>
        <v>0</v>
      </c>
      <c r="F155" s="154">
        <f t="shared" si="202"/>
        <v>0</v>
      </c>
      <c r="G155" s="53">
        <f>(G154*0.2028)+(G151*15933)</f>
        <v>0</v>
      </c>
      <c r="H155" s="46">
        <f t="shared" ref="H155:I155" si="215">(H154*0.2028)+(H151*15933)</f>
        <v>0</v>
      </c>
      <c r="I155" s="46">
        <f t="shared" si="215"/>
        <v>0</v>
      </c>
      <c r="J155" s="154">
        <f t="shared" si="204"/>
        <v>0</v>
      </c>
      <c r="K155" s="53">
        <f>(K154*0.2028)+(K151*15933)</f>
        <v>0</v>
      </c>
      <c r="L155" s="46">
        <f t="shared" ref="L155" si="216">(L154*0.2028)+(L151*15933)</f>
        <v>0</v>
      </c>
      <c r="M155" s="46">
        <f t="shared" ref="M155" si="217">(M154*0.2028)+(M151*15933)</f>
        <v>0</v>
      </c>
      <c r="N155" s="154">
        <f t="shared" si="206"/>
        <v>0</v>
      </c>
      <c r="O155" s="53">
        <f>(O154*0.2028)+(O151*15933)</f>
        <v>0</v>
      </c>
      <c r="P155" s="46">
        <f t="shared" ref="P155" si="218">(P154*0.2028)+(P151*15933)</f>
        <v>0</v>
      </c>
      <c r="Q155" s="46">
        <f t="shared" ref="Q155" si="219">(Q154*0.2028)+(Q151*15933)</f>
        <v>0</v>
      </c>
      <c r="R155" s="154">
        <f t="shared" si="208"/>
        <v>0</v>
      </c>
      <c r="S155" s="53">
        <f>(S154*0.2028)+(S151*15933)</f>
        <v>0</v>
      </c>
      <c r="T155" s="46">
        <f t="shared" ref="T155" si="220">(T154*0.2028)+(T151*15933)</f>
        <v>0</v>
      </c>
      <c r="U155" s="46">
        <f t="shared" ref="U155" si="221">(U154*0.2028)+(U151*15933)</f>
        <v>0</v>
      </c>
      <c r="V155" s="154">
        <f t="shared" si="210"/>
        <v>0</v>
      </c>
      <c r="W155" s="53">
        <f>(W154*0.2028)+(W151*15933)</f>
        <v>0</v>
      </c>
      <c r="X155" s="46">
        <f t="shared" ref="X155" si="222">(X154*0.2028)+(X151*15933)</f>
        <v>0</v>
      </c>
      <c r="Y155" s="46">
        <f t="shared" ref="Y155" si="223">(Y154*0.2028)+(Y151*15933)</f>
        <v>0</v>
      </c>
      <c r="Z155" s="154">
        <f t="shared" si="212"/>
        <v>0</v>
      </c>
    </row>
    <row r="156" spans="1:26" ht="13.5" thickBot="1" x14ac:dyDescent="0.25">
      <c r="A156" s="278" t="s">
        <v>45</v>
      </c>
      <c r="B156" s="278"/>
      <c r="C156" s="151">
        <f>SUM(C153:C155)</f>
        <v>0</v>
      </c>
      <c r="D156" s="152">
        <f t="shared" ref="D156:F156" si="224">SUM(D153:D155)</f>
        <v>0</v>
      </c>
      <c r="E156" s="152">
        <f t="shared" si="224"/>
        <v>0</v>
      </c>
      <c r="F156" s="155">
        <f t="shared" si="224"/>
        <v>0</v>
      </c>
      <c r="G156" s="151">
        <f>SUM(G153:G155)</f>
        <v>0</v>
      </c>
      <c r="H156" s="152">
        <f t="shared" ref="H156:J156" si="225">SUM(H153:H155)</f>
        <v>0</v>
      </c>
      <c r="I156" s="152">
        <f t="shared" si="225"/>
        <v>0</v>
      </c>
      <c r="J156" s="155">
        <f t="shared" si="225"/>
        <v>0</v>
      </c>
      <c r="K156" s="151">
        <f>SUM(K153:K155)</f>
        <v>0</v>
      </c>
      <c r="L156" s="152">
        <f t="shared" ref="L156:N156" si="226">SUM(L153:L155)</f>
        <v>0</v>
      </c>
      <c r="M156" s="152">
        <f t="shared" si="226"/>
        <v>0</v>
      </c>
      <c r="N156" s="155">
        <f t="shared" si="226"/>
        <v>0</v>
      </c>
      <c r="O156" s="151">
        <f>SUM(O153:O155)</f>
        <v>0</v>
      </c>
      <c r="P156" s="152">
        <f t="shared" ref="P156:R156" si="227">SUM(P153:P155)</f>
        <v>0</v>
      </c>
      <c r="Q156" s="152">
        <f t="shared" si="227"/>
        <v>0</v>
      </c>
      <c r="R156" s="155">
        <f t="shared" si="227"/>
        <v>0</v>
      </c>
      <c r="S156" s="151">
        <f>SUM(S153:S155)</f>
        <v>0</v>
      </c>
      <c r="T156" s="152">
        <f t="shared" ref="T156:V156" si="228">SUM(T153:T155)</f>
        <v>0</v>
      </c>
      <c r="U156" s="152">
        <f t="shared" si="228"/>
        <v>0</v>
      </c>
      <c r="V156" s="155">
        <f t="shared" si="228"/>
        <v>0</v>
      </c>
      <c r="W156" s="151">
        <f>SUM(W153:W155)</f>
        <v>0</v>
      </c>
      <c r="X156" s="152">
        <f t="shared" ref="X156:Z156" si="229">SUM(X153:X155)</f>
        <v>0</v>
      </c>
      <c r="Y156" s="152">
        <f t="shared" si="229"/>
        <v>0</v>
      </c>
      <c r="Z156" s="155">
        <f t="shared" si="229"/>
        <v>0</v>
      </c>
    </row>
    <row r="157" spans="1:26" x14ac:dyDescent="0.2">
      <c r="A157" s="7"/>
      <c r="C157" s="145"/>
      <c r="D157" s="145"/>
      <c r="E157" s="145"/>
      <c r="F157" s="144"/>
      <c r="G157" s="145"/>
      <c r="K157" s="145"/>
      <c r="L157" s="145"/>
      <c r="M157" s="145"/>
      <c r="N157" s="144"/>
      <c r="O157" s="145"/>
      <c r="S157" s="145"/>
      <c r="T157" s="145"/>
      <c r="U157" s="145"/>
      <c r="V157" s="144"/>
      <c r="W157" s="145"/>
    </row>
    <row r="158" spans="1:26" x14ac:dyDescent="0.2">
      <c r="A158" s="7"/>
      <c r="C158" s="145"/>
      <c r="D158" s="145"/>
      <c r="E158" s="145"/>
      <c r="F158" s="144"/>
      <c r="G158" s="145"/>
      <c r="K158" s="145"/>
      <c r="L158" s="145"/>
      <c r="M158" s="145"/>
      <c r="N158" s="144"/>
      <c r="O158" s="145"/>
      <c r="S158" s="145"/>
      <c r="T158" s="145"/>
      <c r="U158" s="145"/>
      <c r="V158" s="144"/>
      <c r="W158" s="145"/>
    </row>
    <row r="159" spans="1:26" x14ac:dyDescent="0.2">
      <c r="A159" s="7"/>
      <c r="C159" s="145"/>
      <c r="D159" s="145"/>
      <c r="E159" s="145"/>
      <c r="F159" s="144"/>
      <c r="G159" s="145"/>
      <c r="K159" s="145"/>
      <c r="L159" s="145"/>
      <c r="M159" s="145"/>
      <c r="N159" s="144"/>
      <c r="O159" s="145"/>
      <c r="S159" s="145"/>
      <c r="T159" s="145"/>
      <c r="U159" s="145"/>
      <c r="V159" s="144"/>
      <c r="W159" s="145"/>
    </row>
    <row r="160" spans="1:26" x14ac:dyDescent="0.2">
      <c r="A160" s="7"/>
      <c r="F160" s="144"/>
      <c r="N160" s="144"/>
      <c r="V160" s="144"/>
    </row>
    <row r="161" spans="1:26" x14ac:dyDescent="0.2">
      <c r="A161" s="7" t="s">
        <v>207</v>
      </c>
      <c r="C161" s="144">
        <f t="shared" ref="C161:Z161" si="230">SUM(C63:C65)</f>
        <v>51149082.75</v>
      </c>
      <c r="D161" s="144">
        <f t="shared" si="230"/>
        <v>25698707</v>
      </c>
      <c r="E161" s="144">
        <f t="shared" si="230"/>
        <v>13798923</v>
      </c>
      <c r="F161" s="144">
        <f t="shared" si="230"/>
        <v>90646712.75</v>
      </c>
      <c r="G161" s="144">
        <f t="shared" si="230"/>
        <v>56583852</v>
      </c>
      <c r="H161" s="144">
        <f t="shared" si="230"/>
        <v>29020897</v>
      </c>
      <c r="I161" s="144">
        <f t="shared" si="230"/>
        <v>15762878.720000001</v>
      </c>
      <c r="J161" s="144">
        <f t="shared" si="230"/>
        <v>101367627.72</v>
      </c>
      <c r="K161" s="144">
        <f t="shared" si="230"/>
        <v>57180015.673664995</v>
      </c>
      <c r="L161" s="144">
        <f t="shared" si="230"/>
        <v>29306065.716729671</v>
      </c>
      <c r="M161" s="144">
        <f t="shared" si="230"/>
        <v>15959977.018755201</v>
      </c>
      <c r="N161" s="144">
        <f t="shared" si="230"/>
        <v>102446058.40914987</v>
      </c>
      <c r="O161" s="144">
        <f t="shared" si="230"/>
        <v>57787242.458034977</v>
      </c>
      <c r="P161" s="144">
        <f t="shared" si="230"/>
        <v>29596072.637660287</v>
      </c>
      <c r="Q161" s="144">
        <f t="shared" si="230"/>
        <v>16160780.002941728</v>
      </c>
      <c r="R161" s="144">
        <f t="shared" si="230"/>
        <v>103544095.09863698</v>
      </c>
      <c r="S161" s="144">
        <f t="shared" si="230"/>
        <v>58405761.919438496</v>
      </c>
      <c r="T161" s="144">
        <f t="shared" si="230"/>
        <v>29891007.15605836</v>
      </c>
      <c r="U161" s="144">
        <f t="shared" si="230"/>
        <v>16365365.689169556</v>
      </c>
      <c r="V161" s="144">
        <f t="shared" si="230"/>
        <v>104662134.76466641</v>
      </c>
      <c r="W161" s="144">
        <f t="shared" si="230"/>
        <v>59031567.665089116</v>
      </c>
      <c r="X161" s="144">
        <f t="shared" si="230"/>
        <v>30189839.163795516</v>
      </c>
      <c r="Y161" s="144">
        <f t="shared" si="230"/>
        <v>16572317.515787654</v>
      </c>
      <c r="Z161" s="144">
        <f t="shared" si="230"/>
        <v>105793724.34467229</v>
      </c>
    </row>
    <row r="162" spans="1:26" x14ac:dyDescent="0.2">
      <c r="A162" s="7" t="s">
        <v>208</v>
      </c>
      <c r="C162" s="121">
        <f>C97</f>
        <v>57175148.75</v>
      </c>
      <c r="D162" s="121">
        <f t="shared" ref="D162:F162" si="231">D97</f>
        <v>27778976</v>
      </c>
      <c r="E162" s="121">
        <f t="shared" si="231"/>
        <v>17892780</v>
      </c>
      <c r="F162" s="121">
        <f t="shared" si="231"/>
        <v>102846904.75</v>
      </c>
      <c r="G162" s="121">
        <f>G97</f>
        <v>63638521</v>
      </c>
      <c r="H162" s="121">
        <f t="shared" ref="H162:J162" si="232">H97</f>
        <v>31549033</v>
      </c>
      <c r="I162" s="121">
        <f t="shared" si="232"/>
        <v>22445518.719999999</v>
      </c>
      <c r="J162" s="121">
        <f t="shared" si="232"/>
        <v>117633072.72</v>
      </c>
      <c r="K162" s="121">
        <f>K97</f>
        <v>64228968.673664995</v>
      </c>
      <c r="L162" s="121">
        <f t="shared" ref="L162:N162" si="233">L97</f>
        <v>31813861.716729671</v>
      </c>
      <c r="M162" s="121">
        <f t="shared" si="233"/>
        <v>22642617.018755201</v>
      </c>
      <c r="N162" s="121">
        <f t="shared" si="233"/>
        <v>118685447.40914987</v>
      </c>
      <c r="O162" s="121">
        <f>O97</f>
        <v>64836195.458034977</v>
      </c>
      <c r="P162" s="121">
        <f t="shared" ref="P162:R162" si="234">P97</f>
        <v>32103868.637660287</v>
      </c>
      <c r="Q162" s="121">
        <f t="shared" si="234"/>
        <v>22843420.002941728</v>
      </c>
      <c r="R162" s="121">
        <f t="shared" si="234"/>
        <v>119783484.09863698</v>
      </c>
      <c r="S162" s="121">
        <f>S97</f>
        <v>65454714.919438496</v>
      </c>
      <c r="T162" s="121">
        <f t="shared" ref="T162:V162" si="235">T97</f>
        <v>32398803.15605836</v>
      </c>
      <c r="U162" s="121">
        <f t="shared" si="235"/>
        <v>23048005.689169556</v>
      </c>
      <c r="V162" s="121">
        <f t="shared" si="235"/>
        <v>120901523.76466641</v>
      </c>
      <c r="W162" s="121">
        <f>W97</f>
        <v>66080520.665089116</v>
      </c>
      <c r="X162" s="121">
        <f t="shared" ref="X162:Z162" si="236">X97</f>
        <v>32697635.163795516</v>
      </c>
      <c r="Y162" s="121">
        <f t="shared" si="236"/>
        <v>23254957.515787654</v>
      </c>
      <c r="Z162" s="121">
        <f t="shared" si="236"/>
        <v>122033113.34467229</v>
      </c>
    </row>
    <row r="163" spans="1:26" x14ac:dyDescent="0.2">
      <c r="A163" s="7" t="s">
        <v>209</v>
      </c>
      <c r="C163" s="280">
        <f t="shared" ref="C163" si="237">C161/C162</f>
        <v>0.89460340494522983</v>
      </c>
      <c r="D163" s="280">
        <f t="shared" ref="D163" si="238">D161/D162</f>
        <v>0.92511354630206677</v>
      </c>
      <c r="E163" s="280">
        <f t="shared" ref="E163" si="239">E161/E162</f>
        <v>0.77120061834997133</v>
      </c>
      <c r="F163" s="280">
        <f t="shared" ref="F163" si="240">F161/F162</f>
        <v>0.8813752146488395</v>
      </c>
      <c r="G163" s="280">
        <f t="shared" ref="G163" si="241">G161/G162</f>
        <v>0.88914467386820628</v>
      </c>
      <c r="H163" s="280">
        <f t="shared" ref="H163" si="242">H161/H162</f>
        <v>0.91986645042337745</v>
      </c>
      <c r="I163" s="280">
        <f t="shared" ref="I163" si="243">I161/I162</f>
        <v>0.70227286420226698</v>
      </c>
      <c r="J163" s="280">
        <f t="shared" ref="J163" si="244">J161/J162</f>
        <v>0.86172727937901983</v>
      </c>
      <c r="K163" s="280">
        <f t="shared" ref="K163" si="245">K161/K162</f>
        <v>0.89025274505318042</v>
      </c>
      <c r="L163" s="280">
        <f t="shared" ref="L163" si="246">L161/L162</f>
        <v>0.92117285155982032</v>
      </c>
      <c r="M163" s="280">
        <f t="shared" ref="M163" si="247">M161/M162</f>
        <v>0.70486450420175928</v>
      </c>
      <c r="N163" s="280">
        <f t="shared" ref="N163" si="248">N161/N162</f>
        <v>0.86317287119441699</v>
      </c>
      <c r="O163" s="280">
        <f t="shared" ref="O163" si="249">O161/O162</f>
        <v>0.89128058871741767</v>
      </c>
      <c r="P163" s="280">
        <f t="shared" ref="P163" si="250">P161/P162</f>
        <v>0.92188492831489588</v>
      </c>
      <c r="Q163" s="280">
        <f t="shared" ref="Q163" si="251">Q161/Q162</f>
        <v>0.70745886565411731</v>
      </c>
      <c r="R163" s="280">
        <f t="shared" ref="R163" si="252">R161/R162</f>
        <v>0.86442714434130585</v>
      </c>
      <c r="S163" s="280">
        <f t="shared" ref="S163" si="253">S161/S162</f>
        <v>0.89230794131979896</v>
      </c>
      <c r="T163" s="280">
        <f t="shared" ref="T163" si="254">T161/T162</f>
        <v>0.9225960296150304</v>
      </c>
      <c r="U163" s="280">
        <f t="shared" ref="U163" si="255">U161/U162</f>
        <v>0.71005560784201704</v>
      </c>
      <c r="V163" s="280">
        <f t="shared" ref="V163" si="256">V161/V162</f>
        <v>0.86568085749183932</v>
      </c>
      <c r="W163" s="280">
        <f t="shared" ref="W163" si="257">W161/W162</f>
        <v>0.89332782294913093</v>
      </c>
      <c r="X163" s="280">
        <f t="shared" ref="X163" si="258">X161/X162</f>
        <v>0.92330344419596566</v>
      </c>
      <c r="Y163" s="280">
        <f t="shared" ref="Y163" si="259">Y161/Y162</f>
        <v>0.71263589729359023</v>
      </c>
      <c r="Z163" s="280">
        <f t="shared" ref="Z163" si="260">Z161/Z162</f>
        <v>0.86692637305635878</v>
      </c>
    </row>
    <row r="164" spans="1:26" x14ac:dyDescent="0.2">
      <c r="A164" s="7"/>
    </row>
    <row r="165" spans="1:26" x14ac:dyDescent="0.2">
      <c r="A165" s="7"/>
      <c r="F165" s="144"/>
    </row>
    <row r="173" spans="1:26" x14ac:dyDescent="0.2">
      <c r="F173" s="121">
        <f>SUM(F63:F65)</f>
        <v>90646712.75</v>
      </c>
      <c r="J173" s="121">
        <f>SUM(J63:J65)</f>
        <v>101367627.72</v>
      </c>
      <c r="N173" s="121">
        <f>SUM(N63:N65)</f>
        <v>102446058.40914987</v>
      </c>
      <c r="R173" s="121">
        <f>SUM(R63:R65)</f>
        <v>103544095.09863698</v>
      </c>
      <c r="V173" s="121">
        <f>SUM(V63:V65)</f>
        <v>104662134.76466641</v>
      </c>
      <c r="Z173" s="121">
        <f>SUM(Z63:Z65)</f>
        <v>105793724.34467229</v>
      </c>
    </row>
    <row r="174" spans="1:26" x14ac:dyDescent="0.2">
      <c r="J174" s="144">
        <v>90586386</v>
      </c>
      <c r="K174" s="144"/>
      <c r="L174" s="144"/>
      <c r="M174" s="144"/>
      <c r="N174" s="144">
        <v>94598544</v>
      </c>
      <c r="O174" s="144"/>
      <c r="P174" s="144"/>
      <c r="Q174" s="144"/>
      <c r="R174" s="144">
        <v>97469809</v>
      </c>
      <c r="S174" s="144"/>
      <c r="T174" s="144"/>
      <c r="U174" s="144"/>
      <c r="V174" s="144">
        <v>100215416</v>
      </c>
      <c r="W174" s="144"/>
      <c r="X174" s="144"/>
      <c r="Y174" s="144"/>
      <c r="Z174" s="144">
        <v>102139452</v>
      </c>
    </row>
    <row r="175" spans="1:26" x14ac:dyDescent="0.2">
      <c r="J175" s="144"/>
      <c r="K175" s="144"/>
      <c r="L175" s="144"/>
      <c r="M175" s="144"/>
      <c r="N175" s="150">
        <f>(N174-J174)/J174</f>
        <v>4.42909600124681E-2</v>
      </c>
      <c r="O175" s="144"/>
      <c r="P175" s="144"/>
      <c r="Q175" s="144"/>
      <c r="R175" s="150">
        <f>(R174-N174)/N174</f>
        <v>3.0352105630716684E-2</v>
      </c>
      <c r="S175" s="144"/>
      <c r="T175" s="144"/>
      <c r="U175" s="144"/>
      <c r="V175" s="150">
        <f>(V174-R174)/R174</f>
        <v>2.8168794298140051E-2</v>
      </c>
      <c r="W175" s="144"/>
      <c r="X175" s="144"/>
      <c r="Y175" s="144"/>
      <c r="Z175" s="150">
        <f>(Z174-V174)/V174</f>
        <v>1.9199002277254431E-2</v>
      </c>
    </row>
    <row r="176" spans="1:26" x14ac:dyDescent="0.2">
      <c r="J176" s="144"/>
      <c r="K176" s="144"/>
      <c r="L176" s="144"/>
      <c r="M176" s="144"/>
      <c r="N176" s="144"/>
      <c r="O176" s="144"/>
      <c r="P176" s="144"/>
      <c r="Q176" s="144"/>
      <c r="R176" s="144"/>
      <c r="S176" s="144"/>
      <c r="T176" s="144"/>
      <c r="U176" s="144"/>
      <c r="V176" s="144"/>
      <c r="W176" s="144"/>
      <c r="X176" s="144"/>
      <c r="Y176" s="144"/>
      <c r="Z176" s="144"/>
    </row>
    <row r="177" spans="10:26" x14ac:dyDescent="0.2">
      <c r="J177" s="144"/>
      <c r="K177" s="144"/>
      <c r="L177" s="144"/>
      <c r="M177" s="144"/>
      <c r="N177" s="144"/>
      <c r="O177" s="144"/>
      <c r="P177" s="144"/>
      <c r="Q177" s="144"/>
      <c r="R177" s="144"/>
      <c r="S177" s="144"/>
      <c r="T177" s="144"/>
      <c r="U177" s="144"/>
      <c r="V177" s="144"/>
      <c r="W177" s="144"/>
      <c r="X177" s="144"/>
      <c r="Y177" s="144"/>
      <c r="Z177" s="144"/>
    </row>
    <row r="178" spans="10:26" x14ac:dyDescent="0.2">
      <c r="J178" s="144"/>
      <c r="K178" s="144"/>
      <c r="L178" s="144"/>
      <c r="M178" s="144"/>
      <c r="N178" s="144"/>
      <c r="O178" s="144"/>
      <c r="P178" s="144"/>
      <c r="Q178" s="144"/>
      <c r="R178" s="144"/>
      <c r="S178" s="144"/>
      <c r="T178" s="144"/>
      <c r="U178" s="144"/>
      <c r="V178" s="144"/>
      <c r="W178" s="144"/>
      <c r="X178" s="144"/>
      <c r="Y178" s="144"/>
      <c r="Z178" s="144"/>
    </row>
    <row r="179" spans="10:26" x14ac:dyDescent="0.2">
      <c r="J179" s="144"/>
      <c r="K179" s="144"/>
      <c r="L179" s="144"/>
      <c r="M179" s="144"/>
      <c r="N179" s="144"/>
      <c r="O179" s="144"/>
      <c r="P179" s="144"/>
      <c r="Q179" s="144"/>
      <c r="R179" s="144"/>
      <c r="S179" s="144"/>
      <c r="T179" s="144"/>
      <c r="U179" s="144"/>
      <c r="V179" s="144"/>
      <c r="W179" s="144"/>
      <c r="X179" s="144"/>
      <c r="Y179" s="144"/>
      <c r="Z179" s="144"/>
    </row>
    <row r="180" spans="10:26" x14ac:dyDescent="0.2">
      <c r="J180" s="144"/>
      <c r="K180" s="144"/>
      <c r="L180" s="144"/>
      <c r="M180" s="144"/>
      <c r="N180" s="144"/>
      <c r="O180" s="144"/>
      <c r="P180" s="144"/>
      <c r="Q180" s="144"/>
      <c r="R180" s="144"/>
      <c r="S180" s="144"/>
      <c r="T180" s="144"/>
      <c r="U180" s="144"/>
      <c r="V180" s="144"/>
      <c r="W180" s="144"/>
      <c r="X180" s="144"/>
      <c r="Y180" s="144"/>
      <c r="Z180" s="144"/>
    </row>
    <row r="181" spans="10:26" x14ac:dyDescent="0.2">
      <c r="J181" s="144"/>
      <c r="K181" s="144"/>
      <c r="L181" s="144"/>
      <c r="M181" s="144"/>
      <c r="N181" s="144"/>
      <c r="O181" s="144"/>
      <c r="P181" s="144"/>
      <c r="Q181" s="144"/>
      <c r="R181" s="144"/>
      <c r="S181" s="144"/>
      <c r="T181" s="144"/>
      <c r="U181" s="144"/>
      <c r="V181" s="144"/>
      <c r="W181" s="144"/>
      <c r="X181" s="144"/>
      <c r="Y181" s="144"/>
      <c r="Z181" s="144"/>
    </row>
    <row r="182" spans="10:26" x14ac:dyDescent="0.2">
      <c r="J182" s="144"/>
      <c r="K182" s="144"/>
      <c r="L182" s="144"/>
      <c r="M182" s="144"/>
      <c r="N182" s="144"/>
      <c r="O182" s="144"/>
      <c r="P182" s="144"/>
      <c r="Q182" s="144"/>
      <c r="R182" s="144"/>
      <c r="S182" s="144"/>
      <c r="T182" s="144"/>
      <c r="U182" s="144"/>
      <c r="V182" s="144"/>
      <c r="W182" s="144"/>
      <c r="X182" s="144"/>
      <c r="Y182" s="144"/>
      <c r="Z182" s="144"/>
    </row>
  </sheetData>
  <mergeCells count="32731">
    <mergeCell ref="AQ50:AR50"/>
    <mergeCell ref="AS50:AT50"/>
    <mergeCell ref="AQ40:AR40"/>
    <mergeCell ref="AS40:AT40"/>
    <mergeCell ref="AU40:AV40"/>
    <mergeCell ref="EO40:EP40"/>
    <mergeCell ref="A50:B50"/>
    <mergeCell ref="A1:B2"/>
    <mergeCell ref="A152:B152"/>
    <mergeCell ref="A134:B134"/>
    <mergeCell ref="A141:B141"/>
    <mergeCell ref="A75:B75"/>
    <mergeCell ref="C75:F75"/>
    <mergeCell ref="G75:J75"/>
    <mergeCell ref="K75:N75"/>
    <mergeCell ref="O75:R75"/>
    <mergeCell ref="S75:V75"/>
    <mergeCell ref="W75:Z75"/>
    <mergeCell ref="BO31:BP31"/>
    <mergeCell ref="BQ31:BR31"/>
    <mergeCell ref="BS31:BT31"/>
    <mergeCell ref="BU31:BV31"/>
    <mergeCell ref="BW31:BX31"/>
    <mergeCell ref="BY31:BZ31"/>
    <mergeCell ref="BC31:BD31"/>
    <mergeCell ref="BE31:BF31"/>
    <mergeCell ref="BG31:BH31"/>
    <mergeCell ref="BI31:BJ31"/>
    <mergeCell ref="BK31:BL31"/>
    <mergeCell ref="BM31:BN31"/>
    <mergeCell ref="AQ31:AR31"/>
    <mergeCell ref="AS31:AT31"/>
    <mergeCell ref="AU31:AV31"/>
    <mergeCell ref="AW31:AX31"/>
    <mergeCell ref="AY31:AZ31"/>
    <mergeCell ref="BA31:BB31"/>
    <mergeCell ref="AE31:AF31"/>
    <mergeCell ref="AG31:AH31"/>
    <mergeCell ref="AI31:AJ31"/>
    <mergeCell ref="AK31:AL31"/>
    <mergeCell ref="AM31:AN31"/>
    <mergeCell ref="AO31:AP31"/>
    <mergeCell ref="O31:R31"/>
    <mergeCell ref="S31:V31"/>
    <mergeCell ref="AA31:AB31"/>
    <mergeCell ref="AC31:AD31"/>
    <mergeCell ref="AE40:AF40"/>
    <mergeCell ref="AG40:AH40"/>
    <mergeCell ref="AI40:AJ40"/>
    <mergeCell ref="AK40:AL40"/>
    <mergeCell ref="AM40:AN40"/>
    <mergeCell ref="AO40:AP40"/>
    <mergeCell ref="O40:R40"/>
    <mergeCell ref="S40:V40"/>
    <mergeCell ref="AA40:AB40"/>
    <mergeCell ref="AC40:AD40"/>
    <mergeCell ref="BO50:BP50"/>
    <mergeCell ref="BQ50:BR50"/>
    <mergeCell ref="O1:R1"/>
    <mergeCell ref="S1:V1"/>
    <mergeCell ref="A3:B3"/>
    <mergeCell ref="A31:B31"/>
    <mergeCell ref="C31:F31"/>
    <mergeCell ref="G31:J31"/>
    <mergeCell ref="K31:N31"/>
    <mergeCell ref="C1:F1"/>
    <mergeCell ref="G1:J1"/>
    <mergeCell ref="K1:N1"/>
    <mergeCell ref="W1:Z1"/>
    <mergeCell ref="W31:Z31"/>
    <mergeCell ref="EI31:EJ31"/>
    <mergeCell ref="EK31:EL31"/>
    <mergeCell ref="EM31:EN31"/>
    <mergeCell ref="EO31:EP31"/>
    <mergeCell ref="EQ31:ER31"/>
    <mergeCell ref="ES31:ET31"/>
    <mergeCell ref="DW31:DX31"/>
    <mergeCell ref="DY31:DZ31"/>
    <mergeCell ref="EA31:EB31"/>
    <mergeCell ref="EC31:ED31"/>
    <mergeCell ref="EE31:EF31"/>
    <mergeCell ref="EG31:EH31"/>
    <mergeCell ref="DK31:DL31"/>
    <mergeCell ref="DM31:DN31"/>
    <mergeCell ref="DO31:DP31"/>
    <mergeCell ref="DQ31:DR31"/>
    <mergeCell ref="DS31:DT31"/>
    <mergeCell ref="DU31:DV31"/>
    <mergeCell ref="CY31:CZ31"/>
    <mergeCell ref="DA31:DB31"/>
    <mergeCell ref="DC31:DD31"/>
    <mergeCell ref="DE31:DF31"/>
    <mergeCell ref="DG31:DH31"/>
    <mergeCell ref="DI31:DJ31"/>
    <mergeCell ref="CM31:CN31"/>
    <mergeCell ref="CO31:CP31"/>
    <mergeCell ref="CQ31:CR31"/>
    <mergeCell ref="CS31:CT31"/>
    <mergeCell ref="CU31:CV31"/>
    <mergeCell ref="CW31:CX31"/>
    <mergeCell ref="CA31:CB31"/>
    <mergeCell ref="CC31:CD31"/>
    <mergeCell ref="CE31:CF31"/>
    <mergeCell ref="CG31:CH31"/>
    <mergeCell ref="CI31:CJ31"/>
    <mergeCell ref="CK31:CL31"/>
    <mergeCell ref="HC31:HD31"/>
    <mergeCell ref="HE31:HF31"/>
    <mergeCell ref="HG31:HH31"/>
    <mergeCell ref="HI31:HJ31"/>
    <mergeCell ref="HK31:HL31"/>
    <mergeCell ref="HM31:HN31"/>
    <mergeCell ref="IM31:IN31"/>
    <mergeCell ref="IO31:IP31"/>
    <mergeCell ref="IQ31:IR31"/>
    <mergeCell ref="IS31:IT31"/>
    <mergeCell ref="EU31:EV31"/>
    <mergeCell ref="EW31:EX31"/>
    <mergeCell ref="EY31:EZ31"/>
    <mergeCell ref="FA31:FB31"/>
    <mergeCell ref="FC31:FD31"/>
    <mergeCell ref="FE31:FF31"/>
    <mergeCell ref="AU50:AV50"/>
    <mergeCell ref="AW50:AX50"/>
    <mergeCell ref="BS40:BT40"/>
    <mergeCell ref="BU40:BV40"/>
    <mergeCell ref="BW40:BX40"/>
    <mergeCell ref="BY40:BZ40"/>
    <mergeCell ref="BC40:BD40"/>
    <mergeCell ref="BE40:BF40"/>
    <mergeCell ref="BG40:BH40"/>
    <mergeCell ref="BI40:BJ40"/>
    <mergeCell ref="BK40:BL40"/>
    <mergeCell ref="BM40:BN40"/>
    <mergeCell ref="BK50:BL50"/>
    <mergeCell ref="BM50:BN50"/>
    <mergeCell ref="AW40:AX40"/>
    <mergeCell ref="AY40:AZ40"/>
    <mergeCell ref="BA40:BB40"/>
    <mergeCell ref="FS40:FT40"/>
    <mergeCell ref="FU40:FV40"/>
    <mergeCell ref="FW40:FX40"/>
    <mergeCell ref="FY40:FZ40"/>
    <mergeCell ref="GA40:GB40"/>
    <mergeCell ref="GC40:GD40"/>
    <mergeCell ref="FG40:FH40"/>
    <mergeCell ref="FI40:FJ40"/>
    <mergeCell ref="FK40:FL40"/>
    <mergeCell ref="FM40:FN40"/>
    <mergeCell ref="FO40:FP40"/>
    <mergeCell ref="FQ40:FR40"/>
    <mergeCell ref="EU40:EV40"/>
    <mergeCell ref="EW40:EX40"/>
    <mergeCell ref="EY40:EZ40"/>
    <mergeCell ref="FA40:FB40"/>
    <mergeCell ref="FC40:FD40"/>
    <mergeCell ref="BG50:BH50"/>
    <mergeCell ref="BI50:BJ50"/>
    <mergeCell ref="EK40:EL40"/>
    <mergeCell ref="EM40:EN40"/>
    <mergeCell ref="DK40:DL40"/>
    <mergeCell ref="DM40:DN40"/>
    <mergeCell ref="DO40:DP40"/>
    <mergeCell ref="DQ40:DR40"/>
    <mergeCell ref="DS40:DT40"/>
    <mergeCell ref="DU40:DV40"/>
    <mergeCell ref="CU40:CV40"/>
    <mergeCell ref="CW40:CX40"/>
    <mergeCell ref="CA40:CB40"/>
    <mergeCell ref="CC40:CD40"/>
    <mergeCell ref="DA40:DB40"/>
    <mergeCell ref="DC40:DD40"/>
    <mergeCell ref="DE40:DF40"/>
    <mergeCell ref="DG40:DH40"/>
    <mergeCell ref="DI40:DJ40"/>
    <mergeCell ref="CM40:CN40"/>
    <mergeCell ref="CO40:CP40"/>
    <mergeCell ref="CQ40:CR40"/>
    <mergeCell ref="CS40:CT40"/>
    <mergeCell ref="BO40:BP40"/>
    <mergeCell ref="BQ40:BR40"/>
    <mergeCell ref="EI40:EJ40"/>
    <mergeCell ref="EC40:ED40"/>
    <mergeCell ref="EE40:EF40"/>
    <mergeCell ref="EG40:EH40"/>
    <mergeCell ref="AY50:AZ50"/>
    <mergeCell ref="BA50:BB50"/>
    <mergeCell ref="BS50:BT50"/>
    <mergeCell ref="BU50:BV50"/>
    <mergeCell ref="BW50:BX50"/>
    <mergeCell ref="BY50:BZ50"/>
    <mergeCell ref="BC50:BD50"/>
    <mergeCell ref="BE50:BF50"/>
    <mergeCell ref="GQ31:GR31"/>
    <mergeCell ref="GS31:GT31"/>
    <mergeCell ref="GU31:GV31"/>
    <mergeCell ref="GW31:GX31"/>
    <mergeCell ref="GY31:GZ31"/>
    <mergeCell ref="HA31:HB31"/>
    <mergeCell ref="GE31:GF31"/>
    <mergeCell ref="GG31:GH31"/>
    <mergeCell ref="GI31:GJ31"/>
    <mergeCell ref="GK31:GL31"/>
    <mergeCell ref="GM31:GN31"/>
    <mergeCell ref="GO31:GP31"/>
    <mergeCell ref="FS31:FT31"/>
    <mergeCell ref="FU31:FV31"/>
    <mergeCell ref="FW31:FX31"/>
    <mergeCell ref="FY31:FZ31"/>
    <mergeCell ref="GA31:GB31"/>
    <mergeCell ref="GC31:GD31"/>
    <mergeCell ref="FG31:FH31"/>
    <mergeCell ref="FI31:FJ31"/>
    <mergeCell ref="FK31:FL31"/>
    <mergeCell ref="FM31:FN31"/>
    <mergeCell ref="FO31:FP31"/>
    <mergeCell ref="FQ31:FR31"/>
    <mergeCell ref="CE40:CF40"/>
    <mergeCell ref="CG40:CH40"/>
    <mergeCell ref="CI40:CJ40"/>
    <mergeCell ref="CK40:CL40"/>
    <mergeCell ref="FE40:FF40"/>
    <mergeCell ref="EQ40:ER40"/>
    <mergeCell ref="ES40:ET40"/>
    <mergeCell ref="DW40:DX40"/>
    <mergeCell ref="DY40:DZ40"/>
    <mergeCell ref="EA40:EB40"/>
    <mergeCell ref="JW31:JX31"/>
    <mergeCell ref="JY31:JZ31"/>
    <mergeCell ref="KA31:KB31"/>
    <mergeCell ref="KC31:KD31"/>
    <mergeCell ref="KE31:KF31"/>
    <mergeCell ref="KG31:KH31"/>
    <mergeCell ref="JK31:JL31"/>
    <mergeCell ref="JM31:JN31"/>
    <mergeCell ref="JO31:JP31"/>
    <mergeCell ref="JQ31:JR31"/>
    <mergeCell ref="JS31:JT31"/>
    <mergeCell ref="JU31:JV31"/>
    <mergeCell ref="IY31:IZ31"/>
    <mergeCell ref="JA31:JB31"/>
    <mergeCell ref="JC31:JD31"/>
    <mergeCell ref="JE31:JF31"/>
    <mergeCell ref="JG31:JH31"/>
    <mergeCell ref="JI31:JJ31"/>
    <mergeCell ref="KU31:KV31"/>
    <mergeCell ref="KW31:KX31"/>
    <mergeCell ref="KY31:KZ31"/>
    <mergeCell ref="KI31:KJ31"/>
    <mergeCell ref="KK31:KL31"/>
    <mergeCell ref="OS31:OT31"/>
    <mergeCell ref="OU31:OV31"/>
    <mergeCell ref="OW31:OX31"/>
    <mergeCell ref="OA31:OB31"/>
    <mergeCell ref="OC31:OD31"/>
    <mergeCell ref="OE31:OF31"/>
    <mergeCell ref="OG31:OH31"/>
    <mergeCell ref="OI31:OJ31"/>
    <mergeCell ref="OK31:OL31"/>
    <mergeCell ref="NO31:NP31"/>
    <mergeCell ref="NQ31:NR31"/>
    <mergeCell ref="NS31:NT31"/>
    <mergeCell ref="NU31:NV31"/>
    <mergeCell ref="NW31:NX31"/>
    <mergeCell ref="NY31:NZ31"/>
    <mergeCell ref="NC31:ND31"/>
    <mergeCell ref="NE31:NF31"/>
    <mergeCell ref="NG31:NH31"/>
    <mergeCell ref="NI31:NJ31"/>
    <mergeCell ref="NK31:NL31"/>
    <mergeCell ref="NM31:NN31"/>
    <mergeCell ref="IU31:IV31"/>
    <mergeCell ref="IW31:IX31"/>
    <mergeCell ref="IA31:IB31"/>
    <mergeCell ref="IC31:ID31"/>
    <mergeCell ref="IE31:IF31"/>
    <mergeCell ref="IG31:IH31"/>
    <mergeCell ref="II31:IJ31"/>
    <mergeCell ref="IK31:IL31"/>
    <mergeCell ref="HO31:HP31"/>
    <mergeCell ref="HQ31:HR31"/>
    <mergeCell ref="HS31:HT31"/>
    <mergeCell ref="HU31:HV31"/>
    <mergeCell ref="HW31:HX31"/>
    <mergeCell ref="HY31:HZ31"/>
    <mergeCell ref="LA31:LB31"/>
    <mergeCell ref="LC31:LD31"/>
    <mergeCell ref="LE31:LF31"/>
    <mergeCell ref="KM31:KN31"/>
    <mergeCell ref="KO31:KP31"/>
    <mergeCell ref="KQ31:KR31"/>
    <mergeCell ref="KS31:KT31"/>
    <mergeCell ref="TO31:TP31"/>
    <mergeCell ref="TQ31:TR31"/>
    <mergeCell ref="TS31:TT31"/>
    <mergeCell ref="MQ31:MR31"/>
    <mergeCell ref="MS31:MT31"/>
    <mergeCell ref="MU31:MV31"/>
    <mergeCell ref="MW31:MX31"/>
    <mergeCell ref="MY31:MZ31"/>
    <mergeCell ref="NA31:NB31"/>
    <mergeCell ref="ME31:MF31"/>
    <mergeCell ref="MG31:MH31"/>
    <mergeCell ref="MI31:MJ31"/>
    <mergeCell ref="MK31:ML31"/>
    <mergeCell ref="MM31:MN31"/>
    <mergeCell ref="MO31:MP31"/>
    <mergeCell ref="LS31:LT31"/>
    <mergeCell ref="LU31:LV31"/>
    <mergeCell ref="LW31:LX31"/>
    <mergeCell ref="LY31:LZ31"/>
    <mergeCell ref="MA31:MB31"/>
    <mergeCell ref="MC31:MD31"/>
    <mergeCell ref="LG31:LH31"/>
    <mergeCell ref="LI31:LJ31"/>
    <mergeCell ref="LK31:LL31"/>
    <mergeCell ref="LM31:LN31"/>
    <mergeCell ref="LO31:LP31"/>
    <mergeCell ref="LQ31:LR31"/>
    <mergeCell ref="QU31:QV31"/>
    <mergeCell ref="QW31:QX31"/>
    <mergeCell ref="QY31:QZ31"/>
    <mergeCell ref="RA31:RB31"/>
    <mergeCell ref="RC31:RD31"/>
    <mergeCell ref="RE31:RF31"/>
    <mergeCell ref="QI31:QJ31"/>
    <mergeCell ref="QK31:QL31"/>
    <mergeCell ref="QM31:QN31"/>
    <mergeCell ref="QO31:QP31"/>
    <mergeCell ref="QQ31:QR31"/>
    <mergeCell ref="QS31:QT31"/>
    <mergeCell ref="PW31:PX31"/>
    <mergeCell ref="PY31:PZ31"/>
    <mergeCell ref="QA31:QB31"/>
    <mergeCell ref="QC31:QD31"/>
    <mergeCell ref="QE31:QF31"/>
    <mergeCell ref="QG31:QH31"/>
    <mergeCell ref="PK31:PL31"/>
    <mergeCell ref="PM31:PN31"/>
    <mergeCell ref="PO31:PP31"/>
    <mergeCell ref="PQ31:PR31"/>
    <mergeCell ref="PS31:PT31"/>
    <mergeCell ref="PU31:PV31"/>
    <mergeCell ref="OY31:OZ31"/>
    <mergeCell ref="PA31:PB31"/>
    <mergeCell ref="PC31:PD31"/>
    <mergeCell ref="PE31:PF31"/>
    <mergeCell ref="PG31:PH31"/>
    <mergeCell ref="PI31:PJ31"/>
    <mergeCell ref="OM31:ON31"/>
    <mergeCell ref="OO31:OP31"/>
    <mergeCell ref="OQ31:OR31"/>
    <mergeCell ref="TU31:TV31"/>
    <mergeCell ref="TW31:TX31"/>
    <mergeCell ref="TY31:TZ31"/>
    <mergeCell ref="TC31:TD31"/>
    <mergeCell ref="TE31:TF31"/>
    <mergeCell ref="TG31:TH31"/>
    <mergeCell ref="TI31:TJ31"/>
    <mergeCell ref="TK31:TL31"/>
    <mergeCell ref="TM31:TN31"/>
    <mergeCell ref="SQ31:SR31"/>
    <mergeCell ref="SS31:ST31"/>
    <mergeCell ref="SU31:SV31"/>
    <mergeCell ref="SW31:SX31"/>
    <mergeCell ref="SY31:SZ31"/>
    <mergeCell ref="TA31:TB31"/>
    <mergeCell ref="SE31:SF31"/>
    <mergeCell ref="SG31:SH31"/>
    <mergeCell ref="SI31:SJ31"/>
    <mergeCell ref="SK31:SL31"/>
    <mergeCell ref="SM31:SN31"/>
    <mergeCell ref="SO31:SP31"/>
    <mergeCell ref="RS31:RT31"/>
    <mergeCell ref="RU31:RV31"/>
    <mergeCell ref="RW31:RX31"/>
    <mergeCell ref="RY31:RZ31"/>
    <mergeCell ref="SA31:SB31"/>
    <mergeCell ref="SC31:SD31"/>
    <mergeCell ref="RG31:RH31"/>
    <mergeCell ref="RI31:RJ31"/>
    <mergeCell ref="RK31:RL31"/>
    <mergeCell ref="RM31:RN31"/>
    <mergeCell ref="RO31:RP31"/>
    <mergeCell ref="RQ31:RR31"/>
    <mergeCell ref="WI31:WJ31"/>
    <mergeCell ref="WK31:WL31"/>
    <mergeCell ref="WM31:WN31"/>
    <mergeCell ref="WO31:WP31"/>
    <mergeCell ref="WQ31:WR31"/>
    <mergeCell ref="WS31:WT31"/>
    <mergeCell ref="VW31:VX31"/>
    <mergeCell ref="VY31:VZ31"/>
    <mergeCell ref="WA31:WB31"/>
    <mergeCell ref="WC31:WD31"/>
    <mergeCell ref="WE31:WF31"/>
    <mergeCell ref="WG31:WH31"/>
    <mergeCell ref="VK31:VL31"/>
    <mergeCell ref="VM31:VN31"/>
    <mergeCell ref="VO31:VP31"/>
    <mergeCell ref="VQ31:VR31"/>
    <mergeCell ref="VS31:VT31"/>
    <mergeCell ref="VU31:VV31"/>
    <mergeCell ref="UY31:UZ31"/>
    <mergeCell ref="VA31:VB31"/>
    <mergeCell ref="VC31:VD31"/>
    <mergeCell ref="VE31:VF31"/>
    <mergeCell ref="VG31:VH31"/>
    <mergeCell ref="VI31:VJ31"/>
    <mergeCell ref="UM31:UN31"/>
    <mergeCell ref="UO31:UP31"/>
    <mergeCell ref="UQ31:UR31"/>
    <mergeCell ref="US31:UT31"/>
    <mergeCell ref="UU31:UV31"/>
    <mergeCell ref="UW31:UX31"/>
    <mergeCell ref="UA31:UB31"/>
    <mergeCell ref="UC31:UD31"/>
    <mergeCell ref="UE31:UF31"/>
    <mergeCell ref="UG31:UH31"/>
    <mergeCell ref="UI31:UJ31"/>
    <mergeCell ref="UK31:UL31"/>
    <mergeCell ref="ZC31:ZD31"/>
    <mergeCell ref="ZE31:ZF31"/>
    <mergeCell ref="ZG31:ZH31"/>
    <mergeCell ref="ZI31:ZJ31"/>
    <mergeCell ref="ZK31:ZL31"/>
    <mergeCell ref="ZM31:ZN31"/>
    <mergeCell ref="YQ31:YR31"/>
    <mergeCell ref="YS31:YT31"/>
    <mergeCell ref="YU31:YV31"/>
    <mergeCell ref="YW31:YX31"/>
    <mergeCell ref="YY31:YZ31"/>
    <mergeCell ref="ZA31:ZB31"/>
    <mergeCell ref="YE31:YF31"/>
    <mergeCell ref="YG31:YH31"/>
    <mergeCell ref="YI31:YJ31"/>
    <mergeCell ref="YK31:YL31"/>
    <mergeCell ref="YM31:YN31"/>
    <mergeCell ref="YO31:YP31"/>
    <mergeCell ref="XS31:XT31"/>
    <mergeCell ref="XU31:XV31"/>
    <mergeCell ref="XW31:XX31"/>
    <mergeCell ref="XY31:XZ31"/>
    <mergeCell ref="YA31:YB31"/>
    <mergeCell ref="YC31:YD31"/>
    <mergeCell ref="XG31:XH31"/>
    <mergeCell ref="XI31:XJ31"/>
    <mergeCell ref="XK31:XL31"/>
    <mergeCell ref="XM31:XN31"/>
    <mergeCell ref="XO31:XP31"/>
    <mergeCell ref="XQ31:XR31"/>
    <mergeCell ref="WU31:WV31"/>
    <mergeCell ref="WW31:WX31"/>
    <mergeCell ref="WY31:WZ31"/>
    <mergeCell ref="XA31:XB31"/>
    <mergeCell ref="XC31:XD31"/>
    <mergeCell ref="XE31:XF31"/>
    <mergeCell ref="ABW31:ABX31"/>
    <mergeCell ref="ABY31:ABZ31"/>
    <mergeCell ref="ACA31:ACB31"/>
    <mergeCell ref="ACC31:ACD31"/>
    <mergeCell ref="ACE31:ACF31"/>
    <mergeCell ref="ACG31:ACH31"/>
    <mergeCell ref="ABK31:ABL31"/>
    <mergeCell ref="ABM31:ABN31"/>
    <mergeCell ref="ABO31:ABP31"/>
    <mergeCell ref="ABQ31:ABR31"/>
    <mergeCell ref="ABS31:ABT31"/>
    <mergeCell ref="ABU31:ABV31"/>
    <mergeCell ref="AAY31:AAZ31"/>
    <mergeCell ref="ABA31:ABB31"/>
    <mergeCell ref="ABC31:ABD31"/>
    <mergeCell ref="ABE31:ABF31"/>
    <mergeCell ref="ABG31:ABH31"/>
    <mergeCell ref="ABI31:ABJ31"/>
    <mergeCell ref="AAM31:AAN31"/>
    <mergeCell ref="AAO31:AAP31"/>
    <mergeCell ref="AAQ31:AAR31"/>
    <mergeCell ref="AAS31:AAT31"/>
    <mergeCell ref="AAU31:AAV31"/>
    <mergeCell ref="AAW31:AAX31"/>
    <mergeCell ref="AAA31:AAB31"/>
    <mergeCell ref="AAC31:AAD31"/>
    <mergeCell ref="AAE31:AAF31"/>
    <mergeCell ref="AAG31:AAH31"/>
    <mergeCell ref="AAI31:AAJ31"/>
    <mergeCell ref="AAK31:AAL31"/>
    <mergeCell ref="ZO31:ZP31"/>
    <mergeCell ref="ZQ31:ZR31"/>
    <mergeCell ref="ZS31:ZT31"/>
    <mergeCell ref="ZU31:ZV31"/>
    <mergeCell ref="ZW31:ZX31"/>
    <mergeCell ref="ZY31:ZZ31"/>
    <mergeCell ref="AEQ31:AER31"/>
    <mergeCell ref="AES31:AET31"/>
    <mergeCell ref="AEU31:AEV31"/>
    <mergeCell ref="AEW31:AEX31"/>
    <mergeCell ref="AEY31:AEZ31"/>
    <mergeCell ref="AFA31:AFB31"/>
    <mergeCell ref="AEE31:AEF31"/>
    <mergeCell ref="AEG31:AEH31"/>
    <mergeCell ref="AEI31:AEJ31"/>
    <mergeCell ref="AEK31:AEL31"/>
    <mergeCell ref="AEM31:AEN31"/>
    <mergeCell ref="AEO31:AEP31"/>
    <mergeCell ref="ADS31:ADT31"/>
    <mergeCell ref="ADU31:ADV31"/>
    <mergeCell ref="ADW31:ADX31"/>
    <mergeCell ref="ADY31:ADZ31"/>
    <mergeCell ref="AEA31:AEB31"/>
    <mergeCell ref="AEC31:AED31"/>
    <mergeCell ref="ADG31:ADH31"/>
    <mergeCell ref="ADI31:ADJ31"/>
    <mergeCell ref="ADK31:ADL31"/>
    <mergeCell ref="ADM31:ADN31"/>
    <mergeCell ref="ADO31:ADP31"/>
    <mergeCell ref="ADQ31:ADR31"/>
    <mergeCell ref="ACU31:ACV31"/>
    <mergeCell ref="ACW31:ACX31"/>
    <mergeCell ref="ACY31:ACZ31"/>
    <mergeCell ref="ADA31:ADB31"/>
    <mergeCell ref="ADC31:ADD31"/>
    <mergeCell ref="ADE31:ADF31"/>
    <mergeCell ref="ACI31:ACJ31"/>
    <mergeCell ref="ACK31:ACL31"/>
    <mergeCell ref="ACM31:ACN31"/>
    <mergeCell ref="ACO31:ACP31"/>
    <mergeCell ref="ACQ31:ACR31"/>
    <mergeCell ref="ACS31:ACT31"/>
    <mergeCell ref="AHK31:AHL31"/>
    <mergeCell ref="AHM31:AHN31"/>
    <mergeCell ref="AHO31:AHP31"/>
    <mergeCell ref="AHQ31:AHR31"/>
    <mergeCell ref="AHS31:AHT31"/>
    <mergeCell ref="AHU31:AHV31"/>
    <mergeCell ref="AGY31:AGZ31"/>
    <mergeCell ref="AHA31:AHB31"/>
    <mergeCell ref="AHC31:AHD31"/>
    <mergeCell ref="AHE31:AHF31"/>
    <mergeCell ref="AHG31:AHH31"/>
    <mergeCell ref="AHI31:AHJ31"/>
    <mergeCell ref="AGM31:AGN31"/>
    <mergeCell ref="AGO31:AGP31"/>
    <mergeCell ref="AGQ31:AGR31"/>
    <mergeCell ref="AGS31:AGT31"/>
    <mergeCell ref="AGU31:AGV31"/>
    <mergeCell ref="AGW31:AGX31"/>
    <mergeCell ref="AGA31:AGB31"/>
    <mergeCell ref="AGC31:AGD31"/>
    <mergeCell ref="AGE31:AGF31"/>
    <mergeCell ref="AGG31:AGH31"/>
    <mergeCell ref="AGI31:AGJ31"/>
    <mergeCell ref="AGK31:AGL31"/>
    <mergeCell ref="AFO31:AFP31"/>
    <mergeCell ref="AFQ31:AFR31"/>
    <mergeCell ref="AFS31:AFT31"/>
    <mergeCell ref="AFU31:AFV31"/>
    <mergeCell ref="AFW31:AFX31"/>
    <mergeCell ref="AFY31:AFZ31"/>
    <mergeCell ref="AFC31:AFD31"/>
    <mergeCell ref="AFE31:AFF31"/>
    <mergeCell ref="AFG31:AFH31"/>
    <mergeCell ref="AFI31:AFJ31"/>
    <mergeCell ref="AFK31:AFL31"/>
    <mergeCell ref="AFM31:AFN31"/>
    <mergeCell ref="AKE31:AKF31"/>
    <mergeCell ref="AKG31:AKH31"/>
    <mergeCell ref="AKI31:AKJ31"/>
    <mergeCell ref="AKK31:AKL31"/>
    <mergeCell ref="AKM31:AKN31"/>
    <mergeCell ref="AKO31:AKP31"/>
    <mergeCell ref="AJS31:AJT31"/>
    <mergeCell ref="AJU31:AJV31"/>
    <mergeCell ref="AJW31:AJX31"/>
    <mergeCell ref="AJY31:AJZ31"/>
    <mergeCell ref="AKA31:AKB31"/>
    <mergeCell ref="AKC31:AKD31"/>
    <mergeCell ref="AJG31:AJH31"/>
    <mergeCell ref="AJI31:AJJ31"/>
    <mergeCell ref="AJK31:AJL31"/>
    <mergeCell ref="AJM31:AJN31"/>
    <mergeCell ref="AJO31:AJP31"/>
    <mergeCell ref="AJQ31:AJR31"/>
    <mergeCell ref="AIU31:AIV31"/>
    <mergeCell ref="AIW31:AIX31"/>
    <mergeCell ref="AIY31:AIZ31"/>
    <mergeCell ref="AJA31:AJB31"/>
    <mergeCell ref="AJC31:AJD31"/>
    <mergeCell ref="AJE31:AJF31"/>
    <mergeCell ref="AII31:AIJ31"/>
    <mergeCell ref="AIK31:AIL31"/>
    <mergeCell ref="AIM31:AIN31"/>
    <mergeCell ref="AIO31:AIP31"/>
    <mergeCell ref="AIQ31:AIR31"/>
    <mergeCell ref="AIS31:AIT31"/>
    <mergeCell ref="AHW31:AHX31"/>
    <mergeCell ref="AHY31:AHZ31"/>
    <mergeCell ref="AIA31:AIB31"/>
    <mergeCell ref="AIC31:AID31"/>
    <mergeCell ref="AIE31:AIF31"/>
    <mergeCell ref="AIG31:AIH31"/>
    <mergeCell ref="AMY31:AMZ31"/>
    <mergeCell ref="ANA31:ANB31"/>
    <mergeCell ref="ANC31:AND31"/>
    <mergeCell ref="ANE31:ANF31"/>
    <mergeCell ref="ANG31:ANH31"/>
    <mergeCell ref="ANI31:ANJ31"/>
    <mergeCell ref="AMM31:AMN31"/>
    <mergeCell ref="AMO31:AMP31"/>
    <mergeCell ref="AMQ31:AMR31"/>
    <mergeCell ref="AMS31:AMT31"/>
    <mergeCell ref="AMU31:AMV31"/>
    <mergeCell ref="AMW31:AMX31"/>
    <mergeCell ref="AMA31:AMB31"/>
    <mergeCell ref="AMC31:AMD31"/>
    <mergeCell ref="AME31:AMF31"/>
    <mergeCell ref="AMG31:AMH31"/>
    <mergeCell ref="AMI31:AMJ31"/>
    <mergeCell ref="AMK31:AML31"/>
    <mergeCell ref="ALO31:ALP31"/>
    <mergeCell ref="ALQ31:ALR31"/>
    <mergeCell ref="ALS31:ALT31"/>
    <mergeCell ref="ALU31:ALV31"/>
    <mergeCell ref="ALW31:ALX31"/>
    <mergeCell ref="ALY31:ALZ31"/>
    <mergeCell ref="ALC31:ALD31"/>
    <mergeCell ref="ALE31:ALF31"/>
    <mergeCell ref="ALG31:ALH31"/>
    <mergeCell ref="ALI31:ALJ31"/>
    <mergeCell ref="ALK31:ALL31"/>
    <mergeCell ref="ALM31:ALN31"/>
    <mergeCell ref="AKQ31:AKR31"/>
    <mergeCell ref="AKS31:AKT31"/>
    <mergeCell ref="AKU31:AKV31"/>
    <mergeCell ref="AKW31:AKX31"/>
    <mergeCell ref="AKY31:AKZ31"/>
    <mergeCell ref="ALA31:ALB31"/>
    <mergeCell ref="APS31:APT31"/>
    <mergeCell ref="APU31:APV31"/>
    <mergeCell ref="APW31:APX31"/>
    <mergeCell ref="APY31:APZ31"/>
    <mergeCell ref="AQA31:AQB31"/>
    <mergeCell ref="AQC31:AQD31"/>
    <mergeCell ref="APG31:APH31"/>
    <mergeCell ref="API31:APJ31"/>
    <mergeCell ref="APK31:APL31"/>
    <mergeCell ref="APM31:APN31"/>
    <mergeCell ref="APO31:APP31"/>
    <mergeCell ref="APQ31:APR31"/>
    <mergeCell ref="AOU31:AOV31"/>
    <mergeCell ref="AOW31:AOX31"/>
    <mergeCell ref="AOY31:AOZ31"/>
    <mergeCell ref="APA31:APB31"/>
    <mergeCell ref="APC31:APD31"/>
    <mergeCell ref="APE31:APF31"/>
    <mergeCell ref="AOI31:AOJ31"/>
    <mergeCell ref="AOK31:AOL31"/>
    <mergeCell ref="AOM31:AON31"/>
    <mergeCell ref="AOO31:AOP31"/>
    <mergeCell ref="AOQ31:AOR31"/>
    <mergeCell ref="AOS31:AOT31"/>
    <mergeCell ref="ANW31:ANX31"/>
    <mergeCell ref="ANY31:ANZ31"/>
    <mergeCell ref="AOA31:AOB31"/>
    <mergeCell ref="AOC31:AOD31"/>
    <mergeCell ref="AOE31:AOF31"/>
    <mergeCell ref="AOG31:AOH31"/>
    <mergeCell ref="ANK31:ANL31"/>
    <mergeCell ref="ANM31:ANN31"/>
    <mergeCell ref="ANO31:ANP31"/>
    <mergeCell ref="ANQ31:ANR31"/>
    <mergeCell ref="ANS31:ANT31"/>
    <mergeCell ref="ANU31:ANV31"/>
    <mergeCell ref="ASM31:ASN31"/>
    <mergeCell ref="ASO31:ASP31"/>
    <mergeCell ref="ASQ31:ASR31"/>
    <mergeCell ref="ASS31:AST31"/>
    <mergeCell ref="ASU31:ASV31"/>
    <mergeCell ref="ASW31:ASX31"/>
    <mergeCell ref="ASA31:ASB31"/>
    <mergeCell ref="ASC31:ASD31"/>
    <mergeCell ref="ASE31:ASF31"/>
    <mergeCell ref="ASG31:ASH31"/>
    <mergeCell ref="ASI31:ASJ31"/>
    <mergeCell ref="ASK31:ASL31"/>
    <mergeCell ref="ARO31:ARP31"/>
    <mergeCell ref="ARQ31:ARR31"/>
    <mergeCell ref="ARS31:ART31"/>
    <mergeCell ref="ARU31:ARV31"/>
    <mergeCell ref="ARW31:ARX31"/>
    <mergeCell ref="ARY31:ARZ31"/>
    <mergeCell ref="ARC31:ARD31"/>
    <mergeCell ref="ARE31:ARF31"/>
    <mergeCell ref="ARG31:ARH31"/>
    <mergeCell ref="ARI31:ARJ31"/>
    <mergeCell ref="ARK31:ARL31"/>
    <mergeCell ref="ARM31:ARN31"/>
    <mergeCell ref="AQQ31:AQR31"/>
    <mergeCell ref="AQS31:AQT31"/>
    <mergeCell ref="AQU31:AQV31"/>
    <mergeCell ref="AQW31:AQX31"/>
    <mergeCell ref="AQY31:AQZ31"/>
    <mergeCell ref="ARA31:ARB31"/>
    <mergeCell ref="AQE31:AQF31"/>
    <mergeCell ref="AQG31:AQH31"/>
    <mergeCell ref="AQI31:AQJ31"/>
    <mergeCell ref="AQK31:AQL31"/>
    <mergeCell ref="AQM31:AQN31"/>
    <mergeCell ref="AQO31:AQP31"/>
    <mergeCell ref="AVG31:AVH31"/>
    <mergeCell ref="AVI31:AVJ31"/>
    <mergeCell ref="AVK31:AVL31"/>
    <mergeCell ref="AVM31:AVN31"/>
    <mergeCell ref="AVO31:AVP31"/>
    <mergeCell ref="AVQ31:AVR31"/>
    <mergeCell ref="AUU31:AUV31"/>
    <mergeCell ref="AUW31:AUX31"/>
    <mergeCell ref="AUY31:AUZ31"/>
    <mergeCell ref="AVA31:AVB31"/>
    <mergeCell ref="AVC31:AVD31"/>
    <mergeCell ref="AVE31:AVF31"/>
    <mergeCell ref="AUI31:AUJ31"/>
    <mergeCell ref="AUK31:AUL31"/>
    <mergeCell ref="AUM31:AUN31"/>
    <mergeCell ref="AUO31:AUP31"/>
    <mergeCell ref="AUQ31:AUR31"/>
    <mergeCell ref="AUS31:AUT31"/>
    <mergeCell ref="ATW31:ATX31"/>
    <mergeCell ref="ATY31:ATZ31"/>
    <mergeCell ref="AUA31:AUB31"/>
    <mergeCell ref="AUC31:AUD31"/>
    <mergeCell ref="AUE31:AUF31"/>
    <mergeCell ref="AUG31:AUH31"/>
    <mergeCell ref="ATK31:ATL31"/>
    <mergeCell ref="ATM31:ATN31"/>
    <mergeCell ref="ATO31:ATP31"/>
    <mergeCell ref="ATQ31:ATR31"/>
    <mergeCell ref="ATS31:ATT31"/>
    <mergeCell ref="ATU31:ATV31"/>
    <mergeCell ref="ASY31:ASZ31"/>
    <mergeCell ref="ATA31:ATB31"/>
    <mergeCell ref="ATC31:ATD31"/>
    <mergeCell ref="ATE31:ATF31"/>
    <mergeCell ref="ATG31:ATH31"/>
    <mergeCell ref="ATI31:ATJ31"/>
    <mergeCell ref="AYA31:AYB31"/>
    <mergeCell ref="AYC31:AYD31"/>
    <mergeCell ref="AYE31:AYF31"/>
    <mergeCell ref="AYG31:AYH31"/>
    <mergeCell ref="AYI31:AYJ31"/>
    <mergeCell ref="AYK31:AYL31"/>
    <mergeCell ref="AXO31:AXP31"/>
    <mergeCell ref="AXQ31:AXR31"/>
    <mergeCell ref="AXS31:AXT31"/>
    <mergeCell ref="AXU31:AXV31"/>
    <mergeCell ref="AXW31:AXX31"/>
    <mergeCell ref="AXY31:AXZ31"/>
    <mergeCell ref="AXC31:AXD31"/>
    <mergeCell ref="AXE31:AXF31"/>
    <mergeCell ref="AXG31:AXH31"/>
    <mergeCell ref="AXI31:AXJ31"/>
    <mergeCell ref="AXK31:AXL31"/>
    <mergeCell ref="AXM31:AXN31"/>
    <mergeCell ref="AWQ31:AWR31"/>
    <mergeCell ref="AWS31:AWT31"/>
    <mergeCell ref="AWU31:AWV31"/>
    <mergeCell ref="AWW31:AWX31"/>
    <mergeCell ref="AWY31:AWZ31"/>
    <mergeCell ref="AXA31:AXB31"/>
    <mergeCell ref="AWE31:AWF31"/>
    <mergeCell ref="AWG31:AWH31"/>
    <mergeCell ref="AWI31:AWJ31"/>
    <mergeCell ref="AWK31:AWL31"/>
    <mergeCell ref="AWM31:AWN31"/>
    <mergeCell ref="AWO31:AWP31"/>
    <mergeCell ref="AVS31:AVT31"/>
    <mergeCell ref="AVU31:AVV31"/>
    <mergeCell ref="AVW31:AVX31"/>
    <mergeCell ref="AVY31:AVZ31"/>
    <mergeCell ref="AWA31:AWB31"/>
    <mergeCell ref="AWC31:AWD31"/>
    <mergeCell ref="BAU31:BAV31"/>
    <mergeCell ref="BAW31:BAX31"/>
    <mergeCell ref="BAY31:BAZ31"/>
    <mergeCell ref="BBA31:BBB31"/>
    <mergeCell ref="BBC31:BBD31"/>
    <mergeCell ref="BBE31:BBF31"/>
    <mergeCell ref="BAI31:BAJ31"/>
    <mergeCell ref="BAK31:BAL31"/>
    <mergeCell ref="BAM31:BAN31"/>
    <mergeCell ref="BAO31:BAP31"/>
    <mergeCell ref="BAQ31:BAR31"/>
    <mergeCell ref="BAS31:BAT31"/>
    <mergeCell ref="AZW31:AZX31"/>
    <mergeCell ref="AZY31:AZZ31"/>
    <mergeCell ref="BAA31:BAB31"/>
    <mergeCell ref="BAC31:BAD31"/>
    <mergeCell ref="BAE31:BAF31"/>
    <mergeCell ref="BAG31:BAH31"/>
    <mergeCell ref="AZK31:AZL31"/>
    <mergeCell ref="AZM31:AZN31"/>
    <mergeCell ref="AZO31:AZP31"/>
    <mergeCell ref="AZQ31:AZR31"/>
    <mergeCell ref="AZS31:AZT31"/>
    <mergeCell ref="AZU31:AZV31"/>
    <mergeCell ref="AYY31:AYZ31"/>
    <mergeCell ref="AZA31:AZB31"/>
    <mergeCell ref="AZC31:AZD31"/>
    <mergeCell ref="AZE31:AZF31"/>
    <mergeCell ref="AZG31:AZH31"/>
    <mergeCell ref="AZI31:AZJ31"/>
    <mergeCell ref="AYM31:AYN31"/>
    <mergeCell ref="AYO31:AYP31"/>
    <mergeCell ref="AYQ31:AYR31"/>
    <mergeCell ref="AYS31:AYT31"/>
    <mergeCell ref="AYU31:AYV31"/>
    <mergeCell ref="AYW31:AYX31"/>
    <mergeCell ref="BDO31:BDP31"/>
    <mergeCell ref="BDQ31:BDR31"/>
    <mergeCell ref="BDS31:BDT31"/>
    <mergeCell ref="BDU31:BDV31"/>
    <mergeCell ref="BDW31:BDX31"/>
    <mergeCell ref="BDY31:BDZ31"/>
    <mergeCell ref="BDC31:BDD31"/>
    <mergeCell ref="BDE31:BDF31"/>
    <mergeCell ref="BDG31:BDH31"/>
    <mergeCell ref="BDI31:BDJ31"/>
    <mergeCell ref="BDK31:BDL31"/>
    <mergeCell ref="BDM31:BDN31"/>
    <mergeCell ref="BCQ31:BCR31"/>
    <mergeCell ref="BCS31:BCT31"/>
    <mergeCell ref="BCU31:BCV31"/>
    <mergeCell ref="BCW31:BCX31"/>
    <mergeCell ref="BCY31:BCZ31"/>
    <mergeCell ref="BDA31:BDB31"/>
    <mergeCell ref="BCE31:BCF31"/>
    <mergeCell ref="BCG31:BCH31"/>
    <mergeCell ref="BCI31:BCJ31"/>
    <mergeCell ref="BCK31:BCL31"/>
    <mergeCell ref="BCM31:BCN31"/>
    <mergeCell ref="BCO31:BCP31"/>
    <mergeCell ref="BBS31:BBT31"/>
    <mergeCell ref="BBU31:BBV31"/>
    <mergeCell ref="BBW31:BBX31"/>
    <mergeCell ref="BBY31:BBZ31"/>
    <mergeCell ref="BCA31:BCB31"/>
    <mergeCell ref="BCC31:BCD31"/>
    <mergeCell ref="BBG31:BBH31"/>
    <mergeCell ref="BBI31:BBJ31"/>
    <mergeCell ref="BBK31:BBL31"/>
    <mergeCell ref="BBM31:BBN31"/>
    <mergeCell ref="BBO31:BBP31"/>
    <mergeCell ref="BBQ31:BBR31"/>
    <mergeCell ref="BGI31:BGJ31"/>
    <mergeCell ref="BGK31:BGL31"/>
    <mergeCell ref="BGM31:BGN31"/>
    <mergeCell ref="BGO31:BGP31"/>
    <mergeCell ref="BGQ31:BGR31"/>
    <mergeCell ref="BGS31:BGT31"/>
    <mergeCell ref="BFW31:BFX31"/>
    <mergeCell ref="BFY31:BFZ31"/>
    <mergeCell ref="BGA31:BGB31"/>
    <mergeCell ref="BGC31:BGD31"/>
    <mergeCell ref="BGE31:BGF31"/>
    <mergeCell ref="BGG31:BGH31"/>
    <mergeCell ref="BFK31:BFL31"/>
    <mergeCell ref="BFM31:BFN31"/>
    <mergeCell ref="BFO31:BFP31"/>
    <mergeCell ref="BFQ31:BFR31"/>
    <mergeCell ref="BFS31:BFT31"/>
    <mergeCell ref="BFU31:BFV31"/>
    <mergeCell ref="BEY31:BEZ31"/>
    <mergeCell ref="BFA31:BFB31"/>
    <mergeCell ref="BFC31:BFD31"/>
    <mergeCell ref="BFE31:BFF31"/>
    <mergeCell ref="BFG31:BFH31"/>
    <mergeCell ref="BFI31:BFJ31"/>
    <mergeCell ref="BEM31:BEN31"/>
    <mergeCell ref="BEO31:BEP31"/>
    <mergeCell ref="BEQ31:BER31"/>
    <mergeCell ref="BES31:BET31"/>
    <mergeCell ref="BEU31:BEV31"/>
    <mergeCell ref="BEW31:BEX31"/>
    <mergeCell ref="BEA31:BEB31"/>
    <mergeCell ref="BEC31:BED31"/>
    <mergeCell ref="BEE31:BEF31"/>
    <mergeCell ref="BEG31:BEH31"/>
    <mergeCell ref="BEI31:BEJ31"/>
    <mergeCell ref="BEK31:BEL31"/>
    <mergeCell ref="BJC31:BJD31"/>
    <mergeCell ref="BJE31:BJF31"/>
    <mergeCell ref="BJG31:BJH31"/>
    <mergeCell ref="BJI31:BJJ31"/>
    <mergeCell ref="BJK31:BJL31"/>
    <mergeCell ref="BJM31:BJN31"/>
    <mergeCell ref="BIQ31:BIR31"/>
    <mergeCell ref="BIS31:BIT31"/>
    <mergeCell ref="BIU31:BIV31"/>
    <mergeCell ref="BIW31:BIX31"/>
    <mergeCell ref="BIY31:BIZ31"/>
    <mergeCell ref="BJA31:BJB31"/>
    <mergeCell ref="BIE31:BIF31"/>
    <mergeCell ref="BIG31:BIH31"/>
    <mergeCell ref="BII31:BIJ31"/>
    <mergeCell ref="BIK31:BIL31"/>
    <mergeCell ref="BIM31:BIN31"/>
    <mergeCell ref="BIO31:BIP31"/>
    <mergeCell ref="BHS31:BHT31"/>
    <mergeCell ref="BHU31:BHV31"/>
    <mergeCell ref="BHW31:BHX31"/>
    <mergeCell ref="BHY31:BHZ31"/>
    <mergeCell ref="BIA31:BIB31"/>
    <mergeCell ref="BIC31:BID31"/>
    <mergeCell ref="BHG31:BHH31"/>
    <mergeCell ref="BHI31:BHJ31"/>
    <mergeCell ref="BHK31:BHL31"/>
    <mergeCell ref="BHM31:BHN31"/>
    <mergeCell ref="BHO31:BHP31"/>
    <mergeCell ref="BHQ31:BHR31"/>
    <mergeCell ref="BGU31:BGV31"/>
    <mergeCell ref="BGW31:BGX31"/>
    <mergeCell ref="BGY31:BGZ31"/>
    <mergeCell ref="BHA31:BHB31"/>
    <mergeCell ref="BHC31:BHD31"/>
    <mergeCell ref="BHE31:BHF31"/>
    <mergeCell ref="BLW31:BLX31"/>
    <mergeCell ref="BLY31:BLZ31"/>
    <mergeCell ref="BMA31:BMB31"/>
    <mergeCell ref="BMC31:BMD31"/>
    <mergeCell ref="BME31:BMF31"/>
    <mergeCell ref="BMG31:BMH31"/>
    <mergeCell ref="BLK31:BLL31"/>
    <mergeCell ref="BLM31:BLN31"/>
    <mergeCell ref="BLO31:BLP31"/>
    <mergeCell ref="BLQ31:BLR31"/>
    <mergeCell ref="BLS31:BLT31"/>
    <mergeCell ref="BLU31:BLV31"/>
    <mergeCell ref="BKY31:BKZ31"/>
    <mergeCell ref="BLA31:BLB31"/>
    <mergeCell ref="BLC31:BLD31"/>
    <mergeCell ref="BLE31:BLF31"/>
    <mergeCell ref="BLG31:BLH31"/>
    <mergeCell ref="BLI31:BLJ31"/>
    <mergeCell ref="BKM31:BKN31"/>
    <mergeCell ref="BKO31:BKP31"/>
    <mergeCell ref="BKQ31:BKR31"/>
    <mergeCell ref="BKS31:BKT31"/>
    <mergeCell ref="BKU31:BKV31"/>
    <mergeCell ref="BKW31:BKX31"/>
    <mergeCell ref="BKA31:BKB31"/>
    <mergeCell ref="BKC31:BKD31"/>
    <mergeCell ref="BKE31:BKF31"/>
    <mergeCell ref="BKG31:BKH31"/>
    <mergeCell ref="BKI31:BKJ31"/>
    <mergeCell ref="BKK31:BKL31"/>
    <mergeCell ref="BJO31:BJP31"/>
    <mergeCell ref="BJQ31:BJR31"/>
    <mergeCell ref="BJS31:BJT31"/>
    <mergeCell ref="BJU31:BJV31"/>
    <mergeCell ref="BJW31:BJX31"/>
    <mergeCell ref="BJY31:BJZ31"/>
    <mergeCell ref="BOQ31:BOR31"/>
    <mergeCell ref="BOS31:BOT31"/>
    <mergeCell ref="BOU31:BOV31"/>
    <mergeCell ref="BOW31:BOX31"/>
    <mergeCell ref="BOY31:BOZ31"/>
    <mergeCell ref="BPA31:BPB31"/>
    <mergeCell ref="BOE31:BOF31"/>
    <mergeCell ref="BOG31:BOH31"/>
    <mergeCell ref="BOI31:BOJ31"/>
    <mergeCell ref="BOK31:BOL31"/>
    <mergeCell ref="BOM31:BON31"/>
    <mergeCell ref="BOO31:BOP31"/>
    <mergeCell ref="BNS31:BNT31"/>
    <mergeCell ref="BNU31:BNV31"/>
    <mergeCell ref="BNW31:BNX31"/>
    <mergeCell ref="BNY31:BNZ31"/>
    <mergeCell ref="BOA31:BOB31"/>
    <mergeCell ref="BOC31:BOD31"/>
    <mergeCell ref="BNG31:BNH31"/>
    <mergeCell ref="BNI31:BNJ31"/>
    <mergeCell ref="BNK31:BNL31"/>
    <mergeCell ref="BNM31:BNN31"/>
    <mergeCell ref="BNO31:BNP31"/>
    <mergeCell ref="BNQ31:BNR31"/>
    <mergeCell ref="BMU31:BMV31"/>
    <mergeCell ref="BMW31:BMX31"/>
    <mergeCell ref="BMY31:BMZ31"/>
    <mergeCell ref="BNA31:BNB31"/>
    <mergeCell ref="BNC31:BND31"/>
    <mergeCell ref="BNE31:BNF31"/>
    <mergeCell ref="BMI31:BMJ31"/>
    <mergeCell ref="BMK31:BML31"/>
    <mergeCell ref="BMM31:BMN31"/>
    <mergeCell ref="BMO31:BMP31"/>
    <mergeCell ref="BMQ31:BMR31"/>
    <mergeCell ref="BMS31:BMT31"/>
    <mergeCell ref="BRK31:BRL31"/>
    <mergeCell ref="BRM31:BRN31"/>
    <mergeCell ref="BRO31:BRP31"/>
    <mergeCell ref="BRQ31:BRR31"/>
    <mergeCell ref="BRS31:BRT31"/>
    <mergeCell ref="BRU31:BRV31"/>
    <mergeCell ref="BQY31:BQZ31"/>
    <mergeCell ref="BRA31:BRB31"/>
    <mergeCell ref="BRC31:BRD31"/>
    <mergeCell ref="BRE31:BRF31"/>
    <mergeCell ref="BRG31:BRH31"/>
    <mergeCell ref="BRI31:BRJ31"/>
    <mergeCell ref="BQM31:BQN31"/>
    <mergeCell ref="BQO31:BQP31"/>
    <mergeCell ref="BQQ31:BQR31"/>
    <mergeCell ref="BQS31:BQT31"/>
    <mergeCell ref="BQU31:BQV31"/>
    <mergeCell ref="BQW31:BQX31"/>
    <mergeCell ref="BQA31:BQB31"/>
    <mergeCell ref="BQC31:BQD31"/>
    <mergeCell ref="BQE31:BQF31"/>
    <mergeCell ref="BQG31:BQH31"/>
    <mergeCell ref="BQI31:BQJ31"/>
    <mergeCell ref="BQK31:BQL31"/>
    <mergeCell ref="BPO31:BPP31"/>
    <mergeCell ref="BPQ31:BPR31"/>
    <mergeCell ref="BPS31:BPT31"/>
    <mergeCell ref="BPU31:BPV31"/>
    <mergeCell ref="BPW31:BPX31"/>
    <mergeCell ref="BPY31:BPZ31"/>
    <mergeCell ref="BPC31:BPD31"/>
    <mergeCell ref="BPE31:BPF31"/>
    <mergeCell ref="BPG31:BPH31"/>
    <mergeCell ref="BPI31:BPJ31"/>
    <mergeCell ref="BPK31:BPL31"/>
    <mergeCell ref="BPM31:BPN31"/>
    <mergeCell ref="BUE31:BUF31"/>
    <mergeCell ref="BUG31:BUH31"/>
    <mergeCell ref="BUI31:BUJ31"/>
    <mergeCell ref="BUK31:BUL31"/>
    <mergeCell ref="BUM31:BUN31"/>
    <mergeCell ref="BUO31:BUP31"/>
    <mergeCell ref="BTS31:BTT31"/>
    <mergeCell ref="BTU31:BTV31"/>
    <mergeCell ref="BTW31:BTX31"/>
    <mergeCell ref="BTY31:BTZ31"/>
    <mergeCell ref="BUA31:BUB31"/>
    <mergeCell ref="BUC31:BUD31"/>
    <mergeCell ref="BTG31:BTH31"/>
    <mergeCell ref="BTI31:BTJ31"/>
    <mergeCell ref="BTK31:BTL31"/>
    <mergeCell ref="BTM31:BTN31"/>
    <mergeCell ref="BTO31:BTP31"/>
    <mergeCell ref="BTQ31:BTR31"/>
    <mergeCell ref="BSU31:BSV31"/>
    <mergeCell ref="BSW31:BSX31"/>
    <mergeCell ref="BSY31:BSZ31"/>
    <mergeCell ref="BTA31:BTB31"/>
    <mergeCell ref="BTC31:BTD31"/>
    <mergeCell ref="BTE31:BTF31"/>
    <mergeCell ref="BSI31:BSJ31"/>
    <mergeCell ref="BSK31:BSL31"/>
    <mergeCell ref="BSM31:BSN31"/>
    <mergeCell ref="BSO31:BSP31"/>
    <mergeCell ref="BSQ31:BSR31"/>
    <mergeCell ref="BSS31:BST31"/>
    <mergeCell ref="BRW31:BRX31"/>
    <mergeCell ref="BRY31:BRZ31"/>
    <mergeCell ref="BSA31:BSB31"/>
    <mergeCell ref="BSC31:BSD31"/>
    <mergeCell ref="BSE31:BSF31"/>
    <mergeCell ref="BSG31:BSH31"/>
    <mergeCell ref="BWY31:BWZ31"/>
    <mergeCell ref="BXA31:BXB31"/>
    <mergeCell ref="BXC31:BXD31"/>
    <mergeCell ref="BXE31:BXF31"/>
    <mergeCell ref="BXG31:BXH31"/>
    <mergeCell ref="BXI31:BXJ31"/>
    <mergeCell ref="BWM31:BWN31"/>
    <mergeCell ref="BWO31:BWP31"/>
    <mergeCell ref="BWQ31:BWR31"/>
    <mergeCell ref="BWS31:BWT31"/>
    <mergeCell ref="BWU31:BWV31"/>
    <mergeCell ref="BWW31:BWX31"/>
    <mergeCell ref="BWA31:BWB31"/>
    <mergeCell ref="BWC31:BWD31"/>
    <mergeCell ref="BWE31:BWF31"/>
    <mergeCell ref="BWG31:BWH31"/>
    <mergeCell ref="BWI31:BWJ31"/>
    <mergeCell ref="BWK31:BWL31"/>
    <mergeCell ref="BVO31:BVP31"/>
    <mergeCell ref="BVQ31:BVR31"/>
    <mergeCell ref="BVS31:BVT31"/>
    <mergeCell ref="BVU31:BVV31"/>
    <mergeCell ref="BVW31:BVX31"/>
    <mergeCell ref="BVY31:BVZ31"/>
    <mergeCell ref="BVC31:BVD31"/>
    <mergeCell ref="BVE31:BVF31"/>
    <mergeCell ref="BVG31:BVH31"/>
    <mergeCell ref="BVI31:BVJ31"/>
    <mergeCell ref="BVK31:BVL31"/>
    <mergeCell ref="BVM31:BVN31"/>
    <mergeCell ref="BUQ31:BUR31"/>
    <mergeCell ref="BUS31:BUT31"/>
    <mergeCell ref="BUU31:BUV31"/>
    <mergeCell ref="BUW31:BUX31"/>
    <mergeCell ref="BUY31:BUZ31"/>
    <mergeCell ref="BVA31:BVB31"/>
    <mergeCell ref="BZS31:BZT31"/>
    <mergeCell ref="BZU31:BZV31"/>
    <mergeCell ref="BZW31:BZX31"/>
    <mergeCell ref="BZY31:BZZ31"/>
    <mergeCell ref="CAA31:CAB31"/>
    <mergeCell ref="CAC31:CAD31"/>
    <mergeCell ref="BZG31:BZH31"/>
    <mergeCell ref="BZI31:BZJ31"/>
    <mergeCell ref="BZK31:BZL31"/>
    <mergeCell ref="BZM31:BZN31"/>
    <mergeCell ref="BZO31:BZP31"/>
    <mergeCell ref="BZQ31:BZR31"/>
    <mergeCell ref="BYU31:BYV31"/>
    <mergeCell ref="BYW31:BYX31"/>
    <mergeCell ref="BYY31:BYZ31"/>
    <mergeCell ref="BZA31:BZB31"/>
    <mergeCell ref="BZC31:BZD31"/>
    <mergeCell ref="BZE31:BZF31"/>
    <mergeCell ref="BYI31:BYJ31"/>
    <mergeCell ref="BYK31:BYL31"/>
    <mergeCell ref="BYM31:BYN31"/>
    <mergeCell ref="BYO31:BYP31"/>
    <mergeCell ref="BYQ31:BYR31"/>
    <mergeCell ref="BYS31:BYT31"/>
    <mergeCell ref="BXW31:BXX31"/>
    <mergeCell ref="BXY31:BXZ31"/>
    <mergeCell ref="BYA31:BYB31"/>
    <mergeCell ref="BYC31:BYD31"/>
    <mergeCell ref="BYE31:BYF31"/>
    <mergeCell ref="BYG31:BYH31"/>
    <mergeCell ref="BXK31:BXL31"/>
    <mergeCell ref="BXM31:BXN31"/>
    <mergeCell ref="BXO31:BXP31"/>
    <mergeCell ref="BXQ31:BXR31"/>
    <mergeCell ref="BXS31:BXT31"/>
    <mergeCell ref="BXU31:BXV31"/>
    <mergeCell ref="CCM31:CCN31"/>
    <mergeCell ref="CCO31:CCP31"/>
    <mergeCell ref="CCQ31:CCR31"/>
    <mergeCell ref="CCS31:CCT31"/>
    <mergeCell ref="CCU31:CCV31"/>
    <mergeCell ref="CCW31:CCX31"/>
    <mergeCell ref="CCA31:CCB31"/>
    <mergeCell ref="CCC31:CCD31"/>
    <mergeCell ref="CCE31:CCF31"/>
    <mergeCell ref="CCG31:CCH31"/>
    <mergeCell ref="CCI31:CCJ31"/>
    <mergeCell ref="CCK31:CCL31"/>
    <mergeCell ref="CBO31:CBP31"/>
    <mergeCell ref="CBQ31:CBR31"/>
    <mergeCell ref="CBS31:CBT31"/>
    <mergeCell ref="CBU31:CBV31"/>
    <mergeCell ref="CBW31:CBX31"/>
    <mergeCell ref="CBY31:CBZ31"/>
    <mergeCell ref="CBC31:CBD31"/>
    <mergeCell ref="CBE31:CBF31"/>
    <mergeCell ref="CBG31:CBH31"/>
    <mergeCell ref="CBI31:CBJ31"/>
    <mergeCell ref="CBK31:CBL31"/>
    <mergeCell ref="CBM31:CBN31"/>
    <mergeCell ref="CAQ31:CAR31"/>
    <mergeCell ref="CAS31:CAT31"/>
    <mergeCell ref="CAU31:CAV31"/>
    <mergeCell ref="CAW31:CAX31"/>
    <mergeCell ref="CAY31:CAZ31"/>
    <mergeCell ref="CBA31:CBB31"/>
    <mergeCell ref="CAE31:CAF31"/>
    <mergeCell ref="CAG31:CAH31"/>
    <mergeCell ref="CAI31:CAJ31"/>
    <mergeCell ref="CAK31:CAL31"/>
    <mergeCell ref="CAM31:CAN31"/>
    <mergeCell ref="CAO31:CAP31"/>
    <mergeCell ref="CFG31:CFH31"/>
    <mergeCell ref="CFI31:CFJ31"/>
    <mergeCell ref="CFK31:CFL31"/>
    <mergeCell ref="CFM31:CFN31"/>
    <mergeCell ref="CFO31:CFP31"/>
    <mergeCell ref="CFQ31:CFR31"/>
    <mergeCell ref="CEU31:CEV31"/>
    <mergeCell ref="CEW31:CEX31"/>
    <mergeCell ref="CEY31:CEZ31"/>
    <mergeCell ref="CFA31:CFB31"/>
    <mergeCell ref="CFC31:CFD31"/>
    <mergeCell ref="CFE31:CFF31"/>
    <mergeCell ref="CEI31:CEJ31"/>
    <mergeCell ref="CEK31:CEL31"/>
    <mergeCell ref="CEM31:CEN31"/>
    <mergeCell ref="CEO31:CEP31"/>
    <mergeCell ref="CEQ31:CER31"/>
    <mergeCell ref="CES31:CET31"/>
    <mergeCell ref="CDW31:CDX31"/>
    <mergeCell ref="CDY31:CDZ31"/>
    <mergeCell ref="CEA31:CEB31"/>
    <mergeCell ref="CEC31:CED31"/>
    <mergeCell ref="CEE31:CEF31"/>
    <mergeCell ref="CEG31:CEH31"/>
    <mergeCell ref="CDK31:CDL31"/>
    <mergeCell ref="CDM31:CDN31"/>
    <mergeCell ref="CDO31:CDP31"/>
    <mergeCell ref="CDQ31:CDR31"/>
    <mergeCell ref="CDS31:CDT31"/>
    <mergeCell ref="CDU31:CDV31"/>
    <mergeCell ref="CCY31:CCZ31"/>
    <mergeCell ref="CDA31:CDB31"/>
    <mergeCell ref="CDC31:CDD31"/>
    <mergeCell ref="CDE31:CDF31"/>
    <mergeCell ref="CDG31:CDH31"/>
    <mergeCell ref="CDI31:CDJ31"/>
    <mergeCell ref="CIA31:CIB31"/>
    <mergeCell ref="CIC31:CID31"/>
    <mergeCell ref="CIE31:CIF31"/>
    <mergeCell ref="CIG31:CIH31"/>
    <mergeCell ref="CII31:CIJ31"/>
    <mergeCell ref="CIK31:CIL31"/>
    <mergeCell ref="CHO31:CHP31"/>
    <mergeCell ref="CHQ31:CHR31"/>
    <mergeCell ref="CHS31:CHT31"/>
    <mergeCell ref="CHU31:CHV31"/>
    <mergeCell ref="CHW31:CHX31"/>
    <mergeCell ref="CHY31:CHZ31"/>
    <mergeCell ref="CHC31:CHD31"/>
    <mergeCell ref="CHE31:CHF31"/>
    <mergeCell ref="CHG31:CHH31"/>
    <mergeCell ref="CHI31:CHJ31"/>
    <mergeCell ref="CHK31:CHL31"/>
    <mergeCell ref="CHM31:CHN31"/>
    <mergeCell ref="CGQ31:CGR31"/>
    <mergeCell ref="CGS31:CGT31"/>
    <mergeCell ref="CGU31:CGV31"/>
    <mergeCell ref="CGW31:CGX31"/>
    <mergeCell ref="CGY31:CGZ31"/>
    <mergeCell ref="CHA31:CHB31"/>
    <mergeCell ref="CGE31:CGF31"/>
    <mergeCell ref="CGG31:CGH31"/>
    <mergeCell ref="CGI31:CGJ31"/>
    <mergeCell ref="CGK31:CGL31"/>
    <mergeCell ref="CGM31:CGN31"/>
    <mergeCell ref="CGO31:CGP31"/>
    <mergeCell ref="CFS31:CFT31"/>
    <mergeCell ref="CFU31:CFV31"/>
    <mergeCell ref="CFW31:CFX31"/>
    <mergeCell ref="CFY31:CFZ31"/>
    <mergeCell ref="CGA31:CGB31"/>
    <mergeCell ref="CGC31:CGD31"/>
    <mergeCell ref="CKU31:CKV31"/>
    <mergeCell ref="CKW31:CKX31"/>
    <mergeCell ref="CKY31:CKZ31"/>
    <mergeCell ref="CLA31:CLB31"/>
    <mergeCell ref="CLC31:CLD31"/>
    <mergeCell ref="CLE31:CLF31"/>
    <mergeCell ref="CKI31:CKJ31"/>
    <mergeCell ref="CKK31:CKL31"/>
    <mergeCell ref="CKM31:CKN31"/>
    <mergeCell ref="CKO31:CKP31"/>
    <mergeCell ref="CKQ31:CKR31"/>
    <mergeCell ref="CKS31:CKT31"/>
    <mergeCell ref="CJW31:CJX31"/>
    <mergeCell ref="CJY31:CJZ31"/>
    <mergeCell ref="CKA31:CKB31"/>
    <mergeCell ref="CKC31:CKD31"/>
    <mergeCell ref="CKE31:CKF31"/>
    <mergeCell ref="CKG31:CKH31"/>
    <mergeCell ref="CJK31:CJL31"/>
    <mergeCell ref="CJM31:CJN31"/>
    <mergeCell ref="CJO31:CJP31"/>
    <mergeCell ref="CJQ31:CJR31"/>
    <mergeCell ref="CJS31:CJT31"/>
    <mergeCell ref="CJU31:CJV31"/>
    <mergeCell ref="CIY31:CIZ31"/>
    <mergeCell ref="CJA31:CJB31"/>
    <mergeCell ref="CJC31:CJD31"/>
    <mergeCell ref="CJE31:CJF31"/>
    <mergeCell ref="CJG31:CJH31"/>
    <mergeCell ref="CJI31:CJJ31"/>
    <mergeCell ref="CIM31:CIN31"/>
    <mergeCell ref="CIO31:CIP31"/>
    <mergeCell ref="CIQ31:CIR31"/>
    <mergeCell ref="CIS31:CIT31"/>
    <mergeCell ref="CIU31:CIV31"/>
    <mergeCell ref="CIW31:CIX31"/>
    <mergeCell ref="CNO31:CNP31"/>
    <mergeCell ref="CNQ31:CNR31"/>
    <mergeCell ref="CNS31:CNT31"/>
    <mergeCell ref="CNU31:CNV31"/>
    <mergeCell ref="CNW31:CNX31"/>
    <mergeCell ref="CNY31:CNZ31"/>
    <mergeCell ref="CNC31:CND31"/>
    <mergeCell ref="CNE31:CNF31"/>
    <mergeCell ref="CNG31:CNH31"/>
    <mergeCell ref="CNI31:CNJ31"/>
    <mergeCell ref="CNK31:CNL31"/>
    <mergeCell ref="CNM31:CNN31"/>
    <mergeCell ref="CMQ31:CMR31"/>
    <mergeCell ref="CMS31:CMT31"/>
    <mergeCell ref="CMU31:CMV31"/>
    <mergeCell ref="CMW31:CMX31"/>
    <mergeCell ref="CMY31:CMZ31"/>
    <mergeCell ref="CNA31:CNB31"/>
    <mergeCell ref="CME31:CMF31"/>
    <mergeCell ref="CMG31:CMH31"/>
    <mergeCell ref="CMI31:CMJ31"/>
    <mergeCell ref="CMK31:CML31"/>
    <mergeCell ref="CMM31:CMN31"/>
    <mergeCell ref="CMO31:CMP31"/>
    <mergeCell ref="CLS31:CLT31"/>
    <mergeCell ref="CLU31:CLV31"/>
    <mergeCell ref="CLW31:CLX31"/>
    <mergeCell ref="CLY31:CLZ31"/>
    <mergeCell ref="CMA31:CMB31"/>
    <mergeCell ref="CMC31:CMD31"/>
    <mergeCell ref="CLG31:CLH31"/>
    <mergeCell ref="CLI31:CLJ31"/>
    <mergeCell ref="CLK31:CLL31"/>
    <mergeCell ref="CLM31:CLN31"/>
    <mergeCell ref="CLO31:CLP31"/>
    <mergeCell ref="CLQ31:CLR31"/>
    <mergeCell ref="CQI31:CQJ31"/>
    <mergeCell ref="CQK31:CQL31"/>
    <mergeCell ref="CQM31:CQN31"/>
    <mergeCell ref="CQO31:CQP31"/>
    <mergeCell ref="CQQ31:CQR31"/>
    <mergeCell ref="CQS31:CQT31"/>
    <mergeCell ref="CPW31:CPX31"/>
    <mergeCell ref="CPY31:CPZ31"/>
    <mergeCell ref="CQA31:CQB31"/>
    <mergeCell ref="CQC31:CQD31"/>
    <mergeCell ref="CQE31:CQF31"/>
    <mergeCell ref="CQG31:CQH31"/>
    <mergeCell ref="CPK31:CPL31"/>
    <mergeCell ref="CPM31:CPN31"/>
    <mergeCell ref="CPO31:CPP31"/>
    <mergeCell ref="CPQ31:CPR31"/>
    <mergeCell ref="CPS31:CPT31"/>
    <mergeCell ref="CPU31:CPV31"/>
    <mergeCell ref="COY31:COZ31"/>
    <mergeCell ref="CPA31:CPB31"/>
    <mergeCell ref="CPC31:CPD31"/>
    <mergeCell ref="CPE31:CPF31"/>
    <mergeCell ref="CPG31:CPH31"/>
    <mergeCell ref="CPI31:CPJ31"/>
    <mergeCell ref="COM31:CON31"/>
    <mergeCell ref="COO31:COP31"/>
    <mergeCell ref="COQ31:COR31"/>
    <mergeCell ref="COS31:COT31"/>
    <mergeCell ref="COU31:COV31"/>
    <mergeCell ref="COW31:COX31"/>
    <mergeCell ref="COA31:COB31"/>
    <mergeCell ref="COC31:COD31"/>
    <mergeCell ref="COE31:COF31"/>
    <mergeCell ref="COG31:COH31"/>
    <mergeCell ref="COI31:COJ31"/>
    <mergeCell ref="COK31:COL31"/>
    <mergeCell ref="CTC31:CTD31"/>
    <mergeCell ref="CTE31:CTF31"/>
    <mergeCell ref="CTG31:CTH31"/>
    <mergeCell ref="CTI31:CTJ31"/>
    <mergeCell ref="CTK31:CTL31"/>
    <mergeCell ref="CTM31:CTN31"/>
    <mergeCell ref="CSQ31:CSR31"/>
    <mergeCell ref="CSS31:CST31"/>
    <mergeCell ref="CSU31:CSV31"/>
    <mergeCell ref="CSW31:CSX31"/>
    <mergeCell ref="CSY31:CSZ31"/>
    <mergeCell ref="CTA31:CTB31"/>
    <mergeCell ref="CSE31:CSF31"/>
    <mergeCell ref="CSG31:CSH31"/>
    <mergeCell ref="CSI31:CSJ31"/>
    <mergeCell ref="CSK31:CSL31"/>
    <mergeCell ref="CSM31:CSN31"/>
    <mergeCell ref="CSO31:CSP31"/>
    <mergeCell ref="CRS31:CRT31"/>
    <mergeCell ref="CRU31:CRV31"/>
    <mergeCell ref="CRW31:CRX31"/>
    <mergeCell ref="CRY31:CRZ31"/>
    <mergeCell ref="CSA31:CSB31"/>
    <mergeCell ref="CSC31:CSD31"/>
    <mergeCell ref="CRG31:CRH31"/>
    <mergeCell ref="CRI31:CRJ31"/>
    <mergeCell ref="CRK31:CRL31"/>
    <mergeCell ref="CRM31:CRN31"/>
    <mergeCell ref="CRO31:CRP31"/>
    <mergeCell ref="CRQ31:CRR31"/>
    <mergeCell ref="CQU31:CQV31"/>
    <mergeCell ref="CQW31:CQX31"/>
    <mergeCell ref="CQY31:CQZ31"/>
    <mergeCell ref="CRA31:CRB31"/>
    <mergeCell ref="CRC31:CRD31"/>
    <mergeCell ref="CRE31:CRF31"/>
    <mergeCell ref="CVW31:CVX31"/>
    <mergeCell ref="CVY31:CVZ31"/>
    <mergeCell ref="CWA31:CWB31"/>
    <mergeCell ref="CWC31:CWD31"/>
    <mergeCell ref="CWE31:CWF31"/>
    <mergeCell ref="CWG31:CWH31"/>
    <mergeCell ref="CVK31:CVL31"/>
    <mergeCell ref="CVM31:CVN31"/>
    <mergeCell ref="CVO31:CVP31"/>
    <mergeCell ref="CVQ31:CVR31"/>
    <mergeCell ref="CVS31:CVT31"/>
    <mergeCell ref="CVU31:CVV31"/>
    <mergeCell ref="CUY31:CUZ31"/>
    <mergeCell ref="CVA31:CVB31"/>
    <mergeCell ref="CVC31:CVD31"/>
    <mergeCell ref="CVE31:CVF31"/>
    <mergeCell ref="CVG31:CVH31"/>
    <mergeCell ref="CVI31:CVJ31"/>
    <mergeCell ref="CUM31:CUN31"/>
    <mergeCell ref="CUO31:CUP31"/>
    <mergeCell ref="CUQ31:CUR31"/>
    <mergeCell ref="CUS31:CUT31"/>
    <mergeCell ref="CUU31:CUV31"/>
    <mergeCell ref="CUW31:CUX31"/>
    <mergeCell ref="CUA31:CUB31"/>
    <mergeCell ref="CUC31:CUD31"/>
    <mergeCell ref="CUE31:CUF31"/>
    <mergeCell ref="CUG31:CUH31"/>
    <mergeCell ref="CUI31:CUJ31"/>
    <mergeCell ref="CUK31:CUL31"/>
    <mergeCell ref="CTO31:CTP31"/>
    <mergeCell ref="CTQ31:CTR31"/>
    <mergeCell ref="CTS31:CTT31"/>
    <mergeCell ref="CTU31:CTV31"/>
    <mergeCell ref="CTW31:CTX31"/>
    <mergeCell ref="CTY31:CTZ31"/>
    <mergeCell ref="CYQ31:CYR31"/>
    <mergeCell ref="CYS31:CYT31"/>
    <mergeCell ref="CYU31:CYV31"/>
    <mergeCell ref="CYW31:CYX31"/>
    <mergeCell ref="CYY31:CYZ31"/>
    <mergeCell ref="CZA31:CZB31"/>
    <mergeCell ref="CYE31:CYF31"/>
    <mergeCell ref="CYG31:CYH31"/>
    <mergeCell ref="CYI31:CYJ31"/>
    <mergeCell ref="CYK31:CYL31"/>
    <mergeCell ref="CYM31:CYN31"/>
    <mergeCell ref="CYO31:CYP31"/>
    <mergeCell ref="CXS31:CXT31"/>
    <mergeCell ref="CXU31:CXV31"/>
    <mergeCell ref="CXW31:CXX31"/>
    <mergeCell ref="CXY31:CXZ31"/>
    <mergeCell ref="CYA31:CYB31"/>
    <mergeCell ref="CYC31:CYD31"/>
    <mergeCell ref="CXG31:CXH31"/>
    <mergeCell ref="CXI31:CXJ31"/>
    <mergeCell ref="CXK31:CXL31"/>
    <mergeCell ref="CXM31:CXN31"/>
    <mergeCell ref="CXO31:CXP31"/>
    <mergeCell ref="CXQ31:CXR31"/>
    <mergeCell ref="CWU31:CWV31"/>
    <mergeCell ref="CWW31:CWX31"/>
    <mergeCell ref="CWY31:CWZ31"/>
    <mergeCell ref="CXA31:CXB31"/>
    <mergeCell ref="CXC31:CXD31"/>
    <mergeCell ref="CXE31:CXF31"/>
    <mergeCell ref="CWI31:CWJ31"/>
    <mergeCell ref="CWK31:CWL31"/>
    <mergeCell ref="CWM31:CWN31"/>
    <mergeCell ref="CWO31:CWP31"/>
    <mergeCell ref="CWQ31:CWR31"/>
    <mergeCell ref="CWS31:CWT31"/>
    <mergeCell ref="DBK31:DBL31"/>
    <mergeCell ref="DBM31:DBN31"/>
    <mergeCell ref="DBO31:DBP31"/>
    <mergeCell ref="DBQ31:DBR31"/>
    <mergeCell ref="DBS31:DBT31"/>
    <mergeCell ref="DBU31:DBV31"/>
    <mergeCell ref="DAY31:DAZ31"/>
    <mergeCell ref="DBA31:DBB31"/>
    <mergeCell ref="DBC31:DBD31"/>
    <mergeCell ref="DBE31:DBF31"/>
    <mergeCell ref="DBG31:DBH31"/>
    <mergeCell ref="DBI31:DBJ31"/>
    <mergeCell ref="DAM31:DAN31"/>
    <mergeCell ref="DAO31:DAP31"/>
    <mergeCell ref="DAQ31:DAR31"/>
    <mergeCell ref="DAS31:DAT31"/>
    <mergeCell ref="DAU31:DAV31"/>
    <mergeCell ref="DAW31:DAX31"/>
    <mergeCell ref="DAA31:DAB31"/>
    <mergeCell ref="DAC31:DAD31"/>
    <mergeCell ref="DAE31:DAF31"/>
    <mergeCell ref="DAG31:DAH31"/>
    <mergeCell ref="DAI31:DAJ31"/>
    <mergeCell ref="DAK31:DAL31"/>
    <mergeCell ref="CZO31:CZP31"/>
    <mergeCell ref="CZQ31:CZR31"/>
    <mergeCell ref="CZS31:CZT31"/>
    <mergeCell ref="CZU31:CZV31"/>
    <mergeCell ref="CZW31:CZX31"/>
    <mergeCell ref="CZY31:CZZ31"/>
    <mergeCell ref="CZC31:CZD31"/>
    <mergeCell ref="CZE31:CZF31"/>
    <mergeCell ref="CZG31:CZH31"/>
    <mergeCell ref="CZI31:CZJ31"/>
    <mergeCell ref="CZK31:CZL31"/>
    <mergeCell ref="CZM31:CZN31"/>
    <mergeCell ref="DEE31:DEF31"/>
    <mergeCell ref="DEG31:DEH31"/>
    <mergeCell ref="DEI31:DEJ31"/>
    <mergeCell ref="DEK31:DEL31"/>
    <mergeCell ref="DEM31:DEN31"/>
    <mergeCell ref="DEO31:DEP31"/>
    <mergeCell ref="DDS31:DDT31"/>
    <mergeCell ref="DDU31:DDV31"/>
    <mergeCell ref="DDW31:DDX31"/>
    <mergeCell ref="DDY31:DDZ31"/>
    <mergeCell ref="DEA31:DEB31"/>
    <mergeCell ref="DEC31:DED31"/>
    <mergeCell ref="DDG31:DDH31"/>
    <mergeCell ref="DDI31:DDJ31"/>
    <mergeCell ref="DDK31:DDL31"/>
    <mergeCell ref="DDM31:DDN31"/>
    <mergeCell ref="DDO31:DDP31"/>
    <mergeCell ref="DDQ31:DDR31"/>
    <mergeCell ref="DCU31:DCV31"/>
    <mergeCell ref="DCW31:DCX31"/>
    <mergeCell ref="DCY31:DCZ31"/>
    <mergeCell ref="DDA31:DDB31"/>
    <mergeCell ref="DDC31:DDD31"/>
    <mergeCell ref="DDE31:DDF31"/>
    <mergeCell ref="DCI31:DCJ31"/>
    <mergeCell ref="DCK31:DCL31"/>
    <mergeCell ref="DCM31:DCN31"/>
    <mergeCell ref="DCO31:DCP31"/>
    <mergeCell ref="DCQ31:DCR31"/>
    <mergeCell ref="DCS31:DCT31"/>
    <mergeCell ref="DBW31:DBX31"/>
    <mergeCell ref="DBY31:DBZ31"/>
    <mergeCell ref="DCA31:DCB31"/>
    <mergeCell ref="DCC31:DCD31"/>
    <mergeCell ref="DCE31:DCF31"/>
    <mergeCell ref="DCG31:DCH31"/>
    <mergeCell ref="DGY31:DGZ31"/>
    <mergeCell ref="DHA31:DHB31"/>
    <mergeCell ref="DHC31:DHD31"/>
    <mergeCell ref="DHE31:DHF31"/>
    <mergeCell ref="DHG31:DHH31"/>
    <mergeCell ref="DHI31:DHJ31"/>
    <mergeCell ref="DGM31:DGN31"/>
    <mergeCell ref="DGO31:DGP31"/>
    <mergeCell ref="DGQ31:DGR31"/>
    <mergeCell ref="DGS31:DGT31"/>
    <mergeCell ref="DGU31:DGV31"/>
    <mergeCell ref="DGW31:DGX31"/>
    <mergeCell ref="DGA31:DGB31"/>
    <mergeCell ref="DGC31:DGD31"/>
    <mergeCell ref="DGE31:DGF31"/>
    <mergeCell ref="DGG31:DGH31"/>
    <mergeCell ref="DGI31:DGJ31"/>
    <mergeCell ref="DGK31:DGL31"/>
    <mergeCell ref="DFO31:DFP31"/>
    <mergeCell ref="DFQ31:DFR31"/>
    <mergeCell ref="DFS31:DFT31"/>
    <mergeCell ref="DFU31:DFV31"/>
    <mergeCell ref="DFW31:DFX31"/>
    <mergeCell ref="DFY31:DFZ31"/>
    <mergeCell ref="DFC31:DFD31"/>
    <mergeCell ref="DFE31:DFF31"/>
    <mergeCell ref="DFG31:DFH31"/>
    <mergeCell ref="DFI31:DFJ31"/>
    <mergeCell ref="DFK31:DFL31"/>
    <mergeCell ref="DFM31:DFN31"/>
    <mergeCell ref="DEQ31:DER31"/>
    <mergeCell ref="DES31:DET31"/>
    <mergeCell ref="DEU31:DEV31"/>
    <mergeCell ref="DEW31:DEX31"/>
    <mergeCell ref="DEY31:DEZ31"/>
    <mergeCell ref="DFA31:DFB31"/>
    <mergeCell ref="DJS31:DJT31"/>
    <mergeCell ref="DJU31:DJV31"/>
    <mergeCell ref="DJW31:DJX31"/>
    <mergeCell ref="DJY31:DJZ31"/>
    <mergeCell ref="DKA31:DKB31"/>
    <mergeCell ref="DKC31:DKD31"/>
    <mergeCell ref="DJG31:DJH31"/>
    <mergeCell ref="DJI31:DJJ31"/>
    <mergeCell ref="DJK31:DJL31"/>
    <mergeCell ref="DJM31:DJN31"/>
    <mergeCell ref="DJO31:DJP31"/>
    <mergeCell ref="DJQ31:DJR31"/>
    <mergeCell ref="DIU31:DIV31"/>
    <mergeCell ref="DIW31:DIX31"/>
    <mergeCell ref="DIY31:DIZ31"/>
    <mergeCell ref="DJA31:DJB31"/>
    <mergeCell ref="DJC31:DJD31"/>
    <mergeCell ref="DJE31:DJF31"/>
    <mergeCell ref="DII31:DIJ31"/>
    <mergeCell ref="DIK31:DIL31"/>
    <mergeCell ref="DIM31:DIN31"/>
    <mergeCell ref="DIO31:DIP31"/>
    <mergeCell ref="DIQ31:DIR31"/>
    <mergeCell ref="DIS31:DIT31"/>
    <mergeCell ref="DHW31:DHX31"/>
    <mergeCell ref="DHY31:DHZ31"/>
    <mergeCell ref="DIA31:DIB31"/>
    <mergeCell ref="DIC31:DID31"/>
    <mergeCell ref="DIE31:DIF31"/>
    <mergeCell ref="DIG31:DIH31"/>
    <mergeCell ref="DHK31:DHL31"/>
    <mergeCell ref="DHM31:DHN31"/>
    <mergeCell ref="DHO31:DHP31"/>
    <mergeCell ref="DHQ31:DHR31"/>
    <mergeCell ref="DHS31:DHT31"/>
    <mergeCell ref="DHU31:DHV31"/>
    <mergeCell ref="DMM31:DMN31"/>
    <mergeCell ref="DMO31:DMP31"/>
    <mergeCell ref="DMQ31:DMR31"/>
    <mergeCell ref="DMS31:DMT31"/>
    <mergeCell ref="DMU31:DMV31"/>
    <mergeCell ref="DMW31:DMX31"/>
    <mergeCell ref="DMA31:DMB31"/>
    <mergeCell ref="DMC31:DMD31"/>
    <mergeCell ref="DME31:DMF31"/>
    <mergeCell ref="DMG31:DMH31"/>
    <mergeCell ref="DMI31:DMJ31"/>
    <mergeCell ref="DMK31:DML31"/>
    <mergeCell ref="DLO31:DLP31"/>
    <mergeCell ref="DLQ31:DLR31"/>
    <mergeCell ref="DLS31:DLT31"/>
    <mergeCell ref="DLU31:DLV31"/>
    <mergeCell ref="DLW31:DLX31"/>
    <mergeCell ref="DLY31:DLZ31"/>
    <mergeCell ref="DLC31:DLD31"/>
    <mergeCell ref="DLE31:DLF31"/>
    <mergeCell ref="DLG31:DLH31"/>
    <mergeCell ref="DLI31:DLJ31"/>
    <mergeCell ref="DLK31:DLL31"/>
    <mergeCell ref="DLM31:DLN31"/>
    <mergeCell ref="DKQ31:DKR31"/>
    <mergeCell ref="DKS31:DKT31"/>
    <mergeCell ref="DKU31:DKV31"/>
    <mergeCell ref="DKW31:DKX31"/>
    <mergeCell ref="DKY31:DKZ31"/>
    <mergeCell ref="DLA31:DLB31"/>
    <mergeCell ref="DKE31:DKF31"/>
    <mergeCell ref="DKG31:DKH31"/>
    <mergeCell ref="DKI31:DKJ31"/>
    <mergeCell ref="DKK31:DKL31"/>
    <mergeCell ref="DKM31:DKN31"/>
    <mergeCell ref="DKO31:DKP31"/>
    <mergeCell ref="DPG31:DPH31"/>
    <mergeCell ref="DPI31:DPJ31"/>
    <mergeCell ref="DPK31:DPL31"/>
    <mergeCell ref="DPM31:DPN31"/>
    <mergeCell ref="DPO31:DPP31"/>
    <mergeCell ref="DPQ31:DPR31"/>
    <mergeCell ref="DOU31:DOV31"/>
    <mergeCell ref="DOW31:DOX31"/>
    <mergeCell ref="DOY31:DOZ31"/>
    <mergeCell ref="DPA31:DPB31"/>
    <mergeCell ref="DPC31:DPD31"/>
    <mergeCell ref="DPE31:DPF31"/>
    <mergeCell ref="DOI31:DOJ31"/>
    <mergeCell ref="DOK31:DOL31"/>
    <mergeCell ref="DOM31:DON31"/>
    <mergeCell ref="DOO31:DOP31"/>
    <mergeCell ref="DOQ31:DOR31"/>
    <mergeCell ref="DOS31:DOT31"/>
    <mergeCell ref="DNW31:DNX31"/>
    <mergeCell ref="DNY31:DNZ31"/>
    <mergeCell ref="DOA31:DOB31"/>
    <mergeCell ref="DOC31:DOD31"/>
    <mergeCell ref="DOE31:DOF31"/>
    <mergeCell ref="DOG31:DOH31"/>
    <mergeCell ref="DNK31:DNL31"/>
    <mergeCell ref="DNM31:DNN31"/>
    <mergeCell ref="DNO31:DNP31"/>
    <mergeCell ref="DNQ31:DNR31"/>
    <mergeCell ref="DNS31:DNT31"/>
    <mergeCell ref="DNU31:DNV31"/>
    <mergeCell ref="DMY31:DMZ31"/>
    <mergeCell ref="DNA31:DNB31"/>
    <mergeCell ref="DNC31:DND31"/>
    <mergeCell ref="DNE31:DNF31"/>
    <mergeCell ref="DNG31:DNH31"/>
    <mergeCell ref="DNI31:DNJ31"/>
    <mergeCell ref="DSA31:DSB31"/>
    <mergeCell ref="DSC31:DSD31"/>
    <mergeCell ref="DSE31:DSF31"/>
    <mergeCell ref="DSG31:DSH31"/>
    <mergeCell ref="DSI31:DSJ31"/>
    <mergeCell ref="DSK31:DSL31"/>
    <mergeCell ref="DRO31:DRP31"/>
    <mergeCell ref="DRQ31:DRR31"/>
    <mergeCell ref="DRS31:DRT31"/>
    <mergeCell ref="DRU31:DRV31"/>
    <mergeCell ref="DRW31:DRX31"/>
    <mergeCell ref="DRY31:DRZ31"/>
    <mergeCell ref="DRC31:DRD31"/>
    <mergeCell ref="DRE31:DRF31"/>
    <mergeCell ref="DRG31:DRH31"/>
    <mergeCell ref="DRI31:DRJ31"/>
    <mergeCell ref="DRK31:DRL31"/>
    <mergeCell ref="DRM31:DRN31"/>
    <mergeCell ref="DQQ31:DQR31"/>
    <mergeCell ref="DQS31:DQT31"/>
    <mergeCell ref="DQU31:DQV31"/>
    <mergeCell ref="DQW31:DQX31"/>
    <mergeCell ref="DQY31:DQZ31"/>
    <mergeCell ref="DRA31:DRB31"/>
    <mergeCell ref="DQE31:DQF31"/>
    <mergeCell ref="DQG31:DQH31"/>
    <mergeCell ref="DQI31:DQJ31"/>
    <mergeCell ref="DQK31:DQL31"/>
    <mergeCell ref="DQM31:DQN31"/>
    <mergeCell ref="DQO31:DQP31"/>
    <mergeCell ref="DPS31:DPT31"/>
    <mergeCell ref="DPU31:DPV31"/>
    <mergeCell ref="DPW31:DPX31"/>
    <mergeCell ref="DPY31:DPZ31"/>
    <mergeCell ref="DQA31:DQB31"/>
    <mergeCell ref="DQC31:DQD31"/>
    <mergeCell ref="DUU31:DUV31"/>
    <mergeCell ref="DUW31:DUX31"/>
    <mergeCell ref="DUY31:DUZ31"/>
    <mergeCell ref="DVA31:DVB31"/>
    <mergeCell ref="DVC31:DVD31"/>
    <mergeCell ref="DVE31:DVF31"/>
    <mergeCell ref="DUI31:DUJ31"/>
    <mergeCell ref="DUK31:DUL31"/>
    <mergeCell ref="DUM31:DUN31"/>
    <mergeCell ref="DUO31:DUP31"/>
    <mergeCell ref="DUQ31:DUR31"/>
    <mergeCell ref="DUS31:DUT31"/>
    <mergeCell ref="DTW31:DTX31"/>
    <mergeCell ref="DTY31:DTZ31"/>
    <mergeCell ref="DUA31:DUB31"/>
    <mergeCell ref="DUC31:DUD31"/>
    <mergeCell ref="DUE31:DUF31"/>
    <mergeCell ref="DUG31:DUH31"/>
    <mergeCell ref="DTK31:DTL31"/>
    <mergeCell ref="DTM31:DTN31"/>
    <mergeCell ref="DTO31:DTP31"/>
    <mergeCell ref="DTQ31:DTR31"/>
    <mergeCell ref="DTS31:DTT31"/>
    <mergeCell ref="DTU31:DTV31"/>
    <mergeCell ref="DSY31:DSZ31"/>
    <mergeCell ref="DTA31:DTB31"/>
    <mergeCell ref="DTC31:DTD31"/>
    <mergeCell ref="DTE31:DTF31"/>
    <mergeCell ref="DTG31:DTH31"/>
    <mergeCell ref="DTI31:DTJ31"/>
    <mergeCell ref="DSM31:DSN31"/>
    <mergeCell ref="DSO31:DSP31"/>
    <mergeCell ref="DSQ31:DSR31"/>
    <mergeCell ref="DSS31:DST31"/>
    <mergeCell ref="DSU31:DSV31"/>
    <mergeCell ref="DSW31:DSX31"/>
    <mergeCell ref="DXO31:DXP31"/>
    <mergeCell ref="DXQ31:DXR31"/>
    <mergeCell ref="DXS31:DXT31"/>
    <mergeCell ref="DXU31:DXV31"/>
    <mergeCell ref="DXW31:DXX31"/>
    <mergeCell ref="DXY31:DXZ31"/>
    <mergeCell ref="DXC31:DXD31"/>
    <mergeCell ref="DXE31:DXF31"/>
    <mergeCell ref="DXG31:DXH31"/>
    <mergeCell ref="DXI31:DXJ31"/>
    <mergeCell ref="DXK31:DXL31"/>
    <mergeCell ref="DXM31:DXN31"/>
    <mergeCell ref="DWQ31:DWR31"/>
    <mergeCell ref="DWS31:DWT31"/>
    <mergeCell ref="DWU31:DWV31"/>
    <mergeCell ref="DWW31:DWX31"/>
    <mergeCell ref="DWY31:DWZ31"/>
    <mergeCell ref="DXA31:DXB31"/>
    <mergeCell ref="DWE31:DWF31"/>
    <mergeCell ref="DWG31:DWH31"/>
    <mergeCell ref="DWI31:DWJ31"/>
    <mergeCell ref="DWK31:DWL31"/>
    <mergeCell ref="DWM31:DWN31"/>
    <mergeCell ref="DWO31:DWP31"/>
    <mergeCell ref="DVS31:DVT31"/>
    <mergeCell ref="DVU31:DVV31"/>
    <mergeCell ref="DVW31:DVX31"/>
    <mergeCell ref="DVY31:DVZ31"/>
    <mergeCell ref="DWA31:DWB31"/>
    <mergeCell ref="DWC31:DWD31"/>
    <mergeCell ref="DVG31:DVH31"/>
    <mergeCell ref="DVI31:DVJ31"/>
    <mergeCell ref="DVK31:DVL31"/>
    <mergeCell ref="DVM31:DVN31"/>
    <mergeCell ref="DVO31:DVP31"/>
    <mergeCell ref="DVQ31:DVR31"/>
    <mergeCell ref="EAI31:EAJ31"/>
    <mergeCell ref="EAK31:EAL31"/>
    <mergeCell ref="EAM31:EAN31"/>
    <mergeCell ref="EAO31:EAP31"/>
    <mergeCell ref="EAQ31:EAR31"/>
    <mergeCell ref="EAS31:EAT31"/>
    <mergeCell ref="DZW31:DZX31"/>
    <mergeCell ref="DZY31:DZZ31"/>
    <mergeCell ref="EAA31:EAB31"/>
    <mergeCell ref="EAC31:EAD31"/>
    <mergeCell ref="EAE31:EAF31"/>
    <mergeCell ref="EAG31:EAH31"/>
    <mergeCell ref="DZK31:DZL31"/>
    <mergeCell ref="DZM31:DZN31"/>
    <mergeCell ref="DZO31:DZP31"/>
    <mergeCell ref="DZQ31:DZR31"/>
    <mergeCell ref="DZS31:DZT31"/>
    <mergeCell ref="DZU31:DZV31"/>
    <mergeCell ref="DYY31:DYZ31"/>
    <mergeCell ref="DZA31:DZB31"/>
    <mergeCell ref="DZC31:DZD31"/>
    <mergeCell ref="DZE31:DZF31"/>
    <mergeCell ref="DZG31:DZH31"/>
    <mergeCell ref="DZI31:DZJ31"/>
    <mergeCell ref="DYM31:DYN31"/>
    <mergeCell ref="DYO31:DYP31"/>
    <mergeCell ref="DYQ31:DYR31"/>
    <mergeCell ref="DYS31:DYT31"/>
    <mergeCell ref="DYU31:DYV31"/>
    <mergeCell ref="DYW31:DYX31"/>
    <mergeCell ref="DYA31:DYB31"/>
    <mergeCell ref="DYC31:DYD31"/>
    <mergeCell ref="DYE31:DYF31"/>
    <mergeCell ref="DYG31:DYH31"/>
    <mergeCell ref="DYI31:DYJ31"/>
    <mergeCell ref="DYK31:DYL31"/>
    <mergeCell ref="EDC31:EDD31"/>
    <mergeCell ref="EDE31:EDF31"/>
    <mergeCell ref="EDG31:EDH31"/>
    <mergeCell ref="EDI31:EDJ31"/>
    <mergeCell ref="EDK31:EDL31"/>
    <mergeCell ref="EDM31:EDN31"/>
    <mergeCell ref="ECQ31:ECR31"/>
    <mergeCell ref="ECS31:ECT31"/>
    <mergeCell ref="ECU31:ECV31"/>
    <mergeCell ref="ECW31:ECX31"/>
    <mergeCell ref="ECY31:ECZ31"/>
    <mergeCell ref="EDA31:EDB31"/>
    <mergeCell ref="ECE31:ECF31"/>
    <mergeCell ref="ECG31:ECH31"/>
    <mergeCell ref="ECI31:ECJ31"/>
    <mergeCell ref="ECK31:ECL31"/>
    <mergeCell ref="ECM31:ECN31"/>
    <mergeCell ref="ECO31:ECP31"/>
    <mergeCell ref="EBS31:EBT31"/>
    <mergeCell ref="EBU31:EBV31"/>
    <mergeCell ref="EBW31:EBX31"/>
    <mergeCell ref="EBY31:EBZ31"/>
    <mergeCell ref="ECA31:ECB31"/>
    <mergeCell ref="ECC31:ECD31"/>
    <mergeCell ref="EBG31:EBH31"/>
    <mergeCell ref="EBI31:EBJ31"/>
    <mergeCell ref="EBK31:EBL31"/>
    <mergeCell ref="EBM31:EBN31"/>
    <mergeCell ref="EBO31:EBP31"/>
    <mergeCell ref="EBQ31:EBR31"/>
    <mergeCell ref="EAU31:EAV31"/>
    <mergeCell ref="EAW31:EAX31"/>
    <mergeCell ref="EAY31:EAZ31"/>
    <mergeCell ref="EBA31:EBB31"/>
    <mergeCell ref="EBC31:EBD31"/>
    <mergeCell ref="EBE31:EBF31"/>
    <mergeCell ref="EFW31:EFX31"/>
    <mergeCell ref="EFY31:EFZ31"/>
    <mergeCell ref="EGA31:EGB31"/>
    <mergeCell ref="EGC31:EGD31"/>
    <mergeCell ref="EGE31:EGF31"/>
    <mergeCell ref="EGG31:EGH31"/>
    <mergeCell ref="EFK31:EFL31"/>
    <mergeCell ref="EFM31:EFN31"/>
    <mergeCell ref="EFO31:EFP31"/>
    <mergeCell ref="EFQ31:EFR31"/>
    <mergeCell ref="EFS31:EFT31"/>
    <mergeCell ref="EFU31:EFV31"/>
    <mergeCell ref="EEY31:EEZ31"/>
    <mergeCell ref="EFA31:EFB31"/>
    <mergeCell ref="EFC31:EFD31"/>
    <mergeCell ref="EFE31:EFF31"/>
    <mergeCell ref="EFG31:EFH31"/>
    <mergeCell ref="EFI31:EFJ31"/>
    <mergeCell ref="EEM31:EEN31"/>
    <mergeCell ref="EEO31:EEP31"/>
    <mergeCell ref="EEQ31:EER31"/>
    <mergeCell ref="EES31:EET31"/>
    <mergeCell ref="EEU31:EEV31"/>
    <mergeCell ref="EEW31:EEX31"/>
    <mergeCell ref="EEA31:EEB31"/>
    <mergeCell ref="EEC31:EED31"/>
    <mergeCell ref="EEE31:EEF31"/>
    <mergeCell ref="EEG31:EEH31"/>
    <mergeCell ref="EEI31:EEJ31"/>
    <mergeCell ref="EEK31:EEL31"/>
    <mergeCell ref="EDO31:EDP31"/>
    <mergeCell ref="EDQ31:EDR31"/>
    <mergeCell ref="EDS31:EDT31"/>
    <mergeCell ref="EDU31:EDV31"/>
    <mergeCell ref="EDW31:EDX31"/>
    <mergeCell ref="EDY31:EDZ31"/>
    <mergeCell ref="EIQ31:EIR31"/>
    <mergeCell ref="EIS31:EIT31"/>
    <mergeCell ref="EIU31:EIV31"/>
    <mergeCell ref="EIW31:EIX31"/>
    <mergeCell ref="EIY31:EIZ31"/>
    <mergeCell ref="EJA31:EJB31"/>
    <mergeCell ref="EIE31:EIF31"/>
    <mergeCell ref="EIG31:EIH31"/>
    <mergeCell ref="EII31:EIJ31"/>
    <mergeCell ref="EIK31:EIL31"/>
    <mergeCell ref="EIM31:EIN31"/>
    <mergeCell ref="EIO31:EIP31"/>
    <mergeCell ref="EHS31:EHT31"/>
    <mergeCell ref="EHU31:EHV31"/>
    <mergeCell ref="EHW31:EHX31"/>
    <mergeCell ref="EHY31:EHZ31"/>
    <mergeCell ref="EIA31:EIB31"/>
    <mergeCell ref="EIC31:EID31"/>
    <mergeCell ref="EHG31:EHH31"/>
    <mergeCell ref="EHI31:EHJ31"/>
    <mergeCell ref="EHK31:EHL31"/>
    <mergeCell ref="EHM31:EHN31"/>
    <mergeCell ref="EHO31:EHP31"/>
    <mergeCell ref="EHQ31:EHR31"/>
    <mergeCell ref="EGU31:EGV31"/>
    <mergeCell ref="EGW31:EGX31"/>
    <mergeCell ref="EGY31:EGZ31"/>
    <mergeCell ref="EHA31:EHB31"/>
    <mergeCell ref="EHC31:EHD31"/>
    <mergeCell ref="EHE31:EHF31"/>
    <mergeCell ref="EGI31:EGJ31"/>
    <mergeCell ref="EGK31:EGL31"/>
    <mergeCell ref="EGM31:EGN31"/>
    <mergeCell ref="EGO31:EGP31"/>
    <mergeCell ref="EGQ31:EGR31"/>
    <mergeCell ref="EGS31:EGT31"/>
    <mergeCell ref="ELK31:ELL31"/>
    <mergeCell ref="ELM31:ELN31"/>
    <mergeCell ref="ELO31:ELP31"/>
    <mergeCell ref="ELQ31:ELR31"/>
    <mergeCell ref="ELS31:ELT31"/>
    <mergeCell ref="ELU31:ELV31"/>
    <mergeCell ref="EKY31:EKZ31"/>
    <mergeCell ref="ELA31:ELB31"/>
    <mergeCell ref="ELC31:ELD31"/>
    <mergeCell ref="ELE31:ELF31"/>
    <mergeCell ref="ELG31:ELH31"/>
    <mergeCell ref="ELI31:ELJ31"/>
    <mergeCell ref="EKM31:EKN31"/>
    <mergeCell ref="EKO31:EKP31"/>
    <mergeCell ref="EKQ31:EKR31"/>
    <mergeCell ref="EKS31:EKT31"/>
    <mergeCell ref="EKU31:EKV31"/>
    <mergeCell ref="EKW31:EKX31"/>
    <mergeCell ref="EKA31:EKB31"/>
    <mergeCell ref="EKC31:EKD31"/>
    <mergeCell ref="EKE31:EKF31"/>
    <mergeCell ref="EKG31:EKH31"/>
    <mergeCell ref="EKI31:EKJ31"/>
    <mergeCell ref="EKK31:EKL31"/>
    <mergeCell ref="EJO31:EJP31"/>
    <mergeCell ref="EJQ31:EJR31"/>
    <mergeCell ref="EJS31:EJT31"/>
    <mergeCell ref="EJU31:EJV31"/>
    <mergeCell ref="EJW31:EJX31"/>
    <mergeCell ref="EJY31:EJZ31"/>
    <mergeCell ref="EJC31:EJD31"/>
    <mergeCell ref="EJE31:EJF31"/>
    <mergeCell ref="EJG31:EJH31"/>
    <mergeCell ref="EJI31:EJJ31"/>
    <mergeCell ref="EJK31:EJL31"/>
    <mergeCell ref="EJM31:EJN31"/>
    <mergeCell ref="EOE31:EOF31"/>
    <mergeCell ref="EOG31:EOH31"/>
    <mergeCell ref="EOI31:EOJ31"/>
    <mergeCell ref="EOK31:EOL31"/>
    <mergeCell ref="EOM31:EON31"/>
    <mergeCell ref="EOO31:EOP31"/>
    <mergeCell ref="ENS31:ENT31"/>
    <mergeCell ref="ENU31:ENV31"/>
    <mergeCell ref="ENW31:ENX31"/>
    <mergeCell ref="ENY31:ENZ31"/>
    <mergeCell ref="EOA31:EOB31"/>
    <mergeCell ref="EOC31:EOD31"/>
    <mergeCell ref="ENG31:ENH31"/>
    <mergeCell ref="ENI31:ENJ31"/>
    <mergeCell ref="ENK31:ENL31"/>
    <mergeCell ref="ENM31:ENN31"/>
    <mergeCell ref="ENO31:ENP31"/>
    <mergeCell ref="ENQ31:ENR31"/>
    <mergeCell ref="EMU31:EMV31"/>
    <mergeCell ref="EMW31:EMX31"/>
    <mergeCell ref="EMY31:EMZ31"/>
    <mergeCell ref="ENA31:ENB31"/>
    <mergeCell ref="ENC31:END31"/>
    <mergeCell ref="ENE31:ENF31"/>
    <mergeCell ref="EMI31:EMJ31"/>
    <mergeCell ref="EMK31:EML31"/>
    <mergeCell ref="EMM31:EMN31"/>
    <mergeCell ref="EMO31:EMP31"/>
    <mergeCell ref="EMQ31:EMR31"/>
    <mergeCell ref="EMS31:EMT31"/>
    <mergeCell ref="ELW31:ELX31"/>
    <mergeCell ref="ELY31:ELZ31"/>
    <mergeCell ref="EMA31:EMB31"/>
    <mergeCell ref="EMC31:EMD31"/>
    <mergeCell ref="EME31:EMF31"/>
    <mergeCell ref="EMG31:EMH31"/>
    <mergeCell ref="EQY31:EQZ31"/>
    <mergeCell ref="ERA31:ERB31"/>
    <mergeCell ref="ERC31:ERD31"/>
    <mergeCell ref="ERE31:ERF31"/>
    <mergeCell ref="ERG31:ERH31"/>
    <mergeCell ref="ERI31:ERJ31"/>
    <mergeCell ref="EQM31:EQN31"/>
    <mergeCell ref="EQO31:EQP31"/>
    <mergeCell ref="EQQ31:EQR31"/>
    <mergeCell ref="EQS31:EQT31"/>
    <mergeCell ref="EQU31:EQV31"/>
    <mergeCell ref="EQW31:EQX31"/>
    <mergeCell ref="EQA31:EQB31"/>
    <mergeCell ref="EQC31:EQD31"/>
    <mergeCell ref="EQE31:EQF31"/>
    <mergeCell ref="EQG31:EQH31"/>
    <mergeCell ref="EQI31:EQJ31"/>
    <mergeCell ref="EQK31:EQL31"/>
    <mergeCell ref="EPO31:EPP31"/>
    <mergeCell ref="EPQ31:EPR31"/>
    <mergeCell ref="EPS31:EPT31"/>
    <mergeCell ref="EPU31:EPV31"/>
    <mergeCell ref="EPW31:EPX31"/>
    <mergeCell ref="EPY31:EPZ31"/>
    <mergeCell ref="EPC31:EPD31"/>
    <mergeCell ref="EPE31:EPF31"/>
    <mergeCell ref="EPG31:EPH31"/>
    <mergeCell ref="EPI31:EPJ31"/>
    <mergeCell ref="EPK31:EPL31"/>
    <mergeCell ref="EPM31:EPN31"/>
    <mergeCell ref="EOQ31:EOR31"/>
    <mergeCell ref="EOS31:EOT31"/>
    <mergeCell ref="EOU31:EOV31"/>
    <mergeCell ref="EOW31:EOX31"/>
    <mergeCell ref="EOY31:EOZ31"/>
    <mergeCell ref="EPA31:EPB31"/>
    <mergeCell ref="ETS31:ETT31"/>
    <mergeCell ref="ETU31:ETV31"/>
    <mergeCell ref="ETW31:ETX31"/>
    <mergeCell ref="ETY31:ETZ31"/>
    <mergeCell ref="EUA31:EUB31"/>
    <mergeCell ref="EUC31:EUD31"/>
    <mergeCell ref="ETG31:ETH31"/>
    <mergeCell ref="ETI31:ETJ31"/>
    <mergeCell ref="ETK31:ETL31"/>
    <mergeCell ref="ETM31:ETN31"/>
    <mergeCell ref="ETO31:ETP31"/>
    <mergeCell ref="ETQ31:ETR31"/>
    <mergeCell ref="ESU31:ESV31"/>
    <mergeCell ref="ESW31:ESX31"/>
    <mergeCell ref="ESY31:ESZ31"/>
    <mergeCell ref="ETA31:ETB31"/>
    <mergeCell ref="ETC31:ETD31"/>
    <mergeCell ref="ETE31:ETF31"/>
    <mergeCell ref="ESI31:ESJ31"/>
    <mergeCell ref="ESK31:ESL31"/>
    <mergeCell ref="ESM31:ESN31"/>
    <mergeCell ref="ESO31:ESP31"/>
    <mergeCell ref="ESQ31:ESR31"/>
    <mergeCell ref="ESS31:EST31"/>
    <mergeCell ref="ERW31:ERX31"/>
    <mergeCell ref="ERY31:ERZ31"/>
    <mergeCell ref="ESA31:ESB31"/>
    <mergeCell ref="ESC31:ESD31"/>
    <mergeCell ref="ESE31:ESF31"/>
    <mergeCell ref="ESG31:ESH31"/>
    <mergeCell ref="ERK31:ERL31"/>
    <mergeCell ref="ERM31:ERN31"/>
    <mergeCell ref="ERO31:ERP31"/>
    <mergeCell ref="ERQ31:ERR31"/>
    <mergeCell ref="ERS31:ERT31"/>
    <mergeCell ref="ERU31:ERV31"/>
    <mergeCell ref="EWM31:EWN31"/>
    <mergeCell ref="EWO31:EWP31"/>
    <mergeCell ref="EWQ31:EWR31"/>
    <mergeCell ref="EWS31:EWT31"/>
    <mergeCell ref="EWU31:EWV31"/>
    <mergeCell ref="EWW31:EWX31"/>
    <mergeCell ref="EWA31:EWB31"/>
    <mergeCell ref="EWC31:EWD31"/>
    <mergeCell ref="EWE31:EWF31"/>
    <mergeCell ref="EWG31:EWH31"/>
    <mergeCell ref="EWI31:EWJ31"/>
    <mergeCell ref="EWK31:EWL31"/>
    <mergeCell ref="EVO31:EVP31"/>
    <mergeCell ref="EVQ31:EVR31"/>
    <mergeCell ref="EVS31:EVT31"/>
    <mergeCell ref="EVU31:EVV31"/>
    <mergeCell ref="EVW31:EVX31"/>
    <mergeCell ref="EVY31:EVZ31"/>
    <mergeCell ref="EVC31:EVD31"/>
    <mergeCell ref="EVE31:EVF31"/>
    <mergeCell ref="EVG31:EVH31"/>
    <mergeCell ref="EVI31:EVJ31"/>
    <mergeCell ref="EVK31:EVL31"/>
    <mergeCell ref="EVM31:EVN31"/>
    <mergeCell ref="EUQ31:EUR31"/>
    <mergeCell ref="EUS31:EUT31"/>
    <mergeCell ref="EUU31:EUV31"/>
    <mergeCell ref="EUW31:EUX31"/>
    <mergeCell ref="EUY31:EUZ31"/>
    <mergeCell ref="EVA31:EVB31"/>
    <mergeCell ref="EUE31:EUF31"/>
    <mergeCell ref="EUG31:EUH31"/>
    <mergeCell ref="EUI31:EUJ31"/>
    <mergeCell ref="EUK31:EUL31"/>
    <mergeCell ref="EUM31:EUN31"/>
    <mergeCell ref="EUO31:EUP31"/>
    <mergeCell ref="EZG31:EZH31"/>
    <mergeCell ref="EZI31:EZJ31"/>
    <mergeCell ref="EZK31:EZL31"/>
    <mergeCell ref="EZM31:EZN31"/>
    <mergeCell ref="EZO31:EZP31"/>
    <mergeCell ref="EZQ31:EZR31"/>
    <mergeCell ref="EYU31:EYV31"/>
    <mergeCell ref="EYW31:EYX31"/>
    <mergeCell ref="EYY31:EYZ31"/>
    <mergeCell ref="EZA31:EZB31"/>
    <mergeCell ref="EZC31:EZD31"/>
    <mergeCell ref="EZE31:EZF31"/>
    <mergeCell ref="EYI31:EYJ31"/>
    <mergeCell ref="EYK31:EYL31"/>
    <mergeCell ref="EYM31:EYN31"/>
    <mergeCell ref="EYO31:EYP31"/>
    <mergeCell ref="EYQ31:EYR31"/>
    <mergeCell ref="EYS31:EYT31"/>
    <mergeCell ref="EXW31:EXX31"/>
    <mergeCell ref="EXY31:EXZ31"/>
    <mergeCell ref="EYA31:EYB31"/>
    <mergeCell ref="EYC31:EYD31"/>
    <mergeCell ref="EYE31:EYF31"/>
    <mergeCell ref="EYG31:EYH31"/>
    <mergeCell ref="EXK31:EXL31"/>
    <mergeCell ref="EXM31:EXN31"/>
    <mergeCell ref="EXO31:EXP31"/>
    <mergeCell ref="EXQ31:EXR31"/>
    <mergeCell ref="EXS31:EXT31"/>
    <mergeCell ref="EXU31:EXV31"/>
    <mergeCell ref="EWY31:EWZ31"/>
    <mergeCell ref="EXA31:EXB31"/>
    <mergeCell ref="EXC31:EXD31"/>
    <mergeCell ref="EXE31:EXF31"/>
    <mergeCell ref="EXG31:EXH31"/>
    <mergeCell ref="EXI31:EXJ31"/>
    <mergeCell ref="FCA31:FCB31"/>
    <mergeCell ref="FCC31:FCD31"/>
    <mergeCell ref="FCE31:FCF31"/>
    <mergeCell ref="FCG31:FCH31"/>
    <mergeCell ref="FCI31:FCJ31"/>
    <mergeCell ref="FCK31:FCL31"/>
    <mergeCell ref="FBO31:FBP31"/>
    <mergeCell ref="FBQ31:FBR31"/>
    <mergeCell ref="FBS31:FBT31"/>
    <mergeCell ref="FBU31:FBV31"/>
    <mergeCell ref="FBW31:FBX31"/>
    <mergeCell ref="FBY31:FBZ31"/>
    <mergeCell ref="FBC31:FBD31"/>
    <mergeCell ref="FBE31:FBF31"/>
    <mergeCell ref="FBG31:FBH31"/>
    <mergeCell ref="FBI31:FBJ31"/>
    <mergeCell ref="FBK31:FBL31"/>
    <mergeCell ref="FBM31:FBN31"/>
    <mergeCell ref="FAQ31:FAR31"/>
    <mergeCell ref="FAS31:FAT31"/>
    <mergeCell ref="FAU31:FAV31"/>
    <mergeCell ref="FAW31:FAX31"/>
    <mergeCell ref="FAY31:FAZ31"/>
    <mergeCell ref="FBA31:FBB31"/>
    <mergeCell ref="FAE31:FAF31"/>
    <mergeCell ref="FAG31:FAH31"/>
    <mergeCell ref="FAI31:FAJ31"/>
    <mergeCell ref="FAK31:FAL31"/>
    <mergeCell ref="FAM31:FAN31"/>
    <mergeCell ref="FAO31:FAP31"/>
    <mergeCell ref="EZS31:EZT31"/>
    <mergeCell ref="EZU31:EZV31"/>
    <mergeCell ref="EZW31:EZX31"/>
    <mergeCell ref="EZY31:EZZ31"/>
    <mergeCell ref="FAA31:FAB31"/>
    <mergeCell ref="FAC31:FAD31"/>
    <mergeCell ref="FEU31:FEV31"/>
    <mergeCell ref="FEW31:FEX31"/>
    <mergeCell ref="FEY31:FEZ31"/>
    <mergeCell ref="FFA31:FFB31"/>
    <mergeCell ref="FFC31:FFD31"/>
    <mergeCell ref="FFE31:FFF31"/>
    <mergeCell ref="FEI31:FEJ31"/>
    <mergeCell ref="FEK31:FEL31"/>
    <mergeCell ref="FEM31:FEN31"/>
    <mergeCell ref="FEO31:FEP31"/>
    <mergeCell ref="FEQ31:FER31"/>
    <mergeCell ref="FES31:FET31"/>
    <mergeCell ref="FDW31:FDX31"/>
    <mergeCell ref="FDY31:FDZ31"/>
    <mergeCell ref="FEA31:FEB31"/>
    <mergeCell ref="FEC31:FED31"/>
    <mergeCell ref="FEE31:FEF31"/>
    <mergeCell ref="FEG31:FEH31"/>
    <mergeCell ref="FDK31:FDL31"/>
    <mergeCell ref="FDM31:FDN31"/>
    <mergeCell ref="FDO31:FDP31"/>
    <mergeCell ref="FDQ31:FDR31"/>
    <mergeCell ref="FDS31:FDT31"/>
    <mergeCell ref="FDU31:FDV31"/>
    <mergeCell ref="FCY31:FCZ31"/>
    <mergeCell ref="FDA31:FDB31"/>
    <mergeCell ref="FDC31:FDD31"/>
    <mergeCell ref="FDE31:FDF31"/>
    <mergeCell ref="FDG31:FDH31"/>
    <mergeCell ref="FDI31:FDJ31"/>
    <mergeCell ref="FCM31:FCN31"/>
    <mergeCell ref="FCO31:FCP31"/>
    <mergeCell ref="FCQ31:FCR31"/>
    <mergeCell ref="FCS31:FCT31"/>
    <mergeCell ref="FCU31:FCV31"/>
    <mergeCell ref="FCW31:FCX31"/>
    <mergeCell ref="FHO31:FHP31"/>
    <mergeCell ref="FHQ31:FHR31"/>
    <mergeCell ref="FHS31:FHT31"/>
    <mergeCell ref="FHU31:FHV31"/>
    <mergeCell ref="FHW31:FHX31"/>
    <mergeCell ref="FHY31:FHZ31"/>
    <mergeCell ref="FHC31:FHD31"/>
    <mergeCell ref="FHE31:FHF31"/>
    <mergeCell ref="FHG31:FHH31"/>
    <mergeCell ref="FHI31:FHJ31"/>
    <mergeCell ref="FHK31:FHL31"/>
    <mergeCell ref="FHM31:FHN31"/>
    <mergeCell ref="FGQ31:FGR31"/>
    <mergeCell ref="FGS31:FGT31"/>
    <mergeCell ref="FGU31:FGV31"/>
    <mergeCell ref="FGW31:FGX31"/>
    <mergeCell ref="FGY31:FGZ31"/>
    <mergeCell ref="FHA31:FHB31"/>
    <mergeCell ref="FGE31:FGF31"/>
    <mergeCell ref="FGG31:FGH31"/>
    <mergeCell ref="FGI31:FGJ31"/>
    <mergeCell ref="FGK31:FGL31"/>
    <mergeCell ref="FGM31:FGN31"/>
    <mergeCell ref="FGO31:FGP31"/>
    <mergeCell ref="FFS31:FFT31"/>
    <mergeCell ref="FFU31:FFV31"/>
    <mergeCell ref="FFW31:FFX31"/>
    <mergeCell ref="FFY31:FFZ31"/>
    <mergeCell ref="FGA31:FGB31"/>
    <mergeCell ref="FGC31:FGD31"/>
    <mergeCell ref="FFG31:FFH31"/>
    <mergeCell ref="FFI31:FFJ31"/>
    <mergeCell ref="FFK31:FFL31"/>
    <mergeCell ref="FFM31:FFN31"/>
    <mergeCell ref="FFO31:FFP31"/>
    <mergeCell ref="FFQ31:FFR31"/>
    <mergeCell ref="FKI31:FKJ31"/>
    <mergeCell ref="FKK31:FKL31"/>
    <mergeCell ref="FKM31:FKN31"/>
    <mergeCell ref="FKO31:FKP31"/>
    <mergeCell ref="FKQ31:FKR31"/>
    <mergeCell ref="FKS31:FKT31"/>
    <mergeCell ref="FJW31:FJX31"/>
    <mergeCell ref="FJY31:FJZ31"/>
    <mergeCell ref="FKA31:FKB31"/>
    <mergeCell ref="FKC31:FKD31"/>
    <mergeCell ref="FKE31:FKF31"/>
    <mergeCell ref="FKG31:FKH31"/>
    <mergeCell ref="FJK31:FJL31"/>
    <mergeCell ref="FJM31:FJN31"/>
    <mergeCell ref="FJO31:FJP31"/>
    <mergeCell ref="FJQ31:FJR31"/>
    <mergeCell ref="FJS31:FJT31"/>
    <mergeCell ref="FJU31:FJV31"/>
    <mergeCell ref="FIY31:FIZ31"/>
    <mergeCell ref="FJA31:FJB31"/>
    <mergeCell ref="FJC31:FJD31"/>
    <mergeCell ref="FJE31:FJF31"/>
    <mergeCell ref="FJG31:FJH31"/>
    <mergeCell ref="FJI31:FJJ31"/>
    <mergeCell ref="FIM31:FIN31"/>
    <mergeCell ref="FIO31:FIP31"/>
    <mergeCell ref="FIQ31:FIR31"/>
    <mergeCell ref="FIS31:FIT31"/>
    <mergeCell ref="FIU31:FIV31"/>
    <mergeCell ref="FIW31:FIX31"/>
    <mergeCell ref="FIA31:FIB31"/>
    <mergeCell ref="FIC31:FID31"/>
    <mergeCell ref="FIE31:FIF31"/>
    <mergeCell ref="FIG31:FIH31"/>
    <mergeCell ref="FII31:FIJ31"/>
    <mergeCell ref="FIK31:FIL31"/>
    <mergeCell ref="FNC31:FND31"/>
    <mergeCell ref="FNE31:FNF31"/>
    <mergeCell ref="FNG31:FNH31"/>
    <mergeCell ref="FNI31:FNJ31"/>
    <mergeCell ref="FNK31:FNL31"/>
    <mergeCell ref="FNM31:FNN31"/>
    <mergeCell ref="FMQ31:FMR31"/>
    <mergeCell ref="FMS31:FMT31"/>
    <mergeCell ref="FMU31:FMV31"/>
    <mergeCell ref="FMW31:FMX31"/>
    <mergeCell ref="FMY31:FMZ31"/>
    <mergeCell ref="FNA31:FNB31"/>
    <mergeCell ref="FME31:FMF31"/>
    <mergeCell ref="FMG31:FMH31"/>
    <mergeCell ref="FMI31:FMJ31"/>
    <mergeCell ref="FMK31:FML31"/>
    <mergeCell ref="FMM31:FMN31"/>
    <mergeCell ref="FMO31:FMP31"/>
    <mergeCell ref="FLS31:FLT31"/>
    <mergeCell ref="FLU31:FLV31"/>
    <mergeCell ref="FLW31:FLX31"/>
    <mergeCell ref="FLY31:FLZ31"/>
    <mergeCell ref="FMA31:FMB31"/>
    <mergeCell ref="FMC31:FMD31"/>
    <mergeCell ref="FLG31:FLH31"/>
    <mergeCell ref="FLI31:FLJ31"/>
    <mergeCell ref="FLK31:FLL31"/>
    <mergeCell ref="FLM31:FLN31"/>
    <mergeCell ref="FLO31:FLP31"/>
    <mergeCell ref="FLQ31:FLR31"/>
    <mergeCell ref="FKU31:FKV31"/>
    <mergeCell ref="FKW31:FKX31"/>
    <mergeCell ref="FKY31:FKZ31"/>
    <mergeCell ref="FLA31:FLB31"/>
    <mergeCell ref="FLC31:FLD31"/>
    <mergeCell ref="FLE31:FLF31"/>
    <mergeCell ref="FPW31:FPX31"/>
    <mergeCell ref="FPY31:FPZ31"/>
    <mergeCell ref="FQA31:FQB31"/>
    <mergeCell ref="FQC31:FQD31"/>
    <mergeCell ref="FQE31:FQF31"/>
    <mergeCell ref="FQG31:FQH31"/>
    <mergeCell ref="FPK31:FPL31"/>
    <mergeCell ref="FPM31:FPN31"/>
    <mergeCell ref="FPO31:FPP31"/>
    <mergeCell ref="FPQ31:FPR31"/>
    <mergeCell ref="FPS31:FPT31"/>
    <mergeCell ref="FPU31:FPV31"/>
    <mergeCell ref="FOY31:FOZ31"/>
    <mergeCell ref="FPA31:FPB31"/>
    <mergeCell ref="FPC31:FPD31"/>
    <mergeCell ref="FPE31:FPF31"/>
    <mergeCell ref="FPG31:FPH31"/>
    <mergeCell ref="FPI31:FPJ31"/>
    <mergeCell ref="FOM31:FON31"/>
    <mergeCell ref="FOO31:FOP31"/>
    <mergeCell ref="FOQ31:FOR31"/>
    <mergeCell ref="FOS31:FOT31"/>
    <mergeCell ref="FOU31:FOV31"/>
    <mergeCell ref="FOW31:FOX31"/>
    <mergeCell ref="FOA31:FOB31"/>
    <mergeCell ref="FOC31:FOD31"/>
    <mergeCell ref="FOE31:FOF31"/>
    <mergeCell ref="FOG31:FOH31"/>
    <mergeCell ref="FOI31:FOJ31"/>
    <mergeCell ref="FOK31:FOL31"/>
    <mergeCell ref="FNO31:FNP31"/>
    <mergeCell ref="FNQ31:FNR31"/>
    <mergeCell ref="FNS31:FNT31"/>
    <mergeCell ref="FNU31:FNV31"/>
    <mergeCell ref="FNW31:FNX31"/>
    <mergeCell ref="FNY31:FNZ31"/>
    <mergeCell ref="FSQ31:FSR31"/>
    <mergeCell ref="FSS31:FST31"/>
    <mergeCell ref="FSU31:FSV31"/>
    <mergeCell ref="FSW31:FSX31"/>
    <mergeCell ref="FSY31:FSZ31"/>
    <mergeCell ref="FTA31:FTB31"/>
    <mergeCell ref="FSE31:FSF31"/>
    <mergeCell ref="FSG31:FSH31"/>
    <mergeCell ref="FSI31:FSJ31"/>
    <mergeCell ref="FSK31:FSL31"/>
    <mergeCell ref="FSM31:FSN31"/>
    <mergeCell ref="FSO31:FSP31"/>
    <mergeCell ref="FRS31:FRT31"/>
    <mergeCell ref="FRU31:FRV31"/>
    <mergeCell ref="FRW31:FRX31"/>
    <mergeCell ref="FRY31:FRZ31"/>
    <mergeCell ref="FSA31:FSB31"/>
    <mergeCell ref="FSC31:FSD31"/>
    <mergeCell ref="FRG31:FRH31"/>
    <mergeCell ref="FRI31:FRJ31"/>
    <mergeCell ref="FRK31:FRL31"/>
    <mergeCell ref="FRM31:FRN31"/>
    <mergeCell ref="FRO31:FRP31"/>
    <mergeCell ref="FRQ31:FRR31"/>
    <mergeCell ref="FQU31:FQV31"/>
    <mergeCell ref="FQW31:FQX31"/>
    <mergeCell ref="FQY31:FQZ31"/>
    <mergeCell ref="FRA31:FRB31"/>
    <mergeCell ref="FRC31:FRD31"/>
    <mergeCell ref="FRE31:FRF31"/>
    <mergeCell ref="FQI31:FQJ31"/>
    <mergeCell ref="FQK31:FQL31"/>
    <mergeCell ref="FQM31:FQN31"/>
    <mergeCell ref="FQO31:FQP31"/>
    <mergeCell ref="FQQ31:FQR31"/>
    <mergeCell ref="FQS31:FQT31"/>
    <mergeCell ref="FVK31:FVL31"/>
    <mergeCell ref="FVM31:FVN31"/>
    <mergeCell ref="FVO31:FVP31"/>
    <mergeCell ref="FVQ31:FVR31"/>
    <mergeCell ref="FVS31:FVT31"/>
    <mergeCell ref="FVU31:FVV31"/>
    <mergeCell ref="FUY31:FUZ31"/>
    <mergeCell ref="FVA31:FVB31"/>
    <mergeCell ref="FVC31:FVD31"/>
    <mergeCell ref="FVE31:FVF31"/>
    <mergeCell ref="FVG31:FVH31"/>
    <mergeCell ref="FVI31:FVJ31"/>
    <mergeCell ref="FUM31:FUN31"/>
    <mergeCell ref="FUO31:FUP31"/>
    <mergeCell ref="FUQ31:FUR31"/>
    <mergeCell ref="FUS31:FUT31"/>
    <mergeCell ref="FUU31:FUV31"/>
    <mergeCell ref="FUW31:FUX31"/>
    <mergeCell ref="FUA31:FUB31"/>
    <mergeCell ref="FUC31:FUD31"/>
    <mergeCell ref="FUE31:FUF31"/>
    <mergeCell ref="FUG31:FUH31"/>
    <mergeCell ref="FUI31:FUJ31"/>
    <mergeCell ref="FUK31:FUL31"/>
    <mergeCell ref="FTO31:FTP31"/>
    <mergeCell ref="FTQ31:FTR31"/>
    <mergeCell ref="FTS31:FTT31"/>
    <mergeCell ref="FTU31:FTV31"/>
    <mergeCell ref="FTW31:FTX31"/>
    <mergeCell ref="FTY31:FTZ31"/>
    <mergeCell ref="FTC31:FTD31"/>
    <mergeCell ref="FTE31:FTF31"/>
    <mergeCell ref="FTG31:FTH31"/>
    <mergeCell ref="FTI31:FTJ31"/>
    <mergeCell ref="FTK31:FTL31"/>
    <mergeCell ref="FTM31:FTN31"/>
    <mergeCell ref="FYE31:FYF31"/>
    <mergeCell ref="FYG31:FYH31"/>
    <mergeCell ref="FYI31:FYJ31"/>
    <mergeCell ref="FYK31:FYL31"/>
    <mergeCell ref="FYM31:FYN31"/>
    <mergeCell ref="FYO31:FYP31"/>
    <mergeCell ref="FXS31:FXT31"/>
    <mergeCell ref="FXU31:FXV31"/>
    <mergeCell ref="FXW31:FXX31"/>
    <mergeCell ref="FXY31:FXZ31"/>
    <mergeCell ref="FYA31:FYB31"/>
    <mergeCell ref="FYC31:FYD31"/>
    <mergeCell ref="FXG31:FXH31"/>
    <mergeCell ref="FXI31:FXJ31"/>
    <mergeCell ref="FXK31:FXL31"/>
    <mergeCell ref="FXM31:FXN31"/>
    <mergeCell ref="FXO31:FXP31"/>
    <mergeCell ref="FXQ31:FXR31"/>
    <mergeCell ref="FWU31:FWV31"/>
    <mergeCell ref="FWW31:FWX31"/>
    <mergeCell ref="FWY31:FWZ31"/>
    <mergeCell ref="FXA31:FXB31"/>
    <mergeCell ref="FXC31:FXD31"/>
    <mergeCell ref="FXE31:FXF31"/>
    <mergeCell ref="FWI31:FWJ31"/>
    <mergeCell ref="FWK31:FWL31"/>
    <mergeCell ref="FWM31:FWN31"/>
    <mergeCell ref="FWO31:FWP31"/>
    <mergeCell ref="FWQ31:FWR31"/>
    <mergeCell ref="FWS31:FWT31"/>
    <mergeCell ref="FVW31:FVX31"/>
    <mergeCell ref="FVY31:FVZ31"/>
    <mergeCell ref="FWA31:FWB31"/>
    <mergeCell ref="FWC31:FWD31"/>
    <mergeCell ref="FWE31:FWF31"/>
    <mergeCell ref="FWG31:FWH31"/>
    <mergeCell ref="GAY31:GAZ31"/>
    <mergeCell ref="GBA31:GBB31"/>
    <mergeCell ref="GBC31:GBD31"/>
    <mergeCell ref="GBE31:GBF31"/>
    <mergeCell ref="GBG31:GBH31"/>
    <mergeCell ref="GBI31:GBJ31"/>
    <mergeCell ref="GAM31:GAN31"/>
    <mergeCell ref="GAO31:GAP31"/>
    <mergeCell ref="GAQ31:GAR31"/>
    <mergeCell ref="GAS31:GAT31"/>
    <mergeCell ref="GAU31:GAV31"/>
    <mergeCell ref="GAW31:GAX31"/>
    <mergeCell ref="GAA31:GAB31"/>
    <mergeCell ref="GAC31:GAD31"/>
    <mergeCell ref="GAE31:GAF31"/>
    <mergeCell ref="GAG31:GAH31"/>
    <mergeCell ref="GAI31:GAJ31"/>
    <mergeCell ref="GAK31:GAL31"/>
    <mergeCell ref="FZO31:FZP31"/>
    <mergeCell ref="FZQ31:FZR31"/>
    <mergeCell ref="FZS31:FZT31"/>
    <mergeCell ref="FZU31:FZV31"/>
    <mergeCell ref="FZW31:FZX31"/>
    <mergeCell ref="FZY31:FZZ31"/>
    <mergeCell ref="FZC31:FZD31"/>
    <mergeCell ref="FZE31:FZF31"/>
    <mergeCell ref="FZG31:FZH31"/>
    <mergeCell ref="FZI31:FZJ31"/>
    <mergeCell ref="FZK31:FZL31"/>
    <mergeCell ref="FZM31:FZN31"/>
    <mergeCell ref="FYQ31:FYR31"/>
    <mergeCell ref="FYS31:FYT31"/>
    <mergeCell ref="FYU31:FYV31"/>
    <mergeCell ref="FYW31:FYX31"/>
    <mergeCell ref="FYY31:FYZ31"/>
    <mergeCell ref="FZA31:FZB31"/>
    <mergeCell ref="GDS31:GDT31"/>
    <mergeCell ref="GDU31:GDV31"/>
    <mergeCell ref="GDW31:GDX31"/>
    <mergeCell ref="GDY31:GDZ31"/>
    <mergeCell ref="GEA31:GEB31"/>
    <mergeCell ref="GEC31:GED31"/>
    <mergeCell ref="GDG31:GDH31"/>
    <mergeCell ref="GDI31:GDJ31"/>
    <mergeCell ref="GDK31:GDL31"/>
    <mergeCell ref="GDM31:GDN31"/>
    <mergeCell ref="GDO31:GDP31"/>
    <mergeCell ref="GDQ31:GDR31"/>
    <mergeCell ref="GCU31:GCV31"/>
    <mergeCell ref="GCW31:GCX31"/>
    <mergeCell ref="GCY31:GCZ31"/>
    <mergeCell ref="GDA31:GDB31"/>
    <mergeCell ref="GDC31:GDD31"/>
    <mergeCell ref="GDE31:GDF31"/>
    <mergeCell ref="GCI31:GCJ31"/>
    <mergeCell ref="GCK31:GCL31"/>
    <mergeCell ref="GCM31:GCN31"/>
    <mergeCell ref="GCO31:GCP31"/>
    <mergeCell ref="GCQ31:GCR31"/>
    <mergeCell ref="GCS31:GCT31"/>
    <mergeCell ref="GBW31:GBX31"/>
    <mergeCell ref="GBY31:GBZ31"/>
    <mergeCell ref="GCA31:GCB31"/>
    <mergeCell ref="GCC31:GCD31"/>
    <mergeCell ref="GCE31:GCF31"/>
    <mergeCell ref="GCG31:GCH31"/>
    <mergeCell ref="GBK31:GBL31"/>
    <mergeCell ref="GBM31:GBN31"/>
    <mergeCell ref="GBO31:GBP31"/>
    <mergeCell ref="GBQ31:GBR31"/>
    <mergeCell ref="GBS31:GBT31"/>
    <mergeCell ref="GBU31:GBV31"/>
    <mergeCell ref="GGM31:GGN31"/>
    <mergeCell ref="GGO31:GGP31"/>
    <mergeCell ref="GGQ31:GGR31"/>
    <mergeCell ref="GGS31:GGT31"/>
    <mergeCell ref="GGU31:GGV31"/>
    <mergeCell ref="GGW31:GGX31"/>
    <mergeCell ref="GGA31:GGB31"/>
    <mergeCell ref="GGC31:GGD31"/>
    <mergeCell ref="GGE31:GGF31"/>
    <mergeCell ref="GGG31:GGH31"/>
    <mergeCell ref="GGI31:GGJ31"/>
    <mergeCell ref="GGK31:GGL31"/>
    <mergeCell ref="GFO31:GFP31"/>
    <mergeCell ref="GFQ31:GFR31"/>
    <mergeCell ref="GFS31:GFT31"/>
    <mergeCell ref="GFU31:GFV31"/>
    <mergeCell ref="GFW31:GFX31"/>
    <mergeCell ref="GFY31:GFZ31"/>
    <mergeCell ref="GFC31:GFD31"/>
    <mergeCell ref="GFE31:GFF31"/>
    <mergeCell ref="GFG31:GFH31"/>
    <mergeCell ref="GFI31:GFJ31"/>
    <mergeCell ref="GFK31:GFL31"/>
    <mergeCell ref="GFM31:GFN31"/>
    <mergeCell ref="GEQ31:GER31"/>
    <mergeCell ref="GES31:GET31"/>
    <mergeCell ref="GEU31:GEV31"/>
    <mergeCell ref="GEW31:GEX31"/>
    <mergeCell ref="GEY31:GEZ31"/>
    <mergeCell ref="GFA31:GFB31"/>
    <mergeCell ref="GEE31:GEF31"/>
    <mergeCell ref="GEG31:GEH31"/>
    <mergeCell ref="GEI31:GEJ31"/>
    <mergeCell ref="GEK31:GEL31"/>
    <mergeCell ref="GEM31:GEN31"/>
    <mergeCell ref="GEO31:GEP31"/>
    <mergeCell ref="GJG31:GJH31"/>
    <mergeCell ref="GJI31:GJJ31"/>
    <mergeCell ref="GJK31:GJL31"/>
    <mergeCell ref="GJM31:GJN31"/>
    <mergeCell ref="GJO31:GJP31"/>
    <mergeCell ref="GJQ31:GJR31"/>
    <mergeCell ref="GIU31:GIV31"/>
    <mergeCell ref="GIW31:GIX31"/>
    <mergeCell ref="GIY31:GIZ31"/>
    <mergeCell ref="GJA31:GJB31"/>
    <mergeCell ref="GJC31:GJD31"/>
    <mergeCell ref="GJE31:GJF31"/>
    <mergeCell ref="GII31:GIJ31"/>
    <mergeCell ref="GIK31:GIL31"/>
    <mergeCell ref="GIM31:GIN31"/>
    <mergeCell ref="GIO31:GIP31"/>
    <mergeCell ref="GIQ31:GIR31"/>
    <mergeCell ref="GIS31:GIT31"/>
    <mergeCell ref="GHW31:GHX31"/>
    <mergeCell ref="GHY31:GHZ31"/>
    <mergeCell ref="GIA31:GIB31"/>
    <mergeCell ref="GIC31:GID31"/>
    <mergeCell ref="GIE31:GIF31"/>
    <mergeCell ref="GIG31:GIH31"/>
    <mergeCell ref="GHK31:GHL31"/>
    <mergeCell ref="GHM31:GHN31"/>
    <mergeCell ref="GHO31:GHP31"/>
    <mergeCell ref="GHQ31:GHR31"/>
    <mergeCell ref="GHS31:GHT31"/>
    <mergeCell ref="GHU31:GHV31"/>
    <mergeCell ref="GGY31:GGZ31"/>
    <mergeCell ref="GHA31:GHB31"/>
    <mergeCell ref="GHC31:GHD31"/>
    <mergeCell ref="GHE31:GHF31"/>
    <mergeCell ref="GHG31:GHH31"/>
    <mergeCell ref="GHI31:GHJ31"/>
    <mergeCell ref="GMA31:GMB31"/>
    <mergeCell ref="GMC31:GMD31"/>
    <mergeCell ref="GME31:GMF31"/>
    <mergeCell ref="GMG31:GMH31"/>
    <mergeCell ref="GMI31:GMJ31"/>
    <mergeCell ref="GMK31:GML31"/>
    <mergeCell ref="GLO31:GLP31"/>
    <mergeCell ref="GLQ31:GLR31"/>
    <mergeCell ref="GLS31:GLT31"/>
    <mergeCell ref="GLU31:GLV31"/>
    <mergeCell ref="GLW31:GLX31"/>
    <mergeCell ref="GLY31:GLZ31"/>
    <mergeCell ref="GLC31:GLD31"/>
    <mergeCell ref="GLE31:GLF31"/>
    <mergeCell ref="GLG31:GLH31"/>
    <mergeCell ref="GLI31:GLJ31"/>
    <mergeCell ref="GLK31:GLL31"/>
    <mergeCell ref="GLM31:GLN31"/>
    <mergeCell ref="GKQ31:GKR31"/>
    <mergeCell ref="GKS31:GKT31"/>
    <mergeCell ref="GKU31:GKV31"/>
    <mergeCell ref="GKW31:GKX31"/>
    <mergeCell ref="GKY31:GKZ31"/>
    <mergeCell ref="GLA31:GLB31"/>
    <mergeCell ref="GKE31:GKF31"/>
    <mergeCell ref="GKG31:GKH31"/>
    <mergeCell ref="GKI31:GKJ31"/>
    <mergeCell ref="GKK31:GKL31"/>
    <mergeCell ref="GKM31:GKN31"/>
    <mergeCell ref="GKO31:GKP31"/>
    <mergeCell ref="GJS31:GJT31"/>
    <mergeCell ref="GJU31:GJV31"/>
    <mergeCell ref="GJW31:GJX31"/>
    <mergeCell ref="GJY31:GJZ31"/>
    <mergeCell ref="GKA31:GKB31"/>
    <mergeCell ref="GKC31:GKD31"/>
    <mergeCell ref="GOU31:GOV31"/>
    <mergeCell ref="GOW31:GOX31"/>
    <mergeCell ref="GOY31:GOZ31"/>
    <mergeCell ref="GPA31:GPB31"/>
    <mergeCell ref="GPC31:GPD31"/>
    <mergeCell ref="GPE31:GPF31"/>
    <mergeCell ref="GOI31:GOJ31"/>
    <mergeCell ref="GOK31:GOL31"/>
    <mergeCell ref="GOM31:GON31"/>
    <mergeCell ref="GOO31:GOP31"/>
    <mergeCell ref="GOQ31:GOR31"/>
    <mergeCell ref="GOS31:GOT31"/>
    <mergeCell ref="GNW31:GNX31"/>
    <mergeCell ref="GNY31:GNZ31"/>
    <mergeCell ref="GOA31:GOB31"/>
    <mergeCell ref="GOC31:GOD31"/>
    <mergeCell ref="GOE31:GOF31"/>
    <mergeCell ref="GOG31:GOH31"/>
    <mergeCell ref="GNK31:GNL31"/>
    <mergeCell ref="GNM31:GNN31"/>
    <mergeCell ref="GNO31:GNP31"/>
    <mergeCell ref="GNQ31:GNR31"/>
    <mergeCell ref="GNS31:GNT31"/>
    <mergeCell ref="GNU31:GNV31"/>
    <mergeCell ref="GMY31:GMZ31"/>
    <mergeCell ref="GNA31:GNB31"/>
    <mergeCell ref="GNC31:GND31"/>
    <mergeCell ref="GNE31:GNF31"/>
    <mergeCell ref="GNG31:GNH31"/>
    <mergeCell ref="GNI31:GNJ31"/>
    <mergeCell ref="GMM31:GMN31"/>
    <mergeCell ref="GMO31:GMP31"/>
    <mergeCell ref="GMQ31:GMR31"/>
    <mergeCell ref="GMS31:GMT31"/>
    <mergeCell ref="GMU31:GMV31"/>
    <mergeCell ref="GMW31:GMX31"/>
    <mergeCell ref="GRO31:GRP31"/>
    <mergeCell ref="GRQ31:GRR31"/>
    <mergeCell ref="GRS31:GRT31"/>
    <mergeCell ref="GRU31:GRV31"/>
    <mergeCell ref="GRW31:GRX31"/>
    <mergeCell ref="GRY31:GRZ31"/>
    <mergeCell ref="GRC31:GRD31"/>
    <mergeCell ref="GRE31:GRF31"/>
    <mergeCell ref="GRG31:GRH31"/>
    <mergeCell ref="GRI31:GRJ31"/>
    <mergeCell ref="GRK31:GRL31"/>
    <mergeCell ref="GRM31:GRN31"/>
    <mergeCell ref="GQQ31:GQR31"/>
    <mergeCell ref="GQS31:GQT31"/>
    <mergeCell ref="GQU31:GQV31"/>
    <mergeCell ref="GQW31:GQX31"/>
    <mergeCell ref="GQY31:GQZ31"/>
    <mergeCell ref="GRA31:GRB31"/>
    <mergeCell ref="GQE31:GQF31"/>
    <mergeCell ref="GQG31:GQH31"/>
    <mergeCell ref="GQI31:GQJ31"/>
    <mergeCell ref="GQK31:GQL31"/>
    <mergeCell ref="GQM31:GQN31"/>
    <mergeCell ref="GQO31:GQP31"/>
    <mergeCell ref="GPS31:GPT31"/>
    <mergeCell ref="GPU31:GPV31"/>
    <mergeCell ref="GPW31:GPX31"/>
    <mergeCell ref="GPY31:GPZ31"/>
    <mergeCell ref="GQA31:GQB31"/>
    <mergeCell ref="GQC31:GQD31"/>
    <mergeCell ref="GPG31:GPH31"/>
    <mergeCell ref="GPI31:GPJ31"/>
    <mergeCell ref="GPK31:GPL31"/>
    <mergeCell ref="GPM31:GPN31"/>
    <mergeCell ref="GPO31:GPP31"/>
    <mergeCell ref="GPQ31:GPR31"/>
    <mergeCell ref="GUI31:GUJ31"/>
    <mergeCell ref="GUK31:GUL31"/>
    <mergeCell ref="GUM31:GUN31"/>
    <mergeCell ref="GUO31:GUP31"/>
    <mergeCell ref="GUQ31:GUR31"/>
    <mergeCell ref="GUS31:GUT31"/>
    <mergeCell ref="GTW31:GTX31"/>
    <mergeCell ref="GTY31:GTZ31"/>
    <mergeCell ref="GUA31:GUB31"/>
    <mergeCell ref="GUC31:GUD31"/>
    <mergeCell ref="GUE31:GUF31"/>
    <mergeCell ref="GUG31:GUH31"/>
    <mergeCell ref="GTK31:GTL31"/>
    <mergeCell ref="GTM31:GTN31"/>
    <mergeCell ref="GTO31:GTP31"/>
    <mergeCell ref="GTQ31:GTR31"/>
    <mergeCell ref="GTS31:GTT31"/>
    <mergeCell ref="GTU31:GTV31"/>
    <mergeCell ref="GSY31:GSZ31"/>
    <mergeCell ref="GTA31:GTB31"/>
    <mergeCell ref="GTC31:GTD31"/>
    <mergeCell ref="GTE31:GTF31"/>
    <mergeCell ref="GTG31:GTH31"/>
    <mergeCell ref="GTI31:GTJ31"/>
    <mergeCell ref="GSM31:GSN31"/>
    <mergeCell ref="GSO31:GSP31"/>
    <mergeCell ref="GSQ31:GSR31"/>
    <mergeCell ref="GSS31:GST31"/>
    <mergeCell ref="GSU31:GSV31"/>
    <mergeCell ref="GSW31:GSX31"/>
    <mergeCell ref="GSA31:GSB31"/>
    <mergeCell ref="GSC31:GSD31"/>
    <mergeCell ref="GSE31:GSF31"/>
    <mergeCell ref="GSG31:GSH31"/>
    <mergeCell ref="GSI31:GSJ31"/>
    <mergeCell ref="GSK31:GSL31"/>
    <mergeCell ref="GXC31:GXD31"/>
    <mergeCell ref="GXE31:GXF31"/>
    <mergeCell ref="GXG31:GXH31"/>
    <mergeCell ref="GXI31:GXJ31"/>
    <mergeCell ref="GXK31:GXL31"/>
    <mergeCell ref="GXM31:GXN31"/>
    <mergeCell ref="GWQ31:GWR31"/>
    <mergeCell ref="GWS31:GWT31"/>
    <mergeCell ref="GWU31:GWV31"/>
    <mergeCell ref="GWW31:GWX31"/>
    <mergeCell ref="GWY31:GWZ31"/>
    <mergeCell ref="GXA31:GXB31"/>
    <mergeCell ref="GWE31:GWF31"/>
    <mergeCell ref="GWG31:GWH31"/>
    <mergeCell ref="GWI31:GWJ31"/>
    <mergeCell ref="GWK31:GWL31"/>
    <mergeCell ref="GWM31:GWN31"/>
    <mergeCell ref="GWO31:GWP31"/>
    <mergeCell ref="GVS31:GVT31"/>
    <mergeCell ref="GVU31:GVV31"/>
    <mergeCell ref="GVW31:GVX31"/>
    <mergeCell ref="GVY31:GVZ31"/>
    <mergeCell ref="GWA31:GWB31"/>
    <mergeCell ref="GWC31:GWD31"/>
    <mergeCell ref="GVG31:GVH31"/>
    <mergeCell ref="GVI31:GVJ31"/>
    <mergeCell ref="GVK31:GVL31"/>
    <mergeCell ref="GVM31:GVN31"/>
    <mergeCell ref="GVO31:GVP31"/>
    <mergeCell ref="GVQ31:GVR31"/>
    <mergeCell ref="GUU31:GUV31"/>
    <mergeCell ref="GUW31:GUX31"/>
    <mergeCell ref="GUY31:GUZ31"/>
    <mergeCell ref="GVA31:GVB31"/>
    <mergeCell ref="GVC31:GVD31"/>
    <mergeCell ref="GVE31:GVF31"/>
    <mergeCell ref="GZW31:GZX31"/>
    <mergeCell ref="GZY31:GZZ31"/>
    <mergeCell ref="HAA31:HAB31"/>
    <mergeCell ref="HAC31:HAD31"/>
    <mergeCell ref="HAE31:HAF31"/>
    <mergeCell ref="HAG31:HAH31"/>
    <mergeCell ref="GZK31:GZL31"/>
    <mergeCell ref="GZM31:GZN31"/>
    <mergeCell ref="GZO31:GZP31"/>
    <mergeCell ref="GZQ31:GZR31"/>
    <mergeCell ref="GZS31:GZT31"/>
    <mergeCell ref="GZU31:GZV31"/>
    <mergeCell ref="GYY31:GYZ31"/>
    <mergeCell ref="GZA31:GZB31"/>
    <mergeCell ref="GZC31:GZD31"/>
    <mergeCell ref="GZE31:GZF31"/>
    <mergeCell ref="GZG31:GZH31"/>
    <mergeCell ref="GZI31:GZJ31"/>
    <mergeCell ref="GYM31:GYN31"/>
    <mergeCell ref="GYO31:GYP31"/>
    <mergeCell ref="GYQ31:GYR31"/>
    <mergeCell ref="GYS31:GYT31"/>
    <mergeCell ref="GYU31:GYV31"/>
    <mergeCell ref="GYW31:GYX31"/>
    <mergeCell ref="GYA31:GYB31"/>
    <mergeCell ref="GYC31:GYD31"/>
    <mergeCell ref="GYE31:GYF31"/>
    <mergeCell ref="GYG31:GYH31"/>
    <mergeCell ref="GYI31:GYJ31"/>
    <mergeCell ref="GYK31:GYL31"/>
    <mergeCell ref="GXO31:GXP31"/>
    <mergeCell ref="GXQ31:GXR31"/>
    <mergeCell ref="GXS31:GXT31"/>
    <mergeCell ref="GXU31:GXV31"/>
    <mergeCell ref="GXW31:GXX31"/>
    <mergeCell ref="GXY31:GXZ31"/>
    <mergeCell ref="HCQ31:HCR31"/>
    <mergeCell ref="HCS31:HCT31"/>
    <mergeCell ref="HCU31:HCV31"/>
    <mergeCell ref="HCW31:HCX31"/>
    <mergeCell ref="HCY31:HCZ31"/>
    <mergeCell ref="HDA31:HDB31"/>
    <mergeCell ref="HCE31:HCF31"/>
    <mergeCell ref="HCG31:HCH31"/>
    <mergeCell ref="HCI31:HCJ31"/>
    <mergeCell ref="HCK31:HCL31"/>
    <mergeCell ref="HCM31:HCN31"/>
    <mergeCell ref="HCO31:HCP31"/>
    <mergeCell ref="HBS31:HBT31"/>
    <mergeCell ref="HBU31:HBV31"/>
    <mergeCell ref="HBW31:HBX31"/>
    <mergeCell ref="HBY31:HBZ31"/>
    <mergeCell ref="HCA31:HCB31"/>
    <mergeCell ref="HCC31:HCD31"/>
    <mergeCell ref="HBG31:HBH31"/>
    <mergeCell ref="HBI31:HBJ31"/>
    <mergeCell ref="HBK31:HBL31"/>
    <mergeCell ref="HBM31:HBN31"/>
    <mergeCell ref="HBO31:HBP31"/>
    <mergeCell ref="HBQ31:HBR31"/>
    <mergeCell ref="HAU31:HAV31"/>
    <mergeCell ref="HAW31:HAX31"/>
    <mergeCell ref="HAY31:HAZ31"/>
    <mergeCell ref="HBA31:HBB31"/>
    <mergeCell ref="HBC31:HBD31"/>
    <mergeCell ref="HBE31:HBF31"/>
    <mergeCell ref="HAI31:HAJ31"/>
    <mergeCell ref="HAK31:HAL31"/>
    <mergeCell ref="HAM31:HAN31"/>
    <mergeCell ref="HAO31:HAP31"/>
    <mergeCell ref="HAQ31:HAR31"/>
    <mergeCell ref="HAS31:HAT31"/>
    <mergeCell ref="HFK31:HFL31"/>
    <mergeCell ref="HFM31:HFN31"/>
    <mergeCell ref="HFO31:HFP31"/>
    <mergeCell ref="HFQ31:HFR31"/>
    <mergeCell ref="HFS31:HFT31"/>
    <mergeCell ref="HFU31:HFV31"/>
    <mergeCell ref="HEY31:HEZ31"/>
    <mergeCell ref="HFA31:HFB31"/>
    <mergeCell ref="HFC31:HFD31"/>
    <mergeCell ref="HFE31:HFF31"/>
    <mergeCell ref="HFG31:HFH31"/>
    <mergeCell ref="HFI31:HFJ31"/>
    <mergeCell ref="HEM31:HEN31"/>
    <mergeCell ref="HEO31:HEP31"/>
    <mergeCell ref="HEQ31:HER31"/>
    <mergeCell ref="HES31:HET31"/>
    <mergeCell ref="HEU31:HEV31"/>
    <mergeCell ref="HEW31:HEX31"/>
    <mergeCell ref="HEA31:HEB31"/>
    <mergeCell ref="HEC31:HED31"/>
    <mergeCell ref="HEE31:HEF31"/>
    <mergeCell ref="HEG31:HEH31"/>
    <mergeCell ref="HEI31:HEJ31"/>
    <mergeCell ref="HEK31:HEL31"/>
    <mergeCell ref="HDO31:HDP31"/>
    <mergeCell ref="HDQ31:HDR31"/>
    <mergeCell ref="HDS31:HDT31"/>
    <mergeCell ref="HDU31:HDV31"/>
    <mergeCell ref="HDW31:HDX31"/>
    <mergeCell ref="HDY31:HDZ31"/>
    <mergeCell ref="HDC31:HDD31"/>
    <mergeCell ref="HDE31:HDF31"/>
    <mergeCell ref="HDG31:HDH31"/>
    <mergeCell ref="HDI31:HDJ31"/>
    <mergeCell ref="HDK31:HDL31"/>
    <mergeCell ref="HDM31:HDN31"/>
    <mergeCell ref="HIE31:HIF31"/>
    <mergeCell ref="HIG31:HIH31"/>
    <mergeCell ref="HII31:HIJ31"/>
    <mergeCell ref="HIK31:HIL31"/>
    <mergeCell ref="HIM31:HIN31"/>
    <mergeCell ref="HIO31:HIP31"/>
    <mergeCell ref="HHS31:HHT31"/>
    <mergeCell ref="HHU31:HHV31"/>
    <mergeCell ref="HHW31:HHX31"/>
    <mergeCell ref="HHY31:HHZ31"/>
    <mergeCell ref="HIA31:HIB31"/>
    <mergeCell ref="HIC31:HID31"/>
    <mergeCell ref="HHG31:HHH31"/>
    <mergeCell ref="HHI31:HHJ31"/>
    <mergeCell ref="HHK31:HHL31"/>
    <mergeCell ref="HHM31:HHN31"/>
    <mergeCell ref="HHO31:HHP31"/>
    <mergeCell ref="HHQ31:HHR31"/>
    <mergeCell ref="HGU31:HGV31"/>
    <mergeCell ref="HGW31:HGX31"/>
    <mergeCell ref="HGY31:HGZ31"/>
    <mergeCell ref="HHA31:HHB31"/>
    <mergeCell ref="HHC31:HHD31"/>
    <mergeCell ref="HHE31:HHF31"/>
    <mergeCell ref="HGI31:HGJ31"/>
    <mergeCell ref="HGK31:HGL31"/>
    <mergeCell ref="HGM31:HGN31"/>
    <mergeCell ref="HGO31:HGP31"/>
    <mergeCell ref="HGQ31:HGR31"/>
    <mergeCell ref="HGS31:HGT31"/>
    <mergeCell ref="HFW31:HFX31"/>
    <mergeCell ref="HFY31:HFZ31"/>
    <mergeCell ref="HGA31:HGB31"/>
    <mergeCell ref="HGC31:HGD31"/>
    <mergeCell ref="HGE31:HGF31"/>
    <mergeCell ref="HGG31:HGH31"/>
    <mergeCell ref="HKY31:HKZ31"/>
    <mergeCell ref="HLA31:HLB31"/>
    <mergeCell ref="HLC31:HLD31"/>
    <mergeCell ref="HLE31:HLF31"/>
    <mergeCell ref="HLG31:HLH31"/>
    <mergeCell ref="HLI31:HLJ31"/>
    <mergeCell ref="HKM31:HKN31"/>
    <mergeCell ref="HKO31:HKP31"/>
    <mergeCell ref="HKQ31:HKR31"/>
    <mergeCell ref="HKS31:HKT31"/>
    <mergeCell ref="HKU31:HKV31"/>
    <mergeCell ref="HKW31:HKX31"/>
    <mergeCell ref="HKA31:HKB31"/>
    <mergeCell ref="HKC31:HKD31"/>
    <mergeCell ref="HKE31:HKF31"/>
    <mergeCell ref="HKG31:HKH31"/>
    <mergeCell ref="HKI31:HKJ31"/>
    <mergeCell ref="HKK31:HKL31"/>
    <mergeCell ref="HJO31:HJP31"/>
    <mergeCell ref="HJQ31:HJR31"/>
    <mergeCell ref="HJS31:HJT31"/>
    <mergeCell ref="HJU31:HJV31"/>
    <mergeCell ref="HJW31:HJX31"/>
    <mergeCell ref="HJY31:HJZ31"/>
    <mergeCell ref="HJC31:HJD31"/>
    <mergeCell ref="HJE31:HJF31"/>
    <mergeCell ref="HJG31:HJH31"/>
    <mergeCell ref="HJI31:HJJ31"/>
    <mergeCell ref="HJK31:HJL31"/>
    <mergeCell ref="HJM31:HJN31"/>
    <mergeCell ref="HIQ31:HIR31"/>
    <mergeCell ref="HIS31:HIT31"/>
    <mergeCell ref="HIU31:HIV31"/>
    <mergeCell ref="HIW31:HIX31"/>
    <mergeCell ref="HIY31:HIZ31"/>
    <mergeCell ref="HJA31:HJB31"/>
    <mergeCell ref="HNS31:HNT31"/>
    <mergeCell ref="HNU31:HNV31"/>
    <mergeCell ref="HNW31:HNX31"/>
    <mergeCell ref="HNY31:HNZ31"/>
    <mergeCell ref="HOA31:HOB31"/>
    <mergeCell ref="HOC31:HOD31"/>
    <mergeCell ref="HNG31:HNH31"/>
    <mergeCell ref="HNI31:HNJ31"/>
    <mergeCell ref="HNK31:HNL31"/>
    <mergeCell ref="HNM31:HNN31"/>
    <mergeCell ref="HNO31:HNP31"/>
    <mergeCell ref="HNQ31:HNR31"/>
    <mergeCell ref="HMU31:HMV31"/>
    <mergeCell ref="HMW31:HMX31"/>
    <mergeCell ref="HMY31:HMZ31"/>
    <mergeCell ref="HNA31:HNB31"/>
    <mergeCell ref="HNC31:HND31"/>
    <mergeCell ref="HNE31:HNF31"/>
    <mergeCell ref="HMI31:HMJ31"/>
    <mergeCell ref="HMK31:HML31"/>
    <mergeCell ref="HMM31:HMN31"/>
    <mergeCell ref="HMO31:HMP31"/>
    <mergeCell ref="HMQ31:HMR31"/>
    <mergeCell ref="HMS31:HMT31"/>
    <mergeCell ref="HLW31:HLX31"/>
    <mergeCell ref="HLY31:HLZ31"/>
    <mergeCell ref="HMA31:HMB31"/>
    <mergeCell ref="HMC31:HMD31"/>
    <mergeCell ref="HME31:HMF31"/>
    <mergeCell ref="HMG31:HMH31"/>
    <mergeCell ref="HLK31:HLL31"/>
    <mergeCell ref="HLM31:HLN31"/>
    <mergeCell ref="HLO31:HLP31"/>
    <mergeCell ref="HLQ31:HLR31"/>
    <mergeCell ref="HLS31:HLT31"/>
    <mergeCell ref="HLU31:HLV31"/>
    <mergeCell ref="HQM31:HQN31"/>
    <mergeCell ref="HQO31:HQP31"/>
    <mergeCell ref="HQQ31:HQR31"/>
    <mergeCell ref="HQS31:HQT31"/>
    <mergeCell ref="HQU31:HQV31"/>
    <mergeCell ref="HQW31:HQX31"/>
    <mergeCell ref="HQA31:HQB31"/>
    <mergeCell ref="HQC31:HQD31"/>
    <mergeCell ref="HQE31:HQF31"/>
    <mergeCell ref="HQG31:HQH31"/>
    <mergeCell ref="HQI31:HQJ31"/>
    <mergeCell ref="HQK31:HQL31"/>
    <mergeCell ref="HPO31:HPP31"/>
    <mergeCell ref="HPQ31:HPR31"/>
    <mergeCell ref="HPS31:HPT31"/>
    <mergeCell ref="HPU31:HPV31"/>
    <mergeCell ref="HPW31:HPX31"/>
    <mergeCell ref="HPY31:HPZ31"/>
    <mergeCell ref="HPC31:HPD31"/>
    <mergeCell ref="HPE31:HPF31"/>
    <mergeCell ref="HPG31:HPH31"/>
    <mergeCell ref="HPI31:HPJ31"/>
    <mergeCell ref="HPK31:HPL31"/>
    <mergeCell ref="HPM31:HPN31"/>
    <mergeCell ref="HOQ31:HOR31"/>
    <mergeCell ref="HOS31:HOT31"/>
    <mergeCell ref="HOU31:HOV31"/>
    <mergeCell ref="HOW31:HOX31"/>
    <mergeCell ref="HOY31:HOZ31"/>
    <mergeCell ref="HPA31:HPB31"/>
    <mergeCell ref="HOE31:HOF31"/>
    <mergeCell ref="HOG31:HOH31"/>
    <mergeCell ref="HOI31:HOJ31"/>
    <mergeCell ref="HOK31:HOL31"/>
    <mergeCell ref="HOM31:HON31"/>
    <mergeCell ref="HOO31:HOP31"/>
    <mergeCell ref="HTG31:HTH31"/>
    <mergeCell ref="HTI31:HTJ31"/>
    <mergeCell ref="HTK31:HTL31"/>
    <mergeCell ref="HTM31:HTN31"/>
    <mergeCell ref="HTO31:HTP31"/>
    <mergeCell ref="HTQ31:HTR31"/>
    <mergeCell ref="HSU31:HSV31"/>
    <mergeCell ref="HSW31:HSX31"/>
    <mergeCell ref="HSY31:HSZ31"/>
    <mergeCell ref="HTA31:HTB31"/>
    <mergeCell ref="HTC31:HTD31"/>
    <mergeCell ref="HTE31:HTF31"/>
    <mergeCell ref="HSI31:HSJ31"/>
    <mergeCell ref="HSK31:HSL31"/>
    <mergeCell ref="HSM31:HSN31"/>
    <mergeCell ref="HSO31:HSP31"/>
    <mergeCell ref="HSQ31:HSR31"/>
    <mergeCell ref="HSS31:HST31"/>
    <mergeCell ref="HRW31:HRX31"/>
    <mergeCell ref="HRY31:HRZ31"/>
    <mergeCell ref="HSA31:HSB31"/>
    <mergeCell ref="HSC31:HSD31"/>
    <mergeCell ref="HSE31:HSF31"/>
    <mergeCell ref="HSG31:HSH31"/>
    <mergeCell ref="HRK31:HRL31"/>
    <mergeCell ref="HRM31:HRN31"/>
    <mergeCell ref="HRO31:HRP31"/>
    <mergeCell ref="HRQ31:HRR31"/>
    <mergeCell ref="HRS31:HRT31"/>
    <mergeCell ref="HRU31:HRV31"/>
    <mergeCell ref="HQY31:HQZ31"/>
    <mergeCell ref="HRA31:HRB31"/>
    <mergeCell ref="HRC31:HRD31"/>
    <mergeCell ref="HRE31:HRF31"/>
    <mergeCell ref="HRG31:HRH31"/>
    <mergeCell ref="HRI31:HRJ31"/>
    <mergeCell ref="HWA31:HWB31"/>
    <mergeCell ref="HWC31:HWD31"/>
    <mergeCell ref="HWE31:HWF31"/>
    <mergeCell ref="HWG31:HWH31"/>
    <mergeCell ref="HWI31:HWJ31"/>
    <mergeCell ref="HWK31:HWL31"/>
    <mergeCell ref="HVO31:HVP31"/>
    <mergeCell ref="HVQ31:HVR31"/>
    <mergeCell ref="HVS31:HVT31"/>
    <mergeCell ref="HVU31:HVV31"/>
    <mergeCell ref="HVW31:HVX31"/>
    <mergeCell ref="HVY31:HVZ31"/>
    <mergeCell ref="HVC31:HVD31"/>
    <mergeCell ref="HVE31:HVF31"/>
    <mergeCell ref="HVG31:HVH31"/>
    <mergeCell ref="HVI31:HVJ31"/>
    <mergeCell ref="HVK31:HVL31"/>
    <mergeCell ref="HVM31:HVN31"/>
    <mergeCell ref="HUQ31:HUR31"/>
    <mergeCell ref="HUS31:HUT31"/>
    <mergeCell ref="HUU31:HUV31"/>
    <mergeCell ref="HUW31:HUX31"/>
    <mergeCell ref="HUY31:HUZ31"/>
    <mergeCell ref="HVA31:HVB31"/>
    <mergeCell ref="HUE31:HUF31"/>
    <mergeCell ref="HUG31:HUH31"/>
    <mergeCell ref="HUI31:HUJ31"/>
    <mergeCell ref="HUK31:HUL31"/>
    <mergeCell ref="HUM31:HUN31"/>
    <mergeCell ref="HUO31:HUP31"/>
    <mergeCell ref="HTS31:HTT31"/>
    <mergeCell ref="HTU31:HTV31"/>
    <mergeCell ref="HTW31:HTX31"/>
    <mergeCell ref="HTY31:HTZ31"/>
    <mergeCell ref="HUA31:HUB31"/>
    <mergeCell ref="HUC31:HUD31"/>
    <mergeCell ref="HYU31:HYV31"/>
    <mergeCell ref="HYW31:HYX31"/>
    <mergeCell ref="HYY31:HYZ31"/>
    <mergeCell ref="HZA31:HZB31"/>
    <mergeCell ref="HZC31:HZD31"/>
    <mergeCell ref="HZE31:HZF31"/>
    <mergeCell ref="HYI31:HYJ31"/>
    <mergeCell ref="HYK31:HYL31"/>
    <mergeCell ref="HYM31:HYN31"/>
    <mergeCell ref="HYO31:HYP31"/>
    <mergeCell ref="HYQ31:HYR31"/>
    <mergeCell ref="HYS31:HYT31"/>
    <mergeCell ref="HXW31:HXX31"/>
    <mergeCell ref="HXY31:HXZ31"/>
    <mergeCell ref="HYA31:HYB31"/>
    <mergeCell ref="HYC31:HYD31"/>
    <mergeCell ref="HYE31:HYF31"/>
    <mergeCell ref="HYG31:HYH31"/>
    <mergeCell ref="HXK31:HXL31"/>
    <mergeCell ref="HXM31:HXN31"/>
    <mergeCell ref="HXO31:HXP31"/>
    <mergeCell ref="HXQ31:HXR31"/>
    <mergeCell ref="HXS31:HXT31"/>
    <mergeCell ref="HXU31:HXV31"/>
    <mergeCell ref="HWY31:HWZ31"/>
    <mergeCell ref="HXA31:HXB31"/>
    <mergeCell ref="HXC31:HXD31"/>
    <mergeCell ref="HXE31:HXF31"/>
    <mergeCell ref="HXG31:HXH31"/>
    <mergeCell ref="HXI31:HXJ31"/>
    <mergeCell ref="HWM31:HWN31"/>
    <mergeCell ref="HWO31:HWP31"/>
    <mergeCell ref="HWQ31:HWR31"/>
    <mergeCell ref="HWS31:HWT31"/>
    <mergeCell ref="HWU31:HWV31"/>
    <mergeCell ref="HWW31:HWX31"/>
    <mergeCell ref="IBO31:IBP31"/>
    <mergeCell ref="IBQ31:IBR31"/>
    <mergeCell ref="IBS31:IBT31"/>
    <mergeCell ref="IBU31:IBV31"/>
    <mergeCell ref="IBW31:IBX31"/>
    <mergeCell ref="IBY31:IBZ31"/>
    <mergeCell ref="IBC31:IBD31"/>
    <mergeCell ref="IBE31:IBF31"/>
    <mergeCell ref="IBG31:IBH31"/>
    <mergeCell ref="IBI31:IBJ31"/>
    <mergeCell ref="IBK31:IBL31"/>
    <mergeCell ref="IBM31:IBN31"/>
    <mergeCell ref="IAQ31:IAR31"/>
    <mergeCell ref="IAS31:IAT31"/>
    <mergeCell ref="IAU31:IAV31"/>
    <mergeCell ref="IAW31:IAX31"/>
    <mergeCell ref="IAY31:IAZ31"/>
    <mergeCell ref="IBA31:IBB31"/>
    <mergeCell ref="IAE31:IAF31"/>
    <mergeCell ref="IAG31:IAH31"/>
    <mergeCell ref="IAI31:IAJ31"/>
    <mergeCell ref="IAK31:IAL31"/>
    <mergeCell ref="IAM31:IAN31"/>
    <mergeCell ref="IAO31:IAP31"/>
    <mergeCell ref="HZS31:HZT31"/>
    <mergeCell ref="HZU31:HZV31"/>
    <mergeCell ref="HZW31:HZX31"/>
    <mergeCell ref="HZY31:HZZ31"/>
    <mergeCell ref="IAA31:IAB31"/>
    <mergeCell ref="IAC31:IAD31"/>
    <mergeCell ref="HZG31:HZH31"/>
    <mergeCell ref="HZI31:HZJ31"/>
    <mergeCell ref="HZK31:HZL31"/>
    <mergeCell ref="HZM31:HZN31"/>
    <mergeCell ref="HZO31:HZP31"/>
    <mergeCell ref="HZQ31:HZR31"/>
    <mergeCell ref="IEI31:IEJ31"/>
    <mergeCell ref="IEK31:IEL31"/>
    <mergeCell ref="IEM31:IEN31"/>
    <mergeCell ref="IEO31:IEP31"/>
    <mergeCell ref="IEQ31:IER31"/>
    <mergeCell ref="IES31:IET31"/>
    <mergeCell ref="IDW31:IDX31"/>
    <mergeCell ref="IDY31:IDZ31"/>
    <mergeCell ref="IEA31:IEB31"/>
    <mergeCell ref="IEC31:IED31"/>
    <mergeCell ref="IEE31:IEF31"/>
    <mergeCell ref="IEG31:IEH31"/>
    <mergeCell ref="IDK31:IDL31"/>
    <mergeCell ref="IDM31:IDN31"/>
    <mergeCell ref="IDO31:IDP31"/>
    <mergeCell ref="IDQ31:IDR31"/>
    <mergeCell ref="IDS31:IDT31"/>
    <mergeCell ref="IDU31:IDV31"/>
    <mergeCell ref="ICY31:ICZ31"/>
    <mergeCell ref="IDA31:IDB31"/>
    <mergeCell ref="IDC31:IDD31"/>
    <mergeCell ref="IDE31:IDF31"/>
    <mergeCell ref="IDG31:IDH31"/>
    <mergeCell ref="IDI31:IDJ31"/>
    <mergeCell ref="ICM31:ICN31"/>
    <mergeCell ref="ICO31:ICP31"/>
    <mergeCell ref="ICQ31:ICR31"/>
    <mergeCell ref="ICS31:ICT31"/>
    <mergeCell ref="ICU31:ICV31"/>
    <mergeCell ref="ICW31:ICX31"/>
    <mergeCell ref="ICA31:ICB31"/>
    <mergeCell ref="ICC31:ICD31"/>
    <mergeCell ref="ICE31:ICF31"/>
    <mergeCell ref="ICG31:ICH31"/>
    <mergeCell ref="ICI31:ICJ31"/>
    <mergeCell ref="ICK31:ICL31"/>
    <mergeCell ref="IHC31:IHD31"/>
    <mergeCell ref="IHE31:IHF31"/>
    <mergeCell ref="IHG31:IHH31"/>
    <mergeCell ref="IHI31:IHJ31"/>
    <mergeCell ref="IHK31:IHL31"/>
    <mergeCell ref="IHM31:IHN31"/>
    <mergeCell ref="IGQ31:IGR31"/>
    <mergeCell ref="IGS31:IGT31"/>
    <mergeCell ref="IGU31:IGV31"/>
    <mergeCell ref="IGW31:IGX31"/>
    <mergeCell ref="IGY31:IGZ31"/>
    <mergeCell ref="IHA31:IHB31"/>
    <mergeCell ref="IGE31:IGF31"/>
    <mergeCell ref="IGG31:IGH31"/>
    <mergeCell ref="IGI31:IGJ31"/>
    <mergeCell ref="IGK31:IGL31"/>
    <mergeCell ref="IGM31:IGN31"/>
    <mergeCell ref="IGO31:IGP31"/>
    <mergeCell ref="IFS31:IFT31"/>
    <mergeCell ref="IFU31:IFV31"/>
    <mergeCell ref="IFW31:IFX31"/>
    <mergeCell ref="IFY31:IFZ31"/>
    <mergeCell ref="IGA31:IGB31"/>
    <mergeCell ref="IGC31:IGD31"/>
    <mergeCell ref="IFG31:IFH31"/>
    <mergeCell ref="IFI31:IFJ31"/>
    <mergeCell ref="IFK31:IFL31"/>
    <mergeCell ref="IFM31:IFN31"/>
    <mergeCell ref="IFO31:IFP31"/>
    <mergeCell ref="IFQ31:IFR31"/>
    <mergeCell ref="IEU31:IEV31"/>
    <mergeCell ref="IEW31:IEX31"/>
    <mergeCell ref="IEY31:IEZ31"/>
    <mergeCell ref="IFA31:IFB31"/>
    <mergeCell ref="IFC31:IFD31"/>
    <mergeCell ref="IFE31:IFF31"/>
    <mergeCell ref="IJW31:IJX31"/>
    <mergeCell ref="IJY31:IJZ31"/>
    <mergeCell ref="IKA31:IKB31"/>
    <mergeCell ref="IKC31:IKD31"/>
    <mergeCell ref="IKE31:IKF31"/>
    <mergeCell ref="IKG31:IKH31"/>
    <mergeCell ref="IJK31:IJL31"/>
    <mergeCell ref="IJM31:IJN31"/>
    <mergeCell ref="IJO31:IJP31"/>
    <mergeCell ref="IJQ31:IJR31"/>
    <mergeCell ref="IJS31:IJT31"/>
    <mergeCell ref="IJU31:IJV31"/>
    <mergeCell ref="IIY31:IIZ31"/>
    <mergeCell ref="IJA31:IJB31"/>
    <mergeCell ref="IJC31:IJD31"/>
    <mergeCell ref="IJE31:IJF31"/>
    <mergeCell ref="IJG31:IJH31"/>
    <mergeCell ref="IJI31:IJJ31"/>
    <mergeCell ref="IIM31:IIN31"/>
    <mergeCell ref="IIO31:IIP31"/>
    <mergeCell ref="IIQ31:IIR31"/>
    <mergeCell ref="IIS31:IIT31"/>
    <mergeCell ref="IIU31:IIV31"/>
    <mergeCell ref="IIW31:IIX31"/>
    <mergeCell ref="IIA31:IIB31"/>
    <mergeCell ref="IIC31:IID31"/>
    <mergeCell ref="IIE31:IIF31"/>
    <mergeCell ref="IIG31:IIH31"/>
    <mergeCell ref="III31:IIJ31"/>
    <mergeCell ref="IIK31:IIL31"/>
    <mergeCell ref="IHO31:IHP31"/>
    <mergeCell ref="IHQ31:IHR31"/>
    <mergeCell ref="IHS31:IHT31"/>
    <mergeCell ref="IHU31:IHV31"/>
    <mergeCell ref="IHW31:IHX31"/>
    <mergeCell ref="IHY31:IHZ31"/>
    <mergeCell ref="IMQ31:IMR31"/>
    <mergeCell ref="IMS31:IMT31"/>
    <mergeCell ref="IMU31:IMV31"/>
    <mergeCell ref="IMW31:IMX31"/>
    <mergeCell ref="IMY31:IMZ31"/>
    <mergeCell ref="INA31:INB31"/>
    <mergeCell ref="IME31:IMF31"/>
    <mergeCell ref="IMG31:IMH31"/>
    <mergeCell ref="IMI31:IMJ31"/>
    <mergeCell ref="IMK31:IML31"/>
    <mergeCell ref="IMM31:IMN31"/>
    <mergeCell ref="IMO31:IMP31"/>
    <mergeCell ref="ILS31:ILT31"/>
    <mergeCell ref="ILU31:ILV31"/>
    <mergeCell ref="ILW31:ILX31"/>
    <mergeCell ref="ILY31:ILZ31"/>
    <mergeCell ref="IMA31:IMB31"/>
    <mergeCell ref="IMC31:IMD31"/>
    <mergeCell ref="ILG31:ILH31"/>
    <mergeCell ref="ILI31:ILJ31"/>
    <mergeCell ref="ILK31:ILL31"/>
    <mergeCell ref="ILM31:ILN31"/>
    <mergeCell ref="ILO31:ILP31"/>
    <mergeCell ref="ILQ31:ILR31"/>
    <mergeCell ref="IKU31:IKV31"/>
    <mergeCell ref="IKW31:IKX31"/>
    <mergeCell ref="IKY31:IKZ31"/>
    <mergeCell ref="ILA31:ILB31"/>
    <mergeCell ref="ILC31:ILD31"/>
    <mergeCell ref="ILE31:ILF31"/>
    <mergeCell ref="IKI31:IKJ31"/>
    <mergeCell ref="IKK31:IKL31"/>
    <mergeCell ref="IKM31:IKN31"/>
    <mergeCell ref="IKO31:IKP31"/>
    <mergeCell ref="IKQ31:IKR31"/>
    <mergeCell ref="IKS31:IKT31"/>
    <mergeCell ref="IPK31:IPL31"/>
    <mergeCell ref="IPM31:IPN31"/>
    <mergeCell ref="IPO31:IPP31"/>
    <mergeCell ref="IPQ31:IPR31"/>
    <mergeCell ref="IPS31:IPT31"/>
    <mergeCell ref="IPU31:IPV31"/>
    <mergeCell ref="IOY31:IOZ31"/>
    <mergeCell ref="IPA31:IPB31"/>
    <mergeCell ref="IPC31:IPD31"/>
    <mergeCell ref="IPE31:IPF31"/>
    <mergeCell ref="IPG31:IPH31"/>
    <mergeCell ref="IPI31:IPJ31"/>
    <mergeCell ref="IOM31:ION31"/>
    <mergeCell ref="IOO31:IOP31"/>
    <mergeCell ref="IOQ31:IOR31"/>
    <mergeCell ref="IOS31:IOT31"/>
    <mergeCell ref="IOU31:IOV31"/>
    <mergeCell ref="IOW31:IOX31"/>
    <mergeCell ref="IOA31:IOB31"/>
    <mergeCell ref="IOC31:IOD31"/>
    <mergeCell ref="IOE31:IOF31"/>
    <mergeCell ref="IOG31:IOH31"/>
    <mergeCell ref="IOI31:IOJ31"/>
    <mergeCell ref="IOK31:IOL31"/>
    <mergeCell ref="INO31:INP31"/>
    <mergeCell ref="INQ31:INR31"/>
    <mergeCell ref="INS31:INT31"/>
    <mergeCell ref="INU31:INV31"/>
    <mergeCell ref="INW31:INX31"/>
    <mergeCell ref="INY31:INZ31"/>
    <mergeCell ref="INC31:IND31"/>
    <mergeCell ref="INE31:INF31"/>
    <mergeCell ref="ING31:INH31"/>
    <mergeCell ref="INI31:INJ31"/>
    <mergeCell ref="INK31:INL31"/>
    <mergeCell ref="INM31:INN31"/>
    <mergeCell ref="ISE31:ISF31"/>
    <mergeCell ref="ISG31:ISH31"/>
    <mergeCell ref="ISI31:ISJ31"/>
    <mergeCell ref="ISK31:ISL31"/>
    <mergeCell ref="ISM31:ISN31"/>
    <mergeCell ref="ISO31:ISP31"/>
    <mergeCell ref="IRS31:IRT31"/>
    <mergeCell ref="IRU31:IRV31"/>
    <mergeCell ref="IRW31:IRX31"/>
    <mergeCell ref="IRY31:IRZ31"/>
    <mergeCell ref="ISA31:ISB31"/>
    <mergeCell ref="ISC31:ISD31"/>
    <mergeCell ref="IRG31:IRH31"/>
    <mergeCell ref="IRI31:IRJ31"/>
    <mergeCell ref="IRK31:IRL31"/>
    <mergeCell ref="IRM31:IRN31"/>
    <mergeCell ref="IRO31:IRP31"/>
    <mergeCell ref="IRQ31:IRR31"/>
    <mergeCell ref="IQU31:IQV31"/>
    <mergeCell ref="IQW31:IQX31"/>
    <mergeCell ref="IQY31:IQZ31"/>
    <mergeCell ref="IRA31:IRB31"/>
    <mergeCell ref="IRC31:IRD31"/>
    <mergeCell ref="IRE31:IRF31"/>
    <mergeCell ref="IQI31:IQJ31"/>
    <mergeCell ref="IQK31:IQL31"/>
    <mergeCell ref="IQM31:IQN31"/>
    <mergeCell ref="IQO31:IQP31"/>
    <mergeCell ref="IQQ31:IQR31"/>
    <mergeCell ref="IQS31:IQT31"/>
    <mergeCell ref="IPW31:IPX31"/>
    <mergeCell ref="IPY31:IPZ31"/>
    <mergeCell ref="IQA31:IQB31"/>
    <mergeCell ref="IQC31:IQD31"/>
    <mergeCell ref="IQE31:IQF31"/>
    <mergeCell ref="IQG31:IQH31"/>
    <mergeCell ref="IUY31:IUZ31"/>
    <mergeCell ref="IVA31:IVB31"/>
    <mergeCell ref="IVC31:IVD31"/>
    <mergeCell ref="IVE31:IVF31"/>
    <mergeCell ref="IVG31:IVH31"/>
    <mergeCell ref="IVI31:IVJ31"/>
    <mergeCell ref="IUM31:IUN31"/>
    <mergeCell ref="IUO31:IUP31"/>
    <mergeCell ref="IUQ31:IUR31"/>
    <mergeCell ref="IUS31:IUT31"/>
    <mergeCell ref="IUU31:IUV31"/>
    <mergeCell ref="IUW31:IUX31"/>
    <mergeCell ref="IUA31:IUB31"/>
    <mergeCell ref="IUC31:IUD31"/>
    <mergeCell ref="IUE31:IUF31"/>
    <mergeCell ref="IUG31:IUH31"/>
    <mergeCell ref="IUI31:IUJ31"/>
    <mergeCell ref="IUK31:IUL31"/>
    <mergeCell ref="ITO31:ITP31"/>
    <mergeCell ref="ITQ31:ITR31"/>
    <mergeCell ref="ITS31:ITT31"/>
    <mergeCell ref="ITU31:ITV31"/>
    <mergeCell ref="ITW31:ITX31"/>
    <mergeCell ref="ITY31:ITZ31"/>
    <mergeCell ref="ITC31:ITD31"/>
    <mergeCell ref="ITE31:ITF31"/>
    <mergeCell ref="ITG31:ITH31"/>
    <mergeCell ref="ITI31:ITJ31"/>
    <mergeCell ref="ITK31:ITL31"/>
    <mergeCell ref="ITM31:ITN31"/>
    <mergeCell ref="ISQ31:ISR31"/>
    <mergeCell ref="ISS31:IST31"/>
    <mergeCell ref="ISU31:ISV31"/>
    <mergeCell ref="ISW31:ISX31"/>
    <mergeCell ref="ISY31:ISZ31"/>
    <mergeCell ref="ITA31:ITB31"/>
    <mergeCell ref="IXS31:IXT31"/>
    <mergeCell ref="IXU31:IXV31"/>
    <mergeCell ref="IXW31:IXX31"/>
    <mergeCell ref="IXY31:IXZ31"/>
    <mergeCell ref="IYA31:IYB31"/>
    <mergeCell ref="IYC31:IYD31"/>
    <mergeCell ref="IXG31:IXH31"/>
    <mergeCell ref="IXI31:IXJ31"/>
    <mergeCell ref="IXK31:IXL31"/>
    <mergeCell ref="IXM31:IXN31"/>
    <mergeCell ref="IXO31:IXP31"/>
    <mergeCell ref="IXQ31:IXR31"/>
    <mergeCell ref="IWU31:IWV31"/>
    <mergeCell ref="IWW31:IWX31"/>
    <mergeCell ref="IWY31:IWZ31"/>
    <mergeCell ref="IXA31:IXB31"/>
    <mergeCell ref="IXC31:IXD31"/>
    <mergeCell ref="IXE31:IXF31"/>
    <mergeCell ref="IWI31:IWJ31"/>
    <mergeCell ref="IWK31:IWL31"/>
    <mergeCell ref="IWM31:IWN31"/>
    <mergeCell ref="IWO31:IWP31"/>
    <mergeCell ref="IWQ31:IWR31"/>
    <mergeCell ref="IWS31:IWT31"/>
    <mergeCell ref="IVW31:IVX31"/>
    <mergeCell ref="IVY31:IVZ31"/>
    <mergeCell ref="IWA31:IWB31"/>
    <mergeCell ref="IWC31:IWD31"/>
    <mergeCell ref="IWE31:IWF31"/>
    <mergeCell ref="IWG31:IWH31"/>
    <mergeCell ref="IVK31:IVL31"/>
    <mergeCell ref="IVM31:IVN31"/>
    <mergeCell ref="IVO31:IVP31"/>
    <mergeCell ref="IVQ31:IVR31"/>
    <mergeCell ref="IVS31:IVT31"/>
    <mergeCell ref="IVU31:IVV31"/>
    <mergeCell ref="JAM31:JAN31"/>
    <mergeCell ref="JAO31:JAP31"/>
    <mergeCell ref="JAQ31:JAR31"/>
    <mergeCell ref="JAS31:JAT31"/>
    <mergeCell ref="JAU31:JAV31"/>
    <mergeCell ref="JAW31:JAX31"/>
    <mergeCell ref="JAA31:JAB31"/>
    <mergeCell ref="JAC31:JAD31"/>
    <mergeCell ref="JAE31:JAF31"/>
    <mergeCell ref="JAG31:JAH31"/>
    <mergeCell ref="JAI31:JAJ31"/>
    <mergeCell ref="JAK31:JAL31"/>
    <mergeCell ref="IZO31:IZP31"/>
    <mergeCell ref="IZQ31:IZR31"/>
    <mergeCell ref="IZS31:IZT31"/>
    <mergeCell ref="IZU31:IZV31"/>
    <mergeCell ref="IZW31:IZX31"/>
    <mergeCell ref="IZY31:IZZ31"/>
    <mergeCell ref="IZC31:IZD31"/>
    <mergeCell ref="IZE31:IZF31"/>
    <mergeCell ref="IZG31:IZH31"/>
    <mergeCell ref="IZI31:IZJ31"/>
    <mergeCell ref="IZK31:IZL31"/>
    <mergeCell ref="IZM31:IZN31"/>
    <mergeCell ref="IYQ31:IYR31"/>
    <mergeCell ref="IYS31:IYT31"/>
    <mergeCell ref="IYU31:IYV31"/>
    <mergeCell ref="IYW31:IYX31"/>
    <mergeCell ref="IYY31:IYZ31"/>
    <mergeCell ref="IZA31:IZB31"/>
    <mergeCell ref="IYE31:IYF31"/>
    <mergeCell ref="IYG31:IYH31"/>
    <mergeCell ref="IYI31:IYJ31"/>
    <mergeCell ref="IYK31:IYL31"/>
    <mergeCell ref="IYM31:IYN31"/>
    <mergeCell ref="IYO31:IYP31"/>
    <mergeCell ref="JDG31:JDH31"/>
    <mergeCell ref="JDI31:JDJ31"/>
    <mergeCell ref="JDK31:JDL31"/>
    <mergeCell ref="JDM31:JDN31"/>
    <mergeCell ref="JDO31:JDP31"/>
    <mergeCell ref="JDQ31:JDR31"/>
    <mergeCell ref="JCU31:JCV31"/>
    <mergeCell ref="JCW31:JCX31"/>
    <mergeCell ref="JCY31:JCZ31"/>
    <mergeCell ref="JDA31:JDB31"/>
    <mergeCell ref="JDC31:JDD31"/>
    <mergeCell ref="JDE31:JDF31"/>
    <mergeCell ref="JCI31:JCJ31"/>
    <mergeCell ref="JCK31:JCL31"/>
    <mergeCell ref="JCM31:JCN31"/>
    <mergeCell ref="JCO31:JCP31"/>
    <mergeCell ref="JCQ31:JCR31"/>
    <mergeCell ref="JCS31:JCT31"/>
    <mergeCell ref="JBW31:JBX31"/>
    <mergeCell ref="JBY31:JBZ31"/>
    <mergeCell ref="JCA31:JCB31"/>
    <mergeCell ref="JCC31:JCD31"/>
    <mergeCell ref="JCE31:JCF31"/>
    <mergeCell ref="JCG31:JCH31"/>
    <mergeCell ref="JBK31:JBL31"/>
    <mergeCell ref="JBM31:JBN31"/>
    <mergeCell ref="JBO31:JBP31"/>
    <mergeCell ref="JBQ31:JBR31"/>
    <mergeCell ref="JBS31:JBT31"/>
    <mergeCell ref="JBU31:JBV31"/>
    <mergeCell ref="JAY31:JAZ31"/>
    <mergeCell ref="JBA31:JBB31"/>
    <mergeCell ref="JBC31:JBD31"/>
    <mergeCell ref="JBE31:JBF31"/>
    <mergeCell ref="JBG31:JBH31"/>
    <mergeCell ref="JBI31:JBJ31"/>
    <mergeCell ref="JGA31:JGB31"/>
    <mergeCell ref="JGC31:JGD31"/>
    <mergeCell ref="JGE31:JGF31"/>
    <mergeCell ref="JGG31:JGH31"/>
    <mergeCell ref="JGI31:JGJ31"/>
    <mergeCell ref="JGK31:JGL31"/>
    <mergeCell ref="JFO31:JFP31"/>
    <mergeCell ref="JFQ31:JFR31"/>
    <mergeCell ref="JFS31:JFT31"/>
    <mergeCell ref="JFU31:JFV31"/>
    <mergeCell ref="JFW31:JFX31"/>
    <mergeCell ref="JFY31:JFZ31"/>
    <mergeCell ref="JFC31:JFD31"/>
    <mergeCell ref="JFE31:JFF31"/>
    <mergeCell ref="JFG31:JFH31"/>
    <mergeCell ref="JFI31:JFJ31"/>
    <mergeCell ref="JFK31:JFL31"/>
    <mergeCell ref="JFM31:JFN31"/>
    <mergeCell ref="JEQ31:JER31"/>
    <mergeCell ref="JES31:JET31"/>
    <mergeCell ref="JEU31:JEV31"/>
    <mergeCell ref="JEW31:JEX31"/>
    <mergeCell ref="JEY31:JEZ31"/>
    <mergeCell ref="JFA31:JFB31"/>
    <mergeCell ref="JEE31:JEF31"/>
    <mergeCell ref="JEG31:JEH31"/>
    <mergeCell ref="JEI31:JEJ31"/>
    <mergeCell ref="JEK31:JEL31"/>
    <mergeCell ref="JEM31:JEN31"/>
    <mergeCell ref="JEO31:JEP31"/>
    <mergeCell ref="JDS31:JDT31"/>
    <mergeCell ref="JDU31:JDV31"/>
    <mergeCell ref="JDW31:JDX31"/>
    <mergeCell ref="JDY31:JDZ31"/>
    <mergeCell ref="JEA31:JEB31"/>
    <mergeCell ref="JEC31:JED31"/>
    <mergeCell ref="JIU31:JIV31"/>
    <mergeCell ref="JIW31:JIX31"/>
    <mergeCell ref="JIY31:JIZ31"/>
    <mergeCell ref="JJA31:JJB31"/>
    <mergeCell ref="JJC31:JJD31"/>
    <mergeCell ref="JJE31:JJF31"/>
    <mergeCell ref="JII31:JIJ31"/>
    <mergeCell ref="JIK31:JIL31"/>
    <mergeCell ref="JIM31:JIN31"/>
    <mergeCell ref="JIO31:JIP31"/>
    <mergeCell ref="JIQ31:JIR31"/>
    <mergeCell ref="JIS31:JIT31"/>
    <mergeCell ref="JHW31:JHX31"/>
    <mergeCell ref="JHY31:JHZ31"/>
    <mergeCell ref="JIA31:JIB31"/>
    <mergeCell ref="JIC31:JID31"/>
    <mergeCell ref="JIE31:JIF31"/>
    <mergeCell ref="JIG31:JIH31"/>
    <mergeCell ref="JHK31:JHL31"/>
    <mergeCell ref="JHM31:JHN31"/>
    <mergeCell ref="JHO31:JHP31"/>
    <mergeCell ref="JHQ31:JHR31"/>
    <mergeCell ref="JHS31:JHT31"/>
    <mergeCell ref="JHU31:JHV31"/>
    <mergeCell ref="JGY31:JGZ31"/>
    <mergeCell ref="JHA31:JHB31"/>
    <mergeCell ref="JHC31:JHD31"/>
    <mergeCell ref="JHE31:JHF31"/>
    <mergeCell ref="JHG31:JHH31"/>
    <mergeCell ref="JHI31:JHJ31"/>
    <mergeCell ref="JGM31:JGN31"/>
    <mergeCell ref="JGO31:JGP31"/>
    <mergeCell ref="JGQ31:JGR31"/>
    <mergeCell ref="JGS31:JGT31"/>
    <mergeCell ref="JGU31:JGV31"/>
    <mergeCell ref="JGW31:JGX31"/>
    <mergeCell ref="JLO31:JLP31"/>
    <mergeCell ref="JLQ31:JLR31"/>
    <mergeCell ref="JLS31:JLT31"/>
    <mergeCell ref="JLU31:JLV31"/>
    <mergeCell ref="JLW31:JLX31"/>
    <mergeCell ref="JLY31:JLZ31"/>
    <mergeCell ref="JLC31:JLD31"/>
    <mergeCell ref="JLE31:JLF31"/>
    <mergeCell ref="JLG31:JLH31"/>
    <mergeCell ref="JLI31:JLJ31"/>
    <mergeCell ref="JLK31:JLL31"/>
    <mergeCell ref="JLM31:JLN31"/>
    <mergeCell ref="JKQ31:JKR31"/>
    <mergeCell ref="JKS31:JKT31"/>
    <mergeCell ref="JKU31:JKV31"/>
    <mergeCell ref="JKW31:JKX31"/>
    <mergeCell ref="JKY31:JKZ31"/>
    <mergeCell ref="JLA31:JLB31"/>
    <mergeCell ref="JKE31:JKF31"/>
    <mergeCell ref="JKG31:JKH31"/>
    <mergeCell ref="JKI31:JKJ31"/>
    <mergeCell ref="JKK31:JKL31"/>
    <mergeCell ref="JKM31:JKN31"/>
    <mergeCell ref="JKO31:JKP31"/>
    <mergeCell ref="JJS31:JJT31"/>
    <mergeCell ref="JJU31:JJV31"/>
    <mergeCell ref="JJW31:JJX31"/>
    <mergeCell ref="JJY31:JJZ31"/>
    <mergeCell ref="JKA31:JKB31"/>
    <mergeCell ref="JKC31:JKD31"/>
    <mergeCell ref="JJG31:JJH31"/>
    <mergeCell ref="JJI31:JJJ31"/>
    <mergeCell ref="JJK31:JJL31"/>
    <mergeCell ref="JJM31:JJN31"/>
    <mergeCell ref="JJO31:JJP31"/>
    <mergeCell ref="JJQ31:JJR31"/>
    <mergeCell ref="JOI31:JOJ31"/>
    <mergeCell ref="JOK31:JOL31"/>
    <mergeCell ref="JOM31:JON31"/>
    <mergeCell ref="JOO31:JOP31"/>
    <mergeCell ref="JOQ31:JOR31"/>
    <mergeCell ref="JOS31:JOT31"/>
    <mergeCell ref="JNW31:JNX31"/>
    <mergeCell ref="JNY31:JNZ31"/>
    <mergeCell ref="JOA31:JOB31"/>
    <mergeCell ref="JOC31:JOD31"/>
    <mergeCell ref="JOE31:JOF31"/>
    <mergeCell ref="JOG31:JOH31"/>
    <mergeCell ref="JNK31:JNL31"/>
    <mergeCell ref="JNM31:JNN31"/>
    <mergeCell ref="JNO31:JNP31"/>
    <mergeCell ref="JNQ31:JNR31"/>
    <mergeCell ref="JNS31:JNT31"/>
    <mergeCell ref="JNU31:JNV31"/>
    <mergeCell ref="JMY31:JMZ31"/>
    <mergeCell ref="JNA31:JNB31"/>
    <mergeCell ref="JNC31:JND31"/>
    <mergeCell ref="JNE31:JNF31"/>
    <mergeCell ref="JNG31:JNH31"/>
    <mergeCell ref="JNI31:JNJ31"/>
    <mergeCell ref="JMM31:JMN31"/>
    <mergeCell ref="JMO31:JMP31"/>
    <mergeCell ref="JMQ31:JMR31"/>
    <mergeCell ref="JMS31:JMT31"/>
    <mergeCell ref="JMU31:JMV31"/>
    <mergeCell ref="JMW31:JMX31"/>
    <mergeCell ref="JMA31:JMB31"/>
    <mergeCell ref="JMC31:JMD31"/>
    <mergeCell ref="JME31:JMF31"/>
    <mergeCell ref="JMG31:JMH31"/>
    <mergeCell ref="JMI31:JMJ31"/>
    <mergeCell ref="JMK31:JML31"/>
    <mergeCell ref="JRC31:JRD31"/>
    <mergeCell ref="JRE31:JRF31"/>
    <mergeCell ref="JRG31:JRH31"/>
    <mergeCell ref="JRI31:JRJ31"/>
    <mergeCell ref="JRK31:JRL31"/>
    <mergeCell ref="JRM31:JRN31"/>
    <mergeCell ref="JQQ31:JQR31"/>
    <mergeCell ref="JQS31:JQT31"/>
    <mergeCell ref="JQU31:JQV31"/>
    <mergeCell ref="JQW31:JQX31"/>
    <mergeCell ref="JQY31:JQZ31"/>
    <mergeCell ref="JRA31:JRB31"/>
    <mergeCell ref="JQE31:JQF31"/>
    <mergeCell ref="JQG31:JQH31"/>
    <mergeCell ref="JQI31:JQJ31"/>
    <mergeCell ref="JQK31:JQL31"/>
    <mergeCell ref="JQM31:JQN31"/>
    <mergeCell ref="JQO31:JQP31"/>
    <mergeCell ref="JPS31:JPT31"/>
    <mergeCell ref="JPU31:JPV31"/>
    <mergeCell ref="JPW31:JPX31"/>
    <mergeCell ref="JPY31:JPZ31"/>
    <mergeCell ref="JQA31:JQB31"/>
    <mergeCell ref="JQC31:JQD31"/>
    <mergeCell ref="JPG31:JPH31"/>
    <mergeCell ref="JPI31:JPJ31"/>
    <mergeCell ref="JPK31:JPL31"/>
    <mergeCell ref="JPM31:JPN31"/>
    <mergeCell ref="JPO31:JPP31"/>
    <mergeCell ref="JPQ31:JPR31"/>
    <mergeCell ref="JOU31:JOV31"/>
    <mergeCell ref="JOW31:JOX31"/>
    <mergeCell ref="JOY31:JOZ31"/>
    <mergeCell ref="JPA31:JPB31"/>
    <mergeCell ref="JPC31:JPD31"/>
    <mergeCell ref="JPE31:JPF31"/>
    <mergeCell ref="JTW31:JTX31"/>
    <mergeCell ref="JTY31:JTZ31"/>
    <mergeCell ref="JUA31:JUB31"/>
    <mergeCell ref="JUC31:JUD31"/>
    <mergeCell ref="JUE31:JUF31"/>
    <mergeCell ref="JUG31:JUH31"/>
    <mergeCell ref="JTK31:JTL31"/>
    <mergeCell ref="JTM31:JTN31"/>
    <mergeCell ref="JTO31:JTP31"/>
    <mergeCell ref="JTQ31:JTR31"/>
    <mergeCell ref="JTS31:JTT31"/>
    <mergeCell ref="JTU31:JTV31"/>
    <mergeCell ref="JSY31:JSZ31"/>
    <mergeCell ref="JTA31:JTB31"/>
    <mergeCell ref="JTC31:JTD31"/>
    <mergeCell ref="JTE31:JTF31"/>
    <mergeCell ref="JTG31:JTH31"/>
    <mergeCell ref="JTI31:JTJ31"/>
    <mergeCell ref="JSM31:JSN31"/>
    <mergeCell ref="JSO31:JSP31"/>
    <mergeCell ref="JSQ31:JSR31"/>
    <mergeCell ref="JSS31:JST31"/>
    <mergeCell ref="JSU31:JSV31"/>
    <mergeCell ref="JSW31:JSX31"/>
    <mergeCell ref="JSA31:JSB31"/>
    <mergeCell ref="JSC31:JSD31"/>
    <mergeCell ref="JSE31:JSF31"/>
    <mergeCell ref="JSG31:JSH31"/>
    <mergeCell ref="JSI31:JSJ31"/>
    <mergeCell ref="JSK31:JSL31"/>
    <mergeCell ref="JRO31:JRP31"/>
    <mergeCell ref="JRQ31:JRR31"/>
    <mergeCell ref="JRS31:JRT31"/>
    <mergeCell ref="JRU31:JRV31"/>
    <mergeCell ref="JRW31:JRX31"/>
    <mergeCell ref="JRY31:JRZ31"/>
    <mergeCell ref="JWQ31:JWR31"/>
    <mergeCell ref="JWS31:JWT31"/>
    <mergeCell ref="JWU31:JWV31"/>
    <mergeCell ref="JWW31:JWX31"/>
    <mergeCell ref="JWY31:JWZ31"/>
    <mergeCell ref="JXA31:JXB31"/>
    <mergeCell ref="JWE31:JWF31"/>
    <mergeCell ref="JWG31:JWH31"/>
    <mergeCell ref="JWI31:JWJ31"/>
    <mergeCell ref="JWK31:JWL31"/>
    <mergeCell ref="JWM31:JWN31"/>
    <mergeCell ref="JWO31:JWP31"/>
    <mergeCell ref="JVS31:JVT31"/>
    <mergeCell ref="JVU31:JVV31"/>
    <mergeCell ref="JVW31:JVX31"/>
    <mergeCell ref="JVY31:JVZ31"/>
    <mergeCell ref="JWA31:JWB31"/>
    <mergeCell ref="JWC31:JWD31"/>
    <mergeCell ref="JVG31:JVH31"/>
    <mergeCell ref="JVI31:JVJ31"/>
    <mergeCell ref="JVK31:JVL31"/>
    <mergeCell ref="JVM31:JVN31"/>
    <mergeCell ref="JVO31:JVP31"/>
    <mergeCell ref="JVQ31:JVR31"/>
    <mergeCell ref="JUU31:JUV31"/>
    <mergeCell ref="JUW31:JUX31"/>
    <mergeCell ref="JUY31:JUZ31"/>
    <mergeCell ref="JVA31:JVB31"/>
    <mergeCell ref="JVC31:JVD31"/>
    <mergeCell ref="JVE31:JVF31"/>
    <mergeCell ref="JUI31:JUJ31"/>
    <mergeCell ref="JUK31:JUL31"/>
    <mergeCell ref="JUM31:JUN31"/>
    <mergeCell ref="JUO31:JUP31"/>
    <mergeCell ref="JUQ31:JUR31"/>
    <mergeCell ref="JUS31:JUT31"/>
    <mergeCell ref="JZK31:JZL31"/>
    <mergeCell ref="JZM31:JZN31"/>
    <mergeCell ref="JZO31:JZP31"/>
    <mergeCell ref="JZQ31:JZR31"/>
    <mergeCell ref="JZS31:JZT31"/>
    <mergeCell ref="JZU31:JZV31"/>
    <mergeCell ref="JYY31:JYZ31"/>
    <mergeCell ref="JZA31:JZB31"/>
    <mergeCell ref="JZC31:JZD31"/>
    <mergeCell ref="JZE31:JZF31"/>
    <mergeCell ref="JZG31:JZH31"/>
    <mergeCell ref="JZI31:JZJ31"/>
    <mergeCell ref="JYM31:JYN31"/>
    <mergeCell ref="JYO31:JYP31"/>
    <mergeCell ref="JYQ31:JYR31"/>
    <mergeCell ref="JYS31:JYT31"/>
    <mergeCell ref="JYU31:JYV31"/>
    <mergeCell ref="JYW31:JYX31"/>
    <mergeCell ref="JYA31:JYB31"/>
    <mergeCell ref="JYC31:JYD31"/>
    <mergeCell ref="JYE31:JYF31"/>
    <mergeCell ref="JYG31:JYH31"/>
    <mergeCell ref="JYI31:JYJ31"/>
    <mergeCell ref="JYK31:JYL31"/>
    <mergeCell ref="JXO31:JXP31"/>
    <mergeCell ref="JXQ31:JXR31"/>
    <mergeCell ref="JXS31:JXT31"/>
    <mergeCell ref="JXU31:JXV31"/>
    <mergeCell ref="JXW31:JXX31"/>
    <mergeCell ref="JXY31:JXZ31"/>
    <mergeCell ref="JXC31:JXD31"/>
    <mergeCell ref="JXE31:JXF31"/>
    <mergeCell ref="JXG31:JXH31"/>
    <mergeCell ref="JXI31:JXJ31"/>
    <mergeCell ref="JXK31:JXL31"/>
    <mergeCell ref="JXM31:JXN31"/>
    <mergeCell ref="KCE31:KCF31"/>
    <mergeCell ref="KCG31:KCH31"/>
    <mergeCell ref="KCI31:KCJ31"/>
    <mergeCell ref="KCK31:KCL31"/>
    <mergeCell ref="KCM31:KCN31"/>
    <mergeCell ref="KCO31:KCP31"/>
    <mergeCell ref="KBS31:KBT31"/>
    <mergeCell ref="KBU31:KBV31"/>
    <mergeCell ref="KBW31:KBX31"/>
    <mergeCell ref="KBY31:KBZ31"/>
    <mergeCell ref="KCA31:KCB31"/>
    <mergeCell ref="KCC31:KCD31"/>
    <mergeCell ref="KBG31:KBH31"/>
    <mergeCell ref="KBI31:KBJ31"/>
    <mergeCell ref="KBK31:KBL31"/>
    <mergeCell ref="KBM31:KBN31"/>
    <mergeCell ref="KBO31:KBP31"/>
    <mergeCell ref="KBQ31:KBR31"/>
    <mergeCell ref="KAU31:KAV31"/>
    <mergeCell ref="KAW31:KAX31"/>
    <mergeCell ref="KAY31:KAZ31"/>
    <mergeCell ref="KBA31:KBB31"/>
    <mergeCell ref="KBC31:KBD31"/>
    <mergeCell ref="KBE31:KBF31"/>
    <mergeCell ref="KAI31:KAJ31"/>
    <mergeCell ref="KAK31:KAL31"/>
    <mergeCell ref="KAM31:KAN31"/>
    <mergeCell ref="KAO31:KAP31"/>
    <mergeCell ref="KAQ31:KAR31"/>
    <mergeCell ref="KAS31:KAT31"/>
    <mergeCell ref="JZW31:JZX31"/>
    <mergeCell ref="JZY31:JZZ31"/>
    <mergeCell ref="KAA31:KAB31"/>
    <mergeCell ref="KAC31:KAD31"/>
    <mergeCell ref="KAE31:KAF31"/>
    <mergeCell ref="KAG31:KAH31"/>
    <mergeCell ref="KEY31:KEZ31"/>
    <mergeCell ref="KFA31:KFB31"/>
    <mergeCell ref="KFC31:KFD31"/>
    <mergeCell ref="KFE31:KFF31"/>
    <mergeCell ref="KFG31:KFH31"/>
    <mergeCell ref="KFI31:KFJ31"/>
    <mergeCell ref="KEM31:KEN31"/>
    <mergeCell ref="KEO31:KEP31"/>
    <mergeCell ref="KEQ31:KER31"/>
    <mergeCell ref="KES31:KET31"/>
    <mergeCell ref="KEU31:KEV31"/>
    <mergeCell ref="KEW31:KEX31"/>
    <mergeCell ref="KEA31:KEB31"/>
    <mergeCell ref="KEC31:KED31"/>
    <mergeCell ref="KEE31:KEF31"/>
    <mergeCell ref="KEG31:KEH31"/>
    <mergeCell ref="KEI31:KEJ31"/>
    <mergeCell ref="KEK31:KEL31"/>
    <mergeCell ref="KDO31:KDP31"/>
    <mergeCell ref="KDQ31:KDR31"/>
    <mergeCell ref="KDS31:KDT31"/>
    <mergeCell ref="KDU31:KDV31"/>
    <mergeCell ref="KDW31:KDX31"/>
    <mergeCell ref="KDY31:KDZ31"/>
    <mergeCell ref="KDC31:KDD31"/>
    <mergeCell ref="KDE31:KDF31"/>
    <mergeCell ref="KDG31:KDH31"/>
    <mergeCell ref="KDI31:KDJ31"/>
    <mergeCell ref="KDK31:KDL31"/>
    <mergeCell ref="KDM31:KDN31"/>
    <mergeCell ref="KCQ31:KCR31"/>
    <mergeCell ref="KCS31:KCT31"/>
    <mergeCell ref="KCU31:KCV31"/>
    <mergeCell ref="KCW31:KCX31"/>
    <mergeCell ref="KCY31:KCZ31"/>
    <mergeCell ref="KDA31:KDB31"/>
    <mergeCell ref="KHS31:KHT31"/>
    <mergeCell ref="KHU31:KHV31"/>
    <mergeCell ref="KHW31:KHX31"/>
    <mergeCell ref="KHY31:KHZ31"/>
    <mergeCell ref="KIA31:KIB31"/>
    <mergeCell ref="KIC31:KID31"/>
    <mergeCell ref="KHG31:KHH31"/>
    <mergeCell ref="KHI31:KHJ31"/>
    <mergeCell ref="KHK31:KHL31"/>
    <mergeCell ref="KHM31:KHN31"/>
    <mergeCell ref="KHO31:KHP31"/>
    <mergeCell ref="KHQ31:KHR31"/>
    <mergeCell ref="KGU31:KGV31"/>
    <mergeCell ref="KGW31:KGX31"/>
    <mergeCell ref="KGY31:KGZ31"/>
    <mergeCell ref="KHA31:KHB31"/>
    <mergeCell ref="KHC31:KHD31"/>
    <mergeCell ref="KHE31:KHF31"/>
    <mergeCell ref="KGI31:KGJ31"/>
    <mergeCell ref="KGK31:KGL31"/>
    <mergeCell ref="KGM31:KGN31"/>
    <mergeCell ref="KGO31:KGP31"/>
    <mergeCell ref="KGQ31:KGR31"/>
    <mergeCell ref="KGS31:KGT31"/>
    <mergeCell ref="KFW31:KFX31"/>
    <mergeCell ref="KFY31:KFZ31"/>
    <mergeCell ref="KGA31:KGB31"/>
    <mergeCell ref="KGC31:KGD31"/>
    <mergeCell ref="KGE31:KGF31"/>
    <mergeCell ref="KGG31:KGH31"/>
    <mergeCell ref="KFK31:KFL31"/>
    <mergeCell ref="KFM31:KFN31"/>
    <mergeCell ref="KFO31:KFP31"/>
    <mergeCell ref="KFQ31:KFR31"/>
    <mergeCell ref="KFS31:KFT31"/>
    <mergeCell ref="KFU31:KFV31"/>
    <mergeCell ref="KKM31:KKN31"/>
    <mergeCell ref="KKO31:KKP31"/>
    <mergeCell ref="KKQ31:KKR31"/>
    <mergeCell ref="KKS31:KKT31"/>
    <mergeCell ref="KKU31:KKV31"/>
    <mergeCell ref="KKW31:KKX31"/>
    <mergeCell ref="KKA31:KKB31"/>
    <mergeCell ref="KKC31:KKD31"/>
    <mergeCell ref="KKE31:KKF31"/>
    <mergeCell ref="KKG31:KKH31"/>
    <mergeCell ref="KKI31:KKJ31"/>
    <mergeCell ref="KKK31:KKL31"/>
    <mergeCell ref="KJO31:KJP31"/>
    <mergeCell ref="KJQ31:KJR31"/>
    <mergeCell ref="KJS31:KJT31"/>
    <mergeCell ref="KJU31:KJV31"/>
    <mergeCell ref="KJW31:KJX31"/>
    <mergeCell ref="KJY31:KJZ31"/>
    <mergeCell ref="KJC31:KJD31"/>
    <mergeCell ref="KJE31:KJF31"/>
    <mergeCell ref="KJG31:KJH31"/>
    <mergeCell ref="KJI31:KJJ31"/>
    <mergeCell ref="KJK31:KJL31"/>
    <mergeCell ref="KJM31:KJN31"/>
    <mergeCell ref="KIQ31:KIR31"/>
    <mergeCell ref="KIS31:KIT31"/>
    <mergeCell ref="KIU31:KIV31"/>
    <mergeCell ref="KIW31:KIX31"/>
    <mergeCell ref="KIY31:KIZ31"/>
    <mergeCell ref="KJA31:KJB31"/>
    <mergeCell ref="KIE31:KIF31"/>
    <mergeCell ref="KIG31:KIH31"/>
    <mergeCell ref="KII31:KIJ31"/>
    <mergeCell ref="KIK31:KIL31"/>
    <mergeCell ref="KIM31:KIN31"/>
    <mergeCell ref="KIO31:KIP31"/>
    <mergeCell ref="KNG31:KNH31"/>
    <mergeCell ref="KNI31:KNJ31"/>
    <mergeCell ref="KNK31:KNL31"/>
    <mergeCell ref="KNM31:KNN31"/>
    <mergeCell ref="KNO31:KNP31"/>
    <mergeCell ref="KNQ31:KNR31"/>
    <mergeCell ref="KMU31:KMV31"/>
    <mergeCell ref="KMW31:KMX31"/>
    <mergeCell ref="KMY31:KMZ31"/>
    <mergeCell ref="KNA31:KNB31"/>
    <mergeCell ref="KNC31:KND31"/>
    <mergeCell ref="KNE31:KNF31"/>
    <mergeCell ref="KMI31:KMJ31"/>
    <mergeCell ref="KMK31:KML31"/>
    <mergeCell ref="KMM31:KMN31"/>
    <mergeCell ref="KMO31:KMP31"/>
    <mergeCell ref="KMQ31:KMR31"/>
    <mergeCell ref="KMS31:KMT31"/>
    <mergeCell ref="KLW31:KLX31"/>
    <mergeCell ref="KLY31:KLZ31"/>
    <mergeCell ref="KMA31:KMB31"/>
    <mergeCell ref="KMC31:KMD31"/>
    <mergeCell ref="KME31:KMF31"/>
    <mergeCell ref="KMG31:KMH31"/>
    <mergeCell ref="KLK31:KLL31"/>
    <mergeCell ref="KLM31:KLN31"/>
    <mergeCell ref="KLO31:KLP31"/>
    <mergeCell ref="KLQ31:KLR31"/>
    <mergeCell ref="KLS31:KLT31"/>
    <mergeCell ref="KLU31:KLV31"/>
    <mergeCell ref="KKY31:KKZ31"/>
    <mergeCell ref="KLA31:KLB31"/>
    <mergeCell ref="KLC31:KLD31"/>
    <mergeCell ref="KLE31:KLF31"/>
    <mergeCell ref="KLG31:KLH31"/>
    <mergeCell ref="KLI31:KLJ31"/>
    <mergeCell ref="KQA31:KQB31"/>
    <mergeCell ref="KQC31:KQD31"/>
    <mergeCell ref="KQE31:KQF31"/>
    <mergeCell ref="KQG31:KQH31"/>
    <mergeCell ref="KQI31:KQJ31"/>
    <mergeCell ref="KQK31:KQL31"/>
    <mergeCell ref="KPO31:KPP31"/>
    <mergeCell ref="KPQ31:KPR31"/>
    <mergeCell ref="KPS31:KPT31"/>
    <mergeCell ref="KPU31:KPV31"/>
    <mergeCell ref="KPW31:KPX31"/>
    <mergeCell ref="KPY31:KPZ31"/>
    <mergeCell ref="KPC31:KPD31"/>
    <mergeCell ref="KPE31:KPF31"/>
    <mergeCell ref="KPG31:KPH31"/>
    <mergeCell ref="KPI31:KPJ31"/>
    <mergeCell ref="KPK31:KPL31"/>
    <mergeCell ref="KPM31:KPN31"/>
    <mergeCell ref="KOQ31:KOR31"/>
    <mergeCell ref="KOS31:KOT31"/>
    <mergeCell ref="KOU31:KOV31"/>
    <mergeCell ref="KOW31:KOX31"/>
    <mergeCell ref="KOY31:KOZ31"/>
    <mergeCell ref="KPA31:KPB31"/>
    <mergeCell ref="KOE31:KOF31"/>
    <mergeCell ref="KOG31:KOH31"/>
    <mergeCell ref="KOI31:KOJ31"/>
    <mergeCell ref="KOK31:KOL31"/>
    <mergeCell ref="KOM31:KON31"/>
    <mergeCell ref="KOO31:KOP31"/>
    <mergeCell ref="KNS31:KNT31"/>
    <mergeCell ref="KNU31:KNV31"/>
    <mergeCell ref="KNW31:KNX31"/>
    <mergeCell ref="KNY31:KNZ31"/>
    <mergeCell ref="KOA31:KOB31"/>
    <mergeCell ref="KOC31:KOD31"/>
    <mergeCell ref="KSU31:KSV31"/>
    <mergeCell ref="KSW31:KSX31"/>
    <mergeCell ref="KSY31:KSZ31"/>
    <mergeCell ref="KTA31:KTB31"/>
    <mergeCell ref="KTC31:KTD31"/>
    <mergeCell ref="KTE31:KTF31"/>
    <mergeCell ref="KSI31:KSJ31"/>
    <mergeCell ref="KSK31:KSL31"/>
    <mergeCell ref="KSM31:KSN31"/>
    <mergeCell ref="KSO31:KSP31"/>
    <mergeCell ref="KSQ31:KSR31"/>
    <mergeCell ref="KSS31:KST31"/>
    <mergeCell ref="KRW31:KRX31"/>
    <mergeCell ref="KRY31:KRZ31"/>
    <mergeCell ref="KSA31:KSB31"/>
    <mergeCell ref="KSC31:KSD31"/>
    <mergeCell ref="KSE31:KSF31"/>
    <mergeCell ref="KSG31:KSH31"/>
    <mergeCell ref="KRK31:KRL31"/>
    <mergeCell ref="KRM31:KRN31"/>
    <mergeCell ref="KRO31:KRP31"/>
    <mergeCell ref="KRQ31:KRR31"/>
    <mergeCell ref="KRS31:KRT31"/>
    <mergeCell ref="KRU31:KRV31"/>
    <mergeCell ref="KQY31:KQZ31"/>
    <mergeCell ref="KRA31:KRB31"/>
    <mergeCell ref="KRC31:KRD31"/>
    <mergeCell ref="KRE31:KRF31"/>
    <mergeCell ref="KRG31:KRH31"/>
    <mergeCell ref="KRI31:KRJ31"/>
    <mergeCell ref="KQM31:KQN31"/>
    <mergeCell ref="KQO31:KQP31"/>
    <mergeCell ref="KQQ31:KQR31"/>
    <mergeCell ref="KQS31:KQT31"/>
    <mergeCell ref="KQU31:KQV31"/>
    <mergeCell ref="KQW31:KQX31"/>
    <mergeCell ref="KVO31:KVP31"/>
    <mergeCell ref="KVQ31:KVR31"/>
    <mergeCell ref="KVS31:KVT31"/>
    <mergeCell ref="KVU31:KVV31"/>
    <mergeCell ref="KVW31:KVX31"/>
    <mergeCell ref="KVY31:KVZ31"/>
    <mergeCell ref="KVC31:KVD31"/>
    <mergeCell ref="KVE31:KVF31"/>
    <mergeCell ref="KVG31:KVH31"/>
    <mergeCell ref="KVI31:KVJ31"/>
    <mergeCell ref="KVK31:KVL31"/>
    <mergeCell ref="KVM31:KVN31"/>
    <mergeCell ref="KUQ31:KUR31"/>
    <mergeCell ref="KUS31:KUT31"/>
    <mergeCell ref="KUU31:KUV31"/>
    <mergeCell ref="KUW31:KUX31"/>
    <mergeCell ref="KUY31:KUZ31"/>
    <mergeCell ref="KVA31:KVB31"/>
    <mergeCell ref="KUE31:KUF31"/>
    <mergeCell ref="KUG31:KUH31"/>
    <mergeCell ref="KUI31:KUJ31"/>
    <mergeCell ref="KUK31:KUL31"/>
    <mergeCell ref="KUM31:KUN31"/>
    <mergeCell ref="KUO31:KUP31"/>
    <mergeCell ref="KTS31:KTT31"/>
    <mergeCell ref="KTU31:KTV31"/>
    <mergeCell ref="KTW31:KTX31"/>
    <mergeCell ref="KTY31:KTZ31"/>
    <mergeCell ref="KUA31:KUB31"/>
    <mergeCell ref="KUC31:KUD31"/>
    <mergeCell ref="KTG31:KTH31"/>
    <mergeCell ref="KTI31:KTJ31"/>
    <mergeCell ref="KTK31:KTL31"/>
    <mergeCell ref="KTM31:KTN31"/>
    <mergeCell ref="KTO31:KTP31"/>
    <mergeCell ref="KTQ31:KTR31"/>
    <mergeCell ref="KYI31:KYJ31"/>
    <mergeCell ref="KYK31:KYL31"/>
    <mergeCell ref="KYM31:KYN31"/>
    <mergeCell ref="KYO31:KYP31"/>
    <mergeCell ref="KYQ31:KYR31"/>
    <mergeCell ref="KYS31:KYT31"/>
    <mergeCell ref="KXW31:KXX31"/>
    <mergeCell ref="KXY31:KXZ31"/>
    <mergeCell ref="KYA31:KYB31"/>
    <mergeCell ref="KYC31:KYD31"/>
    <mergeCell ref="KYE31:KYF31"/>
    <mergeCell ref="KYG31:KYH31"/>
    <mergeCell ref="KXK31:KXL31"/>
    <mergeCell ref="KXM31:KXN31"/>
    <mergeCell ref="KXO31:KXP31"/>
    <mergeCell ref="KXQ31:KXR31"/>
    <mergeCell ref="KXS31:KXT31"/>
    <mergeCell ref="KXU31:KXV31"/>
    <mergeCell ref="KWY31:KWZ31"/>
    <mergeCell ref="KXA31:KXB31"/>
    <mergeCell ref="KXC31:KXD31"/>
    <mergeCell ref="KXE31:KXF31"/>
    <mergeCell ref="KXG31:KXH31"/>
    <mergeCell ref="KXI31:KXJ31"/>
    <mergeCell ref="KWM31:KWN31"/>
    <mergeCell ref="KWO31:KWP31"/>
    <mergeCell ref="KWQ31:KWR31"/>
    <mergeCell ref="KWS31:KWT31"/>
    <mergeCell ref="KWU31:KWV31"/>
    <mergeCell ref="KWW31:KWX31"/>
    <mergeCell ref="KWA31:KWB31"/>
    <mergeCell ref="KWC31:KWD31"/>
    <mergeCell ref="KWE31:KWF31"/>
    <mergeCell ref="KWG31:KWH31"/>
    <mergeCell ref="KWI31:KWJ31"/>
    <mergeCell ref="KWK31:KWL31"/>
    <mergeCell ref="LBC31:LBD31"/>
    <mergeCell ref="LBE31:LBF31"/>
    <mergeCell ref="LBG31:LBH31"/>
    <mergeCell ref="LBI31:LBJ31"/>
    <mergeCell ref="LBK31:LBL31"/>
    <mergeCell ref="LBM31:LBN31"/>
    <mergeCell ref="LAQ31:LAR31"/>
    <mergeCell ref="LAS31:LAT31"/>
    <mergeCell ref="LAU31:LAV31"/>
    <mergeCell ref="LAW31:LAX31"/>
    <mergeCell ref="LAY31:LAZ31"/>
    <mergeCell ref="LBA31:LBB31"/>
    <mergeCell ref="LAE31:LAF31"/>
    <mergeCell ref="LAG31:LAH31"/>
    <mergeCell ref="LAI31:LAJ31"/>
    <mergeCell ref="LAK31:LAL31"/>
    <mergeCell ref="LAM31:LAN31"/>
    <mergeCell ref="LAO31:LAP31"/>
    <mergeCell ref="KZS31:KZT31"/>
    <mergeCell ref="KZU31:KZV31"/>
    <mergeCell ref="KZW31:KZX31"/>
    <mergeCell ref="KZY31:KZZ31"/>
    <mergeCell ref="LAA31:LAB31"/>
    <mergeCell ref="LAC31:LAD31"/>
    <mergeCell ref="KZG31:KZH31"/>
    <mergeCell ref="KZI31:KZJ31"/>
    <mergeCell ref="KZK31:KZL31"/>
    <mergeCell ref="KZM31:KZN31"/>
    <mergeCell ref="KZO31:KZP31"/>
    <mergeCell ref="KZQ31:KZR31"/>
    <mergeCell ref="KYU31:KYV31"/>
    <mergeCell ref="KYW31:KYX31"/>
    <mergeCell ref="KYY31:KYZ31"/>
    <mergeCell ref="KZA31:KZB31"/>
    <mergeCell ref="KZC31:KZD31"/>
    <mergeCell ref="KZE31:KZF31"/>
    <mergeCell ref="LDW31:LDX31"/>
    <mergeCell ref="LDY31:LDZ31"/>
    <mergeCell ref="LEA31:LEB31"/>
    <mergeCell ref="LEC31:LED31"/>
    <mergeCell ref="LEE31:LEF31"/>
    <mergeCell ref="LEG31:LEH31"/>
    <mergeCell ref="LDK31:LDL31"/>
    <mergeCell ref="LDM31:LDN31"/>
    <mergeCell ref="LDO31:LDP31"/>
    <mergeCell ref="LDQ31:LDR31"/>
    <mergeCell ref="LDS31:LDT31"/>
    <mergeCell ref="LDU31:LDV31"/>
    <mergeCell ref="LCY31:LCZ31"/>
    <mergeCell ref="LDA31:LDB31"/>
    <mergeCell ref="LDC31:LDD31"/>
    <mergeCell ref="LDE31:LDF31"/>
    <mergeCell ref="LDG31:LDH31"/>
    <mergeCell ref="LDI31:LDJ31"/>
    <mergeCell ref="LCM31:LCN31"/>
    <mergeCell ref="LCO31:LCP31"/>
    <mergeCell ref="LCQ31:LCR31"/>
    <mergeCell ref="LCS31:LCT31"/>
    <mergeCell ref="LCU31:LCV31"/>
    <mergeCell ref="LCW31:LCX31"/>
    <mergeCell ref="LCA31:LCB31"/>
    <mergeCell ref="LCC31:LCD31"/>
    <mergeCell ref="LCE31:LCF31"/>
    <mergeCell ref="LCG31:LCH31"/>
    <mergeCell ref="LCI31:LCJ31"/>
    <mergeCell ref="LCK31:LCL31"/>
    <mergeCell ref="LBO31:LBP31"/>
    <mergeCell ref="LBQ31:LBR31"/>
    <mergeCell ref="LBS31:LBT31"/>
    <mergeCell ref="LBU31:LBV31"/>
    <mergeCell ref="LBW31:LBX31"/>
    <mergeCell ref="LBY31:LBZ31"/>
    <mergeCell ref="LGQ31:LGR31"/>
    <mergeCell ref="LGS31:LGT31"/>
    <mergeCell ref="LGU31:LGV31"/>
    <mergeCell ref="LGW31:LGX31"/>
    <mergeCell ref="LGY31:LGZ31"/>
    <mergeCell ref="LHA31:LHB31"/>
    <mergeCell ref="LGE31:LGF31"/>
    <mergeCell ref="LGG31:LGH31"/>
    <mergeCell ref="LGI31:LGJ31"/>
    <mergeCell ref="LGK31:LGL31"/>
    <mergeCell ref="LGM31:LGN31"/>
    <mergeCell ref="LGO31:LGP31"/>
    <mergeCell ref="LFS31:LFT31"/>
    <mergeCell ref="LFU31:LFV31"/>
    <mergeCell ref="LFW31:LFX31"/>
    <mergeCell ref="LFY31:LFZ31"/>
    <mergeCell ref="LGA31:LGB31"/>
    <mergeCell ref="LGC31:LGD31"/>
    <mergeCell ref="LFG31:LFH31"/>
    <mergeCell ref="LFI31:LFJ31"/>
    <mergeCell ref="LFK31:LFL31"/>
    <mergeCell ref="LFM31:LFN31"/>
    <mergeCell ref="LFO31:LFP31"/>
    <mergeCell ref="LFQ31:LFR31"/>
    <mergeCell ref="LEU31:LEV31"/>
    <mergeCell ref="LEW31:LEX31"/>
    <mergeCell ref="LEY31:LEZ31"/>
    <mergeCell ref="LFA31:LFB31"/>
    <mergeCell ref="LFC31:LFD31"/>
    <mergeCell ref="LFE31:LFF31"/>
    <mergeCell ref="LEI31:LEJ31"/>
    <mergeCell ref="LEK31:LEL31"/>
    <mergeCell ref="LEM31:LEN31"/>
    <mergeCell ref="LEO31:LEP31"/>
    <mergeCell ref="LEQ31:LER31"/>
    <mergeCell ref="LES31:LET31"/>
    <mergeCell ref="LJK31:LJL31"/>
    <mergeCell ref="LJM31:LJN31"/>
    <mergeCell ref="LJO31:LJP31"/>
    <mergeCell ref="LJQ31:LJR31"/>
    <mergeCell ref="LJS31:LJT31"/>
    <mergeCell ref="LJU31:LJV31"/>
    <mergeCell ref="LIY31:LIZ31"/>
    <mergeCell ref="LJA31:LJB31"/>
    <mergeCell ref="LJC31:LJD31"/>
    <mergeCell ref="LJE31:LJF31"/>
    <mergeCell ref="LJG31:LJH31"/>
    <mergeCell ref="LJI31:LJJ31"/>
    <mergeCell ref="LIM31:LIN31"/>
    <mergeCell ref="LIO31:LIP31"/>
    <mergeCell ref="LIQ31:LIR31"/>
    <mergeCell ref="LIS31:LIT31"/>
    <mergeCell ref="LIU31:LIV31"/>
    <mergeCell ref="LIW31:LIX31"/>
    <mergeCell ref="LIA31:LIB31"/>
    <mergeCell ref="LIC31:LID31"/>
    <mergeCell ref="LIE31:LIF31"/>
    <mergeCell ref="LIG31:LIH31"/>
    <mergeCell ref="LII31:LIJ31"/>
    <mergeCell ref="LIK31:LIL31"/>
    <mergeCell ref="LHO31:LHP31"/>
    <mergeCell ref="LHQ31:LHR31"/>
    <mergeCell ref="LHS31:LHT31"/>
    <mergeCell ref="LHU31:LHV31"/>
    <mergeCell ref="LHW31:LHX31"/>
    <mergeCell ref="LHY31:LHZ31"/>
    <mergeCell ref="LHC31:LHD31"/>
    <mergeCell ref="LHE31:LHF31"/>
    <mergeCell ref="LHG31:LHH31"/>
    <mergeCell ref="LHI31:LHJ31"/>
    <mergeCell ref="LHK31:LHL31"/>
    <mergeCell ref="LHM31:LHN31"/>
    <mergeCell ref="LME31:LMF31"/>
    <mergeCell ref="LMG31:LMH31"/>
    <mergeCell ref="LMI31:LMJ31"/>
    <mergeCell ref="LMK31:LML31"/>
    <mergeCell ref="LMM31:LMN31"/>
    <mergeCell ref="LMO31:LMP31"/>
    <mergeCell ref="LLS31:LLT31"/>
    <mergeCell ref="LLU31:LLV31"/>
    <mergeCell ref="LLW31:LLX31"/>
    <mergeCell ref="LLY31:LLZ31"/>
    <mergeCell ref="LMA31:LMB31"/>
    <mergeCell ref="LMC31:LMD31"/>
    <mergeCell ref="LLG31:LLH31"/>
    <mergeCell ref="LLI31:LLJ31"/>
    <mergeCell ref="LLK31:LLL31"/>
    <mergeCell ref="LLM31:LLN31"/>
    <mergeCell ref="LLO31:LLP31"/>
    <mergeCell ref="LLQ31:LLR31"/>
    <mergeCell ref="LKU31:LKV31"/>
    <mergeCell ref="LKW31:LKX31"/>
    <mergeCell ref="LKY31:LKZ31"/>
    <mergeCell ref="LLA31:LLB31"/>
    <mergeCell ref="LLC31:LLD31"/>
    <mergeCell ref="LLE31:LLF31"/>
    <mergeCell ref="LKI31:LKJ31"/>
    <mergeCell ref="LKK31:LKL31"/>
    <mergeCell ref="LKM31:LKN31"/>
    <mergeCell ref="LKO31:LKP31"/>
    <mergeCell ref="LKQ31:LKR31"/>
    <mergeCell ref="LKS31:LKT31"/>
    <mergeCell ref="LJW31:LJX31"/>
    <mergeCell ref="LJY31:LJZ31"/>
    <mergeCell ref="LKA31:LKB31"/>
    <mergeCell ref="LKC31:LKD31"/>
    <mergeCell ref="LKE31:LKF31"/>
    <mergeCell ref="LKG31:LKH31"/>
    <mergeCell ref="LOY31:LOZ31"/>
    <mergeCell ref="LPA31:LPB31"/>
    <mergeCell ref="LPC31:LPD31"/>
    <mergeCell ref="LPE31:LPF31"/>
    <mergeCell ref="LPG31:LPH31"/>
    <mergeCell ref="LPI31:LPJ31"/>
    <mergeCell ref="LOM31:LON31"/>
    <mergeCell ref="LOO31:LOP31"/>
    <mergeCell ref="LOQ31:LOR31"/>
    <mergeCell ref="LOS31:LOT31"/>
    <mergeCell ref="LOU31:LOV31"/>
    <mergeCell ref="LOW31:LOX31"/>
    <mergeCell ref="LOA31:LOB31"/>
    <mergeCell ref="LOC31:LOD31"/>
    <mergeCell ref="LOE31:LOF31"/>
    <mergeCell ref="LOG31:LOH31"/>
    <mergeCell ref="LOI31:LOJ31"/>
    <mergeCell ref="LOK31:LOL31"/>
    <mergeCell ref="LNO31:LNP31"/>
    <mergeCell ref="LNQ31:LNR31"/>
    <mergeCell ref="LNS31:LNT31"/>
    <mergeCell ref="LNU31:LNV31"/>
    <mergeCell ref="LNW31:LNX31"/>
    <mergeCell ref="LNY31:LNZ31"/>
    <mergeCell ref="LNC31:LND31"/>
    <mergeCell ref="LNE31:LNF31"/>
    <mergeCell ref="LNG31:LNH31"/>
    <mergeCell ref="LNI31:LNJ31"/>
    <mergeCell ref="LNK31:LNL31"/>
    <mergeCell ref="LNM31:LNN31"/>
    <mergeCell ref="LMQ31:LMR31"/>
    <mergeCell ref="LMS31:LMT31"/>
    <mergeCell ref="LMU31:LMV31"/>
    <mergeCell ref="LMW31:LMX31"/>
    <mergeCell ref="LMY31:LMZ31"/>
    <mergeCell ref="LNA31:LNB31"/>
    <mergeCell ref="LRS31:LRT31"/>
    <mergeCell ref="LRU31:LRV31"/>
    <mergeCell ref="LRW31:LRX31"/>
    <mergeCell ref="LRY31:LRZ31"/>
    <mergeCell ref="LSA31:LSB31"/>
    <mergeCell ref="LSC31:LSD31"/>
    <mergeCell ref="LRG31:LRH31"/>
    <mergeCell ref="LRI31:LRJ31"/>
    <mergeCell ref="LRK31:LRL31"/>
    <mergeCell ref="LRM31:LRN31"/>
    <mergeCell ref="LRO31:LRP31"/>
    <mergeCell ref="LRQ31:LRR31"/>
    <mergeCell ref="LQU31:LQV31"/>
    <mergeCell ref="LQW31:LQX31"/>
    <mergeCell ref="LQY31:LQZ31"/>
    <mergeCell ref="LRA31:LRB31"/>
    <mergeCell ref="LRC31:LRD31"/>
    <mergeCell ref="LRE31:LRF31"/>
    <mergeCell ref="LQI31:LQJ31"/>
    <mergeCell ref="LQK31:LQL31"/>
    <mergeCell ref="LQM31:LQN31"/>
    <mergeCell ref="LQO31:LQP31"/>
    <mergeCell ref="LQQ31:LQR31"/>
    <mergeCell ref="LQS31:LQT31"/>
    <mergeCell ref="LPW31:LPX31"/>
    <mergeCell ref="LPY31:LPZ31"/>
    <mergeCell ref="LQA31:LQB31"/>
    <mergeCell ref="LQC31:LQD31"/>
    <mergeCell ref="LQE31:LQF31"/>
    <mergeCell ref="LQG31:LQH31"/>
    <mergeCell ref="LPK31:LPL31"/>
    <mergeCell ref="LPM31:LPN31"/>
    <mergeCell ref="LPO31:LPP31"/>
    <mergeCell ref="LPQ31:LPR31"/>
    <mergeCell ref="LPS31:LPT31"/>
    <mergeCell ref="LPU31:LPV31"/>
    <mergeCell ref="LUM31:LUN31"/>
    <mergeCell ref="LUO31:LUP31"/>
    <mergeCell ref="LUQ31:LUR31"/>
    <mergeCell ref="LUS31:LUT31"/>
    <mergeCell ref="LUU31:LUV31"/>
    <mergeCell ref="LUW31:LUX31"/>
    <mergeCell ref="LUA31:LUB31"/>
    <mergeCell ref="LUC31:LUD31"/>
    <mergeCell ref="LUE31:LUF31"/>
    <mergeCell ref="LUG31:LUH31"/>
    <mergeCell ref="LUI31:LUJ31"/>
    <mergeCell ref="LUK31:LUL31"/>
    <mergeCell ref="LTO31:LTP31"/>
    <mergeCell ref="LTQ31:LTR31"/>
    <mergeCell ref="LTS31:LTT31"/>
    <mergeCell ref="LTU31:LTV31"/>
    <mergeCell ref="LTW31:LTX31"/>
    <mergeCell ref="LTY31:LTZ31"/>
    <mergeCell ref="LTC31:LTD31"/>
    <mergeCell ref="LTE31:LTF31"/>
    <mergeCell ref="LTG31:LTH31"/>
    <mergeCell ref="LTI31:LTJ31"/>
    <mergeCell ref="LTK31:LTL31"/>
    <mergeCell ref="LTM31:LTN31"/>
    <mergeCell ref="LSQ31:LSR31"/>
    <mergeCell ref="LSS31:LST31"/>
    <mergeCell ref="LSU31:LSV31"/>
    <mergeCell ref="LSW31:LSX31"/>
    <mergeCell ref="LSY31:LSZ31"/>
    <mergeCell ref="LTA31:LTB31"/>
    <mergeCell ref="LSE31:LSF31"/>
    <mergeCell ref="LSG31:LSH31"/>
    <mergeCell ref="LSI31:LSJ31"/>
    <mergeCell ref="LSK31:LSL31"/>
    <mergeCell ref="LSM31:LSN31"/>
    <mergeCell ref="LSO31:LSP31"/>
    <mergeCell ref="LXG31:LXH31"/>
    <mergeCell ref="LXI31:LXJ31"/>
    <mergeCell ref="LXK31:LXL31"/>
    <mergeCell ref="LXM31:LXN31"/>
    <mergeCell ref="LXO31:LXP31"/>
    <mergeCell ref="LXQ31:LXR31"/>
    <mergeCell ref="LWU31:LWV31"/>
    <mergeCell ref="LWW31:LWX31"/>
    <mergeCell ref="LWY31:LWZ31"/>
    <mergeCell ref="LXA31:LXB31"/>
    <mergeCell ref="LXC31:LXD31"/>
    <mergeCell ref="LXE31:LXF31"/>
    <mergeCell ref="LWI31:LWJ31"/>
    <mergeCell ref="LWK31:LWL31"/>
    <mergeCell ref="LWM31:LWN31"/>
    <mergeCell ref="LWO31:LWP31"/>
    <mergeCell ref="LWQ31:LWR31"/>
    <mergeCell ref="LWS31:LWT31"/>
    <mergeCell ref="LVW31:LVX31"/>
    <mergeCell ref="LVY31:LVZ31"/>
    <mergeCell ref="LWA31:LWB31"/>
    <mergeCell ref="LWC31:LWD31"/>
    <mergeCell ref="LWE31:LWF31"/>
    <mergeCell ref="LWG31:LWH31"/>
    <mergeCell ref="LVK31:LVL31"/>
    <mergeCell ref="LVM31:LVN31"/>
    <mergeCell ref="LVO31:LVP31"/>
    <mergeCell ref="LVQ31:LVR31"/>
    <mergeCell ref="LVS31:LVT31"/>
    <mergeCell ref="LVU31:LVV31"/>
    <mergeCell ref="LUY31:LUZ31"/>
    <mergeCell ref="LVA31:LVB31"/>
    <mergeCell ref="LVC31:LVD31"/>
    <mergeCell ref="LVE31:LVF31"/>
    <mergeCell ref="LVG31:LVH31"/>
    <mergeCell ref="LVI31:LVJ31"/>
    <mergeCell ref="MAA31:MAB31"/>
    <mergeCell ref="MAC31:MAD31"/>
    <mergeCell ref="MAE31:MAF31"/>
    <mergeCell ref="MAG31:MAH31"/>
    <mergeCell ref="MAI31:MAJ31"/>
    <mergeCell ref="MAK31:MAL31"/>
    <mergeCell ref="LZO31:LZP31"/>
    <mergeCell ref="LZQ31:LZR31"/>
    <mergeCell ref="LZS31:LZT31"/>
    <mergeCell ref="LZU31:LZV31"/>
    <mergeCell ref="LZW31:LZX31"/>
    <mergeCell ref="LZY31:LZZ31"/>
    <mergeCell ref="LZC31:LZD31"/>
    <mergeCell ref="LZE31:LZF31"/>
    <mergeCell ref="LZG31:LZH31"/>
    <mergeCell ref="LZI31:LZJ31"/>
    <mergeCell ref="LZK31:LZL31"/>
    <mergeCell ref="LZM31:LZN31"/>
    <mergeCell ref="LYQ31:LYR31"/>
    <mergeCell ref="LYS31:LYT31"/>
    <mergeCell ref="LYU31:LYV31"/>
    <mergeCell ref="LYW31:LYX31"/>
    <mergeCell ref="LYY31:LYZ31"/>
    <mergeCell ref="LZA31:LZB31"/>
    <mergeCell ref="LYE31:LYF31"/>
    <mergeCell ref="LYG31:LYH31"/>
    <mergeCell ref="LYI31:LYJ31"/>
    <mergeCell ref="LYK31:LYL31"/>
    <mergeCell ref="LYM31:LYN31"/>
    <mergeCell ref="LYO31:LYP31"/>
    <mergeCell ref="LXS31:LXT31"/>
    <mergeCell ref="LXU31:LXV31"/>
    <mergeCell ref="LXW31:LXX31"/>
    <mergeCell ref="LXY31:LXZ31"/>
    <mergeCell ref="LYA31:LYB31"/>
    <mergeCell ref="LYC31:LYD31"/>
    <mergeCell ref="MCU31:MCV31"/>
    <mergeCell ref="MCW31:MCX31"/>
    <mergeCell ref="MCY31:MCZ31"/>
    <mergeCell ref="MDA31:MDB31"/>
    <mergeCell ref="MDC31:MDD31"/>
    <mergeCell ref="MDE31:MDF31"/>
    <mergeCell ref="MCI31:MCJ31"/>
    <mergeCell ref="MCK31:MCL31"/>
    <mergeCell ref="MCM31:MCN31"/>
    <mergeCell ref="MCO31:MCP31"/>
    <mergeCell ref="MCQ31:MCR31"/>
    <mergeCell ref="MCS31:MCT31"/>
    <mergeCell ref="MBW31:MBX31"/>
    <mergeCell ref="MBY31:MBZ31"/>
    <mergeCell ref="MCA31:MCB31"/>
    <mergeCell ref="MCC31:MCD31"/>
    <mergeCell ref="MCE31:MCF31"/>
    <mergeCell ref="MCG31:MCH31"/>
    <mergeCell ref="MBK31:MBL31"/>
    <mergeCell ref="MBM31:MBN31"/>
    <mergeCell ref="MBO31:MBP31"/>
    <mergeCell ref="MBQ31:MBR31"/>
    <mergeCell ref="MBS31:MBT31"/>
    <mergeCell ref="MBU31:MBV31"/>
    <mergeCell ref="MAY31:MAZ31"/>
    <mergeCell ref="MBA31:MBB31"/>
    <mergeCell ref="MBC31:MBD31"/>
    <mergeCell ref="MBE31:MBF31"/>
    <mergeCell ref="MBG31:MBH31"/>
    <mergeCell ref="MBI31:MBJ31"/>
    <mergeCell ref="MAM31:MAN31"/>
    <mergeCell ref="MAO31:MAP31"/>
    <mergeCell ref="MAQ31:MAR31"/>
    <mergeCell ref="MAS31:MAT31"/>
    <mergeCell ref="MAU31:MAV31"/>
    <mergeCell ref="MAW31:MAX31"/>
    <mergeCell ref="MFO31:MFP31"/>
    <mergeCell ref="MFQ31:MFR31"/>
    <mergeCell ref="MFS31:MFT31"/>
    <mergeCell ref="MFU31:MFV31"/>
    <mergeCell ref="MFW31:MFX31"/>
    <mergeCell ref="MFY31:MFZ31"/>
    <mergeCell ref="MFC31:MFD31"/>
    <mergeCell ref="MFE31:MFF31"/>
    <mergeCell ref="MFG31:MFH31"/>
    <mergeCell ref="MFI31:MFJ31"/>
    <mergeCell ref="MFK31:MFL31"/>
    <mergeCell ref="MFM31:MFN31"/>
    <mergeCell ref="MEQ31:MER31"/>
    <mergeCell ref="MES31:MET31"/>
    <mergeCell ref="MEU31:MEV31"/>
    <mergeCell ref="MEW31:MEX31"/>
    <mergeCell ref="MEY31:MEZ31"/>
    <mergeCell ref="MFA31:MFB31"/>
    <mergeCell ref="MEE31:MEF31"/>
    <mergeCell ref="MEG31:MEH31"/>
    <mergeCell ref="MEI31:MEJ31"/>
    <mergeCell ref="MEK31:MEL31"/>
    <mergeCell ref="MEM31:MEN31"/>
    <mergeCell ref="MEO31:MEP31"/>
    <mergeCell ref="MDS31:MDT31"/>
    <mergeCell ref="MDU31:MDV31"/>
    <mergeCell ref="MDW31:MDX31"/>
    <mergeCell ref="MDY31:MDZ31"/>
    <mergeCell ref="MEA31:MEB31"/>
    <mergeCell ref="MEC31:MED31"/>
    <mergeCell ref="MDG31:MDH31"/>
    <mergeCell ref="MDI31:MDJ31"/>
    <mergeCell ref="MDK31:MDL31"/>
    <mergeCell ref="MDM31:MDN31"/>
    <mergeCell ref="MDO31:MDP31"/>
    <mergeCell ref="MDQ31:MDR31"/>
    <mergeCell ref="MII31:MIJ31"/>
    <mergeCell ref="MIK31:MIL31"/>
    <mergeCell ref="MIM31:MIN31"/>
    <mergeCell ref="MIO31:MIP31"/>
    <mergeCell ref="MIQ31:MIR31"/>
    <mergeCell ref="MIS31:MIT31"/>
    <mergeCell ref="MHW31:MHX31"/>
    <mergeCell ref="MHY31:MHZ31"/>
    <mergeCell ref="MIA31:MIB31"/>
    <mergeCell ref="MIC31:MID31"/>
    <mergeCell ref="MIE31:MIF31"/>
    <mergeCell ref="MIG31:MIH31"/>
    <mergeCell ref="MHK31:MHL31"/>
    <mergeCell ref="MHM31:MHN31"/>
    <mergeCell ref="MHO31:MHP31"/>
    <mergeCell ref="MHQ31:MHR31"/>
    <mergeCell ref="MHS31:MHT31"/>
    <mergeCell ref="MHU31:MHV31"/>
    <mergeCell ref="MGY31:MGZ31"/>
    <mergeCell ref="MHA31:MHB31"/>
    <mergeCell ref="MHC31:MHD31"/>
    <mergeCell ref="MHE31:MHF31"/>
    <mergeCell ref="MHG31:MHH31"/>
    <mergeCell ref="MHI31:MHJ31"/>
    <mergeCell ref="MGM31:MGN31"/>
    <mergeCell ref="MGO31:MGP31"/>
    <mergeCell ref="MGQ31:MGR31"/>
    <mergeCell ref="MGS31:MGT31"/>
    <mergeCell ref="MGU31:MGV31"/>
    <mergeCell ref="MGW31:MGX31"/>
    <mergeCell ref="MGA31:MGB31"/>
    <mergeCell ref="MGC31:MGD31"/>
    <mergeCell ref="MGE31:MGF31"/>
    <mergeCell ref="MGG31:MGH31"/>
    <mergeCell ref="MGI31:MGJ31"/>
    <mergeCell ref="MGK31:MGL31"/>
    <mergeCell ref="MLC31:MLD31"/>
    <mergeCell ref="MLE31:MLF31"/>
    <mergeCell ref="MLG31:MLH31"/>
    <mergeCell ref="MLI31:MLJ31"/>
    <mergeCell ref="MLK31:MLL31"/>
    <mergeCell ref="MLM31:MLN31"/>
    <mergeCell ref="MKQ31:MKR31"/>
    <mergeCell ref="MKS31:MKT31"/>
    <mergeCell ref="MKU31:MKV31"/>
    <mergeCell ref="MKW31:MKX31"/>
    <mergeCell ref="MKY31:MKZ31"/>
    <mergeCell ref="MLA31:MLB31"/>
    <mergeCell ref="MKE31:MKF31"/>
    <mergeCell ref="MKG31:MKH31"/>
    <mergeCell ref="MKI31:MKJ31"/>
    <mergeCell ref="MKK31:MKL31"/>
    <mergeCell ref="MKM31:MKN31"/>
    <mergeCell ref="MKO31:MKP31"/>
    <mergeCell ref="MJS31:MJT31"/>
    <mergeCell ref="MJU31:MJV31"/>
    <mergeCell ref="MJW31:MJX31"/>
    <mergeCell ref="MJY31:MJZ31"/>
    <mergeCell ref="MKA31:MKB31"/>
    <mergeCell ref="MKC31:MKD31"/>
    <mergeCell ref="MJG31:MJH31"/>
    <mergeCell ref="MJI31:MJJ31"/>
    <mergeCell ref="MJK31:MJL31"/>
    <mergeCell ref="MJM31:MJN31"/>
    <mergeCell ref="MJO31:MJP31"/>
    <mergeCell ref="MJQ31:MJR31"/>
    <mergeCell ref="MIU31:MIV31"/>
    <mergeCell ref="MIW31:MIX31"/>
    <mergeCell ref="MIY31:MIZ31"/>
    <mergeCell ref="MJA31:MJB31"/>
    <mergeCell ref="MJC31:MJD31"/>
    <mergeCell ref="MJE31:MJF31"/>
    <mergeCell ref="MNW31:MNX31"/>
    <mergeCell ref="MNY31:MNZ31"/>
    <mergeCell ref="MOA31:MOB31"/>
    <mergeCell ref="MOC31:MOD31"/>
    <mergeCell ref="MOE31:MOF31"/>
    <mergeCell ref="MOG31:MOH31"/>
    <mergeCell ref="MNK31:MNL31"/>
    <mergeCell ref="MNM31:MNN31"/>
    <mergeCell ref="MNO31:MNP31"/>
    <mergeCell ref="MNQ31:MNR31"/>
    <mergeCell ref="MNS31:MNT31"/>
    <mergeCell ref="MNU31:MNV31"/>
    <mergeCell ref="MMY31:MMZ31"/>
    <mergeCell ref="MNA31:MNB31"/>
    <mergeCell ref="MNC31:MND31"/>
    <mergeCell ref="MNE31:MNF31"/>
    <mergeCell ref="MNG31:MNH31"/>
    <mergeCell ref="MNI31:MNJ31"/>
    <mergeCell ref="MMM31:MMN31"/>
    <mergeCell ref="MMO31:MMP31"/>
    <mergeCell ref="MMQ31:MMR31"/>
    <mergeCell ref="MMS31:MMT31"/>
    <mergeCell ref="MMU31:MMV31"/>
    <mergeCell ref="MMW31:MMX31"/>
    <mergeCell ref="MMA31:MMB31"/>
    <mergeCell ref="MMC31:MMD31"/>
    <mergeCell ref="MME31:MMF31"/>
    <mergeCell ref="MMG31:MMH31"/>
    <mergeCell ref="MMI31:MMJ31"/>
    <mergeCell ref="MMK31:MML31"/>
    <mergeCell ref="MLO31:MLP31"/>
    <mergeCell ref="MLQ31:MLR31"/>
    <mergeCell ref="MLS31:MLT31"/>
    <mergeCell ref="MLU31:MLV31"/>
    <mergeCell ref="MLW31:MLX31"/>
    <mergeCell ref="MLY31:MLZ31"/>
    <mergeCell ref="MQQ31:MQR31"/>
    <mergeCell ref="MQS31:MQT31"/>
    <mergeCell ref="MQU31:MQV31"/>
    <mergeCell ref="MQW31:MQX31"/>
    <mergeCell ref="MQY31:MQZ31"/>
    <mergeCell ref="MRA31:MRB31"/>
    <mergeCell ref="MQE31:MQF31"/>
    <mergeCell ref="MQG31:MQH31"/>
    <mergeCell ref="MQI31:MQJ31"/>
    <mergeCell ref="MQK31:MQL31"/>
    <mergeCell ref="MQM31:MQN31"/>
    <mergeCell ref="MQO31:MQP31"/>
    <mergeCell ref="MPS31:MPT31"/>
    <mergeCell ref="MPU31:MPV31"/>
    <mergeCell ref="MPW31:MPX31"/>
    <mergeCell ref="MPY31:MPZ31"/>
    <mergeCell ref="MQA31:MQB31"/>
    <mergeCell ref="MQC31:MQD31"/>
    <mergeCell ref="MPG31:MPH31"/>
    <mergeCell ref="MPI31:MPJ31"/>
    <mergeCell ref="MPK31:MPL31"/>
    <mergeCell ref="MPM31:MPN31"/>
    <mergeCell ref="MPO31:MPP31"/>
    <mergeCell ref="MPQ31:MPR31"/>
    <mergeCell ref="MOU31:MOV31"/>
    <mergeCell ref="MOW31:MOX31"/>
    <mergeCell ref="MOY31:MOZ31"/>
    <mergeCell ref="MPA31:MPB31"/>
    <mergeCell ref="MPC31:MPD31"/>
    <mergeCell ref="MPE31:MPF31"/>
    <mergeCell ref="MOI31:MOJ31"/>
    <mergeCell ref="MOK31:MOL31"/>
    <mergeCell ref="MOM31:MON31"/>
    <mergeCell ref="MOO31:MOP31"/>
    <mergeCell ref="MOQ31:MOR31"/>
    <mergeCell ref="MOS31:MOT31"/>
    <mergeCell ref="MTK31:MTL31"/>
    <mergeCell ref="MTM31:MTN31"/>
    <mergeCell ref="MTO31:MTP31"/>
    <mergeCell ref="MTQ31:MTR31"/>
    <mergeCell ref="MTS31:MTT31"/>
    <mergeCell ref="MTU31:MTV31"/>
    <mergeCell ref="MSY31:MSZ31"/>
    <mergeCell ref="MTA31:MTB31"/>
    <mergeCell ref="MTC31:MTD31"/>
    <mergeCell ref="MTE31:MTF31"/>
    <mergeCell ref="MTG31:MTH31"/>
    <mergeCell ref="MTI31:MTJ31"/>
    <mergeCell ref="MSM31:MSN31"/>
    <mergeCell ref="MSO31:MSP31"/>
    <mergeCell ref="MSQ31:MSR31"/>
    <mergeCell ref="MSS31:MST31"/>
    <mergeCell ref="MSU31:MSV31"/>
    <mergeCell ref="MSW31:MSX31"/>
    <mergeCell ref="MSA31:MSB31"/>
    <mergeCell ref="MSC31:MSD31"/>
    <mergeCell ref="MSE31:MSF31"/>
    <mergeCell ref="MSG31:MSH31"/>
    <mergeCell ref="MSI31:MSJ31"/>
    <mergeCell ref="MSK31:MSL31"/>
    <mergeCell ref="MRO31:MRP31"/>
    <mergeCell ref="MRQ31:MRR31"/>
    <mergeCell ref="MRS31:MRT31"/>
    <mergeCell ref="MRU31:MRV31"/>
    <mergeCell ref="MRW31:MRX31"/>
    <mergeCell ref="MRY31:MRZ31"/>
    <mergeCell ref="MRC31:MRD31"/>
    <mergeCell ref="MRE31:MRF31"/>
    <mergeCell ref="MRG31:MRH31"/>
    <mergeCell ref="MRI31:MRJ31"/>
    <mergeCell ref="MRK31:MRL31"/>
    <mergeCell ref="MRM31:MRN31"/>
    <mergeCell ref="MWE31:MWF31"/>
    <mergeCell ref="MWG31:MWH31"/>
    <mergeCell ref="MWI31:MWJ31"/>
    <mergeCell ref="MWK31:MWL31"/>
    <mergeCell ref="MWM31:MWN31"/>
    <mergeCell ref="MWO31:MWP31"/>
    <mergeCell ref="MVS31:MVT31"/>
    <mergeCell ref="MVU31:MVV31"/>
    <mergeCell ref="MVW31:MVX31"/>
    <mergeCell ref="MVY31:MVZ31"/>
    <mergeCell ref="MWA31:MWB31"/>
    <mergeCell ref="MWC31:MWD31"/>
    <mergeCell ref="MVG31:MVH31"/>
    <mergeCell ref="MVI31:MVJ31"/>
    <mergeCell ref="MVK31:MVL31"/>
    <mergeCell ref="MVM31:MVN31"/>
    <mergeCell ref="MVO31:MVP31"/>
    <mergeCell ref="MVQ31:MVR31"/>
    <mergeCell ref="MUU31:MUV31"/>
    <mergeCell ref="MUW31:MUX31"/>
    <mergeCell ref="MUY31:MUZ31"/>
    <mergeCell ref="MVA31:MVB31"/>
    <mergeCell ref="MVC31:MVD31"/>
    <mergeCell ref="MVE31:MVF31"/>
    <mergeCell ref="MUI31:MUJ31"/>
    <mergeCell ref="MUK31:MUL31"/>
    <mergeCell ref="MUM31:MUN31"/>
    <mergeCell ref="MUO31:MUP31"/>
    <mergeCell ref="MUQ31:MUR31"/>
    <mergeCell ref="MUS31:MUT31"/>
    <mergeCell ref="MTW31:MTX31"/>
    <mergeCell ref="MTY31:MTZ31"/>
    <mergeCell ref="MUA31:MUB31"/>
    <mergeCell ref="MUC31:MUD31"/>
    <mergeCell ref="MUE31:MUF31"/>
    <mergeCell ref="MUG31:MUH31"/>
    <mergeCell ref="MYY31:MYZ31"/>
    <mergeCell ref="MZA31:MZB31"/>
    <mergeCell ref="MZC31:MZD31"/>
    <mergeCell ref="MZE31:MZF31"/>
    <mergeCell ref="MZG31:MZH31"/>
    <mergeCell ref="MZI31:MZJ31"/>
    <mergeCell ref="MYM31:MYN31"/>
    <mergeCell ref="MYO31:MYP31"/>
    <mergeCell ref="MYQ31:MYR31"/>
    <mergeCell ref="MYS31:MYT31"/>
    <mergeCell ref="MYU31:MYV31"/>
    <mergeCell ref="MYW31:MYX31"/>
    <mergeCell ref="MYA31:MYB31"/>
    <mergeCell ref="MYC31:MYD31"/>
    <mergeCell ref="MYE31:MYF31"/>
    <mergeCell ref="MYG31:MYH31"/>
    <mergeCell ref="MYI31:MYJ31"/>
    <mergeCell ref="MYK31:MYL31"/>
    <mergeCell ref="MXO31:MXP31"/>
    <mergeCell ref="MXQ31:MXR31"/>
    <mergeCell ref="MXS31:MXT31"/>
    <mergeCell ref="MXU31:MXV31"/>
    <mergeCell ref="MXW31:MXX31"/>
    <mergeCell ref="MXY31:MXZ31"/>
    <mergeCell ref="MXC31:MXD31"/>
    <mergeCell ref="MXE31:MXF31"/>
    <mergeCell ref="MXG31:MXH31"/>
    <mergeCell ref="MXI31:MXJ31"/>
    <mergeCell ref="MXK31:MXL31"/>
    <mergeCell ref="MXM31:MXN31"/>
    <mergeCell ref="MWQ31:MWR31"/>
    <mergeCell ref="MWS31:MWT31"/>
    <mergeCell ref="MWU31:MWV31"/>
    <mergeCell ref="MWW31:MWX31"/>
    <mergeCell ref="MWY31:MWZ31"/>
    <mergeCell ref="MXA31:MXB31"/>
    <mergeCell ref="NBS31:NBT31"/>
    <mergeCell ref="NBU31:NBV31"/>
    <mergeCell ref="NBW31:NBX31"/>
    <mergeCell ref="NBY31:NBZ31"/>
    <mergeCell ref="NCA31:NCB31"/>
    <mergeCell ref="NCC31:NCD31"/>
    <mergeCell ref="NBG31:NBH31"/>
    <mergeCell ref="NBI31:NBJ31"/>
    <mergeCell ref="NBK31:NBL31"/>
    <mergeCell ref="NBM31:NBN31"/>
    <mergeCell ref="NBO31:NBP31"/>
    <mergeCell ref="NBQ31:NBR31"/>
    <mergeCell ref="NAU31:NAV31"/>
    <mergeCell ref="NAW31:NAX31"/>
    <mergeCell ref="NAY31:NAZ31"/>
    <mergeCell ref="NBA31:NBB31"/>
    <mergeCell ref="NBC31:NBD31"/>
    <mergeCell ref="NBE31:NBF31"/>
    <mergeCell ref="NAI31:NAJ31"/>
    <mergeCell ref="NAK31:NAL31"/>
    <mergeCell ref="NAM31:NAN31"/>
    <mergeCell ref="NAO31:NAP31"/>
    <mergeCell ref="NAQ31:NAR31"/>
    <mergeCell ref="NAS31:NAT31"/>
    <mergeCell ref="MZW31:MZX31"/>
    <mergeCell ref="MZY31:MZZ31"/>
    <mergeCell ref="NAA31:NAB31"/>
    <mergeCell ref="NAC31:NAD31"/>
    <mergeCell ref="NAE31:NAF31"/>
    <mergeCell ref="NAG31:NAH31"/>
    <mergeCell ref="MZK31:MZL31"/>
    <mergeCell ref="MZM31:MZN31"/>
    <mergeCell ref="MZO31:MZP31"/>
    <mergeCell ref="MZQ31:MZR31"/>
    <mergeCell ref="MZS31:MZT31"/>
    <mergeCell ref="MZU31:MZV31"/>
    <mergeCell ref="NEM31:NEN31"/>
    <mergeCell ref="NEO31:NEP31"/>
    <mergeCell ref="NEQ31:NER31"/>
    <mergeCell ref="NES31:NET31"/>
    <mergeCell ref="NEU31:NEV31"/>
    <mergeCell ref="NEW31:NEX31"/>
    <mergeCell ref="NEA31:NEB31"/>
    <mergeCell ref="NEC31:NED31"/>
    <mergeCell ref="NEE31:NEF31"/>
    <mergeCell ref="NEG31:NEH31"/>
    <mergeCell ref="NEI31:NEJ31"/>
    <mergeCell ref="NEK31:NEL31"/>
    <mergeCell ref="NDO31:NDP31"/>
    <mergeCell ref="NDQ31:NDR31"/>
    <mergeCell ref="NDS31:NDT31"/>
    <mergeCell ref="NDU31:NDV31"/>
    <mergeCell ref="NDW31:NDX31"/>
    <mergeCell ref="NDY31:NDZ31"/>
    <mergeCell ref="NDC31:NDD31"/>
    <mergeCell ref="NDE31:NDF31"/>
    <mergeCell ref="NDG31:NDH31"/>
    <mergeCell ref="NDI31:NDJ31"/>
    <mergeCell ref="NDK31:NDL31"/>
    <mergeCell ref="NDM31:NDN31"/>
    <mergeCell ref="NCQ31:NCR31"/>
    <mergeCell ref="NCS31:NCT31"/>
    <mergeCell ref="NCU31:NCV31"/>
    <mergeCell ref="NCW31:NCX31"/>
    <mergeCell ref="NCY31:NCZ31"/>
    <mergeCell ref="NDA31:NDB31"/>
    <mergeCell ref="NCE31:NCF31"/>
    <mergeCell ref="NCG31:NCH31"/>
    <mergeCell ref="NCI31:NCJ31"/>
    <mergeCell ref="NCK31:NCL31"/>
    <mergeCell ref="NCM31:NCN31"/>
    <mergeCell ref="NCO31:NCP31"/>
    <mergeCell ref="NHG31:NHH31"/>
    <mergeCell ref="NHI31:NHJ31"/>
    <mergeCell ref="NHK31:NHL31"/>
    <mergeCell ref="NHM31:NHN31"/>
    <mergeCell ref="NHO31:NHP31"/>
    <mergeCell ref="NHQ31:NHR31"/>
    <mergeCell ref="NGU31:NGV31"/>
    <mergeCell ref="NGW31:NGX31"/>
    <mergeCell ref="NGY31:NGZ31"/>
    <mergeCell ref="NHA31:NHB31"/>
    <mergeCell ref="NHC31:NHD31"/>
    <mergeCell ref="NHE31:NHF31"/>
    <mergeCell ref="NGI31:NGJ31"/>
    <mergeCell ref="NGK31:NGL31"/>
    <mergeCell ref="NGM31:NGN31"/>
    <mergeCell ref="NGO31:NGP31"/>
    <mergeCell ref="NGQ31:NGR31"/>
    <mergeCell ref="NGS31:NGT31"/>
    <mergeCell ref="NFW31:NFX31"/>
    <mergeCell ref="NFY31:NFZ31"/>
    <mergeCell ref="NGA31:NGB31"/>
    <mergeCell ref="NGC31:NGD31"/>
    <mergeCell ref="NGE31:NGF31"/>
    <mergeCell ref="NGG31:NGH31"/>
    <mergeCell ref="NFK31:NFL31"/>
    <mergeCell ref="NFM31:NFN31"/>
    <mergeCell ref="NFO31:NFP31"/>
    <mergeCell ref="NFQ31:NFR31"/>
    <mergeCell ref="NFS31:NFT31"/>
    <mergeCell ref="NFU31:NFV31"/>
    <mergeCell ref="NEY31:NEZ31"/>
    <mergeCell ref="NFA31:NFB31"/>
    <mergeCell ref="NFC31:NFD31"/>
    <mergeCell ref="NFE31:NFF31"/>
    <mergeCell ref="NFG31:NFH31"/>
    <mergeCell ref="NFI31:NFJ31"/>
    <mergeCell ref="NKA31:NKB31"/>
    <mergeCell ref="NKC31:NKD31"/>
    <mergeCell ref="NKE31:NKF31"/>
    <mergeCell ref="NKG31:NKH31"/>
    <mergeCell ref="NKI31:NKJ31"/>
    <mergeCell ref="NKK31:NKL31"/>
    <mergeCell ref="NJO31:NJP31"/>
    <mergeCell ref="NJQ31:NJR31"/>
    <mergeCell ref="NJS31:NJT31"/>
    <mergeCell ref="NJU31:NJV31"/>
    <mergeCell ref="NJW31:NJX31"/>
    <mergeCell ref="NJY31:NJZ31"/>
    <mergeCell ref="NJC31:NJD31"/>
    <mergeCell ref="NJE31:NJF31"/>
    <mergeCell ref="NJG31:NJH31"/>
    <mergeCell ref="NJI31:NJJ31"/>
    <mergeCell ref="NJK31:NJL31"/>
    <mergeCell ref="NJM31:NJN31"/>
    <mergeCell ref="NIQ31:NIR31"/>
    <mergeCell ref="NIS31:NIT31"/>
    <mergeCell ref="NIU31:NIV31"/>
    <mergeCell ref="NIW31:NIX31"/>
    <mergeCell ref="NIY31:NIZ31"/>
    <mergeCell ref="NJA31:NJB31"/>
    <mergeCell ref="NIE31:NIF31"/>
    <mergeCell ref="NIG31:NIH31"/>
    <mergeCell ref="NII31:NIJ31"/>
    <mergeCell ref="NIK31:NIL31"/>
    <mergeCell ref="NIM31:NIN31"/>
    <mergeCell ref="NIO31:NIP31"/>
    <mergeCell ref="NHS31:NHT31"/>
    <mergeCell ref="NHU31:NHV31"/>
    <mergeCell ref="NHW31:NHX31"/>
    <mergeCell ref="NHY31:NHZ31"/>
    <mergeCell ref="NIA31:NIB31"/>
    <mergeCell ref="NIC31:NID31"/>
    <mergeCell ref="NMU31:NMV31"/>
    <mergeCell ref="NMW31:NMX31"/>
    <mergeCell ref="NMY31:NMZ31"/>
    <mergeCell ref="NNA31:NNB31"/>
    <mergeCell ref="NNC31:NND31"/>
    <mergeCell ref="NNE31:NNF31"/>
    <mergeCell ref="NMI31:NMJ31"/>
    <mergeCell ref="NMK31:NML31"/>
    <mergeCell ref="NMM31:NMN31"/>
    <mergeCell ref="NMO31:NMP31"/>
    <mergeCell ref="NMQ31:NMR31"/>
    <mergeCell ref="NMS31:NMT31"/>
    <mergeCell ref="NLW31:NLX31"/>
    <mergeCell ref="NLY31:NLZ31"/>
    <mergeCell ref="NMA31:NMB31"/>
    <mergeCell ref="NMC31:NMD31"/>
    <mergeCell ref="NME31:NMF31"/>
    <mergeCell ref="NMG31:NMH31"/>
    <mergeCell ref="NLK31:NLL31"/>
    <mergeCell ref="NLM31:NLN31"/>
    <mergeCell ref="NLO31:NLP31"/>
    <mergeCell ref="NLQ31:NLR31"/>
    <mergeCell ref="NLS31:NLT31"/>
    <mergeCell ref="NLU31:NLV31"/>
    <mergeCell ref="NKY31:NKZ31"/>
    <mergeCell ref="NLA31:NLB31"/>
    <mergeCell ref="NLC31:NLD31"/>
    <mergeCell ref="NLE31:NLF31"/>
    <mergeCell ref="NLG31:NLH31"/>
    <mergeCell ref="NLI31:NLJ31"/>
    <mergeCell ref="NKM31:NKN31"/>
    <mergeCell ref="NKO31:NKP31"/>
    <mergeCell ref="NKQ31:NKR31"/>
    <mergeCell ref="NKS31:NKT31"/>
    <mergeCell ref="NKU31:NKV31"/>
    <mergeCell ref="NKW31:NKX31"/>
    <mergeCell ref="NPO31:NPP31"/>
    <mergeCell ref="NPQ31:NPR31"/>
    <mergeCell ref="NPS31:NPT31"/>
    <mergeCell ref="NPU31:NPV31"/>
    <mergeCell ref="NPW31:NPX31"/>
    <mergeCell ref="NPY31:NPZ31"/>
    <mergeCell ref="NPC31:NPD31"/>
    <mergeCell ref="NPE31:NPF31"/>
    <mergeCell ref="NPG31:NPH31"/>
    <mergeCell ref="NPI31:NPJ31"/>
    <mergeCell ref="NPK31:NPL31"/>
    <mergeCell ref="NPM31:NPN31"/>
    <mergeCell ref="NOQ31:NOR31"/>
    <mergeCell ref="NOS31:NOT31"/>
    <mergeCell ref="NOU31:NOV31"/>
    <mergeCell ref="NOW31:NOX31"/>
    <mergeCell ref="NOY31:NOZ31"/>
    <mergeCell ref="NPA31:NPB31"/>
    <mergeCell ref="NOE31:NOF31"/>
    <mergeCell ref="NOG31:NOH31"/>
    <mergeCell ref="NOI31:NOJ31"/>
    <mergeCell ref="NOK31:NOL31"/>
    <mergeCell ref="NOM31:NON31"/>
    <mergeCell ref="NOO31:NOP31"/>
    <mergeCell ref="NNS31:NNT31"/>
    <mergeCell ref="NNU31:NNV31"/>
    <mergeCell ref="NNW31:NNX31"/>
    <mergeCell ref="NNY31:NNZ31"/>
    <mergeCell ref="NOA31:NOB31"/>
    <mergeCell ref="NOC31:NOD31"/>
    <mergeCell ref="NNG31:NNH31"/>
    <mergeCell ref="NNI31:NNJ31"/>
    <mergeCell ref="NNK31:NNL31"/>
    <mergeCell ref="NNM31:NNN31"/>
    <mergeCell ref="NNO31:NNP31"/>
    <mergeCell ref="NNQ31:NNR31"/>
    <mergeCell ref="NSI31:NSJ31"/>
    <mergeCell ref="NSK31:NSL31"/>
    <mergeCell ref="NSM31:NSN31"/>
    <mergeCell ref="NSO31:NSP31"/>
    <mergeCell ref="NSQ31:NSR31"/>
    <mergeCell ref="NSS31:NST31"/>
    <mergeCell ref="NRW31:NRX31"/>
    <mergeCell ref="NRY31:NRZ31"/>
    <mergeCell ref="NSA31:NSB31"/>
    <mergeCell ref="NSC31:NSD31"/>
    <mergeCell ref="NSE31:NSF31"/>
    <mergeCell ref="NSG31:NSH31"/>
    <mergeCell ref="NRK31:NRL31"/>
    <mergeCell ref="NRM31:NRN31"/>
    <mergeCell ref="NRO31:NRP31"/>
    <mergeCell ref="NRQ31:NRR31"/>
    <mergeCell ref="NRS31:NRT31"/>
    <mergeCell ref="NRU31:NRV31"/>
    <mergeCell ref="NQY31:NQZ31"/>
    <mergeCell ref="NRA31:NRB31"/>
    <mergeCell ref="NRC31:NRD31"/>
    <mergeCell ref="NRE31:NRF31"/>
    <mergeCell ref="NRG31:NRH31"/>
    <mergeCell ref="NRI31:NRJ31"/>
    <mergeCell ref="NQM31:NQN31"/>
    <mergeCell ref="NQO31:NQP31"/>
    <mergeCell ref="NQQ31:NQR31"/>
    <mergeCell ref="NQS31:NQT31"/>
    <mergeCell ref="NQU31:NQV31"/>
    <mergeCell ref="NQW31:NQX31"/>
    <mergeCell ref="NQA31:NQB31"/>
    <mergeCell ref="NQC31:NQD31"/>
    <mergeCell ref="NQE31:NQF31"/>
    <mergeCell ref="NQG31:NQH31"/>
    <mergeCell ref="NQI31:NQJ31"/>
    <mergeCell ref="NQK31:NQL31"/>
    <mergeCell ref="NVC31:NVD31"/>
    <mergeCell ref="NVE31:NVF31"/>
    <mergeCell ref="NVG31:NVH31"/>
    <mergeCell ref="NVI31:NVJ31"/>
    <mergeCell ref="NVK31:NVL31"/>
    <mergeCell ref="NVM31:NVN31"/>
    <mergeCell ref="NUQ31:NUR31"/>
    <mergeCell ref="NUS31:NUT31"/>
    <mergeCell ref="NUU31:NUV31"/>
    <mergeCell ref="NUW31:NUX31"/>
    <mergeCell ref="NUY31:NUZ31"/>
    <mergeCell ref="NVA31:NVB31"/>
    <mergeCell ref="NUE31:NUF31"/>
    <mergeCell ref="NUG31:NUH31"/>
    <mergeCell ref="NUI31:NUJ31"/>
    <mergeCell ref="NUK31:NUL31"/>
    <mergeCell ref="NUM31:NUN31"/>
    <mergeCell ref="NUO31:NUP31"/>
    <mergeCell ref="NTS31:NTT31"/>
    <mergeCell ref="NTU31:NTV31"/>
    <mergeCell ref="NTW31:NTX31"/>
    <mergeCell ref="NTY31:NTZ31"/>
    <mergeCell ref="NUA31:NUB31"/>
    <mergeCell ref="NUC31:NUD31"/>
    <mergeCell ref="NTG31:NTH31"/>
    <mergeCell ref="NTI31:NTJ31"/>
    <mergeCell ref="NTK31:NTL31"/>
    <mergeCell ref="NTM31:NTN31"/>
    <mergeCell ref="NTO31:NTP31"/>
    <mergeCell ref="NTQ31:NTR31"/>
    <mergeCell ref="NSU31:NSV31"/>
    <mergeCell ref="NSW31:NSX31"/>
    <mergeCell ref="NSY31:NSZ31"/>
    <mergeCell ref="NTA31:NTB31"/>
    <mergeCell ref="NTC31:NTD31"/>
    <mergeCell ref="NTE31:NTF31"/>
    <mergeCell ref="NXW31:NXX31"/>
    <mergeCell ref="NXY31:NXZ31"/>
    <mergeCell ref="NYA31:NYB31"/>
    <mergeCell ref="NYC31:NYD31"/>
    <mergeCell ref="NYE31:NYF31"/>
    <mergeCell ref="NYG31:NYH31"/>
    <mergeCell ref="NXK31:NXL31"/>
    <mergeCell ref="NXM31:NXN31"/>
    <mergeCell ref="NXO31:NXP31"/>
    <mergeCell ref="NXQ31:NXR31"/>
    <mergeCell ref="NXS31:NXT31"/>
    <mergeCell ref="NXU31:NXV31"/>
    <mergeCell ref="NWY31:NWZ31"/>
    <mergeCell ref="NXA31:NXB31"/>
    <mergeCell ref="NXC31:NXD31"/>
    <mergeCell ref="NXE31:NXF31"/>
    <mergeCell ref="NXG31:NXH31"/>
    <mergeCell ref="NXI31:NXJ31"/>
    <mergeCell ref="NWM31:NWN31"/>
    <mergeCell ref="NWO31:NWP31"/>
    <mergeCell ref="NWQ31:NWR31"/>
    <mergeCell ref="NWS31:NWT31"/>
    <mergeCell ref="NWU31:NWV31"/>
    <mergeCell ref="NWW31:NWX31"/>
    <mergeCell ref="NWA31:NWB31"/>
    <mergeCell ref="NWC31:NWD31"/>
    <mergeCell ref="NWE31:NWF31"/>
    <mergeCell ref="NWG31:NWH31"/>
    <mergeCell ref="NWI31:NWJ31"/>
    <mergeCell ref="NWK31:NWL31"/>
    <mergeCell ref="NVO31:NVP31"/>
    <mergeCell ref="NVQ31:NVR31"/>
    <mergeCell ref="NVS31:NVT31"/>
    <mergeCell ref="NVU31:NVV31"/>
    <mergeCell ref="NVW31:NVX31"/>
    <mergeCell ref="NVY31:NVZ31"/>
    <mergeCell ref="OAQ31:OAR31"/>
    <mergeCell ref="OAS31:OAT31"/>
    <mergeCell ref="OAU31:OAV31"/>
    <mergeCell ref="OAW31:OAX31"/>
    <mergeCell ref="OAY31:OAZ31"/>
    <mergeCell ref="OBA31:OBB31"/>
    <mergeCell ref="OAE31:OAF31"/>
    <mergeCell ref="OAG31:OAH31"/>
    <mergeCell ref="OAI31:OAJ31"/>
    <mergeCell ref="OAK31:OAL31"/>
    <mergeCell ref="OAM31:OAN31"/>
    <mergeCell ref="OAO31:OAP31"/>
    <mergeCell ref="NZS31:NZT31"/>
    <mergeCell ref="NZU31:NZV31"/>
    <mergeCell ref="NZW31:NZX31"/>
    <mergeCell ref="NZY31:NZZ31"/>
    <mergeCell ref="OAA31:OAB31"/>
    <mergeCell ref="OAC31:OAD31"/>
    <mergeCell ref="NZG31:NZH31"/>
    <mergeCell ref="NZI31:NZJ31"/>
    <mergeCell ref="NZK31:NZL31"/>
    <mergeCell ref="NZM31:NZN31"/>
    <mergeCell ref="NZO31:NZP31"/>
    <mergeCell ref="NZQ31:NZR31"/>
    <mergeCell ref="NYU31:NYV31"/>
    <mergeCell ref="NYW31:NYX31"/>
    <mergeCell ref="NYY31:NYZ31"/>
    <mergeCell ref="NZA31:NZB31"/>
    <mergeCell ref="NZC31:NZD31"/>
    <mergeCell ref="NZE31:NZF31"/>
    <mergeCell ref="NYI31:NYJ31"/>
    <mergeCell ref="NYK31:NYL31"/>
    <mergeCell ref="NYM31:NYN31"/>
    <mergeCell ref="NYO31:NYP31"/>
    <mergeCell ref="NYQ31:NYR31"/>
    <mergeCell ref="NYS31:NYT31"/>
    <mergeCell ref="ODK31:ODL31"/>
    <mergeCell ref="ODM31:ODN31"/>
    <mergeCell ref="ODO31:ODP31"/>
    <mergeCell ref="ODQ31:ODR31"/>
    <mergeCell ref="ODS31:ODT31"/>
    <mergeCell ref="ODU31:ODV31"/>
    <mergeCell ref="OCY31:OCZ31"/>
    <mergeCell ref="ODA31:ODB31"/>
    <mergeCell ref="ODC31:ODD31"/>
    <mergeCell ref="ODE31:ODF31"/>
    <mergeCell ref="ODG31:ODH31"/>
    <mergeCell ref="ODI31:ODJ31"/>
    <mergeCell ref="OCM31:OCN31"/>
    <mergeCell ref="OCO31:OCP31"/>
    <mergeCell ref="OCQ31:OCR31"/>
    <mergeCell ref="OCS31:OCT31"/>
    <mergeCell ref="OCU31:OCV31"/>
    <mergeCell ref="OCW31:OCX31"/>
    <mergeCell ref="OCA31:OCB31"/>
    <mergeCell ref="OCC31:OCD31"/>
    <mergeCell ref="OCE31:OCF31"/>
    <mergeCell ref="OCG31:OCH31"/>
    <mergeCell ref="OCI31:OCJ31"/>
    <mergeCell ref="OCK31:OCL31"/>
    <mergeCell ref="OBO31:OBP31"/>
    <mergeCell ref="OBQ31:OBR31"/>
    <mergeCell ref="OBS31:OBT31"/>
    <mergeCell ref="OBU31:OBV31"/>
    <mergeCell ref="OBW31:OBX31"/>
    <mergeCell ref="OBY31:OBZ31"/>
    <mergeCell ref="OBC31:OBD31"/>
    <mergeCell ref="OBE31:OBF31"/>
    <mergeCell ref="OBG31:OBH31"/>
    <mergeCell ref="OBI31:OBJ31"/>
    <mergeCell ref="OBK31:OBL31"/>
    <mergeCell ref="OBM31:OBN31"/>
    <mergeCell ref="OGE31:OGF31"/>
    <mergeCell ref="OGG31:OGH31"/>
    <mergeCell ref="OGI31:OGJ31"/>
    <mergeCell ref="OGK31:OGL31"/>
    <mergeCell ref="OGM31:OGN31"/>
    <mergeCell ref="OGO31:OGP31"/>
    <mergeCell ref="OFS31:OFT31"/>
    <mergeCell ref="OFU31:OFV31"/>
    <mergeCell ref="OFW31:OFX31"/>
    <mergeCell ref="OFY31:OFZ31"/>
    <mergeCell ref="OGA31:OGB31"/>
    <mergeCell ref="OGC31:OGD31"/>
    <mergeCell ref="OFG31:OFH31"/>
    <mergeCell ref="OFI31:OFJ31"/>
    <mergeCell ref="OFK31:OFL31"/>
    <mergeCell ref="OFM31:OFN31"/>
    <mergeCell ref="OFO31:OFP31"/>
    <mergeCell ref="OFQ31:OFR31"/>
    <mergeCell ref="OEU31:OEV31"/>
    <mergeCell ref="OEW31:OEX31"/>
    <mergeCell ref="OEY31:OEZ31"/>
    <mergeCell ref="OFA31:OFB31"/>
    <mergeCell ref="OFC31:OFD31"/>
    <mergeCell ref="OFE31:OFF31"/>
    <mergeCell ref="OEI31:OEJ31"/>
    <mergeCell ref="OEK31:OEL31"/>
    <mergeCell ref="OEM31:OEN31"/>
    <mergeCell ref="OEO31:OEP31"/>
    <mergeCell ref="OEQ31:OER31"/>
    <mergeCell ref="OES31:OET31"/>
    <mergeCell ref="ODW31:ODX31"/>
    <mergeCell ref="ODY31:ODZ31"/>
    <mergeCell ref="OEA31:OEB31"/>
    <mergeCell ref="OEC31:OED31"/>
    <mergeCell ref="OEE31:OEF31"/>
    <mergeCell ref="OEG31:OEH31"/>
    <mergeCell ref="OIY31:OIZ31"/>
    <mergeCell ref="OJA31:OJB31"/>
    <mergeCell ref="OJC31:OJD31"/>
    <mergeCell ref="OJE31:OJF31"/>
    <mergeCell ref="OJG31:OJH31"/>
    <mergeCell ref="OJI31:OJJ31"/>
    <mergeCell ref="OIM31:OIN31"/>
    <mergeCell ref="OIO31:OIP31"/>
    <mergeCell ref="OIQ31:OIR31"/>
    <mergeCell ref="OIS31:OIT31"/>
    <mergeCell ref="OIU31:OIV31"/>
    <mergeCell ref="OIW31:OIX31"/>
    <mergeCell ref="OIA31:OIB31"/>
    <mergeCell ref="OIC31:OID31"/>
    <mergeCell ref="OIE31:OIF31"/>
    <mergeCell ref="OIG31:OIH31"/>
    <mergeCell ref="OII31:OIJ31"/>
    <mergeCell ref="OIK31:OIL31"/>
    <mergeCell ref="OHO31:OHP31"/>
    <mergeCell ref="OHQ31:OHR31"/>
    <mergeCell ref="OHS31:OHT31"/>
    <mergeCell ref="OHU31:OHV31"/>
    <mergeCell ref="OHW31:OHX31"/>
    <mergeCell ref="OHY31:OHZ31"/>
    <mergeCell ref="OHC31:OHD31"/>
    <mergeCell ref="OHE31:OHF31"/>
    <mergeCell ref="OHG31:OHH31"/>
    <mergeCell ref="OHI31:OHJ31"/>
    <mergeCell ref="OHK31:OHL31"/>
    <mergeCell ref="OHM31:OHN31"/>
    <mergeCell ref="OGQ31:OGR31"/>
    <mergeCell ref="OGS31:OGT31"/>
    <mergeCell ref="OGU31:OGV31"/>
    <mergeCell ref="OGW31:OGX31"/>
    <mergeCell ref="OGY31:OGZ31"/>
    <mergeCell ref="OHA31:OHB31"/>
    <mergeCell ref="OLS31:OLT31"/>
    <mergeCell ref="OLU31:OLV31"/>
    <mergeCell ref="OLW31:OLX31"/>
    <mergeCell ref="OLY31:OLZ31"/>
    <mergeCell ref="OMA31:OMB31"/>
    <mergeCell ref="OMC31:OMD31"/>
    <mergeCell ref="OLG31:OLH31"/>
    <mergeCell ref="OLI31:OLJ31"/>
    <mergeCell ref="OLK31:OLL31"/>
    <mergeCell ref="OLM31:OLN31"/>
    <mergeCell ref="OLO31:OLP31"/>
    <mergeCell ref="OLQ31:OLR31"/>
    <mergeCell ref="OKU31:OKV31"/>
    <mergeCell ref="OKW31:OKX31"/>
    <mergeCell ref="OKY31:OKZ31"/>
    <mergeCell ref="OLA31:OLB31"/>
    <mergeCell ref="OLC31:OLD31"/>
    <mergeCell ref="OLE31:OLF31"/>
    <mergeCell ref="OKI31:OKJ31"/>
    <mergeCell ref="OKK31:OKL31"/>
    <mergeCell ref="OKM31:OKN31"/>
    <mergeCell ref="OKO31:OKP31"/>
    <mergeCell ref="OKQ31:OKR31"/>
    <mergeCell ref="OKS31:OKT31"/>
    <mergeCell ref="OJW31:OJX31"/>
    <mergeCell ref="OJY31:OJZ31"/>
    <mergeCell ref="OKA31:OKB31"/>
    <mergeCell ref="OKC31:OKD31"/>
    <mergeCell ref="OKE31:OKF31"/>
    <mergeCell ref="OKG31:OKH31"/>
    <mergeCell ref="OJK31:OJL31"/>
    <mergeCell ref="OJM31:OJN31"/>
    <mergeCell ref="OJO31:OJP31"/>
    <mergeCell ref="OJQ31:OJR31"/>
    <mergeCell ref="OJS31:OJT31"/>
    <mergeCell ref="OJU31:OJV31"/>
    <mergeCell ref="OOM31:OON31"/>
    <mergeCell ref="OOO31:OOP31"/>
    <mergeCell ref="OOQ31:OOR31"/>
    <mergeCell ref="OOS31:OOT31"/>
    <mergeCell ref="OOU31:OOV31"/>
    <mergeCell ref="OOW31:OOX31"/>
    <mergeCell ref="OOA31:OOB31"/>
    <mergeCell ref="OOC31:OOD31"/>
    <mergeCell ref="OOE31:OOF31"/>
    <mergeCell ref="OOG31:OOH31"/>
    <mergeCell ref="OOI31:OOJ31"/>
    <mergeCell ref="OOK31:OOL31"/>
    <mergeCell ref="ONO31:ONP31"/>
    <mergeCell ref="ONQ31:ONR31"/>
    <mergeCell ref="ONS31:ONT31"/>
    <mergeCell ref="ONU31:ONV31"/>
    <mergeCell ref="ONW31:ONX31"/>
    <mergeCell ref="ONY31:ONZ31"/>
    <mergeCell ref="ONC31:OND31"/>
    <mergeCell ref="ONE31:ONF31"/>
    <mergeCell ref="ONG31:ONH31"/>
    <mergeCell ref="ONI31:ONJ31"/>
    <mergeCell ref="ONK31:ONL31"/>
    <mergeCell ref="ONM31:ONN31"/>
    <mergeCell ref="OMQ31:OMR31"/>
    <mergeCell ref="OMS31:OMT31"/>
    <mergeCell ref="OMU31:OMV31"/>
    <mergeCell ref="OMW31:OMX31"/>
    <mergeCell ref="OMY31:OMZ31"/>
    <mergeCell ref="ONA31:ONB31"/>
    <mergeCell ref="OME31:OMF31"/>
    <mergeCell ref="OMG31:OMH31"/>
    <mergeCell ref="OMI31:OMJ31"/>
    <mergeCell ref="OMK31:OML31"/>
    <mergeCell ref="OMM31:OMN31"/>
    <mergeCell ref="OMO31:OMP31"/>
    <mergeCell ref="ORG31:ORH31"/>
    <mergeCell ref="ORI31:ORJ31"/>
    <mergeCell ref="ORK31:ORL31"/>
    <mergeCell ref="ORM31:ORN31"/>
    <mergeCell ref="ORO31:ORP31"/>
    <mergeCell ref="ORQ31:ORR31"/>
    <mergeCell ref="OQU31:OQV31"/>
    <mergeCell ref="OQW31:OQX31"/>
    <mergeCell ref="OQY31:OQZ31"/>
    <mergeCell ref="ORA31:ORB31"/>
    <mergeCell ref="ORC31:ORD31"/>
    <mergeCell ref="ORE31:ORF31"/>
    <mergeCell ref="OQI31:OQJ31"/>
    <mergeCell ref="OQK31:OQL31"/>
    <mergeCell ref="OQM31:OQN31"/>
    <mergeCell ref="OQO31:OQP31"/>
    <mergeCell ref="OQQ31:OQR31"/>
    <mergeCell ref="OQS31:OQT31"/>
    <mergeCell ref="OPW31:OPX31"/>
    <mergeCell ref="OPY31:OPZ31"/>
    <mergeCell ref="OQA31:OQB31"/>
    <mergeCell ref="OQC31:OQD31"/>
    <mergeCell ref="OQE31:OQF31"/>
    <mergeCell ref="OQG31:OQH31"/>
    <mergeCell ref="OPK31:OPL31"/>
    <mergeCell ref="OPM31:OPN31"/>
    <mergeCell ref="OPO31:OPP31"/>
    <mergeCell ref="OPQ31:OPR31"/>
    <mergeCell ref="OPS31:OPT31"/>
    <mergeCell ref="OPU31:OPV31"/>
    <mergeCell ref="OOY31:OOZ31"/>
    <mergeCell ref="OPA31:OPB31"/>
    <mergeCell ref="OPC31:OPD31"/>
    <mergeCell ref="OPE31:OPF31"/>
    <mergeCell ref="OPG31:OPH31"/>
    <mergeCell ref="OPI31:OPJ31"/>
    <mergeCell ref="OUA31:OUB31"/>
    <mergeCell ref="OUC31:OUD31"/>
    <mergeCell ref="OUE31:OUF31"/>
    <mergeCell ref="OUG31:OUH31"/>
    <mergeCell ref="OUI31:OUJ31"/>
    <mergeCell ref="OUK31:OUL31"/>
    <mergeCell ref="OTO31:OTP31"/>
    <mergeCell ref="OTQ31:OTR31"/>
    <mergeCell ref="OTS31:OTT31"/>
    <mergeCell ref="OTU31:OTV31"/>
    <mergeCell ref="OTW31:OTX31"/>
    <mergeCell ref="OTY31:OTZ31"/>
    <mergeCell ref="OTC31:OTD31"/>
    <mergeCell ref="OTE31:OTF31"/>
    <mergeCell ref="OTG31:OTH31"/>
    <mergeCell ref="OTI31:OTJ31"/>
    <mergeCell ref="OTK31:OTL31"/>
    <mergeCell ref="OTM31:OTN31"/>
    <mergeCell ref="OSQ31:OSR31"/>
    <mergeCell ref="OSS31:OST31"/>
    <mergeCell ref="OSU31:OSV31"/>
    <mergeCell ref="OSW31:OSX31"/>
    <mergeCell ref="OSY31:OSZ31"/>
    <mergeCell ref="OTA31:OTB31"/>
    <mergeCell ref="OSE31:OSF31"/>
    <mergeCell ref="OSG31:OSH31"/>
    <mergeCell ref="OSI31:OSJ31"/>
    <mergeCell ref="OSK31:OSL31"/>
    <mergeCell ref="OSM31:OSN31"/>
    <mergeCell ref="OSO31:OSP31"/>
    <mergeCell ref="ORS31:ORT31"/>
    <mergeCell ref="ORU31:ORV31"/>
    <mergeCell ref="ORW31:ORX31"/>
    <mergeCell ref="ORY31:ORZ31"/>
    <mergeCell ref="OSA31:OSB31"/>
    <mergeCell ref="OSC31:OSD31"/>
    <mergeCell ref="OWU31:OWV31"/>
    <mergeCell ref="OWW31:OWX31"/>
    <mergeCell ref="OWY31:OWZ31"/>
    <mergeCell ref="OXA31:OXB31"/>
    <mergeCell ref="OXC31:OXD31"/>
    <mergeCell ref="OXE31:OXF31"/>
    <mergeCell ref="OWI31:OWJ31"/>
    <mergeCell ref="OWK31:OWL31"/>
    <mergeCell ref="OWM31:OWN31"/>
    <mergeCell ref="OWO31:OWP31"/>
    <mergeCell ref="OWQ31:OWR31"/>
    <mergeCell ref="OWS31:OWT31"/>
    <mergeCell ref="OVW31:OVX31"/>
    <mergeCell ref="OVY31:OVZ31"/>
    <mergeCell ref="OWA31:OWB31"/>
    <mergeCell ref="OWC31:OWD31"/>
    <mergeCell ref="OWE31:OWF31"/>
    <mergeCell ref="OWG31:OWH31"/>
    <mergeCell ref="OVK31:OVL31"/>
    <mergeCell ref="OVM31:OVN31"/>
    <mergeCell ref="OVO31:OVP31"/>
    <mergeCell ref="OVQ31:OVR31"/>
    <mergeCell ref="OVS31:OVT31"/>
    <mergeCell ref="OVU31:OVV31"/>
    <mergeCell ref="OUY31:OUZ31"/>
    <mergeCell ref="OVA31:OVB31"/>
    <mergeCell ref="OVC31:OVD31"/>
    <mergeCell ref="OVE31:OVF31"/>
    <mergeCell ref="OVG31:OVH31"/>
    <mergeCell ref="OVI31:OVJ31"/>
    <mergeCell ref="OUM31:OUN31"/>
    <mergeCell ref="OUO31:OUP31"/>
    <mergeCell ref="OUQ31:OUR31"/>
    <mergeCell ref="OUS31:OUT31"/>
    <mergeCell ref="OUU31:OUV31"/>
    <mergeCell ref="OUW31:OUX31"/>
    <mergeCell ref="OZO31:OZP31"/>
    <mergeCell ref="OZQ31:OZR31"/>
    <mergeCell ref="OZS31:OZT31"/>
    <mergeCell ref="OZU31:OZV31"/>
    <mergeCell ref="OZW31:OZX31"/>
    <mergeCell ref="OZY31:OZZ31"/>
    <mergeCell ref="OZC31:OZD31"/>
    <mergeCell ref="OZE31:OZF31"/>
    <mergeCell ref="OZG31:OZH31"/>
    <mergeCell ref="OZI31:OZJ31"/>
    <mergeCell ref="OZK31:OZL31"/>
    <mergeCell ref="OZM31:OZN31"/>
    <mergeCell ref="OYQ31:OYR31"/>
    <mergeCell ref="OYS31:OYT31"/>
    <mergeCell ref="OYU31:OYV31"/>
    <mergeCell ref="OYW31:OYX31"/>
    <mergeCell ref="OYY31:OYZ31"/>
    <mergeCell ref="OZA31:OZB31"/>
    <mergeCell ref="OYE31:OYF31"/>
    <mergeCell ref="OYG31:OYH31"/>
    <mergeCell ref="OYI31:OYJ31"/>
    <mergeCell ref="OYK31:OYL31"/>
    <mergeCell ref="OYM31:OYN31"/>
    <mergeCell ref="OYO31:OYP31"/>
    <mergeCell ref="OXS31:OXT31"/>
    <mergeCell ref="OXU31:OXV31"/>
    <mergeCell ref="OXW31:OXX31"/>
    <mergeCell ref="OXY31:OXZ31"/>
    <mergeCell ref="OYA31:OYB31"/>
    <mergeCell ref="OYC31:OYD31"/>
    <mergeCell ref="OXG31:OXH31"/>
    <mergeCell ref="OXI31:OXJ31"/>
    <mergeCell ref="OXK31:OXL31"/>
    <mergeCell ref="OXM31:OXN31"/>
    <mergeCell ref="OXO31:OXP31"/>
    <mergeCell ref="OXQ31:OXR31"/>
    <mergeCell ref="PCI31:PCJ31"/>
    <mergeCell ref="PCK31:PCL31"/>
    <mergeCell ref="PCM31:PCN31"/>
    <mergeCell ref="PCO31:PCP31"/>
    <mergeCell ref="PCQ31:PCR31"/>
    <mergeCell ref="PCS31:PCT31"/>
    <mergeCell ref="PBW31:PBX31"/>
    <mergeCell ref="PBY31:PBZ31"/>
    <mergeCell ref="PCA31:PCB31"/>
    <mergeCell ref="PCC31:PCD31"/>
    <mergeCell ref="PCE31:PCF31"/>
    <mergeCell ref="PCG31:PCH31"/>
    <mergeCell ref="PBK31:PBL31"/>
    <mergeCell ref="PBM31:PBN31"/>
    <mergeCell ref="PBO31:PBP31"/>
    <mergeCell ref="PBQ31:PBR31"/>
    <mergeCell ref="PBS31:PBT31"/>
    <mergeCell ref="PBU31:PBV31"/>
    <mergeCell ref="PAY31:PAZ31"/>
    <mergeCell ref="PBA31:PBB31"/>
    <mergeCell ref="PBC31:PBD31"/>
    <mergeCell ref="PBE31:PBF31"/>
    <mergeCell ref="PBG31:PBH31"/>
    <mergeCell ref="PBI31:PBJ31"/>
    <mergeCell ref="PAM31:PAN31"/>
    <mergeCell ref="PAO31:PAP31"/>
    <mergeCell ref="PAQ31:PAR31"/>
    <mergeCell ref="PAS31:PAT31"/>
    <mergeCell ref="PAU31:PAV31"/>
    <mergeCell ref="PAW31:PAX31"/>
    <mergeCell ref="PAA31:PAB31"/>
    <mergeCell ref="PAC31:PAD31"/>
    <mergeCell ref="PAE31:PAF31"/>
    <mergeCell ref="PAG31:PAH31"/>
    <mergeCell ref="PAI31:PAJ31"/>
    <mergeCell ref="PAK31:PAL31"/>
    <mergeCell ref="PFC31:PFD31"/>
    <mergeCell ref="PFE31:PFF31"/>
    <mergeCell ref="PFG31:PFH31"/>
    <mergeCell ref="PFI31:PFJ31"/>
    <mergeCell ref="PFK31:PFL31"/>
    <mergeCell ref="PFM31:PFN31"/>
    <mergeCell ref="PEQ31:PER31"/>
    <mergeCell ref="PES31:PET31"/>
    <mergeCell ref="PEU31:PEV31"/>
    <mergeCell ref="PEW31:PEX31"/>
    <mergeCell ref="PEY31:PEZ31"/>
    <mergeCell ref="PFA31:PFB31"/>
    <mergeCell ref="PEE31:PEF31"/>
    <mergeCell ref="PEG31:PEH31"/>
    <mergeCell ref="PEI31:PEJ31"/>
    <mergeCell ref="PEK31:PEL31"/>
    <mergeCell ref="PEM31:PEN31"/>
    <mergeCell ref="PEO31:PEP31"/>
    <mergeCell ref="PDS31:PDT31"/>
    <mergeCell ref="PDU31:PDV31"/>
    <mergeCell ref="PDW31:PDX31"/>
    <mergeCell ref="PDY31:PDZ31"/>
    <mergeCell ref="PEA31:PEB31"/>
    <mergeCell ref="PEC31:PED31"/>
    <mergeCell ref="PDG31:PDH31"/>
    <mergeCell ref="PDI31:PDJ31"/>
    <mergeCell ref="PDK31:PDL31"/>
    <mergeCell ref="PDM31:PDN31"/>
    <mergeCell ref="PDO31:PDP31"/>
    <mergeCell ref="PDQ31:PDR31"/>
    <mergeCell ref="PCU31:PCV31"/>
    <mergeCell ref="PCW31:PCX31"/>
    <mergeCell ref="PCY31:PCZ31"/>
    <mergeCell ref="PDA31:PDB31"/>
    <mergeCell ref="PDC31:PDD31"/>
    <mergeCell ref="PDE31:PDF31"/>
    <mergeCell ref="PHW31:PHX31"/>
    <mergeCell ref="PHY31:PHZ31"/>
    <mergeCell ref="PIA31:PIB31"/>
    <mergeCell ref="PIC31:PID31"/>
    <mergeCell ref="PIE31:PIF31"/>
    <mergeCell ref="PIG31:PIH31"/>
    <mergeCell ref="PHK31:PHL31"/>
    <mergeCell ref="PHM31:PHN31"/>
    <mergeCell ref="PHO31:PHP31"/>
    <mergeCell ref="PHQ31:PHR31"/>
    <mergeCell ref="PHS31:PHT31"/>
    <mergeCell ref="PHU31:PHV31"/>
    <mergeCell ref="PGY31:PGZ31"/>
    <mergeCell ref="PHA31:PHB31"/>
    <mergeCell ref="PHC31:PHD31"/>
    <mergeCell ref="PHE31:PHF31"/>
    <mergeCell ref="PHG31:PHH31"/>
    <mergeCell ref="PHI31:PHJ31"/>
    <mergeCell ref="PGM31:PGN31"/>
    <mergeCell ref="PGO31:PGP31"/>
    <mergeCell ref="PGQ31:PGR31"/>
    <mergeCell ref="PGS31:PGT31"/>
    <mergeCell ref="PGU31:PGV31"/>
    <mergeCell ref="PGW31:PGX31"/>
    <mergeCell ref="PGA31:PGB31"/>
    <mergeCell ref="PGC31:PGD31"/>
    <mergeCell ref="PGE31:PGF31"/>
    <mergeCell ref="PGG31:PGH31"/>
    <mergeCell ref="PGI31:PGJ31"/>
    <mergeCell ref="PGK31:PGL31"/>
    <mergeCell ref="PFO31:PFP31"/>
    <mergeCell ref="PFQ31:PFR31"/>
    <mergeCell ref="PFS31:PFT31"/>
    <mergeCell ref="PFU31:PFV31"/>
    <mergeCell ref="PFW31:PFX31"/>
    <mergeCell ref="PFY31:PFZ31"/>
    <mergeCell ref="PKQ31:PKR31"/>
    <mergeCell ref="PKS31:PKT31"/>
    <mergeCell ref="PKU31:PKV31"/>
    <mergeCell ref="PKW31:PKX31"/>
    <mergeCell ref="PKY31:PKZ31"/>
    <mergeCell ref="PLA31:PLB31"/>
    <mergeCell ref="PKE31:PKF31"/>
    <mergeCell ref="PKG31:PKH31"/>
    <mergeCell ref="PKI31:PKJ31"/>
    <mergeCell ref="PKK31:PKL31"/>
    <mergeCell ref="PKM31:PKN31"/>
    <mergeCell ref="PKO31:PKP31"/>
    <mergeCell ref="PJS31:PJT31"/>
    <mergeCell ref="PJU31:PJV31"/>
    <mergeCell ref="PJW31:PJX31"/>
    <mergeCell ref="PJY31:PJZ31"/>
    <mergeCell ref="PKA31:PKB31"/>
    <mergeCell ref="PKC31:PKD31"/>
    <mergeCell ref="PJG31:PJH31"/>
    <mergeCell ref="PJI31:PJJ31"/>
    <mergeCell ref="PJK31:PJL31"/>
    <mergeCell ref="PJM31:PJN31"/>
    <mergeCell ref="PJO31:PJP31"/>
    <mergeCell ref="PJQ31:PJR31"/>
    <mergeCell ref="PIU31:PIV31"/>
    <mergeCell ref="PIW31:PIX31"/>
    <mergeCell ref="PIY31:PIZ31"/>
    <mergeCell ref="PJA31:PJB31"/>
    <mergeCell ref="PJC31:PJD31"/>
    <mergeCell ref="PJE31:PJF31"/>
    <mergeCell ref="PII31:PIJ31"/>
    <mergeCell ref="PIK31:PIL31"/>
    <mergeCell ref="PIM31:PIN31"/>
    <mergeCell ref="PIO31:PIP31"/>
    <mergeCell ref="PIQ31:PIR31"/>
    <mergeCell ref="PIS31:PIT31"/>
    <mergeCell ref="PNK31:PNL31"/>
    <mergeCell ref="PNM31:PNN31"/>
    <mergeCell ref="PNO31:PNP31"/>
    <mergeCell ref="PNQ31:PNR31"/>
    <mergeCell ref="PNS31:PNT31"/>
    <mergeCell ref="PNU31:PNV31"/>
    <mergeCell ref="PMY31:PMZ31"/>
    <mergeCell ref="PNA31:PNB31"/>
    <mergeCell ref="PNC31:PND31"/>
    <mergeCell ref="PNE31:PNF31"/>
    <mergeCell ref="PNG31:PNH31"/>
    <mergeCell ref="PNI31:PNJ31"/>
    <mergeCell ref="PMM31:PMN31"/>
    <mergeCell ref="PMO31:PMP31"/>
    <mergeCell ref="PMQ31:PMR31"/>
    <mergeCell ref="PMS31:PMT31"/>
    <mergeCell ref="PMU31:PMV31"/>
    <mergeCell ref="PMW31:PMX31"/>
    <mergeCell ref="PMA31:PMB31"/>
    <mergeCell ref="PMC31:PMD31"/>
    <mergeCell ref="PME31:PMF31"/>
    <mergeCell ref="PMG31:PMH31"/>
    <mergeCell ref="PMI31:PMJ31"/>
    <mergeCell ref="PMK31:PML31"/>
    <mergeCell ref="PLO31:PLP31"/>
    <mergeCell ref="PLQ31:PLR31"/>
    <mergeCell ref="PLS31:PLT31"/>
    <mergeCell ref="PLU31:PLV31"/>
    <mergeCell ref="PLW31:PLX31"/>
    <mergeCell ref="PLY31:PLZ31"/>
    <mergeCell ref="PLC31:PLD31"/>
    <mergeCell ref="PLE31:PLF31"/>
    <mergeCell ref="PLG31:PLH31"/>
    <mergeCell ref="PLI31:PLJ31"/>
    <mergeCell ref="PLK31:PLL31"/>
    <mergeCell ref="PLM31:PLN31"/>
    <mergeCell ref="PQE31:PQF31"/>
    <mergeCell ref="PQG31:PQH31"/>
    <mergeCell ref="PQI31:PQJ31"/>
    <mergeCell ref="PQK31:PQL31"/>
    <mergeCell ref="PQM31:PQN31"/>
    <mergeCell ref="PQO31:PQP31"/>
    <mergeCell ref="PPS31:PPT31"/>
    <mergeCell ref="PPU31:PPV31"/>
    <mergeCell ref="PPW31:PPX31"/>
    <mergeCell ref="PPY31:PPZ31"/>
    <mergeCell ref="PQA31:PQB31"/>
    <mergeCell ref="PQC31:PQD31"/>
    <mergeCell ref="PPG31:PPH31"/>
    <mergeCell ref="PPI31:PPJ31"/>
    <mergeCell ref="PPK31:PPL31"/>
    <mergeCell ref="PPM31:PPN31"/>
    <mergeCell ref="PPO31:PPP31"/>
    <mergeCell ref="PPQ31:PPR31"/>
    <mergeCell ref="POU31:POV31"/>
    <mergeCell ref="POW31:POX31"/>
    <mergeCell ref="POY31:POZ31"/>
    <mergeCell ref="PPA31:PPB31"/>
    <mergeCell ref="PPC31:PPD31"/>
    <mergeCell ref="PPE31:PPF31"/>
    <mergeCell ref="POI31:POJ31"/>
    <mergeCell ref="POK31:POL31"/>
    <mergeCell ref="POM31:PON31"/>
    <mergeCell ref="POO31:POP31"/>
    <mergeCell ref="POQ31:POR31"/>
    <mergeCell ref="POS31:POT31"/>
    <mergeCell ref="PNW31:PNX31"/>
    <mergeCell ref="PNY31:PNZ31"/>
    <mergeCell ref="POA31:POB31"/>
    <mergeCell ref="POC31:POD31"/>
    <mergeCell ref="POE31:POF31"/>
    <mergeCell ref="POG31:POH31"/>
    <mergeCell ref="PSY31:PSZ31"/>
    <mergeCell ref="PTA31:PTB31"/>
    <mergeCell ref="PTC31:PTD31"/>
    <mergeCell ref="PTE31:PTF31"/>
    <mergeCell ref="PTG31:PTH31"/>
    <mergeCell ref="PTI31:PTJ31"/>
    <mergeCell ref="PSM31:PSN31"/>
    <mergeCell ref="PSO31:PSP31"/>
    <mergeCell ref="PSQ31:PSR31"/>
    <mergeCell ref="PSS31:PST31"/>
    <mergeCell ref="PSU31:PSV31"/>
    <mergeCell ref="PSW31:PSX31"/>
    <mergeCell ref="PSA31:PSB31"/>
    <mergeCell ref="PSC31:PSD31"/>
    <mergeCell ref="PSE31:PSF31"/>
    <mergeCell ref="PSG31:PSH31"/>
    <mergeCell ref="PSI31:PSJ31"/>
    <mergeCell ref="PSK31:PSL31"/>
    <mergeCell ref="PRO31:PRP31"/>
    <mergeCell ref="PRQ31:PRR31"/>
    <mergeCell ref="PRS31:PRT31"/>
    <mergeCell ref="PRU31:PRV31"/>
    <mergeCell ref="PRW31:PRX31"/>
    <mergeCell ref="PRY31:PRZ31"/>
    <mergeCell ref="PRC31:PRD31"/>
    <mergeCell ref="PRE31:PRF31"/>
    <mergeCell ref="PRG31:PRH31"/>
    <mergeCell ref="PRI31:PRJ31"/>
    <mergeCell ref="PRK31:PRL31"/>
    <mergeCell ref="PRM31:PRN31"/>
    <mergeCell ref="PQQ31:PQR31"/>
    <mergeCell ref="PQS31:PQT31"/>
    <mergeCell ref="PQU31:PQV31"/>
    <mergeCell ref="PQW31:PQX31"/>
    <mergeCell ref="PQY31:PQZ31"/>
    <mergeCell ref="PRA31:PRB31"/>
    <mergeCell ref="PVS31:PVT31"/>
    <mergeCell ref="PVU31:PVV31"/>
    <mergeCell ref="PVW31:PVX31"/>
    <mergeCell ref="PVY31:PVZ31"/>
    <mergeCell ref="PWA31:PWB31"/>
    <mergeCell ref="PWC31:PWD31"/>
    <mergeCell ref="PVG31:PVH31"/>
    <mergeCell ref="PVI31:PVJ31"/>
    <mergeCell ref="PVK31:PVL31"/>
    <mergeCell ref="PVM31:PVN31"/>
    <mergeCell ref="PVO31:PVP31"/>
    <mergeCell ref="PVQ31:PVR31"/>
    <mergeCell ref="PUU31:PUV31"/>
    <mergeCell ref="PUW31:PUX31"/>
    <mergeCell ref="PUY31:PUZ31"/>
    <mergeCell ref="PVA31:PVB31"/>
    <mergeCell ref="PVC31:PVD31"/>
    <mergeCell ref="PVE31:PVF31"/>
    <mergeCell ref="PUI31:PUJ31"/>
    <mergeCell ref="PUK31:PUL31"/>
    <mergeCell ref="PUM31:PUN31"/>
    <mergeCell ref="PUO31:PUP31"/>
    <mergeCell ref="PUQ31:PUR31"/>
    <mergeCell ref="PUS31:PUT31"/>
    <mergeCell ref="PTW31:PTX31"/>
    <mergeCell ref="PTY31:PTZ31"/>
    <mergeCell ref="PUA31:PUB31"/>
    <mergeCell ref="PUC31:PUD31"/>
    <mergeCell ref="PUE31:PUF31"/>
    <mergeCell ref="PUG31:PUH31"/>
    <mergeCell ref="PTK31:PTL31"/>
    <mergeCell ref="PTM31:PTN31"/>
    <mergeCell ref="PTO31:PTP31"/>
    <mergeCell ref="PTQ31:PTR31"/>
    <mergeCell ref="PTS31:PTT31"/>
    <mergeCell ref="PTU31:PTV31"/>
    <mergeCell ref="PYM31:PYN31"/>
    <mergeCell ref="PYO31:PYP31"/>
    <mergeCell ref="PYQ31:PYR31"/>
    <mergeCell ref="PYS31:PYT31"/>
    <mergeCell ref="PYU31:PYV31"/>
    <mergeCell ref="PYW31:PYX31"/>
    <mergeCell ref="PYA31:PYB31"/>
    <mergeCell ref="PYC31:PYD31"/>
    <mergeCell ref="PYE31:PYF31"/>
    <mergeCell ref="PYG31:PYH31"/>
    <mergeCell ref="PYI31:PYJ31"/>
    <mergeCell ref="PYK31:PYL31"/>
    <mergeCell ref="PXO31:PXP31"/>
    <mergeCell ref="PXQ31:PXR31"/>
    <mergeCell ref="PXS31:PXT31"/>
    <mergeCell ref="PXU31:PXV31"/>
    <mergeCell ref="PXW31:PXX31"/>
    <mergeCell ref="PXY31:PXZ31"/>
    <mergeCell ref="PXC31:PXD31"/>
    <mergeCell ref="PXE31:PXF31"/>
    <mergeCell ref="PXG31:PXH31"/>
    <mergeCell ref="PXI31:PXJ31"/>
    <mergeCell ref="PXK31:PXL31"/>
    <mergeCell ref="PXM31:PXN31"/>
    <mergeCell ref="PWQ31:PWR31"/>
    <mergeCell ref="PWS31:PWT31"/>
    <mergeCell ref="PWU31:PWV31"/>
    <mergeCell ref="PWW31:PWX31"/>
    <mergeCell ref="PWY31:PWZ31"/>
    <mergeCell ref="PXA31:PXB31"/>
    <mergeCell ref="PWE31:PWF31"/>
    <mergeCell ref="PWG31:PWH31"/>
    <mergeCell ref="PWI31:PWJ31"/>
    <mergeCell ref="PWK31:PWL31"/>
    <mergeCell ref="PWM31:PWN31"/>
    <mergeCell ref="PWO31:PWP31"/>
    <mergeCell ref="QBG31:QBH31"/>
    <mergeCell ref="QBI31:QBJ31"/>
    <mergeCell ref="QBK31:QBL31"/>
    <mergeCell ref="QBM31:QBN31"/>
    <mergeCell ref="QBO31:QBP31"/>
    <mergeCell ref="QBQ31:QBR31"/>
    <mergeCell ref="QAU31:QAV31"/>
    <mergeCell ref="QAW31:QAX31"/>
    <mergeCell ref="QAY31:QAZ31"/>
    <mergeCell ref="QBA31:QBB31"/>
    <mergeCell ref="QBC31:QBD31"/>
    <mergeCell ref="QBE31:QBF31"/>
    <mergeCell ref="QAI31:QAJ31"/>
    <mergeCell ref="QAK31:QAL31"/>
    <mergeCell ref="QAM31:QAN31"/>
    <mergeCell ref="QAO31:QAP31"/>
    <mergeCell ref="QAQ31:QAR31"/>
    <mergeCell ref="QAS31:QAT31"/>
    <mergeCell ref="PZW31:PZX31"/>
    <mergeCell ref="PZY31:PZZ31"/>
    <mergeCell ref="QAA31:QAB31"/>
    <mergeCell ref="QAC31:QAD31"/>
    <mergeCell ref="QAE31:QAF31"/>
    <mergeCell ref="QAG31:QAH31"/>
    <mergeCell ref="PZK31:PZL31"/>
    <mergeCell ref="PZM31:PZN31"/>
    <mergeCell ref="PZO31:PZP31"/>
    <mergeCell ref="PZQ31:PZR31"/>
    <mergeCell ref="PZS31:PZT31"/>
    <mergeCell ref="PZU31:PZV31"/>
    <mergeCell ref="PYY31:PYZ31"/>
    <mergeCell ref="PZA31:PZB31"/>
    <mergeCell ref="PZC31:PZD31"/>
    <mergeCell ref="PZE31:PZF31"/>
    <mergeCell ref="PZG31:PZH31"/>
    <mergeCell ref="PZI31:PZJ31"/>
    <mergeCell ref="QEA31:QEB31"/>
    <mergeCell ref="QEC31:QED31"/>
    <mergeCell ref="QEE31:QEF31"/>
    <mergeCell ref="QEG31:QEH31"/>
    <mergeCell ref="QEI31:QEJ31"/>
    <mergeCell ref="QEK31:QEL31"/>
    <mergeCell ref="QDO31:QDP31"/>
    <mergeCell ref="QDQ31:QDR31"/>
    <mergeCell ref="QDS31:QDT31"/>
    <mergeCell ref="QDU31:QDV31"/>
    <mergeCell ref="QDW31:QDX31"/>
    <mergeCell ref="QDY31:QDZ31"/>
    <mergeCell ref="QDC31:QDD31"/>
    <mergeCell ref="QDE31:QDF31"/>
    <mergeCell ref="QDG31:QDH31"/>
    <mergeCell ref="QDI31:QDJ31"/>
    <mergeCell ref="QDK31:QDL31"/>
    <mergeCell ref="QDM31:QDN31"/>
    <mergeCell ref="QCQ31:QCR31"/>
    <mergeCell ref="QCS31:QCT31"/>
    <mergeCell ref="QCU31:QCV31"/>
    <mergeCell ref="QCW31:QCX31"/>
    <mergeCell ref="QCY31:QCZ31"/>
    <mergeCell ref="QDA31:QDB31"/>
    <mergeCell ref="QCE31:QCF31"/>
    <mergeCell ref="QCG31:QCH31"/>
    <mergeCell ref="QCI31:QCJ31"/>
    <mergeCell ref="QCK31:QCL31"/>
    <mergeCell ref="QCM31:QCN31"/>
    <mergeCell ref="QCO31:QCP31"/>
    <mergeCell ref="QBS31:QBT31"/>
    <mergeCell ref="QBU31:QBV31"/>
    <mergeCell ref="QBW31:QBX31"/>
    <mergeCell ref="QBY31:QBZ31"/>
    <mergeCell ref="QCA31:QCB31"/>
    <mergeCell ref="QCC31:QCD31"/>
    <mergeCell ref="QGU31:QGV31"/>
    <mergeCell ref="QGW31:QGX31"/>
    <mergeCell ref="QGY31:QGZ31"/>
    <mergeCell ref="QHA31:QHB31"/>
    <mergeCell ref="QHC31:QHD31"/>
    <mergeCell ref="QHE31:QHF31"/>
    <mergeCell ref="QGI31:QGJ31"/>
    <mergeCell ref="QGK31:QGL31"/>
    <mergeCell ref="QGM31:QGN31"/>
    <mergeCell ref="QGO31:QGP31"/>
    <mergeCell ref="QGQ31:QGR31"/>
    <mergeCell ref="QGS31:QGT31"/>
    <mergeCell ref="QFW31:QFX31"/>
    <mergeCell ref="QFY31:QFZ31"/>
    <mergeCell ref="QGA31:QGB31"/>
    <mergeCell ref="QGC31:QGD31"/>
    <mergeCell ref="QGE31:QGF31"/>
    <mergeCell ref="QGG31:QGH31"/>
    <mergeCell ref="QFK31:QFL31"/>
    <mergeCell ref="QFM31:QFN31"/>
    <mergeCell ref="QFO31:QFP31"/>
    <mergeCell ref="QFQ31:QFR31"/>
    <mergeCell ref="QFS31:QFT31"/>
    <mergeCell ref="QFU31:QFV31"/>
    <mergeCell ref="QEY31:QEZ31"/>
    <mergeCell ref="QFA31:QFB31"/>
    <mergeCell ref="QFC31:QFD31"/>
    <mergeCell ref="QFE31:QFF31"/>
    <mergeCell ref="QFG31:QFH31"/>
    <mergeCell ref="QFI31:QFJ31"/>
    <mergeCell ref="QEM31:QEN31"/>
    <mergeCell ref="QEO31:QEP31"/>
    <mergeCell ref="QEQ31:QER31"/>
    <mergeCell ref="QES31:QET31"/>
    <mergeCell ref="QEU31:QEV31"/>
    <mergeCell ref="QEW31:QEX31"/>
    <mergeCell ref="QJO31:QJP31"/>
    <mergeCell ref="QJQ31:QJR31"/>
    <mergeCell ref="QJS31:QJT31"/>
    <mergeCell ref="QJU31:QJV31"/>
    <mergeCell ref="QJW31:QJX31"/>
    <mergeCell ref="QJY31:QJZ31"/>
    <mergeCell ref="QJC31:QJD31"/>
    <mergeCell ref="QJE31:QJF31"/>
    <mergeCell ref="QJG31:QJH31"/>
    <mergeCell ref="QJI31:QJJ31"/>
    <mergeCell ref="QJK31:QJL31"/>
    <mergeCell ref="QJM31:QJN31"/>
    <mergeCell ref="QIQ31:QIR31"/>
    <mergeCell ref="QIS31:QIT31"/>
    <mergeCell ref="QIU31:QIV31"/>
    <mergeCell ref="QIW31:QIX31"/>
    <mergeCell ref="QIY31:QIZ31"/>
    <mergeCell ref="QJA31:QJB31"/>
    <mergeCell ref="QIE31:QIF31"/>
    <mergeCell ref="QIG31:QIH31"/>
    <mergeCell ref="QII31:QIJ31"/>
    <mergeCell ref="QIK31:QIL31"/>
    <mergeCell ref="QIM31:QIN31"/>
    <mergeCell ref="QIO31:QIP31"/>
    <mergeCell ref="QHS31:QHT31"/>
    <mergeCell ref="QHU31:QHV31"/>
    <mergeCell ref="QHW31:QHX31"/>
    <mergeCell ref="QHY31:QHZ31"/>
    <mergeCell ref="QIA31:QIB31"/>
    <mergeCell ref="QIC31:QID31"/>
    <mergeCell ref="QHG31:QHH31"/>
    <mergeCell ref="QHI31:QHJ31"/>
    <mergeCell ref="QHK31:QHL31"/>
    <mergeCell ref="QHM31:QHN31"/>
    <mergeCell ref="QHO31:QHP31"/>
    <mergeCell ref="QHQ31:QHR31"/>
    <mergeCell ref="QMI31:QMJ31"/>
    <mergeCell ref="QMK31:QML31"/>
    <mergeCell ref="QMM31:QMN31"/>
    <mergeCell ref="QMO31:QMP31"/>
    <mergeCell ref="QMQ31:QMR31"/>
    <mergeCell ref="QMS31:QMT31"/>
    <mergeCell ref="QLW31:QLX31"/>
    <mergeCell ref="QLY31:QLZ31"/>
    <mergeCell ref="QMA31:QMB31"/>
    <mergeCell ref="QMC31:QMD31"/>
    <mergeCell ref="QME31:QMF31"/>
    <mergeCell ref="QMG31:QMH31"/>
    <mergeCell ref="QLK31:QLL31"/>
    <mergeCell ref="QLM31:QLN31"/>
    <mergeCell ref="QLO31:QLP31"/>
    <mergeCell ref="QLQ31:QLR31"/>
    <mergeCell ref="QLS31:QLT31"/>
    <mergeCell ref="QLU31:QLV31"/>
    <mergeCell ref="QKY31:QKZ31"/>
    <mergeCell ref="QLA31:QLB31"/>
    <mergeCell ref="QLC31:QLD31"/>
    <mergeCell ref="QLE31:QLF31"/>
    <mergeCell ref="QLG31:QLH31"/>
    <mergeCell ref="QLI31:QLJ31"/>
    <mergeCell ref="QKM31:QKN31"/>
    <mergeCell ref="QKO31:QKP31"/>
    <mergeCell ref="QKQ31:QKR31"/>
    <mergeCell ref="QKS31:QKT31"/>
    <mergeCell ref="QKU31:QKV31"/>
    <mergeCell ref="QKW31:QKX31"/>
    <mergeCell ref="QKA31:QKB31"/>
    <mergeCell ref="QKC31:QKD31"/>
    <mergeCell ref="QKE31:QKF31"/>
    <mergeCell ref="QKG31:QKH31"/>
    <mergeCell ref="QKI31:QKJ31"/>
    <mergeCell ref="QKK31:QKL31"/>
    <mergeCell ref="QPC31:QPD31"/>
    <mergeCell ref="QPE31:QPF31"/>
    <mergeCell ref="QPG31:QPH31"/>
    <mergeCell ref="QPI31:QPJ31"/>
    <mergeCell ref="QPK31:QPL31"/>
    <mergeCell ref="QPM31:QPN31"/>
    <mergeCell ref="QOQ31:QOR31"/>
    <mergeCell ref="QOS31:QOT31"/>
    <mergeCell ref="QOU31:QOV31"/>
    <mergeCell ref="QOW31:QOX31"/>
    <mergeCell ref="QOY31:QOZ31"/>
    <mergeCell ref="QPA31:QPB31"/>
    <mergeCell ref="QOE31:QOF31"/>
    <mergeCell ref="QOG31:QOH31"/>
    <mergeCell ref="QOI31:QOJ31"/>
    <mergeCell ref="QOK31:QOL31"/>
    <mergeCell ref="QOM31:QON31"/>
    <mergeCell ref="QOO31:QOP31"/>
    <mergeCell ref="QNS31:QNT31"/>
    <mergeCell ref="QNU31:QNV31"/>
    <mergeCell ref="QNW31:QNX31"/>
    <mergeCell ref="QNY31:QNZ31"/>
    <mergeCell ref="QOA31:QOB31"/>
    <mergeCell ref="QOC31:QOD31"/>
    <mergeCell ref="QNG31:QNH31"/>
    <mergeCell ref="QNI31:QNJ31"/>
    <mergeCell ref="QNK31:QNL31"/>
    <mergeCell ref="QNM31:QNN31"/>
    <mergeCell ref="QNO31:QNP31"/>
    <mergeCell ref="QNQ31:QNR31"/>
    <mergeCell ref="QMU31:QMV31"/>
    <mergeCell ref="QMW31:QMX31"/>
    <mergeCell ref="QMY31:QMZ31"/>
    <mergeCell ref="QNA31:QNB31"/>
    <mergeCell ref="QNC31:QND31"/>
    <mergeCell ref="QNE31:QNF31"/>
    <mergeCell ref="QRW31:QRX31"/>
    <mergeCell ref="QRY31:QRZ31"/>
    <mergeCell ref="QSA31:QSB31"/>
    <mergeCell ref="QSC31:QSD31"/>
    <mergeCell ref="QSE31:QSF31"/>
    <mergeCell ref="QSG31:QSH31"/>
    <mergeCell ref="QRK31:QRL31"/>
    <mergeCell ref="QRM31:QRN31"/>
    <mergeCell ref="QRO31:QRP31"/>
    <mergeCell ref="QRQ31:QRR31"/>
    <mergeCell ref="QRS31:QRT31"/>
    <mergeCell ref="QRU31:QRV31"/>
    <mergeCell ref="QQY31:QQZ31"/>
    <mergeCell ref="QRA31:QRB31"/>
    <mergeCell ref="QRC31:QRD31"/>
    <mergeCell ref="QRE31:QRF31"/>
    <mergeCell ref="QRG31:QRH31"/>
    <mergeCell ref="QRI31:QRJ31"/>
    <mergeCell ref="QQM31:QQN31"/>
    <mergeCell ref="QQO31:QQP31"/>
    <mergeCell ref="QQQ31:QQR31"/>
    <mergeCell ref="QQS31:QQT31"/>
    <mergeCell ref="QQU31:QQV31"/>
    <mergeCell ref="QQW31:QQX31"/>
    <mergeCell ref="QQA31:QQB31"/>
    <mergeCell ref="QQC31:QQD31"/>
    <mergeCell ref="QQE31:QQF31"/>
    <mergeCell ref="QQG31:QQH31"/>
    <mergeCell ref="QQI31:QQJ31"/>
    <mergeCell ref="QQK31:QQL31"/>
    <mergeCell ref="QPO31:QPP31"/>
    <mergeCell ref="QPQ31:QPR31"/>
    <mergeCell ref="QPS31:QPT31"/>
    <mergeCell ref="QPU31:QPV31"/>
    <mergeCell ref="QPW31:QPX31"/>
    <mergeCell ref="QPY31:QPZ31"/>
    <mergeCell ref="QUQ31:QUR31"/>
    <mergeCell ref="QUS31:QUT31"/>
    <mergeCell ref="QUU31:QUV31"/>
    <mergeCell ref="QUW31:QUX31"/>
    <mergeCell ref="QUY31:QUZ31"/>
    <mergeCell ref="QVA31:QVB31"/>
    <mergeCell ref="QUE31:QUF31"/>
    <mergeCell ref="QUG31:QUH31"/>
    <mergeCell ref="QUI31:QUJ31"/>
    <mergeCell ref="QUK31:QUL31"/>
    <mergeCell ref="QUM31:QUN31"/>
    <mergeCell ref="QUO31:QUP31"/>
    <mergeCell ref="QTS31:QTT31"/>
    <mergeCell ref="QTU31:QTV31"/>
    <mergeCell ref="QTW31:QTX31"/>
    <mergeCell ref="QTY31:QTZ31"/>
    <mergeCell ref="QUA31:QUB31"/>
    <mergeCell ref="QUC31:QUD31"/>
    <mergeCell ref="QTG31:QTH31"/>
    <mergeCell ref="QTI31:QTJ31"/>
    <mergeCell ref="QTK31:QTL31"/>
    <mergeCell ref="QTM31:QTN31"/>
    <mergeCell ref="QTO31:QTP31"/>
    <mergeCell ref="QTQ31:QTR31"/>
    <mergeCell ref="QSU31:QSV31"/>
    <mergeCell ref="QSW31:QSX31"/>
    <mergeCell ref="QSY31:QSZ31"/>
    <mergeCell ref="QTA31:QTB31"/>
    <mergeCell ref="QTC31:QTD31"/>
    <mergeCell ref="QTE31:QTF31"/>
    <mergeCell ref="QSI31:QSJ31"/>
    <mergeCell ref="QSK31:QSL31"/>
    <mergeCell ref="QSM31:QSN31"/>
    <mergeCell ref="QSO31:QSP31"/>
    <mergeCell ref="QSQ31:QSR31"/>
    <mergeCell ref="QSS31:QST31"/>
    <mergeCell ref="QXK31:QXL31"/>
    <mergeCell ref="QXM31:QXN31"/>
    <mergeCell ref="QXO31:QXP31"/>
    <mergeCell ref="QXQ31:QXR31"/>
    <mergeCell ref="QXS31:QXT31"/>
    <mergeCell ref="QXU31:QXV31"/>
    <mergeCell ref="QWY31:QWZ31"/>
    <mergeCell ref="QXA31:QXB31"/>
    <mergeCell ref="QXC31:QXD31"/>
    <mergeCell ref="QXE31:QXF31"/>
    <mergeCell ref="QXG31:QXH31"/>
    <mergeCell ref="QXI31:QXJ31"/>
    <mergeCell ref="QWM31:QWN31"/>
    <mergeCell ref="QWO31:QWP31"/>
    <mergeCell ref="QWQ31:QWR31"/>
    <mergeCell ref="QWS31:QWT31"/>
    <mergeCell ref="QWU31:QWV31"/>
    <mergeCell ref="QWW31:QWX31"/>
    <mergeCell ref="QWA31:QWB31"/>
    <mergeCell ref="QWC31:QWD31"/>
    <mergeCell ref="QWE31:QWF31"/>
    <mergeCell ref="QWG31:QWH31"/>
    <mergeCell ref="QWI31:QWJ31"/>
    <mergeCell ref="QWK31:QWL31"/>
    <mergeCell ref="QVO31:QVP31"/>
    <mergeCell ref="QVQ31:QVR31"/>
    <mergeCell ref="QVS31:QVT31"/>
    <mergeCell ref="QVU31:QVV31"/>
    <mergeCell ref="QVW31:QVX31"/>
    <mergeCell ref="QVY31:QVZ31"/>
    <mergeCell ref="QVC31:QVD31"/>
    <mergeCell ref="QVE31:QVF31"/>
    <mergeCell ref="QVG31:QVH31"/>
    <mergeCell ref="QVI31:QVJ31"/>
    <mergeCell ref="QVK31:QVL31"/>
    <mergeCell ref="QVM31:QVN31"/>
    <mergeCell ref="RAE31:RAF31"/>
    <mergeCell ref="RAG31:RAH31"/>
    <mergeCell ref="RAI31:RAJ31"/>
    <mergeCell ref="RAK31:RAL31"/>
    <mergeCell ref="RAM31:RAN31"/>
    <mergeCell ref="RAO31:RAP31"/>
    <mergeCell ref="QZS31:QZT31"/>
    <mergeCell ref="QZU31:QZV31"/>
    <mergeCell ref="QZW31:QZX31"/>
    <mergeCell ref="QZY31:QZZ31"/>
    <mergeCell ref="RAA31:RAB31"/>
    <mergeCell ref="RAC31:RAD31"/>
    <mergeCell ref="QZG31:QZH31"/>
    <mergeCell ref="QZI31:QZJ31"/>
    <mergeCell ref="QZK31:QZL31"/>
    <mergeCell ref="QZM31:QZN31"/>
    <mergeCell ref="QZO31:QZP31"/>
    <mergeCell ref="QZQ31:QZR31"/>
    <mergeCell ref="QYU31:QYV31"/>
    <mergeCell ref="QYW31:QYX31"/>
    <mergeCell ref="QYY31:QYZ31"/>
    <mergeCell ref="QZA31:QZB31"/>
    <mergeCell ref="QZC31:QZD31"/>
    <mergeCell ref="QZE31:QZF31"/>
    <mergeCell ref="QYI31:QYJ31"/>
    <mergeCell ref="QYK31:QYL31"/>
    <mergeCell ref="QYM31:QYN31"/>
    <mergeCell ref="QYO31:QYP31"/>
    <mergeCell ref="QYQ31:QYR31"/>
    <mergeCell ref="QYS31:QYT31"/>
    <mergeCell ref="QXW31:QXX31"/>
    <mergeCell ref="QXY31:QXZ31"/>
    <mergeCell ref="QYA31:QYB31"/>
    <mergeCell ref="QYC31:QYD31"/>
    <mergeCell ref="QYE31:QYF31"/>
    <mergeCell ref="QYG31:QYH31"/>
    <mergeCell ref="RCY31:RCZ31"/>
    <mergeCell ref="RDA31:RDB31"/>
    <mergeCell ref="RDC31:RDD31"/>
    <mergeCell ref="RDE31:RDF31"/>
    <mergeCell ref="RDG31:RDH31"/>
    <mergeCell ref="RDI31:RDJ31"/>
    <mergeCell ref="RCM31:RCN31"/>
    <mergeCell ref="RCO31:RCP31"/>
    <mergeCell ref="RCQ31:RCR31"/>
    <mergeCell ref="RCS31:RCT31"/>
    <mergeCell ref="RCU31:RCV31"/>
    <mergeCell ref="RCW31:RCX31"/>
    <mergeCell ref="RCA31:RCB31"/>
    <mergeCell ref="RCC31:RCD31"/>
    <mergeCell ref="RCE31:RCF31"/>
    <mergeCell ref="RCG31:RCH31"/>
    <mergeCell ref="RCI31:RCJ31"/>
    <mergeCell ref="RCK31:RCL31"/>
    <mergeCell ref="RBO31:RBP31"/>
    <mergeCell ref="RBQ31:RBR31"/>
    <mergeCell ref="RBS31:RBT31"/>
    <mergeCell ref="RBU31:RBV31"/>
    <mergeCell ref="RBW31:RBX31"/>
    <mergeCell ref="RBY31:RBZ31"/>
    <mergeCell ref="RBC31:RBD31"/>
    <mergeCell ref="RBE31:RBF31"/>
    <mergeCell ref="RBG31:RBH31"/>
    <mergeCell ref="RBI31:RBJ31"/>
    <mergeCell ref="RBK31:RBL31"/>
    <mergeCell ref="RBM31:RBN31"/>
    <mergeCell ref="RAQ31:RAR31"/>
    <mergeCell ref="RAS31:RAT31"/>
    <mergeCell ref="RAU31:RAV31"/>
    <mergeCell ref="RAW31:RAX31"/>
    <mergeCell ref="RAY31:RAZ31"/>
    <mergeCell ref="RBA31:RBB31"/>
    <mergeCell ref="RFS31:RFT31"/>
    <mergeCell ref="RFU31:RFV31"/>
    <mergeCell ref="RFW31:RFX31"/>
    <mergeCell ref="RFY31:RFZ31"/>
    <mergeCell ref="RGA31:RGB31"/>
    <mergeCell ref="RGC31:RGD31"/>
    <mergeCell ref="RFG31:RFH31"/>
    <mergeCell ref="RFI31:RFJ31"/>
    <mergeCell ref="RFK31:RFL31"/>
    <mergeCell ref="RFM31:RFN31"/>
    <mergeCell ref="RFO31:RFP31"/>
    <mergeCell ref="RFQ31:RFR31"/>
    <mergeCell ref="REU31:REV31"/>
    <mergeCell ref="REW31:REX31"/>
    <mergeCell ref="REY31:REZ31"/>
    <mergeCell ref="RFA31:RFB31"/>
    <mergeCell ref="RFC31:RFD31"/>
    <mergeCell ref="RFE31:RFF31"/>
    <mergeCell ref="REI31:REJ31"/>
    <mergeCell ref="REK31:REL31"/>
    <mergeCell ref="REM31:REN31"/>
    <mergeCell ref="REO31:REP31"/>
    <mergeCell ref="REQ31:RER31"/>
    <mergeCell ref="RES31:RET31"/>
    <mergeCell ref="RDW31:RDX31"/>
    <mergeCell ref="RDY31:RDZ31"/>
    <mergeCell ref="REA31:REB31"/>
    <mergeCell ref="REC31:RED31"/>
    <mergeCell ref="REE31:REF31"/>
    <mergeCell ref="REG31:REH31"/>
    <mergeCell ref="RDK31:RDL31"/>
    <mergeCell ref="RDM31:RDN31"/>
    <mergeCell ref="RDO31:RDP31"/>
    <mergeCell ref="RDQ31:RDR31"/>
    <mergeCell ref="RDS31:RDT31"/>
    <mergeCell ref="RDU31:RDV31"/>
    <mergeCell ref="RIM31:RIN31"/>
    <mergeCell ref="RIO31:RIP31"/>
    <mergeCell ref="RIQ31:RIR31"/>
    <mergeCell ref="RIS31:RIT31"/>
    <mergeCell ref="RIU31:RIV31"/>
    <mergeCell ref="RIW31:RIX31"/>
    <mergeCell ref="RIA31:RIB31"/>
    <mergeCell ref="RIC31:RID31"/>
    <mergeCell ref="RIE31:RIF31"/>
    <mergeCell ref="RIG31:RIH31"/>
    <mergeCell ref="RII31:RIJ31"/>
    <mergeCell ref="RIK31:RIL31"/>
    <mergeCell ref="RHO31:RHP31"/>
    <mergeCell ref="RHQ31:RHR31"/>
    <mergeCell ref="RHS31:RHT31"/>
    <mergeCell ref="RHU31:RHV31"/>
    <mergeCell ref="RHW31:RHX31"/>
    <mergeCell ref="RHY31:RHZ31"/>
    <mergeCell ref="RHC31:RHD31"/>
    <mergeCell ref="RHE31:RHF31"/>
    <mergeCell ref="RHG31:RHH31"/>
    <mergeCell ref="RHI31:RHJ31"/>
    <mergeCell ref="RHK31:RHL31"/>
    <mergeCell ref="RHM31:RHN31"/>
    <mergeCell ref="RGQ31:RGR31"/>
    <mergeCell ref="RGS31:RGT31"/>
    <mergeCell ref="RGU31:RGV31"/>
    <mergeCell ref="RGW31:RGX31"/>
    <mergeCell ref="RGY31:RGZ31"/>
    <mergeCell ref="RHA31:RHB31"/>
    <mergeCell ref="RGE31:RGF31"/>
    <mergeCell ref="RGG31:RGH31"/>
    <mergeCell ref="RGI31:RGJ31"/>
    <mergeCell ref="RGK31:RGL31"/>
    <mergeCell ref="RGM31:RGN31"/>
    <mergeCell ref="RGO31:RGP31"/>
    <mergeCell ref="RLG31:RLH31"/>
    <mergeCell ref="RLI31:RLJ31"/>
    <mergeCell ref="RLK31:RLL31"/>
    <mergeCell ref="RLM31:RLN31"/>
    <mergeCell ref="RLO31:RLP31"/>
    <mergeCell ref="RLQ31:RLR31"/>
    <mergeCell ref="RKU31:RKV31"/>
    <mergeCell ref="RKW31:RKX31"/>
    <mergeCell ref="RKY31:RKZ31"/>
    <mergeCell ref="RLA31:RLB31"/>
    <mergeCell ref="RLC31:RLD31"/>
    <mergeCell ref="RLE31:RLF31"/>
    <mergeCell ref="RKI31:RKJ31"/>
    <mergeCell ref="RKK31:RKL31"/>
    <mergeCell ref="RKM31:RKN31"/>
    <mergeCell ref="RKO31:RKP31"/>
    <mergeCell ref="RKQ31:RKR31"/>
    <mergeCell ref="RKS31:RKT31"/>
    <mergeCell ref="RJW31:RJX31"/>
    <mergeCell ref="RJY31:RJZ31"/>
    <mergeCell ref="RKA31:RKB31"/>
    <mergeCell ref="RKC31:RKD31"/>
    <mergeCell ref="RKE31:RKF31"/>
    <mergeCell ref="RKG31:RKH31"/>
    <mergeCell ref="RJK31:RJL31"/>
    <mergeCell ref="RJM31:RJN31"/>
    <mergeCell ref="RJO31:RJP31"/>
    <mergeCell ref="RJQ31:RJR31"/>
    <mergeCell ref="RJS31:RJT31"/>
    <mergeCell ref="RJU31:RJV31"/>
    <mergeCell ref="RIY31:RIZ31"/>
    <mergeCell ref="RJA31:RJB31"/>
    <mergeCell ref="RJC31:RJD31"/>
    <mergeCell ref="RJE31:RJF31"/>
    <mergeCell ref="RJG31:RJH31"/>
    <mergeCell ref="RJI31:RJJ31"/>
    <mergeCell ref="ROA31:ROB31"/>
    <mergeCell ref="ROC31:ROD31"/>
    <mergeCell ref="ROE31:ROF31"/>
    <mergeCell ref="ROG31:ROH31"/>
    <mergeCell ref="ROI31:ROJ31"/>
    <mergeCell ref="ROK31:ROL31"/>
    <mergeCell ref="RNO31:RNP31"/>
    <mergeCell ref="RNQ31:RNR31"/>
    <mergeCell ref="RNS31:RNT31"/>
    <mergeCell ref="RNU31:RNV31"/>
    <mergeCell ref="RNW31:RNX31"/>
    <mergeCell ref="RNY31:RNZ31"/>
    <mergeCell ref="RNC31:RND31"/>
    <mergeCell ref="RNE31:RNF31"/>
    <mergeCell ref="RNG31:RNH31"/>
    <mergeCell ref="RNI31:RNJ31"/>
    <mergeCell ref="RNK31:RNL31"/>
    <mergeCell ref="RNM31:RNN31"/>
    <mergeCell ref="RMQ31:RMR31"/>
    <mergeCell ref="RMS31:RMT31"/>
    <mergeCell ref="RMU31:RMV31"/>
    <mergeCell ref="RMW31:RMX31"/>
    <mergeCell ref="RMY31:RMZ31"/>
    <mergeCell ref="RNA31:RNB31"/>
    <mergeCell ref="RME31:RMF31"/>
    <mergeCell ref="RMG31:RMH31"/>
    <mergeCell ref="RMI31:RMJ31"/>
    <mergeCell ref="RMK31:RML31"/>
    <mergeCell ref="RMM31:RMN31"/>
    <mergeCell ref="RMO31:RMP31"/>
    <mergeCell ref="RLS31:RLT31"/>
    <mergeCell ref="RLU31:RLV31"/>
    <mergeCell ref="RLW31:RLX31"/>
    <mergeCell ref="RLY31:RLZ31"/>
    <mergeCell ref="RMA31:RMB31"/>
    <mergeCell ref="RMC31:RMD31"/>
    <mergeCell ref="RQU31:RQV31"/>
    <mergeCell ref="RQW31:RQX31"/>
    <mergeCell ref="RQY31:RQZ31"/>
    <mergeCell ref="RRA31:RRB31"/>
    <mergeCell ref="RRC31:RRD31"/>
    <mergeCell ref="RRE31:RRF31"/>
    <mergeCell ref="RQI31:RQJ31"/>
    <mergeCell ref="RQK31:RQL31"/>
    <mergeCell ref="RQM31:RQN31"/>
    <mergeCell ref="RQO31:RQP31"/>
    <mergeCell ref="RQQ31:RQR31"/>
    <mergeCell ref="RQS31:RQT31"/>
    <mergeCell ref="RPW31:RPX31"/>
    <mergeCell ref="RPY31:RPZ31"/>
    <mergeCell ref="RQA31:RQB31"/>
    <mergeCell ref="RQC31:RQD31"/>
    <mergeCell ref="RQE31:RQF31"/>
    <mergeCell ref="RQG31:RQH31"/>
    <mergeCell ref="RPK31:RPL31"/>
    <mergeCell ref="RPM31:RPN31"/>
    <mergeCell ref="RPO31:RPP31"/>
    <mergeCell ref="RPQ31:RPR31"/>
    <mergeCell ref="RPS31:RPT31"/>
    <mergeCell ref="RPU31:RPV31"/>
    <mergeCell ref="ROY31:ROZ31"/>
    <mergeCell ref="RPA31:RPB31"/>
    <mergeCell ref="RPC31:RPD31"/>
    <mergeCell ref="RPE31:RPF31"/>
    <mergeCell ref="RPG31:RPH31"/>
    <mergeCell ref="RPI31:RPJ31"/>
    <mergeCell ref="ROM31:RON31"/>
    <mergeCell ref="ROO31:ROP31"/>
    <mergeCell ref="ROQ31:ROR31"/>
    <mergeCell ref="ROS31:ROT31"/>
    <mergeCell ref="ROU31:ROV31"/>
    <mergeCell ref="ROW31:ROX31"/>
    <mergeCell ref="RTO31:RTP31"/>
    <mergeCell ref="RTQ31:RTR31"/>
    <mergeCell ref="RTS31:RTT31"/>
    <mergeCell ref="RTU31:RTV31"/>
    <mergeCell ref="RTW31:RTX31"/>
    <mergeCell ref="RTY31:RTZ31"/>
    <mergeCell ref="RTC31:RTD31"/>
    <mergeCell ref="RTE31:RTF31"/>
    <mergeCell ref="RTG31:RTH31"/>
    <mergeCell ref="RTI31:RTJ31"/>
    <mergeCell ref="RTK31:RTL31"/>
    <mergeCell ref="RTM31:RTN31"/>
    <mergeCell ref="RSQ31:RSR31"/>
    <mergeCell ref="RSS31:RST31"/>
    <mergeCell ref="RSU31:RSV31"/>
    <mergeCell ref="RSW31:RSX31"/>
    <mergeCell ref="RSY31:RSZ31"/>
    <mergeCell ref="RTA31:RTB31"/>
    <mergeCell ref="RSE31:RSF31"/>
    <mergeCell ref="RSG31:RSH31"/>
    <mergeCell ref="RSI31:RSJ31"/>
    <mergeCell ref="RSK31:RSL31"/>
    <mergeCell ref="RSM31:RSN31"/>
    <mergeCell ref="RSO31:RSP31"/>
    <mergeCell ref="RRS31:RRT31"/>
    <mergeCell ref="RRU31:RRV31"/>
    <mergeCell ref="RRW31:RRX31"/>
    <mergeCell ref="RRY31:RRZ31"/>
    <mergeCell ref="RSA31:RSB31"/>
    <mergeCell ref="RSC31:RSD31"/>
    <mergeCell ref="RRG31:RRH31"/>
    <mergeCell ref="RRI31:RRJ31"/>
    <mergeCell ref="RRK31:RRL31"/>
    <mergeCell ref="RRM31:RRN31"/>
    <mergeCell ref="RRO31:RRP31"/>
    <mergeCell ref="RRQ31:RRR31"/>
    <mergeCell ref="RWI31:RWJ31"/>
    <mergeCell ref="RWK31:RWL31"/>
    <mergeCell ref="RWM31:RWN31"/>
    <mergeCell ref="RWO31:RWP31"/>
    <mergeCell ref="RWQ31:RWR31"/>
    <mergeCell ref="RWS31:RWT31"/>
    <mergeCell ref="RVW31:RVX31"/>
    <mergeCell ref="RVY31:RVZ31"/>
    <mergeCell ref="RWA31:RWB31"/>
    <mergeCell ref="RWC31:RWD31"/>
    <mergeCell ref="RWE31:RWF31"/>
    <mergeCell ref="RWG31:RWH31"/>
    <mergeCell ref="RVK31:RVL31"/>
    <mergeCell ref="RVM31:RVN31"/>
    <mergeCell ref="RVO31:RVP31"/>
    <mergeCell ref="RVQ31:RVR31"/>
    <mergeCell ref="RVS31:RVT31"/>
    <mergeCell ref="RVU31:RVV31"/>
    <mergeCell ref="RUY31:RUZ31"/>
    <mergeCell ref="RVA31:RVB31"/>
    <mergeCell ref="RVC31:RVD31"/>
    <mergeCell ref="RVE31:RVF31"/>
    <mergeCell ref="RVG31:RVH31"/>
    <mergeCell ref="RVI31:RVJ31"/>
    <mergeCell ref="RUM31:RUN31"/>
    <mergeCell ref="RUO31:RUP31"/>
    <mergeCell ref="RUQ31:RUR31"/>
    <mergeCell ref="RUS31:RUT31"/>
    <mergeCell ref="RUU31:RUV31"/>
    <mergeCell ref="RUW31:RUX31"/>
    <mergeCell ref="RUA31:RUB31"/>
    <mergeCell ref="RUC31:RUD31"/>
    <mergeCell ref="RUE31:RUF31"/>
    <mergeCell ref="RUG31:RUH31"/>
    <mergeCell ref="RUI31:RUJ31"/>
    <mergeCell ref="RUK31:RUL31"/>
    <mergeCell ref="RZC31:RZD31"/>
    <mergeCell ref="RZE31:RZF31"/>
    <mergeCell ref="RZG31:RZH31"/>
    <mergeCell ref="RZI31:RZJ31"/>
    <mergeCell ref="RZK31:RZL31"/>
    <mergeCell ref="RZM31:RZN31"/>
    <mergeCell ref="RYQ31:RYR31"/>
    <mergeCell ref="RYS31:RYT31"/>
    <mergeCell ref="RYU31:RYV31"/>
    <mergeCell ref="RYW31:RYX31"/>
    <mergeCell ref="RYY31:RYZ31"/>
    <mergeCell ref="RZA31:RZB31"/>
    <mergeCell ref="RYE31:RYF31"/>
    <mergeCell ref="RYG31:RYH31"/>
    <mergeCell ref="RYI31:RYJ31"/>
    <mergeCell ref="RYK31:RYL31"/>
    <mergeCell ref="RYM31:RYN31"/>
    <mergeCell ref="RYO31:RYP31"/>
    <mergeCell ref="RXS31:RXT31"/>
    <mergeCell ref="RXU31:RXV31"/>
    <mergeCell ref="RXW31:RXX31"/>
    <mergeCell ref="RXY31:RXZ31"/>
    <mergeCell ref="RYA31:RYB31"/>
    <mergeCell ref="RYC31:RYD31"/>
    <mergeCell ref="RXG31:RXH31"/>
    <mergeCell ref="RXI31:RXJ31"/>
    <mergeCell ref="RXK31:RXL31"/>
    <mergeCell ref="RXM31:RXN31"/>
    <mergeCell ref="RXO31:RXP31"/>
    <mergeCell ref="RXQ31:RXR31"/>
    <mergeCell ref="RWU31:RWV31"/>
    <mergeCell ref="RWW31:RWX31"/>
    <mergeCell ref="RWY31:RWZ31"/>
    <mergeCell ref="RXA31:RXB31"/>
    <mergeCell ref="RXC31:RXD31"/>
    <mergeCell ref="RXE31:RXF31"/>
    <mergeCell ref="SBW31:SBX31"/>
    <mergeCell ref="SBY31:SBZ31"/>
    <mergeCell ref="SCA31:SCB31"/>
    <mergeCell ref="SCC31:SCD31"/>
    <mergeCell ref="SCE31:SCF31"/>
    <mergeCell ref="SCG31:SCH31"/>
    <mergeCell ref="SBK31:SBL31"/>
    <mergeCell ref="SBM31:SBN31"/>
    <mergeCell ref="SBO31:SBP31"/>
    <mergeCell ref="SBQ31:SBR31"/>
    <mergeCell ref="SBS31:SBT31"/>
    <mergeCell ref="SBU31:SBV31"/>
    <mergeCell ref="SAY31:SAZ31"/>
    <mergeCell ref="SBA31:SBB31"/>
    <mergeCell ref="SBC31:SBD31"/>
    <mergeCell ref="SBE31:SBF31"/>
    <mergeCell ref="SBG31:SBH31"/>
    <mergeCell ref="SBI31:SBJ31"/>
    <mergeCell ref="SAM31:SAN31"/>
    <mergeCell ref="SAO31:SAP31"/>
    <mergeCell ref="SAQ31:SAR31"/>
    <mergeCell ref="SAS31:SAT31"/>
    <mergeCell ref="SAU31:SAV31"/>
    <mergeCell ref="SAW31:SAX31"/>
    <mergeCell ref="SAA31:SAB31"/>
    <mergeCell ref="SAC31:SAD31"/>
    <mergeCell ref="SAE31:SAF31"/>
    <mergeCell ref="SAG31:SAH31"/>
    <mergeCell ref="SAI31:SAJ31"/>
    <mergeCell ref="SAK31:SAL31"/>
    <mergeCell ref="RZO31:RZP31"/>
    <mergeCell ref="RZQ31:RZR31"/>
    <mergeCell ref="RZS31:RZT31"/>
    <mergeCell ref="RZU31:RZV31"/>
    <mergeCell ref="RZW31:RZX31"/>
    <mergeCell ref="RZY31:RZZ31"/>
    <mergeCell ref="SEQ31:SER31"/>
    <mergeCell ref="SES31:SET31"/>
    <mergeCell ref="SEU31:SEV31"/>
    <mergeCell ref="SEW31:SEX31"/>
    <mergeCell ref="SEY31:SEZ31"/>
    <mergeCell ref="SFA31:SFB31"/>
    <mergeCell ref="SEE31:SEF31"/>
    <mergeCell ref="SEG31:SEH31"/>
    <mergeCell ref="SEI31:SEJ31"/>
    <mergeCell ref="SEK31:SEL31"/>
    <mergeCell ref="SEM31:SEN31"/>
    <mergeCell ref="SEO31:SEP31"/>
    <mergeCell ref="SDS31:SDT31"/>
    <mergeCell ref="SDU31:SDV31"/>
    <mergeCell ref="SDW31:SDX31"/>
    <mergeCell ref="SDY31:SDZ31"/>
    <mergeCell ref="SEA31:SEB31"/>
    <mergeCell ref="SEC31:SED31"/>
    <mergeCell ref="SDG31:SDH31"/>
    <mergeCell ref="SDI31:SDJ31"/>
    <mergeCell ref="SDK31:SDL31"/>
    <mergeCell ref="SDM31:SDN31"/>
    <mergeCell ref="SDO31:SDP31"/>
    <mergeCell ref="SDQ31:SDR31"/>
    <mergeCell ref="SCU31:SCV31"/>
    <mergeCell ref="SCW31:SCX31"/>
    <mergeCell ref="SCY31:SCZ31"/>
    <mergeCell ref="SDA31:SDB31"/>
    <mergeCell ref="SDC31:SDD31"/>
    <mergeCell ref="SDE31:SDF31"/>
    <mergeCell ref="SCI31:SCJ31"/>
    <mergeCell ref="SCK31:SCL31"/>
    <mergeCell ref="SCM31:SCN31"/>
    <mergeCell ref="SCO31:SCP31"/>
    <mergeCell ref="SCQ31:SCR31"/>
    <mergeCell ref="SCS31:SCT31"/>
    <mergeCell ref="SHK31:SHL31"/>
    <mergeCell ref="SHM31:SHN31"/>
    <mergeCell ref="SHO31:SHP31"/>
    <mergeCell ref="SHQ31:SHR31"/>
    <mergeCell ref="SHS31:SHT31"/>
    <mergeCell ref="SHU31:SHV31"/>
    <mergeCell ref="SGY31:SGZ31"/>
    <mergeCell ref="SHA31:SHB31"/>
    <mergeCell ref="SHC31:SHD31"/>
    <mergeCell ref="SHE31:SHF31"/>
    <mergeCell ref="SHG31:SHH31"/>
    <mergeCell ref="SHI31:SHJ31"/>
    <mergeCell ref="SGM31:SGN31"/>
    <mergeCell ref="SGO31:SGP31"/>
    <mergeCell ref="SGQ31:SGR31"/>
    <mergeCell ref="SGS31:SGT31"/>
    <mergeCell ref="SGU31:SGV31"/>
    <mergeCell ref="SGW31:SGX31"/>
    <mergeCell ref="SGA31:SGB31"/>
    <mergeCell ref="SGC31:SGD31"/>
    <mergeCell ref="SGE31:SGF31"/>
    <mergeCell ref="SGG31:SGH31"/>
    <mergeCell ref="SGI31:SGJ31"/>
    <mergeCell ref="SGK31:SGL31"/>
    <mergeCell ref="SFO31:SFP31"/>
    <mergeCell ref="SFQ31:SFR31"/>
    <mergeCell ref="SFS31:SFT31"/>
    <mergeCell ref="SFU31:SFV31"/>
    <mergeCell ref="SFW31:SFX31"/>
    <mergeCell ref="SFY31:SFZ31"/>
    <mergeCell ref="SFC31:SFD31"/>
    <mergeCell ref="SFE31:SFF31"/>
    <mergeCell ref="SFG31:SFH31"/>
    <mergeCell ref="SFI31:SFJ31"/>
    <mergeCell ref="SFK31:SFL31"/>
    <mergeCell ref="SFM31:SFN31"/>
    <mergeCell ref="SKE31:SKF31"/>
    <mergeCell ref="SKG31:SKH31"/>
    <mergeCell ref="SKI31:SKJ31"/>
    <mergeCell ref="SKK31:SKL31"/>
    <mergeCell ref="SKM31:SKN31"/>
    <mergeCell ref="SKO31:SKP31"/>
    <mergeCell ref="SJS31:SJT31"/>
    <mergeCell ref="SJU31:SJV31"/>
    <mergeCell ref="SJW31:SJX31"/>
    <mergeCell ref="SJY31:SJZ31"/>
    <mergeCell ref="SKA31:SKB31"/>
    <mergeCell ref="SKC31:SKD31"/>
    <mergeCell ref="SJG31:SJH31"/>
    <mergeCell ref="SJI31:SJJ31"/>
    <mergeCell ref="SJK31:SJL31"/>
    <mergeCell ref="SJM31:SJN31"/>
    <mergeCell ref="SJO31:SJP31"/>
    <mergeCell ref="SJQ31:SJR31"/>
    <mergeCell ref="SIU31:SIV31"/>
    <mergeCell ref="SIW31:SIX31"/>
    <mergeCell ref="SIY31:SIZ31"/>
    <mergeCell ref="SJA31:SJB31"/>
    <mergeCell ref="SJC31:SJD31"/>
    <mergeCell ref="SJE31:SJF31"/>
    <mergeCell ref="SII31:SIJ31"/>
    <mergeCell ref="SIK31:SIL31"/>
    <mergeCell ref="SIM31:SIN31"/>
    <mergeCell ref="SIO31:SIP31"/>
    <mergeCell ref="SIQ31:SIR31"/>
    <mergeCell ref="SIS31:SIT31"/>
    <mergeCell ref="SHW31:SHX31"/>
    <mergeCell ref="SHY31:SHZ31"/>
    <mergeCell ref="SIA31:SIB31"/>
    <mergeCell ref="SIC31:SID31"/>
    <mergeCell ref="SIE31:SIF31"/>
    <mergeCell ref="SIG31:SIH31"/>
    <mergeCell ref="SMY31:SMZ31"/>
    <mergeCell ref="SNA31:SNB31"/>
    <mergeCell ref="SNC31:SND31"/>
    <mergeCell ref="SNE31:SNF31"/>
    <mergeCell ref="SNG31:SNH31"/>
    <mergeCell ref="SNI31:SNJ31"/>
    <mergeCell ref="SMM31:SMN31"/>
    <mergeCell ref="SMO31:SMP31"/>
    <mergeCell ref="SMQ31:SMR31"/>
    <mergeCell ref="SMS31:SMT31"/>
    <mergeCell ref="SMU31:SMV31"/>
    <mergeCell ref="SMW31:SMX31"/>
    <mergeCell ref="SMA31:SMB31"/>
    <mergeCell ref="SMC31:SMD31"/>
    <mergeCell ref="SME31:SMF31"/>
    <mergeCell ref="SMG31:SMH31"/>
    <mergeCell ref="SMI31:SMJ31"/>
    <mergeCell ref="SMK31:SML31"/>
    <mergeCell ref="SLO31:SLP31"/>
    <mergeCell ref="SLQ31:SLR31"/>
    <mergeCell ref="SLS31:SLT31"/>
    <mergeCell ref="SLU31:SLV31"/>
    <mergeCell ref="SLW31:SLX31"/>
    <mergeCell ref="SLY31:SLZ31"/>
    <mergeCell ref="SLC31:SLD31"/>
    <mergeCell ref="SLE31:SLF31"/>
    <mergeCell ref="SLG31:SLH31"/>
    <mergeCell ref="SLI31:SLJ31"/>
    <mergeCell ref="SLK31:SLL31"/>
    <mergeCell ref="SLM31:SLN31"/>
    <mergeCell ref="SKQ31:SKR31"/>
    <mergeCell ref="SKS31:SKT31"/>
    <mergeCell ref="SKU31:SKV31"/>
    <mergeCell ref="SKW31:SKX31"/>
    <mergeCell ref="SKY31:SKZ31"/>
    <mergeCell ref="SLA31:SLB31"/>
    <mergeCell ref="SPS31:SPT31"/>
    <mergeCell ref="SPU31:SPV31"/>
    <mergeCell ref="SPW31:SPX31"/>
    <mergeCell ref="SPY31:SPZ31"/>
    <mergeCell ref="SQA31:SQB31"/>
    <mergeCell ref="SQC31:SQD31"/>
    <mergeCell ref="SPG31:SPH31"/>
    <mergeCell ref="SPI31:SPJ31"/>
    <mergeCell ref="SPK31:SPL31"/>
    <mergeCell ref="SPM31:SPN31"/>
    <mergeCell ref="SPO31:SPP31"/>
    <mergeCell ref="SPQ31:SPR31"/>
    <mergeCell ref="SOU31:SOV31"/>
    <mergeCell ref="SOW31:SOX31"/>
    <mergeCell ref="SOY31:SOZ31"/>
    <mergeCell ref="SPA31:SPB31"/>
    <mergeCell ref="SPC31:SPD31"/>
    <mergeCell ref="SPE31:SPF31"/>
    <mergeCell ref="SOI31:SOJ31"/>
    <mergeCell ref="SOK31:SOL31"/>
    <mergeCell ref="SOM31:SON31"/>
    <mergeCell ref="SOO31:SOP31"/>
    <mergeCell ref="SOQ31:SOR31"/>
    <mergeCell ref="SOS31:SOT31"/>
    <mergeCell ref="SNW31:SNX31"/>
    <mergeCell ref="SNY31:SNZ31"/>
    <mergeCell ref="SOA31:SOB31"/>
    <mergeCell ref="SOC31:SOD31"/>
    <mergeCell ref="SOE31:SOF31"/>
    <mergeCell ref="SOG31:SOH31"/>
    <mergeCell ref="SNK31:SNL31"/>
    <mergeCell ref="SNM31:SNN31"/>
    <mergeCell ref="SNO31:SNP31"/>
    <mergeCell ref="SNQ31:SNR31"/>
    <mergeCell ref="SNS31:SNT31"/>
    <mergeCell ref="SNU31:SNV31"/>
    <mergeCell ref="SSM31:SSN31"/>
    <mergeCell ref="SSO31:SSP31"/>
    <mergeCell ref="SSQ31:SSR31"/>
    <mergeCell ref="SSS31:SST31"/>
    <mergeCell ref="SSU31:SSV31"/>
    <mergeCell ref="SSW31:SSX31"/>
    <mergeCell ref="SSA31:SSB31"/>
    <mergeCell ref="SSC31:SSD31"/>
    <mergeCell ref="SSE31:SSF31"/>
    <mergeCell ref="SSG31:SSH31"/>
    <mergeCell ref="SSI31:SSJ31"/>
    <mergeCell ref="SSK31:SSL31"/>
    <mergeCell ref="SRO31:SRP31"/>
    <mergeCell ref="SRQ31:SRR31"/>
    <mergeCell ref="SRS31:SRT31"/>
    <mergeCell ref="SRU31:SRV31"/>
    <mergeCell ref="SRW31:SRX31"/>
    <mergeCell ref="SRY31:SRZ31"/>
    <mergeCell ref="SRC31:SRD31"/>
    <mergeCell ref="SRE31:SRF31"/>
    <mergeCell ref="SRG31:SRH31"/>
    <mergeCell ref="SRI31:SRJ31"/>
    <mergeCell ref="SRK31:SRL31"/>
    <mergeCell ref="SRM31:SRN31"/>
    <mergeCell ref="SQQ31:SQR31"/>
    <mergeCell ref="SQS31:SQT31"/>
    <mergeCell ref="SQU31:SQV31"/>
    <mergeCell ref="SQW31:SQX31"/>
    <mergeCell ref="SQY31:SQZ31"/>
    <mergeCell ref="SRA31:SRB31"/>
    <mergeCell ref="SQE31:SQF31"/>
    <mergeCell ref="SQG31:SQH31"/>
    <mergeCell ref="SQI31:SQJ31"/>
    <mergeCell ref="SQK31:SQL31"/>
    <mergeCell ref="SQM31:SQN31"/>
    <mergeCell ref="SQO31:SQP31"/>
    <mergeCell ref="SVG31:SVH31"/>
    <mergeCell ref="SVI31:SVJ31"/>
    <mergeCell ref="SVK31:SVL31"/>
    <mergeCell ref="SVM31:SVN31"/>
    <mergeCell ref="SVO31:SVP31"/>
    <mergeCell ref="SVQ31:SVR31"/>
    <mergeCell ref="SUU31:SUV31"/>
    <mergeCell ref="SUW31:SUX31"/>
    <mergeCell ref="SUY31:SUZ31"/>
    <mergeCell ref="SVA31:SVB31"/>
    <mergeCell ref="SVC31:SVD31"/>
    <mergeCell ref="SVE31:SVF31"/>
    <mergeCell ref="SUI31:SUJ31"/>
    <mergeCell ref="SUK31:SUL31"/>
    <mergeCell ref="SUM31:SUN31"/>
    <mergeCell ref="SUO31:SUP31"/>
    <mergeCell ref="SUQ31:SUR31"/>
    <mergeCell ref="SUS31:SUT31"/>
    <mergeCell ref="STW31:STX31"/>
    <mergeCell ref="STY31:STZ31"/>
    <mergeCell ref="SUA31:SUB31"/>
    <mergeCell ref="SUC31:SUD31"/>
    <mergeCell ref="SUE31:SUF31"/>
    <mergeCell ref="SUG31:SUH31"/>
    <mergeCell ref="STK31:STL31"/>
    <mergeCell ref="STM31:STN31"/>
    <mergeCell ref="STO31:STP31"/>
    <mergeCell ref="STQ31:STR31"/>
    <mergeCell ref="STS31:STT31"/>
    <mergeCell ref="STU31:STV31"/>
    <mergeCell ref="SSY31:SSZ31"/>
    <mergeCell ref="STA31:STB31"/>
    <mergeCell ref="STC31:STD31"/>
    <mergeCell ref="STE31:STF31"/>
    <mergeCell ref="STG31:STH31"/>
    <mergeCell ref="STI31:STJ31"/>
    <mergeCell ref="SYA31:SYB31"/>
    <mergeCell ref="SYC31:SYD31"/>
    <mergeCell ref="SYE31:SYF31"/>
    <mergeCell ref="SYG31:SYH31"/>
    <mergeCell ref="SYI31:SYJ31"/>
    <mergeCell ref="SYK31:SYL31"/>
    <mergeCell ref="SXO31:SXP31"/>
    <mergeCell ref="SXQ31:SXR31"/>
    <mergeCell ref="SXS31:SXT31"/>
    <mergeCell ref="SXU31:SXV31"/>
    <mergeCell ref="SXW31:SXX31"/>
    <mergeCell ref="SXY31:SXZ31"/>
    <mergeCell ref="SXC31:SXD31"/>
    <mergeCell ref="SXE31:SXF31"/>
    <mergeCell ref="SXG31:SXH31"/>
    <mergeCell ref="SXI31:SXJ31"/>
    <mergeCell ref="SXK31:SXL31"/>
    <mergeCell ref="SXM31:SXN31"/>
    <mergeCell ref="SWQ31:SWR31"/>
    <mergeCell ref="SWS31:SWT31"/>
    <mergeCell ref="SWU31:SWV31"/>
    <mergeCell ref="SWW31:SWX31"/>
    <mergeCell ref="SWY31:SWZ31"/>
    <mergeCell ref="SXA31:SXB31"/>
    <mergeCell ref="SWE31:SWF31"/>
    <mergeCell ref="SWG31:SWH31"/>
    <mergeCell ref="SWI31:SWJ31"/>
    <mergeCell ref="SWK31:SWL31"/>
    <mergeCell ref="SWM31:SWN31"/>
    <mergeCell ref="SWO31:SWP31"/>
    <mergeCell ref="SVS31:SVT31"/>
    <mergeCell ref="SVU31:SVV31"/>
    <mergeCell ref="SVW31:SVX31"/>
    <mergeCell ref="SVY31:SVZ31"/>
    <mergeCell ref="SWA31:SWB31"/>
    <mergeCell ref="SWC31:SWD31"/>
    <mergeCell ref="TAU31:TAV31"/>
    <mergeCell ref="TAW31:TAX31"/>
    <mergeCell ref="TAY31:TAZ31"/>
    <mergeCell ref="TBA31:TBB31"/>
    <mergeCell ref="TBC31:TBD31"/>
    <mergeCell ref="TBE31:TBF31"/>
    <mergeCell ref="TAI31:TAJ31"/>
    <mergeCell ref="TAK31:TAL31"/>
    <mergeCell ref="TAM31:TAN31"/>
    <mergeCell ref="TAO31:TAP31"/>
    <mergeCell ref="TAQ31:TAR31"/>
    <mergeCell ref="TAS31:TAT31"/>
    <mergeCell ref="SZW31:SZX31"/>
    <mergeCell ref="SZY31:SZZ31"/>
    <mergeCell ref="TAA31:TAB31"/>
    <mergeCell ref="TAC31:TAD31"/>
    <mergeCell ref="TAE31:TAF31"/>
    <mergeCell ref="TAG31:TAH31"/>
    <mergeCell ref="SZK31:SZL31"/>
    <mergeCell ref="SZM31:SZN31"/>
    <mergeCell ref="SZO31:SZP31"/>
    <mergeCell ref="SZQ31:SZR31"/>
    <mergeCell ref="SZS31:SZT31"/>
    <mergeCell ref="SZU31:SZV31"/>
    <mergeCell ref="SYY31:SYZ31"/>
    <mergeCell ref="SZA31:SZB31"/>
    <mergeCell ref="SZC31:SZD31"/>
    <mergeCell ref="SZE31:SZF31"/>
    <mergeCell ref="SZG31:SZH31"/>
    <mergeCell ref="SZI31:SZJ31"/>
    <mergeCell ref="SYM31:SYN31"/>
    <mergeCell ref="SYO31:SYP31"/>
    <mergeCell ref="SYQ31:SYR31"/>
    <mergeCell ref="SYS31:SYT31"/>
    <mergeCell ref="SYU31:SYV31"/>
    <mergeCell ref="SYW31:SYX31"/>
    <mergeCell ref="TDO31:TDP31"/>
    <mergeCell ref="TDQ31:TDR31"/>
    <mergeCell ref="TDS31:TDT31"/>
    <mergeCell ref="TDU31:TDV31"/>
    <mergeCell ref="TDW31:TDX31"/>
    <mergeCell ref="TDY31:TDZ31"/>
    <mergeCell ref="TDC31:TDD31"/>
    <mergeCell ref="TDE31:TDF31"/>
    <mergeCell ref="TDG31:TDH31"/>
    <mergeCell ref="TDI31:TDJ31"/>
    <mergeCell ref="TDK31:TDL31"/>
    <mergeCell ref="TDM31:TDN31"/>
    <mergeCell ref="TCQ31:TCR31"/>
    <mergeCell ref="TCS31:TCT31"/>
    <mergeCell ref="TCU31:TCV31"/>
    <mergeCell ref="TCW31:TCX31"/>
    <mergeCell ref="TCY31:TCZ31"/>
    <mergeCell ref="TDA31:TDB31"/>
    <mergeCell ref="TCE31:TCF31"/>
    <mergeCell ref="TCG31:TCH31"/>
    <mergeCell ref="TCI31:TCJ31"/>
    <mergeCell ref="TCK31:TCL31"/>
    <mergeCell ref="TCM31:TCN31"/>
    <mergeCell ref="TCO31:TCP31"/>
    <mergeCell ref="TBS31:TBT31"/>
    <mergeCell ref="TBU31:TBV31"/>
    <mergeCell ref="TBW31:TBX31"/>
    <mergeCell ref="TBY31:TBZ31"/>
    <mergeCell ref="TCA31:TCB31"/>
    <mergeCell ref="TCC31:TCD31"/>
    <mergeCell ref="TBG31:TBH31"/>
    <mergeCell ref="TBI31:TBJ31"/>
    <mergeCell ref="TBK31:TBL31"/>
    <mergeCell ref="TBM31:TBN31"/>
    <mergeCell ref="TBO31:TBP31"/>
    <mergeCell ref="TBQ31:TBR31"/>
    <mergeCell ref="TGI31:TGJ31"/>
    <mergeCell ref="TGK31:TGL31"/>
    <mergeCell ref="TGM31:TGN31"/>
    <mergeCell ref="TGO31:TGP31"/>
    <mergeCell ref="TGQ31:TGR31"/>
    <mergeCell ref="TGS31:TGT31"/>
    <mergeCell ref="TFW31:TFX31"/>
    <mergeCell ref="TFY31:TFZ31"/>
    <mergeCell ref="TGA31:TGB31"/>
    <mergeCell ref="TGC31:TGD31"/>
    <mergeCell ref="TGE31:TGF31"/>
    <mergeCell ref="TGG31:TGH31"/>
    <mergeCell ref="TFK31:TFL31"/>
    <mergeCell ref="TFM31:TFN31"/>
    <mergeCell ref="TFO31:TFP31"/>
    <mergeCell ref="TFQ31:TFR31"/>
    <mergeCell ref="TFS31:TFT31"/>
    <mergeCell ref="TFU31:TFV31"/>
    <mergeCell ref="TEY31:TEZ31"/>
    <mergeCell ref="TFA31:TFB31"/>
    <mergeCell ref="TFC31:TFD31"/>
    <mergeCell ref="TFE31:TFF31"/>
    <mergeCell ref="TFG31:TFH31"/>
    <mergeCell ref="TFI31:TFJ31"/>
    <mergeCell ref="TEM31:TEN31"/>
    <mergeCell ref="TEO31:TEP31"/>
    <mergeCell ref="TEQ31:TER31"/>
    <mergeCell ref="TES31:TET31"/>
    <mergeCell ref="TEU31:TEV31"/>
    <mergeCell ref="TEW31:TEX31"/>
    <mergeCell ref="TEA31:TEB31"/>
    <mergeCell ref="TEC31:TED31"/>
    <mergeCell ref="TEE31:TEF31"/>
    <mergeCell ref="TEG31:TEH31"/>
    <mergeCell ref="TEI31:TEJ31"/>
    <mergeCell ref="TEK31:TEL31"/>
    <mergeCell ref="TJC31:TJD31"/>
    <mergeCell ref="TJE31:TJF31"/>
    <mergeCell ref="TJG31:TJH31"/>
    <mergeCell ref="TJI31:TJJ31"/>
    <mergeCell ref="TJK31:TJL31"/>
    <mergeCell ref="TJM31:TJN31"/>
    <mergeCell ref="TIQ31:TIR31"/>
    <mergeCell ref="TIS31:TIT31"/>
    <mergeCell ref="TIU31:TIV31"/>
    <mergeCell ref="TIW31:TIX31"/>
    <mergeCell ref="TIY31:TIZ31"/>
    <mergeCell ref="TJA31:TJB31"/>
    <mergeCell ref="TIE31:TIF31"/>
    <mergeCell ref="TIG31:TIH31"/>
    <mergeCell ref="TII31:TIJ31"/>
    <mergeCell ref="TIK31:TIL31"/>
    <mergeCell ref="TIM31:TIN31"/>
    <mergeCell ref="TIO31:TIP31"/>
    <mergeCell ref="THS31:THT31"/>
    <mergeCell ref="THU31:THV31"/>
    <mergeCell ref="THW31:THX31"/>
    <mergeCell ref="THY31:THZ31"/>
    <mergeCell ref="TIA31:TIB31"/>
    <mergeCell ref="TIC31:TID31"/>
    <mergeCell ref="THG31:THH31"/>
    <mergeCell ref="THI31:THJ31"/>
    <mergeCell ref="THK31:THL31"/>
    <mergeCell ref="THM31:THN31"/>
    <mergeCell ref="THO31:THP31"/>
    <mergeCell ref="THQ31:THR31"/>
    <mergeCell ref="TGU31:TGV31"/>
    <mergeCell ref="TGW31:TGX31"/>
    <mergeCell ref="TGY31:TGZ31"/>
    <mergeCell ref="THA31:THB31"/>
    <mergeCell ref="THC31:THD31"/>
    <mergeCell ref="THE31:THF31"/>
    <mergeCell ref="TLW31:TLX31"/>
    <mergeCell ref="TLY31:TLZ31"/>
    <mergeCell ref="TMA31:TMB31"/>
    <mergeCell ref="TMC31:TMD31"/>
    <mergeCell ref="TME31:TMF31"/>
    <mergeCell ref="TMG31:TMH31"/>
    <mergeCell ref="TLK31:TLL31"/>
    <mergeCell ref="TLM31:TLN31"/>
    <mergeCell ref="TLO31:TLP31"/>
    <mergeCell ref="TLQ31:TLR31"/>
    <mergeCell ref="TLS31:TLT31"/>
    <mergeCell ref="TLU31:TLV31"/>
    <mergeCell ref="TKY31:TKZ31"/>
    <mergeCell ref="TLA31:TLB31"/>
    <mergeCell ref="TLC31:TLD31"/>
    <mergeCell ref="TLE31:TLF31"/>
    <mergeCell ref="TLG31:TLH31"/>
    <mergeCell ref="TLI31:TLJ31"/>
    <mergeCell ref="TKM31:TKN31"/>
    <mergeCell ref="TKO31:TKP31"/>
    <mergeCell ref="TKQ31:TKR31"/>
    <mergeCell ref="TKS31:TKT31"/>
    <mergeCell ref="TKU31:TKV31"/>
    <mergeCell ref="TKW31:TKX31"/>
    <mergeCell ref="TKA31:TKB31"/>
    <mergeCell ref="TKC31:TKD31"/>
    <mergeCell ref="TKE31:TKF31"/>
    <mergeCell ref="TKG31:TKH31"/>
    <mergeCell ref="TKI31:TKJ31"/>
    <mergeCell ref="TKK31:TKL31"/>
    <mergeCell ref="TJO31:TJP31"/>
    <mergeCell ref="TJQ31:TJR31"/>
    <mergeCell ref="TJS31:TJT31"/>
    <mergeCell ref="TJU31:TJV31"/>
    <mergeCell ref="TJW31:TJX31"/>
    <mergeCell ref="TJY31:TJZ31"/>
    <mergeCell ref="TOQ31:TOR31"/>
    <mergeCell ref="TOS31:TOT31"/>
    <mergeCell ref="TOU31:TOV31"/>
    <mergeCell ref="TOW31:TOX31"/>
    <mergeCell ref="TOY31:TOZ31"/>
    <mergeCell ref="TPA31:TPB31"/>
    <mergeCell ref="TOE31:TOF31"/>
    <mergeCell ref="TOG31:TOH31"/>
    <mergeCell ref="TOI31:TOJ31"/>
    <mergeCell ref="TOK31:TOL31"/>
    <mergeCell ref="TOM31:TON31"/>
    <mergeCell ref="TOO31:TOP31"/>
    <mergeCell ref="TNS31:TNT31"/>
    <mergeCell ref="TNU31:TNV31"/>
    <mergeCell ref="TNW31:TNX31"/>
    <mergeCell ref="TNY31:TNZ31"/>
    <mergeCell ref="TOA31:TOB31"/>
    <mergeCell ref="TOC31:TOD31"/>
    <mergeCell ref="TNG31:TNH31"/>
    <mergeCell ref="TNI31:TNJ31"/>
    <mergeCell ref="TNK31:TNL31"/>
    <mergeCell ref="TNM31:TNN31"/>
    <mergeCell ref="TNO31:TNP31"/>
    <mergeCell ref="TNQ31:TNR31"/>
    <mergeCell ref="TMU31:TMV31"/>
    <mergeCell ref="TMW31:TMX31"/>
    <mergeCell ref="TMY31:TMZ31"/>
    <mergeCell ref="TNA31:TNB31"/>
    <mergeCell ref="TNC31:TND31"/>
    <mergeCell ref="TNE31:TNF31"/>
    <mergeCell ref="TMI31:TMJ31"/>
    <mergeCell ref="TMK31:TML31"/>
    <mergeCell ref="TMM31:TMN31"/>
    <mergeCell ref="TMO31:TMP31"/>
    <mergeCell ref="TMQ31:TMR31"/>
    <mergeCell ref="TMS31:TMT31"/>
    <mergeCell ref="TRK31:TRL31"/>
    <mergeCell ref="TRM31:TRN31"/>
    <mergeCell ref="TRO31:TRP31"/>
    <mergeCell ref="TRQ31:TRR31"/>
    <mergeCell ref="TRS31:TRT31"/>
    <mergeCell ref="TRU31:TRV31"/>
    <mergeCell ref="TQY31:TQZ31"/>
    <mergeCell ref="TRA31:TRB31"/>
    <mergeCell ref="TRC31:TRD31"/>
    <mergeCell ref="TRE31:TRF31"/>
    <mergeCell ref="TRG31:TRH31"/>
    <mergeCell ref="TRI31:TRJ31"/>
    <mergeCell ref="TQM31:TQN31"/>
    <mergeCell ref="TQO31:TQP31"/>
    <mergeCell ref="TQQ31:TQR31"/>
    <mergeCell ref="TQS31:TQT31"/>
    <mergeCell ref="TQU31:TQV31"/>
    <mergeCell ref="TQW31:TQX31"/>
    <mergeCell ref="TQA31:TQB31"/>
    <mergeCell ref="TQC31:TQD31"/>
    <mergeCell ref="TQE31:TQF31"/>
    <mergeCell ref="TQG31:TQH31"/>
    <mergeCell ref="TQI31:TQJ31"/>
    <mergeCell ref="TQK31:TQL31"/>
    <mergeCell ref="TPO31:TPP31"/>
    <mergeCell ref="TPQ31:TPR31"/>
    <mergeCell ref="TPS31:TPT31"/>
    <mergeCell ref="TPU31:TPV31"/>
    <mergeCell ref="TPW31:TPX31"/>
    <mergeCell ref="TPY31:TPZ31"/>
    <mergeCell ref="TPC31:TPD31"/>
    <mergeCell ref="TPE31:TPF31"/>
    <mergeCell ref="TPG31:TPH31"/>
    <mergeCell ref="TPI31:TPJ31"/>
    <mergeCell ref="TPK31:TPL31"/>
    <mergeCell ref="TPM31:TPN31"/>
    <mergeCell ref="TUE31:TUF31"/>
    <mergeCell ref="TUG31:TUH31"/>
    <mergeCell ref="TUI31:TUJ31"/>
    <mergeCell ref="TUK31:TUL31"/>
    <mergeCell ref="TUM31:TUN31"/>
    <mergeCell ref="TUO31:TUP31"/>
    <mergeCell ref="TTS31:TTT31"/>
    <mergeCell ref="TTU31:TTV31"/>
    <mergeCell ref="TTW31:TTX31"/>
    <mergeCell ref="TTY31:TTZ31"/>
    <mergeCell ref="TUA31:TUB31"/>
    <mergeCell ref="TUC31:TUD31"/>
    <mergeCell ref="TTG31:TTH31"/>
    <mergeCell ref="TTI31:TTJ31"/>
    <mergeCell ref="TTK31:TTL31"/>
    <mergeCell ref="TTM31:TTN31"/>
    <mergeCell ref="TTO31:TTP31"/>
    <mergeCell ref="TTQ31:TTR31"/>
    <mergeCell ref="TSU31:TSV31"/>
    <mergeCell ref="TSW31:TSX31"/>
    <mergeCell ref="TSY31:TSZ31"/>
    <mergeCell ref="TTA31:TTB31"/>
    <mergeCell ref="TTC31:TTD31"/>
    <mergeCell ref="TTE31:TTF31"/>
    <mergeCell ref="TSI31:TSJ31"/>
    <mergeCell ref="TSK31:TSL31"/>
    <mergeCell ref="TSM31:TSN31"/>
    <mergeCell ref="TSO31:TSP31"/>
    <mergeCell ref="TSQ31:TSR31"/>
    <mergeCell ref="TSS31:TST31"/>
    <mergeCell ref="TRW31:TRX31"/>
    <mergeCell ref="TRY31:TRZ31"/>
    <mergeCell ref="TSA31:TSB31"/>
    <mergeCell ref="TSC31:TSD31"/>
    <mergeCell ref="TSE31:TSF31"/>
    <mergeCell ref="TSG31:TSH31"/>
    <mergeCell ref="TWY31:TWZ31"/>
    <mergeCell ref="TXA31:TXB31"/>
    <mergeCell ref="TXC31:TXD31"/>
    <mergeCell ref="TXE31:TXF31"/>
    <mergeCell ref="TXG31:TXH31"/>
    <mergeCell ref="TXI31:TXJ31"/>
    <mergeCell ref="TWM31:TWN31"/>
    <mergeCell ref="TWO31:TWP31"/>
    <mergeCell ref="TWQ31:TWR31"/>
    <mergeCell ref="TWS31:TWT31"/>
    <mergeCell ref="TWU31:TWV31"/>
    <mergeCell ref="TWW31:TWX31"/>
    <mergeCell ref="TWA31:TWB31"/>
    <mergeCell ref="TWC31:TWD31"/>
    <mergeCell ref="TWE31:TWF31"/>
    <mergeCell ref="TWG31:TWH31"/>
    <mergeCell ref="TWI31:TWJ31"/>
    <mergeCell ref="TWK31:TWL31"/>
    <mergeCell ref="TVO31:TVP31"/>
    <mergeCell ref="TVQ31:TVR31"/>
    <mergeCell ref="TVS31:TVT31"/>
    <mergeCell ref="TVU31:TVV31"/>
    <mergeCell ref="TVW31:TVX31"/>
    <mergeCell ref="TVY31:TVZ31"/>
    <mergeCell ref="TVC31:TVD31"/>
    <mergeCell ref="TVE31:TVF31"/>
    <mergeCell ref="TVG31:TVH31"/>
    <mergeCell ref="TVI31:TVJ31"/>
    <mergeCell ref="TVK31:TVL31"/>
    <mergeCell ref="TVM31:TVN31"/>
    <mergeCell ref="TUQ31:TUR31"/>
    <mergeCell ref="TUS31:TUT31"/>
    <mergeCell ref="TUU31:TUV31"/>
    <mergeCell ref="TUW31:TUX31"/>
    <mergeCell ref="TUY31:TUZ31"/>
    <mergeCell ref="TVA31:TVB31"/>
    <mergeCell ref="TZS31:TZT31"/>
    <mergeCell ref="TZU31:TZV31"/>
    <mergeCell ref="TZW31:TZX31"/>
    <mergeCell ref="TZY31:TZZ31"/>
    <mergeCell ref="UAA31:UAB31"/>
    <mergeCell ref="UAC31:UAD31"/>
    <mergeCell ref="TZG31:TZH31"/>
    <mergeCell ref="TZI31:TZJ31"/>
    <mergeCell ref="TZK31:TZL31"/>
    <mergeCell ref="TZM31:TZN31"/>
    <mergeCell ref="TZO31:TZP31"/>
    <mergeCell ref="TZQ31:TZR31"/>
    <mergeCell ref="TYU31:TYV31"/>
    <mergeCell ref="TYW31:TYX31"/>
    <mergeCell ref="TYY31:TYZ31"/>
    <mergeCell ref="TZA31:TZB31"/>
    <mergeCell ref="TZC31:TZD31"/>
    <mergeCell ref="TZE31:TZF31"/>
    <mergeCell ref="TYI31:TYJ31"/>
    <mergeCell ref="TYK31:TYL31"/>
    <mergeCell ref="TYM31:TYN31"/>
    <mergeCell ref="TYO31:TYP31"/>
    <mergeCell ref="TYQ31:TYR31"/>
    <mergeCell ref="TYS31:TYT31"/>
    <mergeCell ref="TXW31:TXX31"/>
    <mergeCell ref="TXY31:TXZ31"/>
    <mergeCell ref="TYA31:TYB31"/>
    <mergeCell ref="TYC31:TYD31"/>
    <mergeCell ref="TYE31:TYF31"/>
    <mergeCell ref="TYG31:TYH31"/>
    <mergeCell ref="TXK31:TXL31"/>
    <mergeCell ref="TXM31:TXN31"/>
    <mergeCell ref="TXO31:TXP31"/>
    <mergeCell ref="TXQ31:TXR31"/>
    <mergeCell ref="TXS31:TXT31"/>
    <mergeCell ref="TXU31:TXV31"/>
    <mergeCell ref="UCM31:UCN31"/>
    <mergeCell ref="UCO31:UCP31"/>
    <mergeCell ref="UCQ31:UCR31"/>
    <mergeCell ref="UCS31:UCT31"/>
    <mergeCell ref="UCU31:UCV31"/>
    <mergeCell ref="UCW31:UCX31"/>
    <mergeCell ref="UCA31:UCB31"/>
    <mergeCell ref="UCC31:UCD31"/>
    <mergeCell ref="UCE31:UCF31"/>
    <mergeCell ref="UCG31:UCH31"/>
    <mergeCell ref="UCI31:UCJ31"/>
    <mergeCell ref="UCK31:UCL31"/>
    <mergeCell ref="UBO31:UBP31"/>
    <mergeCell ref="UBQ31:UBR31"/>
    <mergeCell ref="UBS31:UBT31"/>
    <mergeCell ref="UBU31:UBV31"/>
    <mergeCell ref="UBW31:UBX31"/>
    <mergeCell ref="UBY31:UBZ31"/>
    <mergeCell ref="UBC31:UBD31"/>
    <mergeCell ref="UBE31:UBF31"/>
    <mergeCell ref="UBG31:UBH31"/>
    <mergeCell ref="UBI31:UBJ31"/>
    <mergeCell ref="UBK31:UBL31"/>
    <mergeCell ref="UBM31:UBN31"/>
    <mergeCell ref="UAQ31:UAR31"/>
    <mergeCell ref="UAS31:UAT31"/>
    <mergeCell ref="UAU31:UAV31"/>
    <mergeCell ref="UAW31:UAX31"/>
    <mergeCell ref="UAY31:UAZ31"/>
    <mergeCell ref="UBA31:UBB31"/>
    <mergeCell ref="UAE31:UAF31"/>
    <mergeCell ref="UAG31:UAH31"/>
    <mergeCell ref="UAI31:UAJ31"/>
    <mergeCell ref="UAK31:UAL31"/>
    <mergeCell ref="UAM31:UAN31"/>
    <mergeCell ref="UAO31:UAP31"/>
    <mergeCell ref="UFG31:UFH31"/>
    <mergeCell ref="UFI31:UFJ31"/>
    <mergeCell ref="UFK31:UFL31"/>
    <mergeCell ref="UFM31:UFN31"/>
    <mergeCell ref="UFO31:UFP31"/>
    <mergeCell ref="UFQ31:UFR31"/>
    <mergeCell ref="UEU31:UEV31"/>
    <mergeCell ref="UEW31:UEX31"/>
    <mergeCell ref="UEY31:UEZ31"/>
    <mergeCell ref="UFA31:UFB31"/>
    <mergeCell ref="UFC31:UFD31"/>
    <mergeCell ref="UFE31:UFF31"/>
    <mergeCell ref="UEI31:UEJ31"/>
    <mergeCell ref="UEK31:UEL31"/>
    <mergeCell ref="UEM31:UEN31"/>
    <mergeCell ref="UEO31:UEP31"/>
    <mergeCell ref="UEQ31:UER31"/>
    <mergeCell ref="UES31:UET31"/>
    <mergeCell ref="UDW31:UDX31"/>
    <mergeCell ref="UDY31:UDZ31"/>
    <mergeCell ref="UEA31:UEB31"/>
    <mergeCell ref="UEC31:UED31"/>
    <mergeCell ref="UEE31:UEF31"/>
    <mergeCell ref="UEG31:UEH31"/>
    <mergeCell ref="UDK31:UDL31"/>
    <mergeCell ref="UDM31:UDN31"/>
    <mergeCell ref="UDO31:UDP31"/>
    <mergeCell ref="UDQ31:UDR31"/>
    <mergeCell ref="UDS31:UDT31"/>
    <mergeCell ref="UDU31:UDV31"/>
    <mergeCell ref="UCY31:UCZ31"/>
    <mergeCell ref="UDA31:UDB31"/>
    <mergeCell ref="UDC31:UDD31"/>
    <mergeCell ref="UDE31:UDF31"/>
    <mergeCell ref="UDG31:UDH31"/>
    <mergeCell ref="UDI31:UDJ31"/>
    <mergeCell ref="UIA31:UIB31"/>
    <mergeCell ref="UIC31:UID31"/>
    <mergeCell ref="UIE31:UIF31"/>
    <mergeCell ref="UIG31:UIH31"/>
    <mergeCell ref="UII31:UIJ31"/>
    <mergeCell ref="UIK31:UIL31"/>
    <mergeCell ref="UHO31:UHP31"/>
    <mergeCell ref="UHQ31:UHR31"/>
    <mergeCell ref="UHS31:UHT31"/>
    <mergeCell ref="UHU31:UHV31"/>
    <mergeCell ref="UHW31:UHX31"/>
    <mergeCell ref="UHY31:UHZ31"/>
    <mergeCell ref="UHC31:UHD31"/>
    <mergeCell ref="UHE31:UHF31"/>
    <mergeCell ref="UHG31:UHH31"/>
    <mergeCell ref="UHI31:UHJ31"/>
    <mergeCell ref="UHK31:UHL31"/>
    <mergeCell ref="UHM31:UHN31"/>
    <mergeCell ref="UGQ31:UGR31"/>
    <mergeCell ref="UGS31:UGT31"/>
    <mergeCell ref="UGU31:UGV31"/>
    <mergeCell ref="UGW31:UGX31"/>
    <mergeCell ref="UGY31:UGZ31"/>
    <mergeCell ref="UHA31:UHB31"/>
    <mergeCell ref="UGE31:UGF31"/>
    <mergeCell ref="UGG31:UGH31"/>
    <mergeCell ref="UGI31:UGJ31"/>
    <mergeCell ref="UGK31:UGL31"/>
    <mergeCell ref="UGM31:UGN31"/>
    <mergeCell ref="UGO31:UGP31"/>
    <mergeCell ref="UFS31:UFT31"/>
    <mergeCell ref="UFU31:UFV31"/>
    <mergeCell ref="UFW31:UFX31"/>
    <mergeCell ref="UFY31:UFZ31"/>
    <mergeCell ref="UGA31:UGB31"/>
    <mergeCell ref="UGC31:UGD31"/>
    <mergeCell ref="UKU31:UKV31"/>
    <mergeCell ref="UKW31:UKX31"/>
    <mergeCell ref="UKY31:UKZ31"/>
    <mergeCell ref="ULA31:ULB31"/>
    <mergeCell ref="ULC31:ULD31"/>
    <mergeCell ref="ULE31:ULF31"/>
    <mergeCell ref="UKI31:UKJ31"/>
    <mergeCell ref="UKK31:UKL31"/>
    <mergeCell ref="UKM31:UKN31"/>
    <mergeCell ref="UKO31:UKP31"/>
    <mergeCell ref="UKQ31:UKR31"/>
    <mergeCell ref="UKS31:UKT31"/>
    <mergeCell ref="UJW31:UJX31"/>
    <mergeCell ref="UJY31:UJZ31"/>
    <mergeCell ref="UKA31:UKB31"/>
    <mergeCell ref="UKC31:UKD31"/>
    <mergeCell ref="UKE31:UKF31"/>
    <mergeCell ref="UKG31:UKH31"/>
    <mergeCell ref="UJK31:UJL31"/>
    <mergeCell ref="UJM31:UJN31"/>
    <mergeCell ref="UJO31:UJP31"/>
    <mergeCell ref="UJQ31:UJR31"/>
    <mergeCell ref="UJS31:UJT31"/>
    <mergeCell ref="UJU31:UJV31"/>
    <mergeCell ref="UIY31:UIZ31"/>
    <mergeCell ref="UJA31:UJB31"/>
    <mergeCell ref="UJC31:UJD31"/>
    <mergeCell ref="UJE31:UJF31"/>
    <mergeCell ref="UJG31:UJH31"/>
    <mergeCell ref="UJI31:UJJ31"/>
    <mergeCell ref="UIM31:UIN31"/>
    <mergeCell ref="UIO31:UIP31"/>
    <mergeCell ref="UIQ31:UIR31"/>
    <mergeCell ref="UIS31:UIT31"/>
    <mergeCell ref="UIU31:UIV31"/>
    <mergeCell ref="UIW31:UIX31"/>
    <mergeCell ref="UNO31:UNP31"/>
    <mergeCell ref="UNQ31:UNR31"/>
    <mergeCell ref="UNS31:UNT31"/>
    <mergeCell ref="UNU31:UNV31"/>
    <mergeCell ref="UNW31:UNX31"/>
    <mergeCell ref="UNY31:UNZ31"/>
    <mergeCell ref="UNC31:UND31"/>
    <mergeCell ref="UNE31:UNF31"/>
    <mergeCell ref="UNG31:UNH31"/>
    <mergeCell ref="UNI31:UNJ31"/>
    <mergeCell ref="UNK31:UNL31"/>
    <mergeCell ref="UNM31:UNN31"/>
    <mergeCell ref="UMQ31:UMR31"/>
    <mergeCell ref="UMS31:UMT31"/>
    <mergeCell ref="UMU31:UMV31"/>
    <mergeCell ref="UMW31:UMX31"/>
    <mergeCell ref="UMY31:UMZ31"/>
    <mergeCell ref="UNA31:UNB31"/>
    <mergeCell ref="UME31:UMF31"/>
    <mergeCell ref="UMG31:UMH31"/>
    <mergeCell ref="UMI31:UMJ31"/>
    <mergeCell ref="UMK31:UML31"/>
    <mergeCell ref="UMM31:UMN31"/>
    <mergeCell ref="UMO31:UMP31"/>
    <mergeCell ref="ULS31:ULT31"/>
    <mergeCell ref="ULU31:ULV31"/>
    <mergeCell ref="ULW31:ULX31"/>
    <mergeCell ref="ULY31:ULZ31"/>
    <mergeCell ref="UMA31:UMB31"/>
    <mergeCell ref="UMC31:UMD31"/>
    <mergeCell ref="ULG31:ULH31"/>
    <mergeCell ref="ULI31:ULJ31"/>
    <mergeCell ref="ULK31:ULL31"/>
    <mergeCell ref="ULM31:ULN31"/>
    <mergeCell ref="ULO31:ULP31"/>
    <mergeCell ref="ULQ31:ULR31"/>
    <mergeCell ref="UQI31:UQJ31"/>
    <mergeCell ref="UQK31:UQL31"/>
    <mergeCell ref="UQM31:UQN31"/>
    <mergeCell ref="UQO31:UQP31"/>
    <mergeCell ref="UQQ31:UQR31"/>
    <mergeCell ref="UQS31:UQT31"/>
    <mergeCell ref="UPW31:UPX31"/>
    <mergeCell ref="UPY31:UPZ31"/>
    <mergeCell ref="UQA31:UQB31"/>
    <mergeCell ref="UQC31:UQD31"/>
    <mergeCell ref="UQE31:UQF31"/>
    <mergeCell ref="UQG31:UQH31"/>
    <mergeCell ref="UPK31:UPL31"/>
    <mergeCell ref="UPM31:UPN31"/>
    <mergeCell ref="UPO31:UPP31"/>
    <mergeCell ref="UPQ31:UPR31"/>
    <mergeCell ref="UPS31:UPT31"/>
    <mergeCell ref="UPU31:UPV31"/>
    <mergeCell ref="UOY31:UOZ31"/>
    <mergeCell ref="UPA31:UPB31"/>
    <mergeCell ref="UPC31:UPD31"/>
    <mergeCell ref="UPE31:UPF31"/>
    <mergeCell ref="UPG31:UPH31"/>
    <mergeCell ref="UPI31:UPJ31"/>
    <mergeCell ref="UOM31:UON31"/>
    <mergeCell ref="UOO31:UOP31"/>
    <mergeCell ref="UOQ31:UOR31"/>
    <mergeCell ref="UOS31:UOT31"/>
    <mergeCell ref="UOU31:UOV31"/>
    <mergeCell ref="UOW31:UOX31"/>
    <mergeCell ref="UOA31:UOB31"/>
    <mergeCell ref="UOC31:UOD31"/>
    <mergeCell ref="UOE31:UOF31"/>
    <mergeCell ref="UOG31:UOH31"/>
    <mergeCell ref="UOI31:UOJ31"/>
    <mergeCell ref="UOK31:UOL31"/>
    <mergeCell ref="UTC31:UTD31"/>
    <mergeCell ref="UTE31:UTF31"/>
    <mergeCell ref="UTG31:UTH31"/>
    <mergeCell ref="UTI31:UTJ31"/>
    <mergeCell ref="UTK31:UTL31"/>
    <mergeCell ref="UTM31:UTN31"/>
    <mergeCell ref="USQ31:USR31"/>
    <mergeCell ref="USS31:UST31"/>
    <mergeCell ref="USU31:USV31"/>
    <mergeCell ref="USW31:USX31"/>
    <mergeCell ref="USY31:USZ31"/>
    <mergeCell ref="UTA31:UTB31"/>
    <mergeCell ref="USE31:USF31"/>
    <mergeCell ref="USG31:USH31"/>
    <mergeCell ref="USI31:USJ31"/>
    <mergeCell ref="USK31:USL31"/>
    <mergeCell ref="USM31:USN31"/>
    <mergeCell ref="USO31:USP31"/>
    <mergeCell ref="URS31:URT31"/>
    <mergeCell ref="URU31:URV31"/>
    <mergeCell ref="URW31:URX31"/>
    <mergeCell ref="URY31:URZ31"/>
    <mergeCell ref="USA31:USB31"/>
    <mergeCell ref="USC31:USD31"/>
    <mergeCell ref="URG31:URH31"/>
    <mergeCell ref="URI31:URJ31"/>
    <mergeCell ref="URK31:URL31"/>
    <mergeCell ref="URM31:URN31"/>
    <mergeCell ref="URO31:URP31"/>
    <mergeCell ref="URQ31:URR31"/>
    <mergeCell ref="UQU31:UQV31"/>
    <mergeCell ref="UQW31:UQX31"/>
    <mergeCell ref="UQY31:UQZ31"/>
    <mergeCell ref="URA31:URB31"/>
    <mergeCell ref="URC31:URD31"/>
    <mergeCell ref="URE31:URF31"/>
    <mergeCell ref="UVW31:UVX31"/>
    <mergeCell ref="UVY31:UVZ31"/>
    <mergeCell ref="UWA31:UWB31"/>
    <mergeCell ref="UWC31:UWD31"/>
    <mergeCell ref="UWE31:UWF31"/>
    <mergeCell ref="UWG31:UWH31"/>
    <mergeCell ref="UVK31:UVL31"/>
    <mergeCell ref="UVM31:UVN31"/>
    <mergeCell ref="UVO31:UVP31"/>
    <mergeCell ref="UVQ31:UVR31"/>
    <mergeCell ref="UVS31:UVT31"/>
    <mergeCell ref="UVU31:UVV31"/>
    <mergeCell ref="UUY31:UUZ31"/>
    <mergeCell ref="UVA31:UVB31"/>
    <mergeCell ref="UVC31:UVD31"/>
    <mergeCell ref="UVE31:UVF31"/>
    <mergeCell ref="UVG31:UVH31"/>
    <mergeCell ref="UVI31:UVJ31"/>
    <mergeCell ref="UUM31:UUN31"/>
    <mergeCell ref="UUO31:UUP31"/>
    <mergeCell ref="UUQ31:UUR31"/>
    <mergeCell ref="UUS31:UUT31"/>
    <mergeCell ref="UUU31:UUV31"/>
    <mergeCell ref="UUW31:UUX31"/>
    <mergeCell ref="UUA31:UUB31"/>
    <mergeCell ref="UUC31:UUD31"/>
    <mergeCell ref="UUE31:UUF31"/>
    <mergeCell ref="UUG31:UUH31"/>
    <mergeCell ref="UUI31:UUJ31"/>
    <mergeCell ref="UUK31:UUL31"/>
    <mergeCell ref="UTO31:UTP31"/>
    <mergeCell ref="UTQ31:UTR31"/>
    <mergeCell ref="UTS31:UTT31"/>
    <mergeCell ref="UTU31:UTV31"/>
    <mergeCell ref="UTW31:UTX31"/>
    <mergeCell ref="UTY31:UTZ31"/>
    <mergeCell ref="UYQ31:UYR31"/>
    <mergeCell ref="UYS31:UYT31"/>
    <mergeCell ref="UYU31:UYV31"/>
    <mergeCell ref="UYW31:UYX31"/>
    <mergeCell ref="UYY31:UYZ31"/>
    <mergeCell ref="UZA31:UZB31"/>
    <mergeCell ref="UYE31:UYF31"/>
    <mergeCell ref="UYG31:UYH31"/>
    <mergeCell ref="UYI31:UYJ31"/>
    <mergeCell ref="UYK31:UYL31"/>
    <mergeCell ref="UYM31:UYN31"/>
    <mergeCell ref="UYO31:UYP31"/>
    <mergeCell ref="UXS31:UXT31"/>
    <mergeCell ref="UXU31:UXV31"/>
    <mergeCell ref="UXW31:UXX31"/>
    <mergeCell ref="UXY31:UXZ31"/>
    <mergeCell ref="UYA31:UYB31"/>
    <mergeCell ref="UYC31:UYD31"/>
    <mergeCell ref="UXG31:UXH31"/>
    <mergeCell ref="UXI31:UXJ31"/>
    <mergeCell ref="UXK31:UXL31"/>
    <mergeCell ref="UXM31:UXN31"/>
    <mergeCell ref="UXO31:UXP31"/>
    <mergeCell ref="UXQ31:UXR31"/>
    <mergeCell ref="UWU31:UWV31"/>
    <mergeCell ref="UWW31:UWX31"/>
    <mergeCell ref="UWY31:UWZ31"/>
    <mergeCell ref="UXA31:UXB31"/>
    <mergeCell ref="UXC31:UXD31"/>
    <mergeCell ref="UXE31:UXF31"/>
    <mergeCell ref="UWI31:UWJ31"/>
    <mergeCell ref="UWK31:UWL31"/>
    <mergeCell ref="UWM31:UWN31"/>
    <mergeCell ref="UWO31:UWP31"/>
    <mergeCell ref="UWQ31:UWR31"/>
    <mergeCell ref="UWS31:UWT31"/>
    <mergeCell ref="VBK31:VBL31"/>
    <mergeCell ref="VBM31:VBN31"/>
    <mergeCell ref="VBO31:VBP31"/>
    <mergeCell ref="VBQ31:VBR31"/>
    <mergeCell ref="VBS31:VBT31"/>
    <mergeCell ref="VBU31:VBV31"/>
    <mergeCell ref="VAY31:VAZ31"/>
    <mergeCell ref="VBA31:VBB31"/>
    <mergeCell ref="VBC31:VBD31"/>
    <mergeCell ref="VBE31:VBF31"/>
    <mergeCell ref="VBG31:VBH31"/>
    <mergeCell ref="VBI31:VBJ31"/>
    <mergeCell ref="VAM31:VAN31"/>
    <mergeCell ref="VAO31:VAP31"/>
    <mergeCell ref="VAQ31:VAR31"/>
    <mergeCell ref="VAS31:VAT31"/>
    <mergeCell ref="VAU31:VAV31"/>
    <mergeCell ref="VAW31:VAX31"/>
    <mergeCell ref="VAA31:VAB31"/>
    <mergeCell ref="VAC31:VAD31"/>
    <mergeCell ref="VAE31:VAF31"/>
    <mergeCell ref="VAG31:VAH31"/>
    <mergeCell ref="VAI31:VAJ31"/>
    <mergeCell ref="VAK31:VAL31"/>
    <mergeCell ref="UZO31:UZP31"/>
    <mergeCell ref="UZQ31:UZR31"/>
    <mergeCell ref="UZS31:UZT31"/>
    <mergeCell ref="UZU31:UZV31"/>
    <mergeCell ref="UZW31:UZX31"/>
    <mergeCell ref="UZY31:UZZ31"/>
    <mergeCell ref="UZC31:UZD31"/>
    <mergeCell ref="UZE31:UZF31"/>
    <mergeCell ref="UZG31:UZH31"/>
    <mergeCell ref="UZI31:UZJ31"/>
    <mergeCell ref="UZK31:UZL31"/>
    <mergeCell ref="UZM31:UZN31"/>
    <mergeCell ref="VEE31:VEF31"/>
    <mergeCell ref="VEG31:VEH31"/>
    <mergeCell ref="VEI31:VEJ31"/>
    <mergeCell ref="VEK31:VEL31"/>
    <mergeCell ref="VEM31:VEN31"/>
    <mergeCell ref="VEO31:VEP31"/>
    <mergeCell ref="VDS31:VDT31"/>
    <mergeCell ref="VDU31:VDV31"/>
    <mergeCell ref="VDW31:VDX31"/>
    <mergeCell ref="VDY31:VDZ31"/>
    <mergeCell ref="VEA31:VEB31"/>
    <mergeCell ref="VEC31:VED31"/>
    <mergeCell ref="VDG31:VDH31"/>
    <mergeCell ref="VDI31:VDJ31"/>
    <mergeCell ref="VDK31:VDL31"/>
    <mergeCell ref="VDM31:VDN31"/>
    <mergeCell ref="VDO31:VDP31"/>
    <mergeCell ref="VDQ31:VDR31"/>
    <mergeCell ref="VCU31:VCV31"/>
    <mergeCell ref="VCW31:VCX31"/>
    <mergeCell ref="VCY31:VCZ31"/>
    <mergeCell ref="VDA31:VDB31"/>
    <mergeCell ref="VDC31:VDD31"/>
    <mergeCell ref="VDE31:VDF31"/>
    <mergeCell ref="VCI31:VCJ31"/>
    <mergeCell ref="VCK31:VCL31"/>
    <mergeCell ref="VCM31:VCN31"/>
    <mergeCell ref="VCO31:VCP31"/>
    <mergeCell ref="VCQ31:VCR31"/>
    <mergeCell ref="VCS31:VCT31"/>
    <mergeCell ref="VBW31:VBX31"/>
    <mergeCell ref="VBY31:VBZ31"/>
    <mergeCell ref="VCA31:VCB31"/>
    <mergeCell ref="VCC31:VCD31"/>
    <mergeCell ref="VCE31:VCF31"/>
    <mergeCell ref="VCG31:VCH31"/>
    <mergeCell ref="VGY31:VGZ31"/>
    <mergeCell ref="VHA31:VHB31"/>
    <mergeCell ref="VHC31:VHD31"/>
    <mergeCell ref="VHE31:VHF31"/>
    <mergeCell ref="VHG31:VHH31"/>
    <mergeCell ref="VHI31:VHJ31"/>
    <mergeCell ref="VGM31:VGN31"/>
    <mergeCell ref="VGO31:VGP31"/>
    <mergeCell ref="VGQ31:VGR31"/>
    <mergeCell ref="VGS31:VGT31"/>
    <mergeCell ref="VGU31:VGV31"/>
    <mergeCell ref="VGW31:VGX31"/>
    <mergeCell ref="VGA31:VGB31"/>
    <mergeCell ref="VGC31:VGD31"/>
    <mergeCell ref="VGE31:VGF31"/>
    <mergeCell ref="VGG31:VGH31"/>
    <mergeCell ref="VGI31:VGJ31"/>
    <mergeCell ref="VGK31:VGL31"/>
    <mergeCell ref="VFO31:VFP31"/>
    <mergeCell ref="VFQ31:VFR31"/>
    <mergeCell ref="VFS31:VFT31"/>
    <mergeCell ref="VFU31:VFV31"/>
    <mergeCell ref="VFW31:VFX31"/>
    <mergeCell ref="VFY31:VFZ31"/>
    <mergeCell ref="VFC31:VFD31"/>
    <mergeCell ref="VFE31:VFF31"/>
    <mergeCell ref="VFG31:VFH31"/>
    <mergeCell ref="VFI31:VFJ31"/>
    <mergeCell ref="VFK31:VFL31"/>
    <mergeCell ref="VFM31:VFN31"/>
    <mergeCell ref="VEQ31:VER31"/>
    <mergeCell ref="VES31:VET31"/>
    <mergeCell ref="VEU31:VEV31"/>
    <mergeCell ref="VEW31:VEX31"/>
    <mergeCell ref="VEY31:VEZ31"/>
    <mergeCell ref="VFA31:VFB31"/>
    <mergeCell ref="VJS31:VJT31"/>
    <mergeCell ref="VJU31:VJV31"/>
    <mergeCell ref="VJW31:VJX31"/>
    <mergeCell ref="VJY31:VJZ31"/>
    <mergeCell ref="VKA31:VKB31"/>
    <mergeCell ref="VKC31:VKD31"/>
    <mergeCell ref="VJG31:VJH31"/>
    <mergeCell ref="VJI31:VJJ31"/>
    <mergeCell ref="VJK31:VJL31"/>
    <mergeCell ref="VJM31:VJN31"/>
    <mergeCell ref="VJO31:VJP31"/>
    <mergeCell ref="VJQ31:VJR31"/>
    <mergeCell ref="VIU31:VIV31"/>
    <mergeCell ref="VIW31:VIX31"/>
    <mergeCell ref="VIY31:VIZ31"/>
    <mergeCell ref="VJA31:VJB31"/>
    <mergeCell ref="VJC31:VJD31"/>
    <mergeCell ref="VJE31:VJF31"/>
    <mergeCell ref="VII31:VIJ31"/>
    <mergeCell ref="VIK31:VIL31"/>
    <mergeCell ref="VIM31:VIN31"/>
    <mergeCell ref="VIO31:VIP31"/>
    <mergeCell ref="VIQ31:VIR31"/>
    <mergeCell ref="VIS31:VIT31"/>
    <mergeCell ref="VHW31:VHX31"/>
    <mergeCell ref="VHY31:VHZ31"/>
    <mergeCell ref="VIA31:VIB31"/>
    <mergeCell ref="VIC31:VID31"/>
    <mergeCell ref="VIE31:VIF31"/>
    <mergeCell ref="VIG31:VIH31"/>
    <mergeCell ref="VHK31:VHL31"/>
    <mergeCell ref="VHM31:VHN31"/>
    <mergeCell ref="VHO31:VHP31"/>
    <mergeCell ref="VHQ31:VHR31"/>
    <mergeCell ref="VHS31:VHT31"/>
    <mergeCell ref="VHU31:VHV31"/>
    <mergeCell ref="VMM31:VMN31"/>
    <mergeCell ref="VMO31:VMP31"/>
    <mergeCell ref="VMQ31:VMR31"/>
    <mergeCell ref="VMS31:VMT31"/>
    <mergeCell ref="VMU31:VMV31"/>
    <mergeCell ref="VMW31:VMX31"/>
    <mergeCell ref="VMA31:VMB31"/>
    <mergeCell ref="VMC31:VMD31"/>
    <mergeCell ref="VME31:VMF31"/>
    <mergeCell ref="VMG31:VMH31"/>
    <mergeCell ref="VMI31:VMJ31"/>
    <mergeCell ref="VMK31:VML31"/>
    <mergeCell ref="VLO31:VLP31"/>
    <mergeCell ref="VLQ31:VLR31"/>
    <mergeCell ref="VLS31:VLT31"/>
    <mergeCell ref="VLU31:VLV31"/>
    <mergeCell ref="VLW31:VLX31"/>
    <mergeCell ref="VLY31:VLZ31"/>
    <mergeCell ref="VLC31:VLD31"/>
    <mergeCell ref="VLE31:VLF31"/>
    <mergeCell ref="VLG31:VLH31"/>
    <mergeCell ref="VLI31:VLJ31"/>
    <mergeCell ref="VLK31:VLL31"/>
    <mergeCell ref="VLM31:VLN31"/>
    <mergeCell ref="VKQ31:VKR31"/>
    <mergeCell ref="VKS31:VKT31"/>
    <mergeCell ref="VKU31:VKV31"/>
    <mergeCell ref="VKW31:VKX31"/>
    <mergeCell ref="VKY31:VKZ31"/>
    <mergeCell ref="VLA31:VLB31"/>
    <mergeCell ref="VKE31:VKF31"/>
    <mergeCell ref="VKG31:VKH31"/>
    <mergeCell ref="VKI31:VKJ31"/>
    <mergeCell ref="VKK31:VKL31"/>
    <mergeCell ref="VKM31:VKN31"/>
    <mergeCell ref="VKO31:VKP31"/>
    <mergeCell ref="VPG31:VPH31"/>
    <mergeCell ref="VPI31:VPJ31"/>
    <mergeCell ref="VPK31:VPL31"/>
    <mergeCell ref="VPM31:VPN31"/>
    <mergeCell ref="VPO31:VPP31"/>
    <mergeCell ref="VPQ31:VPR31"/>
    <mergeCell ref="VOU31:VOV31"/>
    <mergeCell ref="VOW31:VOX31"/>
    <mergeCell ref="VOY31:VOZ31"/>
    <mergeCell ref="VPA31:VPB31"/>
    <mergeCell ref="VPC31:VPD31"/>
    <mergeCell ref="VPE31:VPF31"/>
    <mergeCell ref="VOI31:VOJ31"/>
    <mergeCell ref="VOK31:VOL31"/>
    <mergeCell ref="VOM31:VON31"/>
    <mergeCell ref="VOO31:VOP31"/>
    <mergeCell ref="VOQ31:VOR31"/>
    <mergeCell ref="VOS31:VOT31"/>
    <mergeCell ref="VNW31:VNX31"/>
    <mergeCell ref="VNY31:VNZ31"/>
    <mergeCell ref="VOA31:VOB31"/>
    <mergeCell ref="VOC31:VOD31"/>
    <mergeCell ref="VOE31:VOF31"/>
    <mergeCell ref="VOG31:VOH31"/>
    <mergeCell ref="VNK31:VNL31"/>
    <mergeCell ref="VNM31:VNN31"/>
    <mergeCell ref="VNO31:VNP31"/>
    <mergeCell ref="VNQ31:VNR31"/>
    <mergeCell ref="VNS31:VNT31"/>
    <mergeCell ref="VNU31:VNV31"/>
    <mergeCell ref="VMY31:VMZ31"/>
    <mergeCell ref="VNA31:VNB31"/>
    <mergeCell ref="VNC31:VND31"/>
    <mergeCell ref="VNE31:VNF31"/>
    <mergeCell ref="VNG31:VNH31"/>
    <mergeCell ref="VNI31:VNJ31"/>
    <mergeCell ref="VSA31:VSB31"/>
    <mergeCell ref="VSC31:VSD31"/>
    <mergeCell ref="VSE31:VSF31"/>
    <mergeCell ref="VSG31:VSH31"/>
    <mergeCell ref="VSI31:VSJ31"/>
    <mergeCell ref="VSK31:VSL31"/>
    <mergeCell ref="VRO31:VRP31"/>
    <mergeCell ref="VRQ31:VRR31"/>
    <mergeCell ref="VRS31:VRT31"/>
    <mergeCell ref="VRU31:VRV31"/>
    <mergeCell ref="VRW31:VRX31"/>
    <mergeCell ref="VRY31:VRZ31"/>
    <mergeCell ref="VRC31:VRD31"/>
    <mergeCell ref="VRE31:VRF31"/>
    <mergeCell ref="VRG31:VRH31"/>
    <mergeCell ref="VRI31:VRJ31"/>
    <mergeCell ref="VRK31:VRL31"/>
    <mergeCell ref="VRM31:VRN31"/>
    <mergeCell ref="VQQ31:VQR31"/>
    <mergeCell ref="VQS31:VQT31"/>
    <mergeCell ref="VQU31:VQV31"/>
    <mergeCell ref="VQW31:VQX31"/>
    <mergeCell ref="VQY31:VQZ31"/>
    <mergeCell ref="VRA31:VRB31"/>
    <mergeCell ref="VQE31:VQF31"/>
    <mergeCell ref="VQG31:VQH31"/>
    <mergeCell ref="VQI31:VQJ31"/>
    <mergeCell ref="VQK31:VQL31"/>
    <mergeCell ref="VQM31:VQN31"/>
    <mergeCell ref="VQO31:VQP31"/>
    <mergeCell ref="VPS31:VPT31"/>
    <mergeCell ref="VPU31:VPV31"/>
    <mergeCell ref="VPW31:VPX31"/>
    <mergeCell ref="VPY31:VPZ31"/>
    <mergeCell ref="VQA31:VQB31"/>
    <mergeCell ref="VQC31:VQD31"/>
    <mergeCell ref="VUU31:VUV31"/>
    <mergeCell ref="VUW31:VUX31"/>
    <mergeCell ref="VUY31:VUZ31"/>
    <mergeCell ref="VVA31:VVB31"/>
    <mergeCell ref="VVC31:VVD31"/>
    <mergeCell ref="VVE31:VVF31"/>
    <mergeCell ref="VUI31:VUJ31"/>
    <mergeCell ref="VUK31:VUL31"/>
    <mergeCell ref="VUM31:VUN31"/>
    <mergeCell ref="VUO31:VUP31"/>
    <mergeCell ref="VUQ31:VUR31"/>
    <mergeCell ref="VUS31:VUT31"/>
    <mergeCell ref="VTW31:VTX31"/>
    <mergeCell ref="VTY31:VTZ31"/>
    <mergeCell ref="VUA31:VUB31"/>
    <mergeCell ref="VUC31:VUD31"/>
    <mergeCell ref="VUE31:VUF31"/>
    <mergeCell ref="VUG31:VUH31"/>
    <mergeCell ref="VTK31:VTL31"/>
    <mergeCell ref="VTM31:VTN31"/>
    <mergeCell ref="VTO31:VTP31"/>
    <mergeCell ref="VTQ31:VTR31"/>
    <mergeCell ref="VTS31:VTT31"/>
    <mergeCell ref="VTU31:VTV31"/>
    <mergeCell ref="VSY31:VSZ31"/>
    <mergeCell ref="VTA31:VTB31"/>
    <mergeCell ref="VTC31:VTD31"/>
    <mergeCell ref="VTE31:VTF31"/>
    <mergeCell ref="VTG31:VTH31"/>
    <mergeCell ref="VTI31:VTJ31"/>
    <mergeCell ref="VSM31:VSN31"/>
    <mergeCell ref="VSO31:VSP31"/>
    <mergeCell ref="VSQ31:VSR31"/>
    <mergeCell ref="VSS31:VST31"/>
    <mergeCell ref="VSU31:VSV31"/>
    <mergeCell ref="VSW31:VSX31"/>
    <mergeCell ref="VXO31:VXP31"/>
    <mergeCell ref="VXQ31:VXR31"/>
    <mergeCell ref="VXS31:VXT31"/>
    <mergeCell ref="VXU31:VXV31"/>
    <mergeCell ref="VXW31:VXX31"/>
    <mergeCell ref="VXY31:VXZ31"/>
    <mergeCell ref="VXC31:VXD31"/>
    <mergeCell ref="VXE31:VXF31"/>
    <mergeCell ref="VXG31:VXH31"/>
    <mergeCell ref="VXI31:VXJ31"/>
    <mergeCell ref="VXK31:VXL31"/>
    <mergeCell ref="VXM31:VXN31"/>
    <mergeCell ref="VWQ31:VWR31"/>
    <mergeCell ref="VWS31:VWT31"/>
    <mergeCell ref="VWU31:VWV31"/>
    <mergeCell ref="VWW31:VWX31"/>
    <mergeCell ref="VWY31:VWZ31"/>
    <mergeCell ref="VXA31:VXB31"/>
    <mergeCell ref="VWE31:VWF31"/>
    <mergeCell ref="VWG31:VWH31"/>
    <mergeCell ref="VWI31:VWJ31"/>
    <mergeCell ref="VWK31:VWL31"/>
    <mergeCell ref="VWM31:VWN31"/>
    <mergeCell ref="VWO31:VWP31"/>
    <mergeCell ref="VVS31:VVT31"/>
    <mergeCell ref="VVU31:VVV31"/>
    <mergeCell ref="VVW31:VVX31"/>
    <mergeCell ref="VVY31:VVZ31"/>
    <mergeCell ref="VWA31:VWB31"/>
    <mergeCell ref="VWC31:VWD31"/>
    <mergeCell ref="VVG31:VVH31"/>
    <mergeCell ref="VVI31:VVJ31"/>
    <mergeCell ref="VVK31:VVL31"/>
    <mergeCell ref="VVM31:VVN31"/>
    <mergeCell ref="VVO31:VVP31"/>
    <mergeCell ref="VVQ31:VVR31"/>
    <mergeCell ref="WAI31:WAJ31"/>
    <mergeCell ref="WAK31:WAL31"/>
    <mergeCell ref="WAM31:WAN31"/>
    <mergeCell ref="WAO31:WAP31"/>
    <mergeCell ref="WAQ31:WAR31"/>
    <mergeCell ref="WAS31:WAT31"/>
    <mergeCell ref="VZW31:VZX31"/>
    <mergeCell ref="VZY31:VZZ31"/>
    <mergeCell ref="WAA31:WAB31"/>
    <mergeCell ref="WAC31:WAD31"/>
    <mergeCell ref="WAE31:WAF31"/>
    <mergeCell ref="WAG31:WAH31"/>
    <mergeCell ref="VZK31:VZL31"/>
    <mergeCell ref="VZM31:VZN31"/>
    <mergeCell ref="VZO31:VZP31"/>
    <mergeCell ref="VZQ31:VZR31"/>
    <mergeCell ref="VZS31:VZT31"/>
    <mergeCell ref="VZU31:VZV31"/>
    <mergeCell ref="VYY31:VYZ31"/>
    <mergeCell ref="VZA31:VZB31"/>
    <mergeCell ref="VZC31:VZD31"/>
    <mergeCell ref="VZE31:VZF31"/>
    <mergeCell ref="VZG31:VZH31"/>
    <mergeCell ref="VZI31:VZJ31"/>
    <mergeCell ref="VYM31:VYN31"/>
    <mergeCell ref="VYO31:VYP31"/>
    <mergeCell ref="VYQ31:VYR31"/>
    <mergeCell ref="VYS31:VYT31"/>
    <mergeCell ref="VYU31:VYV31"/>
    <mergeCell ref="VYW31:VYX31"/>
    <mergeCell ref="VYA31:VYB31"/>
    <mergeCell ref="VYC31:VYD31"/>
    <mergeCell ref="VYE31:VYF31"/>
    <mergeCell ref="VYG31:VYH31"/>
    <mergeCell ref="VYI31:VYJ31"/>
    <mergeCell ref="VYK31:VYL31"/>
    <mergeCell ref="WDC31:WDD31"/>
    <mergeCell ref="WDE31:WDF31"/>
    <mergeCell ref="WDG31:WDH31"/>
    <mergeCell ref="WDI31:WDJ31"/>
    <mergeCell ref="WDK31:WDL31"/>
    <mergeCell ref="WDM31:WDN31"/>
    <mergeCell ref="WCQ31:WCR31"/>
    <mergeCell ref="WCS31:WCT31"/>
    <mergeCell ref="WCU31:WCV31"/>
    <mergeCell ref="WCW31:WCX31"/>
    <mergeCell ref="WCY31:WCZ31"/>
    <mergeCell ref="WDA31:WDB31"/>
    <mergeCell ref="WCE31:WCF31"/>
    <mergeCell ref="WCG31:WCH31"/>
    <mergeCell ref="WCI31:WCJ31"/>
    <mergeCell ref="WCK31:WCL31"/>
    <mergeCell ref="WCM31:WCN31"/>
    <mergeCell ref="WCO31:WCP31"/>
    <mergeCell ref="WBS31:WBT31"/>
    <mergeCell ref="WBU31:WBV31"/>
    <mergeCell ref="WBW31:WBX31"/>
    <mergeCell ref="WBY31:WBZ31"/>
    <mergeCell ref="WCA31:WCB31"/>
    <mergeCell ref="WCC31:WCD31"/>
    <mergeCell ref="WBG31:WBH31"/>
    <mergeCell ref="WBI31:WBJ31"/>
    <mergeCell ref="WBK31:WBL31"/>
    <mergeCell ref="WBM31:WBN31"/>
    <mergeCell ref="WBO31:WBP31"/>
    <mergeCell ref="WBQ31:WBR31"/>
    <mergeCell ref="WAU31:WAV31"/>
    <mergeCell ref="WAW31:WAX31"/>
    <mergeCell ref="WAY31:WAZ31"/>
    <mergeCell ref="WBA31:WBB31"/>
    <mergeCell ref="WBC31:WBD31"/>
    <mergeCell ref="WBE31:WBF31"/>
    <mergeCell ref="WFW31:WFX31"/>
    <mergeCell ref="WFY31:WFZ31"/>
    <mergeCell ref="WGA31:WGB31"/>
    <mergeCell ref="WGC31:WGD31"/>
    <mergeCell ref="WGE31:WGF31"/>
    <mergeCell ref="WGG31:WGH31"/>
    <mergeCell ref="WFK31:WFL31"/>
    <mergeCell ref="WFM31:WFN31"/>
    <mergeCell ref="WFO31:WFP31"/>
    <mergeCell ref="WFQ31:WFR31"/>
    <mergeCell ref="WFS31:WFT31"/>
    <mergeCell ref="WFU31:WFV31"/>
    <mergeCell ref="WEY31:WEZ31"/>
    <mergeCell ref="WFA31:WFB31"/>
    <mergeCell ref="WFC31:WFD31"/>
    <mergeCell ref="WFE31:WFF31"/>
    <mergeCell ref="WFG31:WFH31"/>
    <mergeCell ref="WFI31:WFJ31"/>
    <mergeCell ref="WEM31:WEN31"/>
    <mergeCell ref="WEO31:WEP31"/>
    <mergeCell ref="WEQ31:WER31"/>
    <mergeCell ref="WES31:WET31"/>
    <mergeCell ref="WEU31:WEV31"/>
    <mergeCell ref="WEW31:WEX31"/>
    <mergeCell ref="WEA31:WEB31"/>
    <mergeCell ref="WEC31:WED31"/>
    <mergeCell ref="WEE31:WEF31"/>
    <mergeCell ref="WEG31:WEH31"/>
    <mergeCell ref="WEI31:WEJ31"/>
    <mergeCell ref="WEK31:WEL31"/>
    <mergeCell ref="WDO31:WDP31"/>
    <mergeCell ref="WDQ31:WDR31"/>
    <mergeCell ref="WDS31:WDT31"/>
    <mergeCell ref="WDU31:WDV31"/>
    <mergeCell ref="WDW31:WDX31"/>
    <mergeCell ref="WDY31:WDZ31"/>
    <mergeCell ref="WIQ31:WIR31"/>
    <mergeCell ref="WIS31:WIT31"/>
    <mergeCell ref="WIU31:WIV31"/>
    <mergeCell ref="WIW31:WIX31"/>
    <mergeCell ref="WIY31:WIZ31"/>
    <mergeCell ref="WJA31:WJB31"/>
    <mergeCell ref="WIE31:WIF31"/>
    <mergeCell ref="WIG31:WIH31"/>
    <mergeCell ref="WII31:WIJ31"/>
    <mergeCell ref="WIK31:WIL31"/>
    <mergeCell ref="WIM31:WIN31"/>
    <mergeCell ref="WIO31:WIP31"/>
    <mergeCell ref="WHS31:WHT31"/>
    <mergeCell ref="WHU31:WHV31"/>
    <mergeCell ref="WHW31:WHX31"/>
    <mergeCell ref="WHY31:WHZ31"/>
    <mergeCell ref="WIA31:WIB31"/>
    <mergeCell ref="WIC31:WID31"/>
    <mergeCell ref="WHG31:WHH31"/>
    <mergeCell ref="WHI31:WHJ31"/>
    <mergeCell ref="WHK31:WHL31"/>
    <mergeCell ref="WHM31:WHN31"/>
    <mergeCell ref="WHO31:WHP31"/>
    <mergeCell ref="WHQ31:WHR31"/>
    <mergeCell ref="WGU31:WGV31"/>
    <mergeCell ref="WGW31:WGX31"/>
    <mergeCell ref="WGY31:WGZ31"/>
    <mergeCell ref="WHA31:WHB31"/>
    <mergeCell ref="WHC31:WHD31"/>
    <mergeCell ref="WHE31:WHF31"/>
    <mergeCell ref="WGI31:WGJ31"/>
    <mergeCell ref="WGK31:WGL31"/>
    <mergeCell ref="WGM31:WGN31"/>
    <mergeCell ref="WGO31:WGP31"/>
    <mergeCell ref="WGQ31:WGR31"/>
    <mergeCell ref="WGS31:WGT31"/>
    <mergeCell ref="WLK31:WLL31"/>
    <mergeCell ref="WLM31:WLN31"/>
    <mergeCell ref="WLO31:WLP31"/>
    <mergeCell ref="WLQ31:WLR31"/>
    <mergeCell ref="WLS31:WLT31"/>
    <mergeCell ref="WLU31:WLV31"/>
    <mergeCell ref="WKY31:WKZ31"/>
    <mergeCell ref="WLA31:WLB31"/>
    <mergeCell ref="WLC31:WLD31"/>
    <mergeCell ref="WLE31:WLF31"/>
    <mergeCell ref="WLG31:WLH31"/>
    <mergeCell ref="WLI31:WLJ31"/>
    <mergeCell ref="WKM31:WKN31"/>
    <mergeCell ref="WKO31:WKP31"/>
    <mergeCell ref="WKQ31:WKR31"/>
    <mergeCell ref="WKS31:WKT31"/>
    <mergeCell ref="WKU31:WKV31"/>
    <mergeCell ref="WKW31:WKX31"/>
    <mergeCell ref="WKA31:WKB31"/>
    <mergeCell ref="WKC31:WKD31"/>
    <mergeCell ref="WKE31:WKF31"/>
    <mergeCell ref="WKG31:WKH31"/>
    <mergeCell ref="WKI31:WKJ31"/>
    <mergeCell ref="WKK31:WKL31"/>
    <mergeCell ref="WJO31:WJP31"/>
    <mergeCell ref="WJQ31:WJR31"/>
    <mergeCell ref="WJS31:WJT31"/>
    <mergeCell ref="WJU31:WJV31"/>
    <mergeCell ref="WJW31:WJX31"/>
    <mergeCell ref="WJY31:WJZ31"/>
    <mergeCell ref="WJC31:WJD31"/>
    <mergeCell ref="WJE31:WJF31"/>
    <mergeCell ref="WJG31:WJH31"/>
    <mergeCell ref="WJI31:WJJ31"/>
    <mergeCell ref="WJK31:WJL31"/>
    <mergeCell ref="WJM31:WJN31"/>
    <mergeCell ref="WOE31:WOF31"/>
    <mergeCell ref="WOG31:WOH31"/>
    <mergeCell ref="WOI31:WOJ31"/>
    <mergeCell ref="WOK31:WOL31"/>
    <mergeCell ref="WOM31:WON31"/>
    <mergeCell ref="WOO31:WOP31"/>
    <mergeCell ref="WNS31:WNT31"/>
    <mergeCell ref="WNU31:WNV31"/>
    <mergeCell ref="WNW31:WNX31"/>
    <mergeCell ref="WNY31:WNZ31"/>
    <mergeCell ref="WOA31:WOB31"/>
    <mergeCell ref="WOC31:WOD31"/>
    <mergeCell ref="WNG31:WNH31"/>
    <mergeCell ref="WNI31:WNJ31"/>
    <mergeCell ref="WNK31:WNL31"/>
    <mergeCell ref="WNM31:WNN31"/>
    <mergeCell ref="WNO31:WNP31"/>
    <mergeCell ref="WNQ31:WNR31"/>
    <mergeCell ref="WMU31:WMV31"/>
    <mergeCell ref="WMW31:WMX31"/>
    <mergeCell ref="WMY31:WMZ31"/>
    <mergeCell ref="WNA31:WNB31"/>
    <mergeCell ref="WNC31:WND31"/>
    <mergeCell ref="WNE31:WNF31"/>
    <mergeCell ref="WMI31:WMJ31"/>
    <mergeCell ref="WMK31:WML31"/>
    <mergeCell ref="WMM31:WMN31"/>
    <mergeCell ref="WMO31:WMP31"/>
    <mergeCell ref="WMQ31:WMR31"/>
    <mergeCell ref="WMS31:WMT31"/>
    <mergeCell ref="WLW31:WLX31"/>
    <mergeCell ref="WLY31:WLZ31"/>
    <mergeCell ref="WMA31:WMB31"/>
    <mergeCell ref="WMC31:WMD31"/>
    <mergeCell ref="WME31:WMF31"/>
    <mergeCell ref="WMG31:WMH31"/>
    <mergeCell ref="WQY31:WQZ31"/>
    <mergeCell ref="WRA31:WRB31"/>
    <mergeCell ref="WRC31:WRD31"/>
    <mergeCell ref="WRE31:WRF31"/>
    <mergeCell ref="WRG31:WRH31"/>
    <mergeCell ref="WRI31:WRJ31"/>
    <mergeCell ref="WQM31:WQN31"/>
    <mergeCell ref="WQO31:WQP31"/>
    <mergeCell ref="WQQ31:WQR31"/>
    <mergeCell ref="WQS31:WQT31"/>
    <mergeCell ref="WQU31:WQV31"/>
    <mergeCell ref="WQW31:WQX31"/>
    <mergeCell ref="WQA31:WQB31"/>
    <mergeCell ref="WQC31:WQD31"/>
    <mergeCell ref="WQE31:WQF31"/>
    <mergeCell ref="WQG31:WQH31"/>
    <mergeCell ref="WQI31:WQJ31"/>
    <mergeCell ref="WQK31:WQL31"/>
    <mergeCell ref="WPO31:WPP31"/>
    <mergeCell ref="WPQ31:WPR31"/>
    <mergeCell ref="WPS31:WPT31"/>
    <mergeCell ref="WPU31:WPV31"/>
    <mergeCell ref="WPW31:WPX31"/>
    <mergeCell ref="WPY31:WPZ31"/>
    <mergeCell ref="WPC31:WPD31"/>
    <mergeCell ref="WPE31:WPF31"/>
    <mergeCell ref="WPG31:WPH31"/>
    <mergeCell ref="WPI31:WPJ31"/>
    <mergeCell ref="WPK31:WPL31"/>
    <mergeCell ref="WPM31:WPN31"/>
    <mergeCell ref="WOQ31:WOR31"/>
    <mergeCell ref="WOS31:WOT31"/>
    <mergeCell ref="WOU31:WOV31"/>
    <mergeCell ref="WOW31:WOX31"/>
    <mergeCell ref="WOY31:WOZ31"/>
    <mergeCell ref="WPA31:WPB31"/>
    <mergeCell ref="WTS31:WTT31"/>
    <mergeCell ref="WTU31:WTV31"/>
    <mergeCell ref="WTW31:WTX31"/>
    <mergeCell ref="WTY31:WTZ31"/>
    <mergeCell ref="WUA31:WUB31"/>
    <mergeCell ref="WUC31:WUD31"/>
    <mergeCell ref="WTG31:WTH31"/>
    <mergeCell ref="WTI31:WTJ31"/>
    <mergeCell ref="WTK31:WTL31"/>
    <mergeCell ref="WTM31:WTN31"/>
    <mergeCell ref="WTO31:WTP31"/>
    <mergeCell ref="WTQ31:WTR31"/>
    <mergeCell ref="WSU31:WSV31"/>
    <mergeCell ref="WSW31:WSX31"/>
    <mergeCell ref="WSY31:WSZ31"/>
    <mergeCell ref="WTA31:WTB31"/>
    <mergeCell ref="WTC31:WTD31"/>
    <mergeCell ref="WTE31:WTF31"/>
    <mergeCell ref="WSI31:WSJ31"/>
    <mergeCell ref="WSK31:WSL31"/>
    <mergeCell ref="WSM31:WSN31"/>
    <mergeCell ref="WSO31:WSP31"/>
    <mergeCell ref="WSQ31:WSR31"/>
    <mergeCell ref="WSS31:WST31"/>
    <mergeCell ref="WRW31:WRX31"/>
    <mergeCell ref="WRY31:WRZ31"/>
    <mergeCell ref="WSA31:WSB31"/>
    <mergeCell ref="WSC31:WSD31"/>
    <mergeCell ref="WSE31:WSF31"/>
    <mergeCell ref="WSG31:WSH31"/>
    <mergeCell ref="WRK31:WRL31"/>
    <mergeCell ref="WRM31:WRN31"/>
    <mergeCell ref="WRO31:WRP31"/>
    <mergeCell ref="WRQ31:WRR31"/>
    <mergeCell ref="WRS31:WRT31"/>
    <mergeCell ref="WRU31:WRV31"/>
    <mergeCell ref="WWM31:WWN31"/>
    <mergeCell ref="WWO31:WWP31"/>
    <mergeCell ref="WWQ31:WWR31"/>
    <mergeCell ref="WWS31:WWT31"/>
    <mergeCell ref="WWU31:WWV31"/>
    <mergeCell ref="WWW31:WWX31"/>
    <mergeCell ref="WWA31:WWB31"/>
    <mergeCell ref="WWC31:WWD31"/>
    <mergeCell ref="WWE31:WWF31"/>
    <mergeCell ref="WWG31:WWH31"/>
    <mergeCell ref="WWI31:WWJ31"/>
    <mergeCell ref="WWK31:WWL31"/>
    <mergeCell ref="WVO31:WVP31"/>
    <mergeCell ref="WVQ31:WVR31"/>
    <mergeCell ref="WVS31:WVT31"/>
    <mergeCell ref="WVU31:WVV31"/>
    <mergeCell ref="WVW31:WVX31"/>
    <mergeCell ref="WVY31:WVZ31"/>
    <mergeCell ref="WVC31:WVD31"/>
    <mergeCell ref="WVE31:WVF31"/>
    <mergeCell ref="WVG31:WVH31"/>
    <mergeCell ref="WVI31:WVJ31"/>
    <mergeCell ref="WVK31:WVL31"/>
    <mergeCell ref="WVM31:WVN31"/>
    <mergeCell ref="WUQ31:WUR31"/>
    <mergeCell ref="WUS31:WUT31"/>
    <mergeCell ref="WUU31:WUV31"/>
    <mergeCell ref="WUW31:WUX31"/>
    <mergeCell ref="WUY31:WUZ31"/>
    <mergeCell ref="WVA31:WVB31"/>
    <mergeCell ref="WUE31:WUF31"/>
    <mergeCell ref="WUG31:WUH31"/>
    <mergeCell ref="WUI31:WUJ31"/>
    <mergeCell ref="WUK31:WUL31"/>
    <mergeCell ref="WUM31:WUN31"/>
    <mergeCell ref="WUO31:WUP31"/>
    <mergeCell ref="XAU31:XAV31"/>
    <mergeCell ref="XAW31:XAX31"/>
    <mergeCell ref="XAY31:XAZ31"/>
    <mergeCell ref="XBA31:XBB31"/>
    <mergeCell ref="XAE31:XAF31"/>
    <mergeCell ref="XAG31:XAH31"/>
    <mergeCell ref="XAI31:XAJ31"/>
    <mergeCell ref="XAK31:XAL31"/>
    <mergeCell ref="XAM31:XAN31"/>
    <mergeCell ref="XAO31:XAP31"/>
    <mergeCell ref="WZS31:WZT31"/>
    <mergeCell ref="WZU31:WZV31"/>
    <mergeCell ref="WZW31:WZX31"/>
    <mergeCell ref="WZY31:WZZ31"/>
    <mergeCell ref="XAA31:XAB31"/>
    <mergeCell ref="XAC31:XAD31"/>
    <mergeCell ref="WZG31:WZH31"/>
    <mergeCell ref="WZI31:WZJ31"/>
    <mergeCell ref="WZK31:WZL31"/>
    <mergeCell ref="WZM31:WZN31"/>
    <mergeCell ref="WZO31:WZP31"/>
    <mergeCell ref="WZQ31:WZR31"/>
    <mergeCell ref="WYU31:WYV31"/>
    <mergeCell ref="WYW31:WYX31"/>
    <mergeCell ref="WYY31:WYZ31"/>
    <mergeCell ref="WZA31:WZB31"/>
    <mergeCell ref="WZC31:WZD31"/>
    <mergeCell ref="WZE31:WZF31"/>
    <mergeCell ref="WYI31:WYJ31"/>
    <mergeCell ref="WYK31:WYL31"/>
    <mergeCell ref="WYM31:WYN31"/>
    <mergeCell ref="WYO31:WYP31"/>
    <mergeCell ref="WYQ31:WYR31"/>
    <mergeCell ref="WYS31:WYT31"/>
    <mergeCell ref="WXW31:WXX31"/>
    <mergeCell ref="WXY31:WXZ31"/>
    <mergeCell ref="WYA31:WYB31"/>
    <mergeCell ref="WYC31:WYD31"/>
    <mergeCell ref="WYE31:WYF31"/>
    <mergeCell ref="WYG31:WYH31"/>
    <mergeCell ref="WXK31:WXL31"/>
    <mergeCell ref="WXM31:WXN31"/>
    <mergeCell ref="WXO31:WXP31"/>
    <mergeCell ref="WXQ31:WXR31"/>
    <mergeCell ref="WXS31:WXT31"/>
    <mergeCell ref="WXU31:WXV31"/>
    <mergeCell ref="WWY31:WWZ31"/>
    <mergeCell ref="WXA31:WXB31"/>
    <mergeCell ref="WXC31:WXD31"/>
    <mergeCell ref="WXE31:WXF31"/>
    <mergeCell ref="WXG31:WXH31"/>
    <mergeCell ref="WXI31:WXJ31"/>
    <mergeCell ref="HC40:HD40"/>
    <mergeCell ref="HE40:HF40"/>
    <mergeCell ref="HG40:HH40"/>
    <mergeCell ref="HI40:HJ40"/>
    <mergeCell ref="HK40:HL40"/>
    <mergeCell ref="HM40:HN40"/>
    <mergeCell ref="GQ40:GR40"/>
    <mergeCell ref="GS40:GT40"/>
    <mergeCell ref="GU40:GV40"/>
    <mergeCell ref="GW40:GX40"/>
    <mergeCell ref="GY40:GZ40"/>
    <mergeCell ref="HA40:HB40"/>
    <mergeCell ref="XEI31:XEJ31"/>
    <mergeCell ref="XEK31:XEL31"/>
    <mergeCell ref="XEM31:XEN31"/>
    <mergeCell ref="JG40:JH40"/>
    <mergeCell ref="JI40:JJ40"/>
    <mergeCell ref="IM40:IN40"/>
    <mergeCell ref="IO40:IP40"/>
    <mergeCell ref="IQ40:IR40"/>
    <mergeCell ref="IS40:IT40"/>
    <mergeCell ref="IU40:IV40"/>
    <mergeCell ref="IW40:IX40"/>
    <mergeCell ref="IA40:IB40"/>
    <mergeCell ref="IC40:ID40"/>
    <mergeCell ref="IE40:IF40"/>
    <mergeCell ref="IG40:IH40"/>
    <mergeCell ref="II40:IJ40"/>
    <mergeCell ref="IK40:IL40"/>
    <mergeCell ref="HO40:HP40"/>
    <mergeCell ref="HQ40:HR40"/>
    <mergeCell ref="HS40:HT40"/>
    <mergeCell ref="HU40:HV40"/>
    <mergeCell ref="HW40:HX40"/>
    <mergeCell ref="HY40:HZ40"/>
    <mergeCell ref="OA40:OB40"/>
    <mergeCell ref="OC40:OD40"/>
    <mergeCell ref="OE40:OF40"/>
    <mergeCell ref="OG40:OH40"/>
    <mergeCell ref="OI40:OJ40"/>
    <mergeCell ref="OK40:OL40"/>
    <mergeCell ref="NO40:NP40"/>
    <mergeCell ref="NQ40:NR40"/>
    <mergeCell ref="NS40:NT40"/>
    <mergeCell ref="NU40:NV40"/>
    <mergeCell ref="NW40:NX40"/>
    <mergeCell ref="A40:B40"/>
    <mergeCell ref="C40:F40"/>
    <mergeCell ref="G40:J40"/>
    <mergeCell ref="K40:N40"/>
    <mergeCell ref="XDW31:XDX31"/>
    <mergeCell ref="XDY31:XDZ31"/>
    <mergeCell ref="XEA31:XEB31"/>
    <mergeCell ref="XEC31:XED31"/>
    <mergeCell ref="XEE31:XEF31"/>
    <mergeCell ref="XEG31:XEH31"/>
    <mergeCell ref="XDK31:XDL31"/>
    <mergeCell ref="XDM31:XDN31"/>
    <mergeCell ref="XDO31:XDP31"/>
    <mergeCell ref="XDQ31:XDR31"/>
    <mergeCell ref="XDS31:XDT31"/>
    <mergeCell ref="XDU31:XDV31"/>
    <mergeCell ref="XCY31:XCZ31"/>
    <mergeCell ref="XDA31:XDB31"/>
    <mergeCell ref="XDC31:XDD31"/>
    <mergeCell ref="XDE31:XDF31"/>
    <mergeCell ref="XDG31:XDH31"/>
    <mergeCell ref="XDI31:XDJ31"/>
    <mergeCell ref="XCM31:XCN31"/>
    <mergeCell ref="XCO31:XCP31"/>
    <mergeCell ref="XCQ31:XCR31"/>
    <mergeCell ref="XCS31:XCT31"/>
    <mergeCell ref="XCU31:XCV31"/>
    <mergeCell ref="XCW31:XCX31"/>
    <mergeCell ref="XCA31:XCB31"/>
    <mergeCell ref="XCC31:XCD31"/>
    <mergeCell ref="XCE31:XCF31"/>
    <mergeCell ref="XCG31:XCH31"/>
    <mergeCell ref="XCI31:XCJ31"/>
    <mergeCell ref="XCK31:XCL31"/>
    <mergeCell ref="XBO31:XBP31"/>
    <mergeCell ref="XBQ31:XBR31"/>
    <mergeCell ref="XBS31:XBT31"/>
    <mergeCell ref="XBU31:XBV31"/>
    <mergeCell ref="XBW31:XBX31"/>
    <mergeCell ref="XBY31:XBZ31"/>
    <mergeCell ref="XBC31:XBD31"/>
    <mergeCell ref="XBE31:XBF31"/>
    <mergeCell ref="XBG31:XBH31"/>
    <mergeCell ref="XBI31:XBJ31"/>
    <mergeCell ref="XBK31:XBL31"/>
    <mergeCell ref="XBM31:XBN31"/>
    <mergeCell ref="XAQ31:XAR31"/>
    <mergeCell ref="XAS31:XAT31"/>
    <mergeCell ref="CY40:CZ40"/>
    <mergeCell ref="JY40:JZ40"/>
    <mergeCell ref="KA40:KB40"/>
    <mergeCell ref="KC40:KD40"/>
    <mergeCell ref="KE40:KF40"/>
    <mergeCell ref="KG40:KH40"/>
    <mergeCell ref="JK40:JL40"/>
    <mergeCell ref="JM40:JN40"/>
    <mergeCell ref="JO40:JP40"/>
    <mergeCell ref="JQ40:JR40"/>
    <mergeCell ref="JS40:JT40"/>
    <mergeCell ref="JU40:JV40"/>
    <mergeCell ref="IY40:IZ40"/>
    <mergeCell ref="JA40:JB40"/>
    <mergeCell ref="JC40:JD40"/>
    <mergeCell ref="JE40:JF40"/>
    <mergeCell ref="NY40:NZ40"/>
    <mergeCell ref="NC40:ND40"/>
    <mergeCell ref="NE40:NF40"/>
    <mergeCell ref="NG40:NH40"/>
    <mergeCell ref="NI40:NJ40"/>
    <mergeCell ref="NK40:NL40"/>
    <mergeCell ref="NM40:NN40"/>
    <mergeCell ref="MQ40:MR40"/>
    <mergeCell ref="MS40:MT40"/>
    <mergeCell ref="MU40:MV40"/>
    <mergeCell ref="MW40:MX40"/>
    <mergeCell ref="MY40:MZ40"/>
    <mergeCell ref="NA40:NB40"/>
    <mergeCell ref="ME40:MF40"/>
    <mergeCell ref="MG40:MH40"/>
    <mergeCell ref="MI40:MJ40"/>
    <mergeCell ref="MK40:ML40"/>
    <mergeCell ref="MM40:MN40"/>
    <mergeCell ref="MO40:MP40"/>
    <mergeCell ref="LS40:LT40"/>
    <mergeCell ref="LU40:LV40"/>
    <mergeCell ref="LW40:LX40"/>
    <mergeCell ref="LY40:LZ40"/>
    <mergeCell ref="MA40:MB40"/>
    <mergeCell ref="MC40:MD40"/>
    <mergeCell ref="GE40:GF40"/>
    <mergeCell ref="GG40:GH40"/>
    <mergeCell ref="GI40:GJ40"/>
    <mergeCell ref="GK40:GL40"/>
    <mergeCell ref="GM40:GN40"/>
    <mergeCell ref="GO40:GP40"/>
    <mergeCell ref="LG40:LH40"/>
    <mergeCell ref="LI40:LJ40"/>
    <mergeCell ref="LK40:LL40"/>
    <mergeCell ref="LM40:LN40"/>
    <mergeCell ref="LO40:LP40"/>
    <mergeCell ref="LQ40:LR40"/>
    <mergeCell ref="KU40:KV40"/>
    <mergeCell ref="KW40:KX40"/>
    <mergeCell ref="KY40:KZ40"/>
    <mergeCell ref="LA40:LB40"/>
    <mergeCell ref="LC40:LD40"/>
    <mergeCell ref="LE40:LF40"/>
    <mergeCell ref="KI40:KJ40"/>
    <mergeCell ref="KK40:KL40"/>
    <mergeCell ref="KM40:KN40"/>
    <mergeCell ref="KO40:KP40"/>
    <mergeCell ref="KQ40:KR40"/>
    <mergeCell ref="KS40:KT40"/>
    <mergeCell ref="JW40:JX40"/>
    <mergeCell ref="QU40:QV40"/>
    <mergeCell ref="QW40:QX40"/>
    <mergeCell ref="QY40:QZ40"/>
    <mergeCell ref="RA40:RB40"/>
    <mergeCell ref="RC40:RD40"/>
    <mergeCell ref="RE40:RF40"/>
    <mergeCell ref="QI40:QJ40"/>
    <mergeCell ref="QK40:QL40"/>
    <mergeCell ref="QM40:QN40"/>
    <mergeCell ref="QO40:QP40"/>
    <mergeCell ref="QQ40:QR40"/>
    <mergeCell ref="QS40:QT40"/>
    <mergeCell ref="PW40:PX40"/>
    <mergeCell ref="PY40:PZ40"/>
    <mergeCell ref="QA40:QB40"/>
    <mergeCell ref="QC40:QD40"/>
    <mergeCell ref="QE40:QF40"/>
    <mergeCell ref="QG40:QH40"/>
    <mergeCell ref="PK40:PL40"/>
    <mergeCell ref="PM40:PN40"/>
    <mergeCell ref="PO40:PP40"/>
    <mergeCell ref="PQ40:PR40"/>
    <mergeCell ref="PS40:PT40"/>
    <mergeCell ref="PU40:PV40"/>
    <mergeCell ref="OY40:OZ40"/>
    <mergeCell ref="PA40:PB40"/>
    <mergeCell ref="PC40:PD40"/>
    <mergeCell ref="PE40:PF40"/>
    <mergeCell ref="PG40:PH40"/>
    <mergeCell ref="PI40:PJ40"/>
    <mergeCell ref="OM40:ON40"/>
    <mergeCell ref="OO40:OP40"/>
    <mergeCell ref="OQ40:OR40"/>
    <mergeCell ref="OS40:OT40"/>
    <mergeCell ref="OU40:OV40"/>
    <mergeCell ref="OW40:OX40"/>
    <mergeCell ref="TO40:TP40"/>
    <mergeCell ref="TQ40:TR40"/>
    <mergeCell ref="TS40:TT40"/>
    <mergeCell ref="TU40:TV40"/>
    <mergeCell ref="TW40:TX40"/>
    <mergeCell ref="TY40:TZ40"/>
    <mergeCell ref="TC40:TD40"/>
    <mergeCell ref="TE40:TF40"/>
    <mergeCell ref="TG40:TH40"/>
    <mergeCell ref="TI40:TJ40"/>
    <mergeCell ref="TK40:TL40"/>
    <mergeCell ref="TM40:TN40"/>
    <mergeCell ref="SQ40:SR40"/>
    <mergeCell ref="SS40:ST40"/>
    <mergeCell ref="SU40:SV40"/>
    <mergeCell ref="SW40:SX40"/>
    <mergeCell ref="SY40:SZ40"/>
    <mergeCell ref="TA40:TB40"/>
    <mergeCell ref="SE40:SF40"/>
    <mergeCell ref="SG40:SH40"/>
    <mergeCell ref="SI40:SJ40"/>
    <mergeCell ref="SK40:SL40"/>
    <mergeCell ref="SM40:SN40"/>
    <mergeCell ref="SO40:SP40"/>
    <mergeCell ref="RS40:RT40"/>
    <mergeCell ref="RU40:RV40"/>
    <mergeCell ref="RW40:RX40"/>
    <mergeCell ref="RY40:RZ40"/>
    <mergeCell ref="SA40:SB40"/>
    <mergeCell ref="SC40:SD40"/>
    <mergeCell ref="RG40:RH40"/>
    <mergeCell ref="RI40:RJ40"/>
    <mergeCell ref="RK40:RL40"/>
    <mergeCell ref="RM40:RN40"/>
    <mergeCell ref="RO40:RP40"/>
    <mergeCell ref="RQ40:RR40"/>
    <mergeCell ref="WI40:WJ40"/>
    <mergeCell ref="WK40:WL40"/>
    <mergeCell ref="WM40:WN40"/>
    <mergeCell ref="WO40:WP40"/>
    <mergeCell ref="WQ40:WR40"/>
    <mergeCell ref="WS40:WT40"/>
    <mergeCell ref="VW40:VX40"/>
    <mergeCell ref="VY40:VZ40"/>
    <mergeCell ref="WA40:WB40"/>
    <mergeCell ref="WC40:WD40"/>
    <mergeCell ref="WE40:WF40"/>
    <mergeCell ref="WG40:WH40"/>
    <mergeCell ref="VK40:VL40"/>
    <mergeCell ref="VM40:VN40"/>
    <mergeCell ref="VO40:VP40"/>
    <mergeCell ref="VQ40:VR40"/>
    <mergeCell ref="VS40:VT40"/>
    <mergeCell ref="VU40:VV40"/>
    <mergeCell ref="UY40:UZ40"/>
    <mergeCell ref="VA40:VB40"/>
    <mergeCell ref="VC40:VD40"/>
    <mergeCell ref="VE40:VF40"/>
    <mergeCell ref="VG40:VH40"/>
    <mergeCell ref="VI40:VJ40"/>
    <mergeCell ref="UM40:UN40"/>
    <mergeCell ref="UO40:UP40"/>
    <mergeCell ref="UQ40:UR40"/>
    <mergeCell ref="US40:UT40"/>
    <mergeCell ref="UU40:UV40"/>
    <mergeCell ref="UW40:UX40"/>
    <mergeCell ref="UA40:UB40"/>
    <mergeCell ref="UC40:UD40"/>
    <mergeCell ref="UE40:UF40"/>
    <mergeCell ref="UG40:UH40"/>
    <mergeCell ref="UI40:UJ40"/>
    <mergeCell ref="UK40:UL40"/>
    <mergeCell ref="ZC40:ZD40"/>
    <mergeCell ref="ZE40:ZF40"/>
    <mergeCell ref="ZG40:ZH40"/>
    <mergeCell ref="ZI40:ZJ40"/>
    <mergeCell ref="ZK40:ZL40"/>
    <mergeCell ref="ZM40:ZN40"/>
    <mergeCell ref="YQ40:YR40"/>
    <mergeCell ref="YS40:YT40"/>
    <mergeCell ref="YU40:YV40"/>
    <mergeCell ref="YW40:YX40"/>
    <mergeCell ref="YY40:YZ40"/>
    <mergeCell ref="ZA40:ZB40"/>
    <mergeCell ref="YE40:YF40"/>
    <mergeCell ref="YG40:YH40"/>
    <mergeCell ref="YI40:YJ40"/>
    <mergeCell ref="YK40:YL40"/>
    <mergeCell ref="YM40:YN40"/>
    <mergeCell ref="YO40:YP40"/>
    <mergeCell ref="XS40:XT40"/>
    <mergeCell ref="XU40:XV40"/>
    <mergeCell ref="XW40:XX40"/>
    <mergeCell ref="XY40:XZ40"/>
    <mergeCell ref="YA40:YB40"/>
    <mergeCell ref="YC40:YD40"/>
    <mergeCell ref="XG40:XH40"/>
    <mergeCell ref="XI40:XJ40"/>
    <mergeCell ref="XK40:XL40"/>
    <mergeCell ref="XM40:XN40"/>
    <mergeCell ref="XO40:XP40"/>
    <mergeCell ref="XQ40:XR40"/>
    <mergeCell ref="WU40:WV40"/>
    <mergeCell ref="WW40:WX40"/>
    <mergeCell ref="WY40:WZ40"/>
    <mergeCell ref="XA40:XB40"/>
    <mergeCell ref="XC40:XD40"/>
    <mergeCell ref="XE40:XF40"/>
    <mergeCell ref="ABW40:ABX40"/>
    <mergeCell ref="ABY40:ABZ40"/>
    <mergeCell ref="ACA40:ACB40"/>
    <mergeCell ref="ACC40:ACD40"/>
    <mergeCell ref="ACE40:ACF40"/>
    <mergeCell ref="ACG40:ACH40"/>
    <mergeCell ref="ABK40:ABL40"/>
    <mergeCell ref="ABM40:ABN40"/>
    <mergeCell ref="ABO40:ABP40"/>
    <mergeCell ref="ABQ40:ABR40"/>
    <mergeCell ref="ABS40:ABT40"/>
    <mergeCell ref="ABU40:ABV40"/>
    <mergeCell ref="AAY40:AAZ40"/>
    <mergeCell ref="ABA40:ABB40"/>
    <mergeCell ref="ABC40:ABD40"/>
    <mergeCell ref="ABE40:ABF40"/>
    <mergeCell ref="ABG40:ABH40"/>
    <mergeCell ref="ABI40:ABJ40"/>
    <mergeCell ref="AAM40:AAN40"/>
    <mergeCell ref="AAO40:AAP40"/>
    <mergeCell ref="AAQ40:AAR40"/>
    <mergeCell ref="AAS40:AAT40"/>
    <mergeCell ref="AAU40:AAV40"/>
    <mergeCell ref="AAW40:AAX40"/>
    <mergeCell ref="AAA40:AAB40"/>
    <mergeCell ref="AAC40:AAD40"/>
    <mergeCell ref="AAE40:AAF40"/>
    <mergeCell ref="AAG40:AAH40"/>
    <mergeCell ref="AAI40:AAJ40"/>
    <mergeCell ref="AAK40:AAL40"/>
    <mergeCell ref="ZO40:ZP40"/>
    <mergeCell ref="ZQ40:ZR40"/>
    <mergeCell ref="ZS40:ZT40"/>
    <mergeCell ref="ZU40:ZV40"/>
    <mergeCell ref="ZW40:ZX40"/>
    <mergeCell ref="ZY40:ZZ40"/>
    <mergeCell ref="AEQ40:AER40"/>
    <mergeCell ref="AES40:AET40"/>
    <mergeCell ref="AEU40:AEV40"/>
    <mergeCell ref="AEW40:AEX40"/>
    <mergeCell ref="AEY40:AEZ40"/>
    <mergeCell ref="AFA40:AFB40"/>
    <mergeCell ref="AEE40:AEF40"/>
    <mergeCell ref="AEG40:AEH40"/>
    <mergeCell ref="AEI40:AEJ40"/>
    <mergeCell ref="AEK40:AEL40"/>
    <mergeCell ref="AEM40:AEN40"/>
    <mergeCell ref="AEO40:AEP40"/>
    <mergeCell ref="ADS40:ADT40"/>
    <mergeCell ref="ADU40:ADV40"/>
    <mergeCell ref="ADW40:ADX40"/>
    <mergeCell ref="ADY40:ADZ40"/>
    <mergeCell ref="AEA40:AEB40"/>
    <mergeCell ref="AEC40:AED40"/>
    <mergeCell ref="ADG40:ADH40"/>
    <mergeCell ref="ADI40:ADJ40"/>
    <mergeCell ref="ADK40:ADL40"/>
    <mergeCell ref="ADM40:ADN40"/>
    <mergeCell ref="ADO40:ADP40"/>
    <mergeCell ref="ADQ40:ADR40"/>
    <mergeCell ref="ACU40:ACV40"/>
    <mergeCell ref="ACW40:ACX40"/>
    <mergeCell ref="ACY40:ACZ40"/>
    <mergeCell ref="ADA40:ADB40"/>
    <mergeCell ref="ADC40:ADD40"/>
    <mergeCell ref="ADE40:ADF40"/>
    <mergeCell ref="ACI40:ACJ40"/>
    <mergeCell ref="ACK40:ACL40"/>
    <mergeCell ref="ACM40:ACN40"/>
    <mergeCell ref="ACO40:ACP40"/>
    <mergeCell ref="ACQ40:ACR40"/>
    <mergeCell ref="ACS40:ACT40"/>
    <mergeCell ref="AHK40:AHL40"/>
    <mergeCell ref="AHM40:AHN40"/>
    <mergeCell ref="AHO40:AHP40"/>
    <mergeCell ref="AHQ40:AHR40"/>
    <mergeCell ref="AHS40:AHT40"/>
    <mergeCell ref="AHU40:AHV40"/>
    <mergeCell ref="AGY40:AGZ40"/>
    <mergeCell ref="AHA40:AHB40"/>
    <mergeCell ref="AHC40:AHD40"/>
    <mergeCell ref="AHE40:AHF40"/>
    <mergeCell ref="AHG40:AHH40"/>
    <mergeCell ref="AHI40:AHJ40"/>
    <mergeCell ref="AGM40:AGN40"/>
    <mergeCell ref="AGO40:AGP40"/>
    <mergeCell ref="AGQ40:AGR40"/>
    <mergeCell ref="AGS40:AGT40"/>
    <mergeCell ref="AGU40:AGV40"/>
    <mergeCell ref="AGW40:AGX40"/>
    <mergeCell ref="AGA40:AGB40"/>
    <mergeCell ref="AGC40:AGD40"/>
    <mergeCell ref="AGE40:AGF40"/>
    <mergeCell ref="AGG40:AGH40"/>
    <mergeCell ref="AGI40:AGJ40"/>
    <mergeCell ref="AGK40:AGL40"/>
    <mergeCell ref="AFO40:AFP40"/>
    <mergeCell ref="AFQ40:AFR40"/>
    <mergeCell ref="AFS40:AFT40"/>
    <mergeCell ref="AFU40:AFV40"/>
    <mergeCell ref="AFW40:AFX40"/>
    <mergeCell ref="AFY40:AFZ40"/>
    <mergeCell ref="AFC40:AFD40"/>
    <mergeCell ref="AFE40:AFF40"/>
    <mergeCell ref="AFG40:AFH40"/>
    <mergeCell ref="AFI40:AFJ40"/>
    <mergeCell ref="AFK40:AFL40"/>
    <mergeCell ref="AFM40:AFN40"/>
    <mergeCell ref="AKE40:AKF40"/>
    <mergeCell ref="AKG40:AKH40"/>
    <mergeCell ref="AKI40:AKJ40"/>
    <mergeCell ref="AKK40:AKL40"/>
    <mergeCell ref="AKM40:AKN40"/>
    <mergeCell ref="AKO40:AKP40"/>
    <mergeCell ref="AJS40:AJT40"/>
    <mergeCell ref="AJU40:AJV40"/>
    <mergeCell ref="AJW40:AJX40"/>
    <mergeCell ref="AJY40:AJZ40"/>
    <mergeCell ref="AKA40:AKB40"/>
    <mergeCell ref="AKC40:AKD40"/>
    <mergeCell ref="AJG40:AJH40"/>
    <mergeCell ref="AJI40:AJJ40"/>
    <mergeCell ref="AJK40:AJL40"/>
    <mergeCell ref="AJM40:AJN40"/>
    <mergeCell ref="AJO40:AJP40"/>
    <mergeCell ref="AJQ40:AJR40"/>
    <mergeCell ref="AIU40:AIV40"/>
    <mergeCell ref="AIW40:AIX40"/>
    <mergeCell ref="AIY40:AIZ40"/>
    <mergeCell ref="AJA40:AJB40"/>
    <mergeCell ref="AJC40:AJD40"/>
    <mergeCell ref="AJE40:AJF40"/>
    <mergeCell ref="AII40:AIJ40"/>
    <mergeCell ref="AIK40:AIL40"/>
    <mergeCell ref="AIM40:AIN40"/>
    <mergeCell ref="AIO40:AIP40"/>
    <mergeCell ref="AIQ40:AIR40"/>
    <mergeCell ref="AIS40:AIT40"/>
    <mergeCell ref="AHW40:AHX40"/>
    <mergeCell ref="AHY40:AHZ40"/>
    <mergeCell ref="AIA40:AIB40"/>
    <mergeCell ref="AIC40:AID40"/>
    <mergeCell ref="AIE40:AIF40"/>
    <mergeCell ref="AIG40:AIH40"/>
    <mergeCell ref="AMY40:AMZ40"/>
    <mergeCell ref="ANA40:ANB40"/>
    <mergeCell ref="ANC40:AND40"/>
    <mergeCell ref="ANE40:ANF40"/>
    <mergeCell ref="ANG40:ANH40"/>
    <mergeCell ref="ANI40:ANJ40"/>
    <mergeCell ref="AMM40:AMN40"/>
    <mergeCell ref="AMO40:AMP40"/>
    <mergeCell ref="AMQ40:AMR40"/>
    <mergeCell ref="AMS40:AMT40"/>
    <mergeCell ref="AMU40:AMV40"/>
    <mergeCell ref="AMW40:AMX40"/>
    <mergeCell ref="AMA40:AMB40"/>
    <mergeCell ref="AMC40:AMD40"/>
    <mergeCell ref="AME40:AMF40"/>
    <mergeCell ref="AMG40:AMH40"/>
    <mergeCell ref="AMI40:AMJ40"/>
    <mergeCell ref="AMK40:AML40"/>
    <mergeCell ref="ALO40:ALP40"/>
    <mergeCell ref="ALQ40:ALR40"/>
    <mergeCell ref="ALS40:ALT40"/>
    <mergeCell ref="ALU40:ALV40"/>
    <mergeCell ref="ALW40:ALX40"/>
    <mergeCell ref="ALY40:ALZ40"/>
    <mergeCell ref="ALC40:ALD40"/>
    <mergeCell ref="ALE40:ALF40"/>
    <mergeCell ref="ALG40:ALH40"/>
    <mergeCell ref="ALI40:ALJ40"/>
    <mergeCell ref="ALK40:ALL40"/>
    <mergeCell ref="ALM40:ALN40"/>
    <mergeCell ref="AKQ40:AKR40"/>
    <mergeCell ref="AKS40:AKT40"/>
    <mergeCell ref="AKU40:AKV40"/>
    <mergeCell ref="AKW40:AKX40"/>
    <mergeCell ref="AKY40:AKZ40"/>
    <mergeCell ref="ALA40:ALB40"/>
    <mergeCell ref="APS40:APT40"/>
    <mergeCell ref="APU40:APV40"/>
    <mergeCell ref="APW40:APX40"/>
    <mergeCell ref="APY40:APZ40"/>
    <mergeCell ref="AQA40:AQB40"/>
    <mergeCell ref="AQC40:AQD40"/>
    <mergeCell ref="APG40:APH40"/>
    <mergeCell ref="API40:APJ40"/>
    <mergeCell ref="APK40:APL40"/>
    <mergeCell ref="APM40:APN40"/>
    <mergeCell ref="APO40:APP40"/>
    <mergeCell ref="APQ40:APR40"/>
    <mergeCell ref="AOU40:AOV40"/>
    <mergeCell ref="AOW40:AOX40"/>
    <mergeCell ref="AOY40:AOZ40"/>
    <mergeCell ref="APA40:APB40"/>
    <mergeCell ref="APC40:APD40"/>
    <mergeCell ref="APE40:APF40"/>
    <mergeCell ref="AOI40:AOJ40"/>
    <mergeCell ref="AOK40:AOL40"/>
    <mergeCell ref="AOM40:AON40"/>
    <mergeCell ref="AOO40:AOP40"/>
    <mergeCell ref="AOQ40:AOR40"/>
    <mergeCell ref="AOS40:AOT40"/>
    <mergeCell ref="ANW40:ANX40"/>
    <mergeCell ref="ANY40:ANZ40"/>
    <mergeCell ref="AOA40:AOB40"/>
    <mergeCell ref="AOC40:AOD40"/>
    <mergeCell ref="AOE40:AOF40"/>
    <mergeCell ref="AOG40:AOH40"/>
    <mergeCell ref="ANK40:ANL40"/>
    <mergeCell ref="ANM40:ANN40"/>
    <mergeCell ref="ANO40:ANP40"/>
    <mergeCell ref="ANQ40:ANR40"/>
    <mergeCell ref="ANS40:ANT40"/>
    <mergeCell ref="ANU40:ANV40"/>
    <mergeCell ref="ASM40:ASN40"/>
    <mergeCell ref="ASO40:ASP40"/>
    <mergeCell ref="ASQ40:ASR40"/>
    <mergeCell ref="ASS40:AST40"/>
    <mergeCell ref="ASU40:ASV40"/>
    <mergeCell ref="ASW40:ASX40"/>
    <mergeCell ref="ASA40:ASB40"/>
    <mergeCell ref="ASC40:ASD40"/>
    <mergeCell ref="ASE40:ASF40"/>
    <mergeCell ref="ASG40:ASH40"/>
    <mergeCell ref="ASI40:ASJ40"/>
    <mergeCell ref="ASK40:ASL40"/>
    <mergeCell ref="ARO40:ARP40"/>
    <mergeCell ref="ARQ40:ARR40"/>
    <mergeCell ref="ARS40:ART40"/>
    <mergeCell ref="ARU40:ARV40"/>
    <mergeCell ref="ARW40:ARX40"/>
    <mergeCell ref="ARY40:ARZ40"/>
    <mergeCell ref="ARC40:ARD40"/>
    <mergeCell ref="ARE40:ARF40"/>
    <mergeCell ref="ARG40:ARH40"/>
    <mergeCell ref="ARI40:ARJ40"/>
    <mergeCell ref="ARK40:ARL40"/>
    <mergeCell ref="ARM40:ARN40"/>
    <mergeCell ref="AQQ40:AQR40"/>
    <mergeCell ref="AQS40:AQT40"/>
    <mergeCell ref="AQU40:AQV40"/>
    <mergeCell ref="AQW40:AQX40"/>
    <mergeCell ref="AQY40:AQZ40"/>
    <mergeCell ref="ARA40:ARB40"/>
    <mergeCell ref="AQE40:AQF40"/>
    <mergeCell ref="AQG40:AQH40"/>
    <mergeCell ref="AQI40:AQJ40"/>
    <mergeCell ref="AQK40:AQL40"/>
    <mergeCell ref="AQM40:AQN40"/>
    <mergeCell ref="AQO40:AQP40"/>
    <mergeCell ref="AVG40:AVH40"/>
    <mergeCell ref="AVI40:AVJ40"/>
    <mergeCell ref="AVK40:AVL40"/>
    <mergeCell ref="AVM40:AVN40"/>
    <mergeCell ref="AVO40:AVP40"/>
    <mergeCell ref="AVQ40:AVR40"/>
    <mergeCell ref="AUU40:AUV40"/>
    <mergeCell ref="AUW40:AUX40"/>
    <mergeCell ref="AUY40:AUZ40"/>
    <mergeCell ref="AVA40:AVB40"/>
    <mergeCell ref="AVC40:AVD40"/>
    <mergeCell ref="AVE40:AVF40"/>
    <mergeCell ref="AUI40:AUJ40"/>
    <mergeCell ref="AUK40:AUL40"/>
    <mergeCell ref="AUM40:AUN40"/>
    <mergeCell ref="AUO40:AUP40"/>
    <mergeCell ref="AUQ40:AUR40"/>
    <mergeCell ref="AUS40:AUT40"/>
    <mergeCell ref="ATW40:ATX40"/>
    <mergeCell ref="ATY40:ATZ40"/>
    <mergeCell ref="AUA40:AUB40"/>
    <mergeCell ref="AUC40:AUD40"/>
    <mergeCell ref="AUE40:AUF40"/>
    <mergeCell ref="AUG40:AUH40"/>
    <mergeCell ref="ATK40:ATL40"/>
    <mergeCell ref="ATM40:ATN40"/>
    <mergeCell ref="ATO40:ATP40"/>
    <mergeCell ref="ATQ40:ATR40"/>
    <mergeCell ref="ATS40:ATT40"/>
    <mergeCell ref="ATU40:ATV40"/>
    <mergeCell ref="ASY40:ASZ40"/>
    <mergeCell ref="ATA40:ATB40"/>
    <mergeCell ref="ATC40:ATD40"/>
    <mergeCell ref="ATE40:ATF40"/>
    <mergeCell ref="ATG40:ATH40"/>
    <mergeCell ref="ATI40:ATJ40"/>
    <mergeCell ref="AYA40:AYB40"/>
    <mergeCell ref="AYC40:AYD40"/>
    <mergeCell ref="AYE40:AYF40"/>
    <mergeCell ref="AYG40:AYH40"/>
    <mergeCell ref="AYI40:AYJ40"/>
    <mergeCell ref="AYK40:AYL40"/>
    <mergeCell ref="AXO40:AXP40"/>
    <mergeCell ref="AXQ40:AXR40"/>
    <mergeCell ref="AXS40:AXT40"/>
    <mergeCell ref="AXU40:AXV40"/>
    <mergeCell ref="AXW40:AXX40"/>
    <mergeCell ref="AXY40:AXZ40"/>
    <mergeCell ref="AXC40:AXD40"/>
    <mergeCell ref="AXE40:AXF40"/>
    <mergeCell ref="AXG40:AXH40"/>
    <mergeCell ref="AXI40:AXJ40"/>
    <mergeCell ref="AXK40:AXL40"/>
    <mergeCell ref="AXM40:AXN40"/>
    <mergeCell ref="AWQ40:AWR40"/>
    <mergeCell ref="AWS40:AWT40"/>
    <mergeCell ref="AWU40:AWV40"/>
    <mergeCell ref="AWW40:AWX40"/>
    <mergeCell ref="AWY40:AWZ40"/>
    <mergeCell ref="AXA40:AXB40"/>
    <mergeCell ref="AWE40:AWF40"/>
    <mergeCell ref="AWG40:AWH40"/>
    <mergeCell ref="AWI40:AWJ40"/>
    <mergeCell ref="AWK40:AWL40"/>
    <mergeCell ref="AWM40:AWN40"/>
    <mergeCell ref="AWO40:AWP40"/>
    <mergeCell ref="AVS40:AVT40"/>
    <mergeCell ref="AVU40:AVV40"/>
    <mergeCell ref="AVW40:AVX40"/>
    <mergeCell ref="AVY40:AVZ40"/>
    <mergeCell ref="AWA40:AWB40"/>
    <mergeCell ref="AWC40:AWD40"/>
    <mergeCell ref="BAU40:BAV40"/>
    <mergeCell ref="BAW40:BAX40"/>
    <mergeCell ref="BAY40:BAZ40"/>
    <mergeCell ref="BBA40:BBB40"/>
    <mergeCell ref="BBC40:BBD40"/>
    <mergeCell ref="BBE40:BBF40"/>
    <mergeCell ref="BAI40:BAJ40"/>
    <mergeCell ref="BAK40:BAL40"/>
    <mergeCell ref="BAM40:BAN40"/>
    <mergeCell ref="BAO40:BAP40"/>
    <mergeCell ref="BAQ40:BAR40"/>
    <mergeCell ref="BAS40:BAT40"/>
    <mergeCell ref="AZW40:AZX40"/>
    <mergeCell ref="AZY40:AZZ40"/>
    <mergeCell ref="BAA40:BAB40"/>
    <mergeCell ref="BAC40:BAD40"/>
    <mergeCell ref="BAE40:BAF40"/>
    <mergeCell ref="BAG40:BAH40"/>
    <mergeCell ref="AZK40:AZL40"/>
    <mergeCell ref="AZM40:AZN40"/>
    <mergeCell ref="AZO40:AZP40"/>
    <mergeCell ref="AZQ40:AZR40"/>
    <mergeCell ref="AZS40:AZT40"/>
    <mergeCell ref="AZU40:AZV40"/>
    <mergeCell ref="AYY40:AYZ40"/>
    <mergeCell ref="AZA40:AZB40"/>
    <mergeCell ref="AZC40:AZD40"/>
    <mergeCell ref="AZE40:AZF40"/>
    <mergeCell ref="AZG40:AZH40"/>
    <mergeCell ref="AZI40:AZJ40"/>
    <mergeCell ref="AYM40:AYN40"/>
    <mergeCell ref="AYO40:AYP40"/>
    <mergeCell ref="AYQ40:AYR40"/>
    <mergeCell ref="AYS40:AYT40"/>
    <mergeCell ref="AYU40:AYV40"/>
    <mergeCell ref="AYW40:AYX40"/>
    <mergeCell ref="BDO40:BDP40"/>
    <mergeCell ref="BDQ40:BDR40"/>
    <mergeCell ref="BDS40:BDT40"/>
    <mergeCell ref="BDU40:BDV40"/>
    <mergeCell ref="BDW40:BDX40"/>
    <mergeCell ref="BDY40:BDZ40"/>
    <mergeCell ref="BDC40:BDD40"/>
    <mergeCell ref="BDE40:BDF40"/>
    <mergeCell ref="BDG40:BDH40"/>
    <mergeCell ref="BDI40:BDJ40"/>
    <mergeCell ref="BDK40:BDL40"/>
    <mergeCell ref="BDM40:BDN40"/>
    <mergeCell ref="BCQ40:BCR40"/>
    <mergeCell ref="BCS40:BCT40"/>
    <mergeCell ref="BCU40:BCV40"/>
    <mergeCell ref="BCW40:BCX40"/>
    <mergeCell ref="BCY40:BCZ40"/>
    <mergeCell ref="BDA40:BDB40"/>
    <mergeCell ref="BCE40:BCF40"/>
    <mergeCell ref="BCG40:BCH40"/>
    <mergeCell ref="BCI40:BCJ40"/>
    <mergeCell ref="BCK40:BCL40"/>
    <mergeCell ref="BCM40:BCN40"/>
    <mergeCell ref="BCO40:BCP40"/>
    <mergeCell ref="BBS40:BBT40"/>
    <mergeCell ref="BBU40:BBV40"/>
    <mergeCell ref="BBW40:BBX40"/>
    <mergeCell ref="BBY40:BBZ40"/>
    <mergeCell ref="BCA40:BCB40"/>
    <mergeCell ref="BCC40:BCD40"/>
    <mergeCell ref="BBG40:BBH40"/>
    <mergeCell ref="BBI40:BBJ40"/>
    <mergeCell ref="BBK40:BBL40"/>
    <mergeCell ref="BBM40:BBN40"/>
    <mergeCell ref="BBO40:BBP40"/>
    <mergeCell ref="BBQ40:BBR40"/>
    <mergeCell ref="BGI40:BGJ40"/>
    <mergeCell ref="BGK40:BGL40"/>
    <mergeCell ref="BGM40:BGN40"/>
    <mergeCell ref="BGO40:BGP40"/>
    <mergeCell ref="BGQ40:BGR40"/>
    <mergeCell ref="BGS40:BGT40"/>
    <mergeCell ref="BFW40:BFX40"/>
    <mergeCell ref="BFY40:BFZ40"/>
    <mergeCell ref="BGA40:BGB40"/>
    <mergeCell ref="BGC40:BGD40"/>
    <mergeCell ref="BGE40:BGF40"/>
    <mergeCell ref="BGG40:BGH40"/>
    <mergeCell ref="BFK40:BFL40"/>
    <mergeCell ref="BFM40:BFN40"/>
    <mergeCell ref="BFO40:BFP40"/>
    <mergeCell ref="BFQ40:BFR40"/>
    <mergeCell ref="BFS40:BFT40"/>
    <mergeCell ref="BFU40:BFV40"/>
    <mergeCell ref="BEY40:BEZ40"/>
    <mergeCell ref="BFA40:BFB40"/>
    <mergeCell ref="BFC40:BFD40"/>
    <mergeCell ref="BFE40:BFF40"/>
    <mergeCell ref="BFG40:BFH40"/>
    <mergeCell ref="BFI40:BFJ40"/>
    <mergeCell ref="BEM40:BEN40"/>
    <mergeCell ref="BEO40:BEP40"/>
    <mergeCell ref="BEQ40:BER40"/>
    <mergeCell ref="BES40:BET40"/>
    <mergeCell ref="BEU40:BEV40"/>
    <mergeCell ref="BEW40:BEX40"/>
    <mergeCell ref="BEA40:BEB40"/>
    <mergeCell ref="BEC40:BED40"/>
    <mergeCell ref="BEE40:BEF40"/>
    <mergeCell ref="BEG40:BEH40"/>
    <mergeCell ref="BEI40:BEJ40"/>
    <mergeCell ref="BEK40:BEL40"/>
    <mergeCell ref="BJC40:BJD40"/>
    <mergeCell ref="BJE40:BJF40"/>
    <mergeCell ref="BJG40:BJH40"/>
    <mergeCell ref="BJI40:BJJ40"/>
    <mergeCell ref="BJK40:BJL40"/>
    <mergeCell ref="BJM40:BJN40"/>
    <mergeCell ref="BIQ40:BIR40"/>
    <mergeCell ref="BIS40:BIT40"/>
    <mergeCell ref="BIU40:BIV40"/>
    <mergeCell ref="BIW40:BIX40"/>
    <mergeCell ref="BIY40:BIZ40"/>
    <mergeCell ref="BJA40:BJB40"/>
    <mergeCell ref="BIE40:BIF40"/>
    <mergeCell ref="BIG40:BIH40"/>
    <mergeCell ref="BII40:BIJ40"/>
    <mergeCell ref="BIK40:BIL40"/>
    <mergeCell ref="BIM40:BIN40"/>
    <mergeCell ref="BIO40:BIP40"/>
    <mergeCell ref="BHS40:BHT40"/>
    <mergeCell ref="BHU40:BHV40"/>
    <mergeCell ref="BHW40:BHX40"/>
    <mergeCell ref="BHY40:BHZ40"/>
    <mergeCell ref="BIA40:BIB40"/>
    <mergeCell ref="BIC40:BID40"/>
    <mergeCell ref="BHG40:BHH40"/>
    <mergeCell ref="BHI40:BHJ40"/>
    <mergeCell ref="BHK40:BHL40"/>
    <mergeCell ref="BHM40:BHN40"/>
    <mergeCell ref="BHO40:BHP40"/>
    <mergeCell ref="BHQ40:BHR40"/>
    <mergeCell ref="BGU40:BGV40"/>
    <mergeCell ref="BGW40:BGX40"/>
    <mergeCell ref="BGY40:BGZ40"/>
    <mergeCell ref="BHA40:BHB40"/>
    <mergeCell ref="BHC40:BHD40"/>
    <mergeCell ref="BHE40:BHF40"/>
    <mergeCell ref="BLW40:BLX40"/>
    <mergeCell ref="BLY40:BLZ40"/>
    <mergeCell ref="BMA40:BMB40"/>
    <mergeCell ref="BMC40:BMD40"/>
    <mergeCell ref="BME40:BMF40"/>
    <mergeCell ref="BMG40:BMH40"/>
    <mergeCell ref="BLK40:BLL40"/>
    <mergeCell ref="BLM40:BLN40"/>
    <mergeCell ref="BLO40:BLP40"/>
    <mergeCell ref="BLQ40:BLR40"/>
    <mergeCell ref="BLS40:BLT40"/>
    <mergeCell ref="BLU40:BLV40"/>
    <mergeCell ref="BKY40:BKZ40"/>
    <mergeCell ref="BLA40:BLB40"/>
    <mergeCell ref="BLC40:BLD40"/>
    <mergeCell ref="BLE40:BLF40"/>
    <mergeCell ref="BLG40:BLH40"/>
    <mergeCell ref="BLI40:BLJ40"/>
    <mergeCell ref="BKM40:BKN40"/>
    <mergeCell ref="BKO40:BKP40"/>
    <mergeCell ref="BKQ40:BKR40"/>
    <mergeCell ref="BKS40:BKT40"/>
    <mergeCell ref="BKU40:BKV40"/>
    <mergeCell ref="BKW40:BKX40"/>
    <mergeCell ref="BKA40:BKB40"/>
    <mergeCell ref="BKC40:BKD40"/>
    <mergeCell ref="BKE40:BKF40"/>
    <mergeCell ref="BKG40:BKH40"/>
    <mergeCell ref="BKI40:BKJ40"/>
    <mergeCell ref="BKK40:BKL40"/>
    <mergeCell ref="BJO40:BJP40"/>
    <mergeCell ref="BJQ40:BJR40"/>
    <mergeCell ref="BJS40:BJT40"/>
    <mergeCell ref="BJU40:BJV40"/>
    <mergeCell ref="BJW40:BJX40"/>
    <mergeCell ref="BJY40:BJZ40"/>
    <mergeCell ref="BOQ40:BOR40"/>
    <mergeCell ref="BOS40:BOT40"/>
    <mergeCell ref="BOU40:BOV40"/>
    <mergeCell ref="BOW40:BOX40"/>
    <mergeCell ref="BOY40:BOZ40"/>
    <mergeCell ref="BPA40:BPB40"/>
    <mergeCell ref="BOE40:BOF40"/>
    <mergeCell ref="BOG40:BOH40"/>
    <mergeCell ref="BOI40:BOJ40"/>
    <mergeCell ref="BOK40:BOL40"/>
    <mergeCell ref="BOM40:BON40"/>
    <mergeCell ref="BOO40:BOP40"/>
    <mergeCell ref="BNS40:BNT40"/>
    <mergeCell ref="BNU40:BNV40"/>
    <mergeCell ref="BNW40:BNX40"/>
    <mergeCell ref="BNY40:BNZ40"/>
    <mergeCell ref="BOA40:BOB40"/>
    <mergeCell ref="BOC40:BOD40"/>
    <mergeCell ref="BNG40:BNH40"/>
    <mergeCell ref="BNI40:BNJ40"/>
    <mergeCell ref="BNK40:BNL40"/>
    <mergeCell ref="BNM40:BNN40"/>
    <mergeCell ref="BNO40:BNP40"/>
    <mergeCell ref="BNQ40:BNR40"/>
    <mergeCell ref="BMU40:BMV40"/>
    <mergeCell ref="BMW40:BMX40"/>
    <mergeCell ref="BMY40:BMZ40"/>
    <mergeCell ref="BNA40:BNB40"/>
    <mergeCell ref="BNC40:BND40"/>
    <mergeCell ref="BNE40:BNF40"/>
    <mergeCell ref="BMI40:BMJ40"/>
    <mergeCell ref="BMK40:BML40"/>
    <mergeCell ref="BMM40:BMN40"/>
    <mergeCell ref="BMO40:BMP40"/>
    <mergeCell ref="BMQ40:BMR40"/>
    <mergeCell ref="BMS40:BMT40"/>
    <mergeCell ref="BRK40:BRL40"/>
    <mergeCell ref="BRM40:BRN40"/>
    <mergeCell ref="BRO40:BRP40"/>
    <mergeCell ref="BRQ40:BRR40"/>
    <mergeCell ref="BRS40:BRT40"/>
    <mergeCell ref="BRU40:BRV40"/>
    <mergeCell ref="BQY40:BQZ40"/>
    <mergeCell ref="BRA40:BRB40"/>
    <mergeCell ref="BRC40:BRD40"/>
    <mergeCell ref="BRE40:BRF40"/>
    <mergeCell ref="BRG40:BRH40"/>
    <mergeCell ref="BRI40:BRJ40"/>
    <mergeCell ref="BQM40:BQN40"/>
    <mergeCell ref="BQO40:BQP40"/>
    <mergeCell ref="BQQ40:BQR40"/>
    <mergeCell ref="BQS40:BQT40"/>
    <mergeCell ref="BQU40:BQV40"/>
    <mergeCell ref="BQW40:BQX40"/>
    <mergeCell ref="BQA40:BQB40"/>
    <mergeCell ref="BQC40:BQD40"/>
    <mergeCell ref="BQE40:BQF40"/>
    <mergeCell ref="BQG40:BQH40"/>
    <mergeCell ref="BQI40:BQJ40"/>
    <mergeCell ref="BQK40:BQL40"/>
    <mergeCell ref="BPO40:BPP40"/>
    <mergeCell ref="BPQ40:BPR40"/>
    <mergeCell ref="BPS40:BPT40"/>
    <mergeCell ref="BPU40:BPV40"/>
    <mergeCell ref="BPW40:BPX40"/>
    <mergeCell ref="BPY40:BPZ40"/>
    <mergeCell ref="BPC40:BPD40"/>
    <mergeCell ref="BPE40:BPF40"/>
    <mergeCell ref="BPG40:BPH40"/>
    <mergeCell ref="BPI40:BPJ40"/>
    <mergeCell ref="BPK40:BPL40"/>
    <mergeCell ref="BPM40:BPN40"/>
    <mergeCell ref="BUE40:BUF40"/>
    <mergeCell ref="BUG40:BUH40"/>
    <mergeCell ref="BUI40:BUJ40"/>
    <mergeCell ref="BUK40:BUL40"/>
    <mergeCell ref="BUM40:BUN40"/>
    <mergeCell ref="BUO40:BUP40"/>
    <mergeCell ref="BTS40:BTT40"/>
    <mergeCell ref="BTU40:BTV40"/>
    <mergeCell ref="BTW40:BTX40"/>
    <mergeCell ref="BTY40:BTZ40"/>
    <mergeCell ref="BUA40:BUB40"/>
    <mergeCell ref="BUC40:BUD40"/>
    <mergeCell ref="BTG40:BTH40"/>
    <mergeCell ref="BTI40:BTJ40"/>
    <mergeCell ref="BTK40:BTL40"/>
    <mergeCell ref="BTM40:BTN40"/>
    <mergeCell ref="BTO40:BTP40"/>
    <mergeCell ref="BTQ40:BTR40"/>
    <mergeCell ref="BSU40:BSV40"/>
    <mergeCell ref="BSW40:BSX40"/>
    <mergeCell ref="BSY40:BSZ40"/>
    <mergeCell ref="BTA40:BTB40"/>
    <mergeCell ref="BTC40:BTD40"/>
    <mergeCell ref="BTE40:BTF40"/>
    <mergeCell ref="BSI40:BSJ40"/>
    <mergeCell ref="BSK40:BSL40"/>
    <mergeCell ref="BSM40:BSN40"/>
    <mergeCell ref="BSO40:BSP40"/>
    <mergeCell ref="BSQ40:BSR40"/>
    <mergeCell ref="BSS40:BST40"/>
    <mergeCell ref="BRW40:BRX40"/>
    <mergeCell ref="BRY40:BRZ40"/>
    <mergeCell ref="BSA40:BSB40"/>
    <mergeCell ref="BSC40:BSD40"/>
    <mergeCell ref="BSE40:BSF40"/>
    <mergeCell ref="BSG40:BSH40"/>
    <mergeCell ref="BWY40:BWZ40"/>
    <mergeCell ref="BXA40:BXB40"/>
    <mergeCell ref="BXC40:BXD40"/>
    <mergeCell ref="BXE40:BXF40"/>
    <mergeCell ref="BXG40:BXH40"/>
    <mergeCell ref="BXI40:BXJ40"/>
    <mergeCell ref="BWM40:BWN40"/>
    <mergeCell ref="BWO40:BWP40"/>
    <mergeCell ref="BWQ40:BWR40"/>
    <mergeCell ref="BWS40:BWT40"/>
    <mergeCell ref="BWU40:BWV40"/>
    <mergeCell ref="BWW40:BWX40"/>
    <mergeCell ref="BWA40:BWB40"/>
    <mergeCell ref="BWC40:BWD40"/>
    <mergeCell ref="BWE40:BWF40"/>
    <mergeCell ref="BWG40:BWH40"/>
    <mergeCell ref="BWI40:BWJ40"/>
    <mergeCell ref="BWK40:BWL40"/>
    <mergeCell ref="BVO40:BVP40"/>
    <mergeCell ref="BVQ40:BVR40"/>
    <mergeCell ref="BVS40:BVT40"/>
    <mergeCell ref="BVU40:BVV40"/>
    <mergeCell ref="BVW40:BVX40"/>
    <mergeCell ref="BVY40:BVZ40"/>
    <mergeCell ref="BVC40:BVD40"/>
    <mergeCell ref="BVE40:BVF40"/>
    <mergeCell ref="BVG40:BVH40"/>
    <mergeCell ref="BVI40:BVJ40"/>
    <mergeCell ref="BVK40:BVL40"/>
    <mergeCell ref="BVM40:BVN40"/>
    <mergeCell ref="BUQ40:BUR40"/>
    <mergeCell ref="BUS40:BUT40"/>
    <mergeCell ref="BUU40:BUV40"/>
    <mergeCell ref="BUW40:BUX40"/>
    <mergeCell ref="BUY40:BUZ40"/>
    <mergeCell ref="BVA40:BVB40"/>
    <mergeCell ref="BZS40:BZT40"/>
    <mergeCell ref="BZU40:BZV40"/>
    <mergeCell ref="BZW40:BZX40"/>
    <mergeCell ref="BZY40:BZZ40"/>
    <mergeCell ref="CAA40:CAB40"/>
    <mergeCell ref="CAC40:CAD40"/>
    <mergeCell ref="BZG40:BZH40"/>
    <mergeCell ref="BZI40:BZJ40"/>
    <mergeCell ref="BZK40:BZL40"/>
    <mergeCell ref="BZM40:BZN40"/>
    <mergeCell ref="BZO40:BZP40"/>
    <mergeCell ref="BZQ40:BZR40"/>
    <mergeCell ref="BYU40:BYV40"/>
    <mergeCell ref="BYW40:BYX40"/>
    <mergeCell ref="BYY40:BYZ40"/>
    <mergeCell ref="BZA40:BZB40"/>
    <mergeCell ref="BZC40:BZD40"/>
    <mergeCell ref="BZE40:BZF40"/>
    <mergeCell ref="BYI40:BYJ40"/>
    <mergeCell ref="BYK40:BYL40"/>
    <mergeCell ref="BYM40:BYN40"/>
    <mergeCell ref="BYO40:BYP40"/>
    <mergeCell ref="BYQ40:BYR40"/>
    <mergeCell ref="BYS40:BYT40"/>
    <mergeCell ref="BXW40:BXX40"/>
    <mergeCell ref="BXY40:BXZ40"/>
    <mergeCell ref="BYA40:BYB40"/>
    <mergeCell ref="BYC40:BYD40"/>
    <mergeCell ref="BYE40:BYF40"/>
    <mergeCell ref="BYG40:BYH40"/>
    <mergeCell ref="BXK40:BXL40"/>
    <mergeCell ref="BXM40:BXN40"/>
    <mergeCell ref="BXO40:BXP40"/>
    <mergeCell ref="BXQ40:BXR40"/>
    <mergeCell ref="BXS40:BXT40"/>
    <mergeCell ref="BXU40:BXV40"/>
    <mergeCell ref="CCM40:CCN40"/>
    <mergeCell ref="CCO40:CCP40"/>
    <mergeCell ref="CCQ40:CCR40"/>
    <mergeCell ref="CCS40:CCT40"/>
    <mergeCell ref="CCU40:CCV40"/>
    <mergeCell ref="CCW40:CCX40"/>
    <mergeCell ref="CCA40:CCB40"/>
    <mergeCell ref="CCC40:CCD40"/>
    <mergeCell ref="CCE40:CCF40"/>
    <mergeCell ref="CCG40:CCH40"/>
    <mergeCell ref="CCI40:CCJ40"/>
    <mergeCell ref="CCK40:CCL40"/>
    <mergeCell ref="CBO40:CBP40"/>
    <mergeCell ref="CBQ40:CBR40"/>
    <mergeCell ref="CBS40:CBT40"/>
    <mergeCell ref="CBU40:CBV40"/>
    <mergeCell ref="CBW40:CBX40"/>
    <mergeCell ref="CBY40:CBZ40"/>
    <mergeCell ref="CBC40:CBD40"/>
    <mergeCell ref="CBE40:CBF40"/>
    <mergeCell ref="CBG40:CBH40"/>
    <mergeCell ref="CBI40:CBJ40"/>
    <mergeCell ref="CBK40:CBL40"/>
    <mergeCell ref="CBM40:CBN40"/>
    <mergeCell ref="CAQ40:CAR40"/>
    <mergeCell ref="CAS40:CAT40"/>
    <mergeCell ref="CAU40:CAV40"/>
    <mergeCell ref="CAW40:CAX40"/>
    <mergeCell ref="CAY40:CAZ40"/>
    <mergeCell ref="CBA40:CBB40"/>
    <mergeCell ref="CAE40:CAF40"/>
    <mergeCell ref="CAG40:CAH40"/>
    <mergeCell ref="CAI40:CAJ40"/>
    <mergeCell ref="CAK40:CAL40"/>
    <mergeCell ref="CAM40:CAN40"/>
    <mergeCell ref="CAO40:CAP40"/>
    <mergeCell ref="CFG40:CFH40"/>
    <mergeCell ref="CFI40:CFJ40"/>
    <mergeCell ref="CFK40:CFL40"/>
    <mergeCell ref="CFM40:CFN40"/>
    <mergeCell ref="CFO40:CFP40"/>
    <mergeCell ref="CFQ40:CFR40"/>
    <mergeCell ref="CEU40:CEV40"/>
    <mergeCell ref="CEW40:CEX40"/>
    <mergeCell ref="CEY40:CEZ40"/>
    <mergeCell ref="CFA40:CFB40"/>
    <mergeCell ref="CFC40:CFD40"/>
    <mergeCell ref="CFE40:CFF40"/>
    <mergeCell ref="CEI40:CEJ40"/>
    <mergeCell ref="CEK40:CEL40"/>
    <mergeCell ref="CEM40:CEN40"/>
    <mergeCell ref="CEO40:CEP40"/>
    <mergeCell ref="CEQ40:CER40"/>
    <mergeCell ref="CES40:CET40"/>
    <mergeCell ref="CDW40:CDX40"/>
    <mergeCell ref="CDY40:CDZ40"/>
    <mergeCell ref="CEA40:CEB40"/>
    <mergeCell ref="CEC40:CED40"/>
    <mergeCell ref="CEE40:CEF40"/>
    <mergeCell ref="CEG40:CEH40"/>
    <mergeCell ref="CDK40:CDL40"/>
    <mergeCell ref="CDM40:CDN40"/>
    <mergeCell ref="CDO40:CDP40"/>
    <mergeCell ref="CDQ40:CDR40"/>
    <mergeCell ref="CDS40:CDT40"/>
    <mergeCell ref="CDU40:CDV40"/>
    <mergeCell ref="CCY40:CCZ40"/>
    <mergeCell ref="CDA40:CDB40"/>
    <mergeCell ref="CDC40:CDD40"/>
    <mergeCell ref="CDE40:CDF40"/>
    <mergeCell ref="CDG40:CDH40"/>
    <mergeCell ref="CDI40:CDJ40"/>
    <mergeCell ref="CIA40:CIB40"/>
    <mergeCell ref="CIC40:CID40"/>
    <mergeCell ref="CIE40:CIF40"/>
    <mergeCell ref="CIG40:CIH40"/>
    <mergeCell ref="CII40:CIJ40"/>
    <mergeCell ref="CIK40:CIL40"/>
    <mergeCell ref="CHO40:CHP40"/>
    <mergeCell ref="CHQ40:CHR40"/>
    <mergeCell ref="CHS40:CHT40"/>
    <mergeCell ref="CHU40:CHV40"/>
    <mergeCell ref="CHW40:CHX40"/>
    <mergeCell ref="CHY40:CHZ40"/>
    <mergeCell ref="CHC40:CHD40"/>
    <mergeCell ref="CHE40:CHF40"/>
    <mergeCell ref="CHG40:CHH40"/>
    <mergeCell ref="CHI40:CHJ40"/>
    <mergeCell ref="CHK40:CHL40"/>
    <mergeCell ref="CHM40:CHN40"/>
    <mergeCell ref="CGQ40:CGR40"/>
    <mergeCell ref="CGS40:CGT40"/>
    <mergeCell ref="CGU40:CGV40"/>
    <mergeCell ref="CGW40:CGX40"/>
    <mergeCell ref="CGY40:CGZ40"/>
    <mergeCell ref="CHA40:CHB40"/>
    <mergeCell ref="CGE40:CGF40"/>
    <mergeCell ref="CGG40:CGH40"/>
    <mergeCell ref="CGI40:CGJ40"/>
    <mergeCell ref="CGK40:CGL40"/>
    <mergeCell ref="CGM40:CGN40"/>
    <mergeCell ref="CGO40:CGP40"/>
    <mergeCell ref="CFS40:CFT40"/>
    <mergeCell ref="CFU40:CFV40"/>
    <mergeCell ref="CFW40:CFX40"/>
    <mergeCell ref="CFY40:CFZ40"/>
    <mergeCell ref="CGA40:CGB40"/>
    <mergeCell ref="CGC40:CGD40"/>
    <mergeCell ref="CKU40:CKV40"/>
    <mergeCell ref="CKW40:CKX40"/>
    <mergeCell ref="CKY40:CKZ40"/>
    <mergeCell ref="CLA40:CLB40"/>
    <mergeCell ref="CLC40:CLD40"/>
    <mergeCell ref="CLE40:CLF40"/>
    <mergeCell ref="CKI40:CKJ40"/>
    <mergeCell ref="CKK40:CKL40"/>
    <mergeCell ref="CKM40:CKN40"/>
    <mergeCell ref="CKO40:CKP40"/>
    <mergeCell ref="CKQ40:CKR40"/>
    <mergeCell ref="CKS40:CKT40"/>
    <mergeCell ref="CJW40:CJX40"/>
    <mergeCell ref="CJY40:CJZ40"/>
    <mergeCell ref="CKA40:CKB40"/>
    <mergeCell ref="CKC40:CKD40"/>
    <mergeCell ref="CKE40:CKF40"/>
    <mergeCell ref="CKG40:CKH40"/>
    <mergeCell ref="CJK40:CJL40"/>
    <mergeCell ref="CJM40:CJN40"/>
    <mergeCell ref="CJO40:CJP40"/>
    <mergeCell ref="CJQ40:CJR40"/>
    <mergeCell ref="CJS40:CJT40"/>
    <mergeCell ref="CJU40:CJV40"/>
    <mergeCell ref="CIY40:CIZ40"/>
    <mergeCell ref="CJA40:CJB40"/>
    <mergeCell ref="CJC40:CJD40"/>
    <mergeCell ref="CJE40:CJF40"/>
    <mergeCell ref="CJG40:CJH40"/>
    <mergeCell ref="CJI40:CJJ40"/>
    <mergeCell ref="CIM40:CIN40"/>
    <mergeCell ref="CIO40:CIP40"/>
    <mergeCell ref="CIQ40:CIR40"/>
    <mergeCell ref="CIS40:CIT40"/>
    <mergeCell ref="CIU40:CIV40"/>
    <mergeCell ref="CIW40:CIX40"/>
    <mergeCell ref="CNO40:CNP40"/>
    <mergeCell ref="CNQ40:CNR40"/>
    <mergeCell ref="CNS40:CNT40"/>
    <mergeCell ref="CNU40:CNV40"/>
    <mergeCell ref="CNW40:CNX40"/>
    <mergeCell ref="CNY40:CNZ40"/>
    <mergeCell ref="CNC40:CND40"/>
    <mergeCell ref="CNE40:CNF40"/>
    <mergeCell ref="CNG40:CNH40"/>
    <mergeCell ref="CNI40:CNJ40"/>
    <mergeCell ref="CNK40:CNL40"/>
    <mergeCell ref="CNM40:CNN40"/>
    <mergeCell ref="CMQ40:CMR40"/>
    <mergeCell ref="CMS40:CMT40"/>
    <mergeCell ref="CMU40:CMV40"/>
    <mergeCell ref="CMW40:CMX40"/>
    <mergeCell ref="CMY40:CMZ40"/>
    <mergeCell ref="CNA40:CNB40"/>
    <mergeCell ref="CME40:CMF40"/>
    <mergeCell ref="CMG40:CMH40"/>
    <mergeCell ref="CMI40:CMJ40"/>
    <mergeCell ref="CMK40:CML40"/>
    <mergeCell ref="CMM40:CMN40"/>
    <mergeCell ref="CMO40:CMP40"/>
    <mergeCell ref="CLS40:CLT40"/>
    <mergeCell ref="CLU40:CLV40"/>
    <mergeCell ref="CLW40:CLX40"/>
    <mergeCell ref="CLY40:CLZ40"/>
    <mergeCell ref="CMA40:CMB40"/>
    <mergeCell ref="CMC40:CMD40"/>
    <mergeCell ref="CLG40:CLH40"/>
    <mergeCell ref="CLI40:CLJ40"/>
    <mergeCell ref="CLK40:CLL40"/>
    <mergeCell ref="CLM40:CLN40"/>
    <mergeCell ref="CLO40:CLP40"/>
    <mergeCell ref="CLQ40:CLR40"/>
    <mergeCell ref="CQI40:CQJ40"/>
    <mergeCell ref="CQK40:CQL40"/>
    <mergeCell ref="CQM40:CQN40"/>
    <mergeCell ref="CQO40:CQP40"/>
    <mergeCell ref="CQQ40:CQR40"/>
    <mergeCell ref="CQS40:CQT40"/>
    <mergeCell ref="CPW40:CPX40"/>
    <mergeCell ref="CPY40:CPZ40"/>
    <mergeCell ref="CQA40:CQB40"/>
    <mergeCell ref="CQC40:CQD40"/>
    <mergeCell ref="CQE40:CQF40"/>
    <mergeCell ref="CQG40:CQH40"/>
    <mergeCell ref="CPK40:CPL40"/>
    <mergeCell ref="CPM40:CPN40"/>
    <mergeCell ref="CPO40:CPP40"/>
    <mergeCell ref="CPQ40:CPR40"/>
    <mergeCell ref="CPS40:CPT40"/>
    <mergeCell ref="CPU40:CPV40"/>
    <mergeCell ref="COY40:COZ40"/>
    <mergeCell ref="CPA40:CPB40"/>
    <mergeCell ref="CPC40:CPD40"/>
    <mergeCell ref="CPE40:CPF40"/>
    <mergeCell ref="CPG40:CPH40"/>
    <mergeCell ref="CPI40:CPJ40"/>
    <mergeCell ref="COM40:CON40"/>
    <mergeCell ref="COO40:COP40"/>
    <mergeCell ref="COQ40:COR40"/>
    <mergeCell ref="COS40:COT40"/>
    <mergeCell ref="COU40:COV40"/>
    <mergeCell ref="COW40:COX40"/>
    <mergeCell ref="COA40:COB40"/>
    <mergeCell ref="COC40:COD40"/>
    <mergeCell ref="COE40:COF40"/>
    <mergeCell ref="COG40:COH40"/>
    <mergeCell ref="COI40:COJ40"/>
    <mergeCell ref="COK40:COL40"/>
    <mergeCell ref="CTC40:CTD40"/>
    <mergeCell ref="CTE40:CTF40"/>
    <mergeCell ref="CTG40:CTH40"/>
    <mergeCell ref="CTI40:CTJ40"/>
    <mergeCell ref="CTK40:CTL40"/>
    <mergeCell ref="CTM40:CTN40"/>
    <mergeCell ref="CSQ40:CSR40"/>
    <mergeCell ref="CSS40:CST40"/>
    <mergeCell ref="CSU40:CSV40"/>
    <mergeCell ref="CSW40:CSX40"/>
    <mergeCell ref="CSY40:CSZ40"/>
    <mergeCell ref="CTA40:CTB40"/>
    <mergeCell ref="CSE40:CSF40"/>
    <mergeCell ref="CSG40:CSH40"/>
    <mergeCell ref="CSI40:CSJ40"/>
    <mergeCell ref="CSK40:CSL40"/>
    <mergeCell ref="CSM40:CSN40"/>
    <mergeCell ref="CSO40:CSP40"/>
    <mergeCell ref="CRS40:CRT40"/>
    <mergeCell ref="CRU40:CRV40"/>
    <mergeCell ref="CRW40:CRX40"/>
    <mergeCell ref="CRY40:CRZ40"/>
    <mergeCell ref="CSA40:CSB40"/>
    <mergeCell ref="CSC40:CSD40"/>
    <mergeCell ref="CRG40:CRH40"/>
    <mergeCell ref="CRI40:CRJ40"/>
    <mergeCell ref="CRK40:CRL40"/>
    <mergeCell ref="CRM40:CRN40"/>
    <mergeCell ref="CRO40:CRP40"/>
    <mergeCell ref="CRQ40:CRR40"/>
    <mergeCell ref="CQU40:CQV40"/>
    <mergeCell ref="CQW40:CQX40"/>
    <mergeCell ref="CQY40:CQZ40"/>
    <mergeCell ref="CRA40:CRB40"/>
    <mergeCell ref="CRC40:CRD40"/>
    <mergeCell ref="CRE40:CRF40"/>
    <mergeCell ref="CVW40:CVX40"/>
    <mergeCell ref="CVY40:CVZ40"/>
    <mergeCell ref="CWA40:CWB40"/>
    <mergeCell ref="CWC40:CWD40"/>
    <mergeCell ref="CWE40:CWF40"/>
    <mergeCell ref="CWG40:CWH40"/>
    <mergeCell ref="CVK40:CVL40"/>
    <mergeCell ref="CVM40:CVN40"/>
    <mergeCell ref="CVO40:CVP40"/>
    <mergeCell ref="CVQ40:CVR40"/>
    <mergeCell ref="CVS40:CVT40"/>
    <mergeCell ref="CVU40:CVV40"/>
    <mergeCell ref="CUY40:CUZ40"/>
    <mergeCell ref="CVA40:CVB40"/>
    <mergeCell ref="CVC40:CVD40"/>
    <mergeCell ref="CVE40:CVF40"/>
    <mergeCell ref="CVG40:CVH40"/>
    <mergeCell ref="CVI40:CVJ40"/>
    <mergeCell ref="CUM40:CUN40"/>
    <mergeCell ref="CUO40:CUP40"/>
    <mergeCell ref="CUQ40:CUR40"/>
    <mergeCell ref="CUS40:CUT40"/>
    <mergeCell ref="CUU40:CUV40"/>
    <mergeCell ref="CUW40:CUX40"/>
    <mergeCell ref="CUA40:CUB40"/>
    <mergeCell ref="CUC40:CUD40"/>
    <mergeCell ref="CUE40:CUF40"/>
    <mergeCell ref="CUG40:CUH40"/>
    <mergeCell ref="CUI40:CUJ40"/>
    <mergeCell ref="CUK40:CUL40"/>
    <mergeCell ref="CTO40:CTP40"/>
    <mergeCell ref="CTQ40:CTR40"/>
    <mergeCell ref="CTS40:CTT40"/>
    <mergeCell ref="CTU40:CTV40"/>
    <mergeCell ref="CTW40:CTX40"/>
    <mergeCell ref="CTY40:CTZ40"/>
    <mergeCell ref="CYQ40:CYR40"/>
    <mergeCell ref="CYS40:CYT40"/>
    <mergeCell ref="CYU40:CYV40"/>
    <mergeCell ref="CYW40:CYX40"/>
    <mergeCell ref="CYY40:CYZ40"/>
    <mergeCell ref="CZA40:CZB40"/>
    <mergeCell ref="CYE40:CYF40"/>
    <mergeCell ref="CYG40:CYH40"/>
    <mergeCell ref="CYI40:CYJ40"/>
    <mergeCell ref="CYK40:CYL40"/>
    <mergeCell ref="CYM40:CYN40"/>
    <mergeCell ref="CYO40:CYP40"/>
    <mergeCell ref="CXS40:CXT40"/>
    <mergeCell ref="CXU40:CXV40"/>
    <mergeCell ref="CXW40:CXX40"/>
    <mergeCell ref="CXY40:CXZ40"/>
    <mergeCell ref="CYA40:CYB40"/>
    <mergeCell ref="CYC40:CYD40"/>
    <mergeCell ref="CXG40:CXH40"/>
    <mergeCell ref="CXI40:CXJ40"/>
    <mergeCell ref="CXK40:CXL40"/>
    <mergeCell ref="CXM40:CXN40"/>
    <mergeCell ref="CXO40:CXP40"/>
    <mergeCell ref="CXQ40:CXR40"/>
    <mergeCell ref="CWU40:CWV40"/>
    <mergeCell ref="CWW40:CWX40"/>
    <mergeCell ref="CWY40:CWZ40"/>
    <mergeCell ref="CXA40:CXB40"/>
    <mergeCell ref="CXC40:CXD40"/>
    <mergeCell ref="CXE40:CXF40"/>
    <mergeCell ref="CWI40:CWJ40"/>
    <mergeCell ref="CWK40:CWL40"/>
    <mergeCell ref="CWM40:CWN40"/>
    <mergeCell ref="CWO40:CWP40"/>
    <mergeCell ref="CWQ40:CWR40"/>
    <mergeCell ref="CWS40:CWT40"/>
    <mergeCell ref="DBK40:DBL40"/>
    <mergeCell ref="DBM40:DBN40"/>
    <mergeCell ref="DBO40:DBP40"/>
    <mergeCell ref="DBQ40:DBR40"/>
    <mergeCell ref="DBS40:DBT40"/>
    <mergeCell ref="DBU40:DBV40"/>
    <mergeCell ref="DAY40:DAZ40"/>
    <mergeCell ref="DBA40:DBB40"/>
    <mergeCell ref="DBC40:DBD40"/>
    <mergeCell ref="DBE40:DBF40"/>
    <mergeCell ref="DBG40:DBH40"/>
    <mergeCell ref="DBI40:DBJ40"/>
    <mergeCell ref="DAM40:DAN40"/>
    <mergeCell ref="DAO40:DAP40"/>
    <mergeCell ref="DAQ40:DAR40"/>
    <mergeCell ref="DAS40:DAT40"/>
    <mergeCell ref="DAU40:DAV40"/>
    <mergeCell ref="DAW40:DAX40"/>
    <mergeCell ref="DAA40:DAB40"/>
    <mergeCell ref="DAC40:DAD40"/>
    <mergeCell ref="DAE40:DAF40"/>
    <mergeCell ref="DAG40:DAH40"/>
    <mergeCell ref="DAI40:DAJ40"/>
    <mergeCell ref="DAK40:DAL40"/>
    <mergeCell ref="CZO40:CZP40"/>
    <mergeCell ref="CZQ40:CZR40"/>
    <mergeCell ref="CZS40:CZT40"/>
    <mergeCell ref="CZU40:CZV40"/>
    <mergeCell ref="CZW40:CZX40"/>
    <mergeCell ref="CZY40:CZZ40"/>
    <mergeCell ref="CZC40:CZD40"/>
    <mergeCell ref="CZE40:CZF40"/>
    <mergeCell ref="CZG40:CZH40"/>
    <mergeCell ref="CZI40:CZJ40"/>
    <mergeCell ref="CZK40:CZL40"/>
    <mergeCell ref="CZM40:CZN40"/>
    <mergeCell ref="DEE40:DEF40"/>
    <mergeCell ref="DEG40:DEH40"/>
    <mergeCell ref="DEI40:DEJ40"/>
    <mergeCell ref="DEK40:DEL40"/>
    <mergeCell ref="DEM40:DEN40"/>
    <mergeCell ref="DEO40:DEP40"/>
    <mergeCell ref="DDS40:DDT40"/>
    <mergeCell ref="DDU40:DDV40"/>
    <mergeCell ref="DDW40:DDX40"/>
    <mergeCell ref="DDY40:DDZ40"/>
    <mergeCell ref="DEA40:DEB40"/>
    <mergeCell ref="DEC40:DED40"/>
    <mergeCell ref="DDG40:DDH40"/>
    <mergeCell ref="DDI40:DDJ40"/>
    <mergeCell ref="DDK40:DDL40"/>
    <mergeCell ref="DDM40:DDN40"/>
    <mergeCell ref="DDO40:DDP40"/>
    <mergeCell ref="DDQ40:DDR40"/>
    <mergeCell ref="DCU40:DCV40"/>
    <mergeCell ref="DCW40:DCX40"/>
    <mergeCell ref="DCY40:DCZ40"/>
    <mergeCell ref="DDA40:DDB40"/>
    <mergeCell ref="DDC40:DDD40"/>
    <mergeCell ref="DDE40:DDF40"/>
    <mergeCell ref="DCI40:DCJ40"/>
    <mergeCell ref="DCK40:DCL40"/>
    <mergeCell ref="DCM40:DCN40"/>
    <mergeCell ref="DCO40:DCP40"/>
    <mergeCell ref="DCQ40:DCR40"/>
    <mergeCell ref="DCS40:DCT40"/>
    <mergeCell ref="DBW40:DBX40"/>
    <mergeCell ref="DBY40:DBZ40"/>
    <mergeCell ref="DCA40:DCB40"/>
    <mergeCell ref="DCC40:DCD40"/>
    <mergeCell ref="DCE40:DCF40"/>
    <mergeCell ref="DCG40:DCH40"/>
    <mergeCell ref="DGY40:DGZ40"/>
    <mergeCell ref="DHA40:DHB40"/>
    <mergeCell ref="DHC40:DHD40"/>
    <mergeCell ref="DHE40:DHF40"/>
    <mergeCell ref="DHG40:DHH40"/>
    <mergeCell ref="DHI40:DHJ40"/>
    <mergeCell ref="DGM40:DGN40"/>
    <mergeCell ref="DGO40:DGP40"/>
    <mergeCell ref="DGQ40:DGR40"/>
    <mergeCell ref="DGS40:DGT40"/>
    <mergeCell ref="DGU40:DGV40"/>
    <mergeCell ref="DGW40:DGX40"/>
    <mergeCell ref="DGA40:DGB40"/>
    <mergeCell ref="DGC40:DGD40"/>
    <mergeCell ref="DGE40:DGF40"/>
    <mergeCell ref="DGG40:DGH40"/>
    <mergeCell ref="DGI40:DGJ40"/>
    <mergeCell ref="DGK40:DGL40"/>
    <mergeCell ref="DFO40:DFP40"/>
    <mergeCell ref="DFQ40:DFR40"/>
    <mergeCell ref="DFS40:DFT40"/>
    <mergeCell ref="DFU40:DFV40"/>
    <mergeCell ref="DFW40:DFX40"/>
    <mergeCell ref="DFY40:DFZ40"/>
    <mergeCell ref="DFC40:DFD40"/>
    <mergeCell ref="DFE40:DFF40"/>
    <mergeCell ref="DFG40:DFH40"/>
    <mergeCell ref="DFI40:DFJ40"/>
    <mergeCell ref="DFK40:DFL40"/>
    <mergeCell ref="DFM40:DFN40"/>
    <mergeCell ref="DEQ40:DER40"/>
    <mergeCell ref="DES40:DET40"/>
    <mergeCell ref="DEU40:DEV40"/>
    <mergeCell ref="DEW40:DEX40"/>
    <mergeCell ref="DEY40:DEZ40"/>
    <mergeCell ref="DFA40:DFB40"/>
    <mergeCell ref="DJS40:DJT40"/>
    <mergeCell ref="DJU40:DJV40"/>
    <mergeCell ref="DJW40:DJX40"/>
    <mergeCell ref="DJY40:DJZ40"/>
    <mergeCell ref="DKA40:DKB40"/>
    <mergeCell ref="DKC40:DKD40"/>
    <mergeCell ref="DJG40:DJH40"/>
    <mergeCell ref="DJI40:DJJ40"/>
    <mergeCell ref="DJK40:DJL40"/>
    <mergeCell ref="DJM40:DJN40"/>
    <mergeCell ref="DJO40:DJP40"/>
    <mergeCell ref="DJQ40:DJR40"/>
    <mergeCell ref="DIU40:DIV40"/>
    <mergeCell ref="DIW40:DIX40"/>
    <mergeCell ref="DIY40:DIZ40"/>
    <mergeCell ref="DJA40:DJB40"/>
    <mergeCell ref="DJC40:DJD40"/>
    <mergeCell ref="DJE40:DJF40"/>
    <mergeCell ref="DII40:DIJ40"/>
    <mergeCell ref="DIK40:DIL40"/>
    <mergeCell ref="DIM40:DIN40"/>
    <mergeCell ref="DIO40:DIP40"/>
    <mergeCell ref="DIQ40:DIR40"/>
    <mergeCell ref="DIS40:DIT40"/>
    <mergeCell ref="DHW40:DHX40"/>
    <mergeCell ref="DHY40:DHZ40"/>
    <mergeCell ref="DIA40:DIB40"/>
    <mergeCell ref="DIC40:DID40"/>
    <mergeCell ref="DIE40:DIF40"/>
    <mergeCell ref="DIG40:DIH40"/>
    <mergeCell ref="DHK40:DHL40"/>
    <mergeCell ref="DHM40:DHN40"/>
    <mergeCell ref="DHO40:DHP40"/>
    <mergeCell ref="DHQ40:DHR40"/>
    <mergeCell ref="DHS40:DHT40"/>
    <mergeCell ref="DHU40:DHV40"/>
    <mergeCell ref="DMM40:DMN40"/>
    <mergeCell ref="DMO40:DMP40"/>
    <mergeCell ref="DMQ40:DMR40"/>
    <mergeCell ref="DMS40:DMT40"/>
    <mergeCell ref="DMU40:DMV40"/>
    <mergeCell ref="DMW40:DMX40"/>
    <mergeCell ref="DMA40:DMB40"/>
    <mergeCell ref="DMC40:DMD40"/>
    <mergeCell ref="DME40:DMF40"/>
    <mergeCell ref="DMG40:DMH40"/>
    <mergeCell ref="DMI40:DMJ40"/>
    <mergeCell ref="DMK40:DML40"/>
    <mergeCell ref="DLO40:DLP40"/>
    <mergeCell ref="DLQ40:DLR40"/>
    <mergeCell ref="DLS40:DLT40"/>
    <mergeCell ref="DLU40:DLV40"/>
    <mergeCell ref="DLW40:DLX40"/>
    <mergeCell ref="DLY40:DLZ40"/>
    <mergeCell ref="DLC40:DLD40"/>
    <mergeCell ref="DLE40:DLF40"/>
    <mergeCell ref="DLG40:DLH40"/>
    <mergeCell ref="DLI40:DLJ40"/>
    <mergeCell ref="DLK40:DLL40"/>
    <mergeCell ref="DLM40:DLN40"/>
    <mergeCell ref="DKQ40:DKR40"/>
    <mergeCell ref="DKS40:DKT40"/>
    <mergeCell ref="DKU40:DKV40"/>
    <mergeCell ref="DKW40:DKX40"/>
    <mergeCell ref="DKY40:DKZ40"/>
    <mergeCell ref="DLA40:DLB40"/>
    <mergeCell ref="DKE40:DKF40"/>
    <mergeCell ref="DKG40:DKH40"/>
    <mergeCell ref="DKI40:DKJ40"/>
    <mergeCell ref="DKK40:DKL40"/>
    <mergeCell ref="DKM40:DKN40"/>
    <mergeCell ref="DKO40:DKP40"/>
    <mergeCell ref="DPG40:DPH40"/>
    <mergeCell ref="DPI40:DPJ40"/>
    <mergeCell ref="DPK40:DPL40"/>
    <mergeCell ref="DPM40:DPN40"/>
    <mergeCell ref="DPO40:DPP40"/>
    <mergeCell ref="DPQ40:DPR40"/>
    <mergeCell ref="DOU40:DOV40"/>
    <mergeCell ref="DOW40:DOX40"/>
    <mergeCell ref="DOY40:DOZ40"/>
    <mergeCell ref="DPA40:DPB40"/>
    <mergeCell ref="DPC40:DPD40"/>
    <mergeCell ref="DPE40:DPF40"/>
    <mergeCell ref="DOI40:DOJ40"/>
    <mergeCell ref="DOK40:DOL40"/>
    <mergeCell ref="DOM40:DON40"/>
    <mergeCell ref="DOO40:DOP40"/>
    <mergeCell ref="DOQ40:DOR40"/>
    <mergeCell ref="DOS40:DOT40"/>
    <mergeCell ref="DNW40:DNX40"/>
    <mergeCell ref="DNY40:DNZ40"/>
    <mergeCell ref="DOA40:DOB40"/>
    <mergeCell ref="DOC40:DOD40"/>
    <mergeCell ref="DOE40:DOF40"/>
    <mergeCell ref="DOG40:DOH40"/>
    <mergeCell ref="DNK40:DNL40"/>
    <mergeCell ref="DNM40:DNN40"/>
    <mergeCell ref="DNO40:DNP40"/>
    <mergeCell ref="DNQ40:DNR40"/>
    <mergeCell ref="DNS40:DNT40"/>
    <mergeCell ref="DNU40:DNV40"/>
    <mergeCell ref="DMY40:DMZ40"/>
    <mergeCell ref="DNA40:DNB40"/>
    <mergeCell ref="DNC40:DND40"/>
    <mergeCell ref="DNE40:DNF40"/>
    <mergeCell ref="DNG40:DNH40"/>
    <mergeCell ref="DNI40:DNJ40"/>
    <mergeCell ref="DSA40:DSB40"/>
    <mergeCell ref="DSC40:DSD40"/>
    <mergeCell ref="DSE40:DSF40"/>
    <mergeCell ref="DSG40:DSH40"/>
    <mergeCell ref="DSI40:DSJ40"/>
    <mergeCell ref="DSK40:DSL40"/>
    <mergeCell ref="DRO40:DRP40"/>
    <mergeCell ref="DRQ40:DRR40"/>
    <mergeCell ref="DRS40:DRT40"/>
    <mergeCell ref="DRU40:DRV40"/>
    <mergeCell ref="DRW40:DRX40"/>
    <mergeCell ref="DRY40:DRZ40"/>
    <mergeCell ref="DRC40:DRD40"/>
    <mergeCell ref="DRE40:DRF40"/>
    <mergeCell ref="DRG40:DRH40"/>
    <mergeCell ref="DRI40:DRJ40"/>
    <mergeCell ref="DRK40:DRL40"/>
    <mergeCell ref="DRM40:DRN40"/>
    <mergeCell ref="DQQ40:DQR40"/>
    <mergeCell ref="DQS40:DQT40"/>
    <mergeCell ref="DQU40:DQV40"/>
    <mergeCell ref="DQW40:DQX40"/>
    <mergeCell ref="DQY40:DQZ40"/>
    <mergeCell ref="DRA40:DRB40"/>
    <mergeCell ref="DQE40:DQF40"/>
    <mergeCell ref="DQG40:DQH40"/>
    <mergeCell ref="DQI40:DQJ40"/>
    <mergeCell ref="DQK40:DQL40"/>
    <mergeCell ref="DQM40:DQN40"/>
    <mergeCell ref="DQO40:DQP40"/>
    <mergeCell ref="DPS40:DPT40"/>
    <mergeCell ref="DPU40:DPV40"/>
    <mergeCell ref="DPW40:DPX40"/>
    <mergeCell ref="DPY40:DPZ40"/>
    <mergeCell ref="DQA40:DQB40"/>
    <mergeCell ref="DQC40:DQD40"/>
    <mergeCell ref="DUU40:DUV40"/>
    <mergeCell ref="DUW40:DUX40"/>
    <mergeCell ref="DUY40:DUZ40"/>
    <mergeCell ref="DVA40:DVB40"/>
    <mergeCell ref="DVC40:DVD40"/>
    <mergeCell ref="DVE40:DVF40"/>
    <mergeCell ref="DUI40:DUJ40"/>
    <mergeCell ref="DUK40:DUL40"/>
    <mergeCell ref="DUM40:DUN40"/>
    <mergeCell ref="DUO40:DUP40"/>
    <mergeCell ref="DUQ40:DUR40"/>
    <mergeCell ref="DUS40:DUT40"/>
    <mergeCell ref="DTW40:DTX40"/>
    <mergeCell ref="DTY40:DTZ40"/>
    <mergeCell ref="DUA40:DUB40"/>
    <mergeCell ref="DUC40:DUD40"/>
    <mergeCell ref="DUE40:DUF40"/>
    <mergeCell ref="DUG40:DUH40"/>
    <mergeCell ref="DTK40:DTL40"/>
    <mergeCell ref="DTM40:DTN40"/>
    <mergeCell ref="DTO40:DTP40"/>
    <mergeCell ref="DTQ40:DTR40"/>
    <mergeCell ref="DTS40:DTT40"/>
    <mergeCell ref="DTU40:DTV40"/>
    <mergeCell ref="DSY40:DSZ40"/>
    <mergeCell ref="DTA40:DTB40"/>
    <mergeCell ref="DTC40:DTD40"/>
    <mergeCell ref="DTE40:DTF40"/>
    <mergeCell ref="DTG40:DTH40"/>
    <mergeCell ref="DTI40:DTJ40"/>
    <mergeCell ref="DSM40:DSN40"/>
    <mergeCell ref="DSO40:DSP40"/>
    <mergeCell ref="DSQ40:DSR40"/>
    <mergeCell ref="DSS40:DST40"/>
    <mergeCell ref="DSU40:DSV40"/>
    <mergeCell ref="DSW40:DSX40"/>
    <mergeCell ref="DXO40:DXP40"/>
    <mergeCell ref="DXQ40:DXR40"/>
    <mergeCell ref="DXS40:DXT40"/>
    <mergeCell ref="DXU40:DXV40"/>
    <mergeCell ref="DXW40:DXX40"/>
    <mergeCell ref="DXY40:DXZ40"/>
    <mergeCell ref="DXC40:DXD40"/>
    <mergeCell ref="DXE40:DXF40"/>
    <mergeCell ref="DXG40:DXH40"/>
    <mergeCell ref="DXI40:DXJ40"/>
    <mergeCell ref="DXK40:DXL40"/>
    <mergeCell ref="DXM40:DXN40"/>
    <mergeCell ref="DWQ40:DWR40"/>
    <mergeCell ref="DWS40:DWT40"/>
    <mergeCell ref="DWU40:DWV40"/>
    <mergeCell ref="DWW40:DWX40"/>
    <mergeCell ref="DWY40:DWZ40"/>
    <mergeCell ref="DXA40:DXB40"/>
    <mergeCell ref="DWE40:DWF40"/>
    <mergeCell ref="DWG40:DWH40"/>
    <mergeCell ref="DWI40:DWJ40"/>
    <mergeCell ref="DWK40:DWL40"/>
    <mergeCell ref="DWM40:DWN40"/>
    <mergeCell ref="DWO40:DWP40"/>
    <mergeCell ref="DVS40:DVT40"/>
    <mergeCell ref="DVU40:DVV40"/>
    <mergeCell ref="DVW40:DVX40"/>
    <mergeCell ref="DVY40:DVZ40"/>
    <mergeCell ref="DWA40:DWB40"/>
    <mergeCell ref="DWC40:DWD40"/>
    <mergeCell ref="DVG40:DVH40"/>
    <mergeCell ref="DVI40:DVJ40"/>
    <mergeCell ref="DVK40:DVL40"/>
    <mergeCell ref="DVM40:DVN40"/>
    <mergeCell ref="DVO40:DVP40"/>
    <mergeCell ref="DVQ40:DVR40"/>
    <mergeCell ref="EAI40:EAJ40"/>
    <mergeCell ref="EAK40:EAL40"/>
    <mergeCell ref="EAM40:EAN40"/>
    <mergeCell ref="EAO40:EAP40"/>
    <mergeCell ref="EAQ40:EAR40"/>
    <mergeCell ref="EAS40:EAT40"/>
    <mergeCell ref="DZW40:DZX40"/>
    <mergeCell ref="DZY40:DZZ40"/>
    <mergeCell ref="EAA40:EAB40"/>
    <mergeCell ref="EAC40:EAD40"/>
    <mergeCell ref="EAE40:EAF40"/>
    <mergeCell ref="EAG40:EAH40"/>
    <mergeCell ref="DZK40:DZL40"/>
    <mergeCell ref="DZM40:DZN40"/>
    <mergeCell ref="DZO40:DZP40"/>
    <mergeCell ref="DZQ40:DZR40"/>
    <mergeCell ref="DZS40:DZT40"/>
    <mergeCell ref="DZU40:DZV40"/>
    <mergeCell ref="DYY40:DYZ40"/>
    <mergeCell ref="DZA40:DZB40"/>
    <mergeCell ref="DZC40:DZD40"/>
    <mergeCell ref="DZE40:DZF40"/>
    <mergeCell ref="DZG40:DZH40"/>
    <mergeCell ref="DZI40:DZJ40"/>
    <mergeCell ref="DYM40:DYN40"/>
    <mergeCell ref="DYO40:DYP40"/>
    <mergeCell ref="DYQ40:DYR40"/>
    <mergeCell ref="DYS40:DYT40"/>
    <mergeCell ref="DYU40:DYV40"/>
    <mergeCell ref="DYW40:DYX40"/>
    <mergeCell ref="DYA40:DYB40"/>
    <mergeCell ref="DYC40:DYD40"/>
    <mergeCell ref="DYE40:DYF40"/>
    <mergeCell ref="DYG40:DYH40"/>
    <mergeCell ref="DYI40:DYJ40"/>
    <mergeCell ref="DYK40:DYL40"/>
    <mergeCell ref="EDC40:EDD40"/>
    <mergeCell ref="EDE40:EDF40"/>
    <mergeCell ref="EDG40:EDH40"/>
    <mergeCell ref="EDI40:EDJ40"/>
    <mergeCell ref="EDK40:EDL40"/>
    <mergeCell ref="EDM40:EDN40"/>
    <mergeCell ref="ECQ40:ECR40"/>
    <mergeCell ref="ECS40:ECT40"/>
    <mergeCell ref="ECU40:ECV40"/>
    <mergeCell ref="ECW40:ECX40"/>
    <mergeCell ref="ECY40:ECZ40"/>
    <mergeCell ref="EDA40:EDB40"/>
    <mergeCell ref="ECE40:ECF40"/>
    <mergeCell ref="ECG40:ECH40"/>
    <mergeCell ref="ECI40:ECJ40"/>
    <mergeCell ref="ECK40:ECL40"/>
    <mergeCell ref="ECM40:ECN40"/>
    <mergeCell ref="ECO40:ECP40"/>
    <mergeCell ref="EBS40:EBT40"/>
    <mergeCell ref="EBU40:EBV40"/>
    <mergeCell ref="EBW40:EBX40"/>
    <mergeCell ref="EBY40:EBZ40"/>
    <mergeCell ref="ECA40:ECB40"/>
    <mergeCell ref="ECC40:ECD40"/>
    <mergeCell ref="EBG40:EBH40"/>
    <mergeCell ref="EBI40:EBJ40"/>
    <mergeCell ref="EBK40:EBL40"/>
    <mergeCell ref="EBM40:EBN40"/>
    <mergeCell ref="EBO40:EBP40"/>
    <mergeCell ref="EBQ40:EBR40"/>
    <mergeCell ref="EAU40:EAV40"/>
    <mergeCell ref="EAW40:EAX40"/>
    <mergeCell ref="EAY40:EAZ40"/>
    <mergeCell ref="EBA40:EBB40"/>
    <mergeCell ref="EBC40:EBD40"/>
    <mergeCell ref="EBE40:EBF40"/>
    <mergeCell ref="EFW40:EFX40"/>
    <mergeCell ref="EFY40:EFZ40"/>
    <mergeCell ref="EGA40:EGB40"/>
    <mergeCell ref="EGC40:EGD40"/>
    <mergeCell ref="EGE40:EGF40"/>
    <mergeCell ref="EGG40:EGH40"/>
    <mergeCell ref="EFK40:EFL40"/>
    <mergeCell ref="EFM40:EFN40"/>
    <mergeCell ref="EFO40:EFP40"/>
    <mergeCell ref="EFQ40:EFR40"/>
    <mergeCell ref="EFS40:EFT40"/>
    <mergeCell ref="EFU40:EFV40"/>
    <mergeCell ref="EEY40:EEZ40"/>
    <mergeCell ref="EFA40:EFB40"/>
    <mergeCell ref="EFC40:EFD40"/>
    <mergeCell ref="EFE40:EFF40"/>
    <mergeCell ref="EFG40:EFH40"/>
    <mergeCell ref="EFI40:EFJ40"/>
    <mergeCell ref="EEM40:EEN40"/>
    <mergeCell ref="EEO40:EEP40"/>
    <mergeCell ref="EEQ40:EER40"/>
    <mergeCell ref="EES40:EET40"/>
    <mergeCell ref="EEU40:EEV40"/>
    <mergeCell ref="EEW40:EEX40"/>
    <mergeCell ref="EEA40:EEB40"/>
    <mergeCell ref="EEC40:EED40"/>
    <mergeCell ref="EEE40:EEF40"/>
    <mergeCell ref="EEG40:EEH40"/>
    <mergeCell ref="EEI40:EEJ40"/>
    <mergeCell ref="EEK40:EEL40"/>
    <mergeCell ref="EDO40:EDP40"/>
    <mergeCell ref="EDQ40:EDR40"/>
    <mergeCell ref="EDS40:EDT40"/>
    <mergeCell ref="EDU40:EDV40"/>
    <mergeCell ref="EDW40:EDX40"/>
    <mergeCell ref="EDY40:EDZ40"/>
    <mergeCell ref="EIQ40:EIR40"/>
    <mergeCell ref="EIS40:EIT40"/>
    <mergeCell ref="EIU40:EIV40"/>
    <mergeCell ref="EIW40:EIX40"/>
    <mergeCell ref="EIY40:EIZ40"/>
    <mergeCell ref="EJA40:EJB40"/>
    <mergeCell ref="EIE40:EIF40"/>
    <mergeCell ref="EIG40:EIH40"/>
    <mergeCell ref="EII40:EIJ40"/>
    <mergeCell ref="EIK40:EIL40"/>
    <mergeCell ref="EIM40:EIN40"/>
    <mergeCell ref="EIO40:EIP40"/>
    <mergeCell ref="EHS40:EHT40"/>
    <mergeCell ref="EHU40:EHV40"/>
    <mergeCell ref="EHW40:EHX40"/>
    <mergeCell ref="EHY40:EHZ40"/>
    <mergeCell ref="EIA40:EIB40"/>
    <mergeCell ref="EIC40:EID40"/>
    <mergeCell ref="EHG40:EHH40"/>
    <mergeCell ref="EHI40:EHJ40"/>
    <mergeCell ref="EHK40:EHL40"/>
    <mergeCell ref="EHM40:EHN40"/>
    <mergeCell ref="EHO40:EHP40"/>
    <mergeCell ref="EHQ40:EHR40"/>
    <mergeCell ref="EGU40:EGV40"/>
    <mergeCell ref="EGW40:EGX40"/>
    <mergeCell ref="EGY40:EGZ40"/>
    <mergeCell ref="EHA40:EHB40"/>
    <mergeCell ref="EHC40:EHD40"/>
    <mergeCell ref="EHE40:EHF40"/>
    <mergeCell ref="EGI40:EGJ40"/>
    <mergeCell ref="EGK40:EGL40"/>
    <mergeCell ref="EGM40:EGN40"/>
    <mergeCell ref="EGO40:EGP40"/>
    <mergeCell ref="EGQ40:EGR40"/>
    <mergeCell ref="EGS40:EGT40"/>
    <mergeCell ref="ELK40:ELL40"/>
    <mergeCell ref="ELM40:ELN40"/>
    <mergeCell ref="ELO40:ELP40"/>
    <mergeCell ref="ELQ40:ELR40"/>
    <mergeCell ref="ELS40:ELT40"/>
    <mergeCell ref="ELU40:ELV40"/>
    <mergeCell ref="EKY40:EKZ40"/>
    <mergeCell ref="ELA40:ELB40"/>
    <mergeCell ref="ELC40:ELD40"/>
    <mergeCell ref="ELE40:ELF40"/>
    <mergeCell ref="ELG40:ELH40"/>
    <mergeCell ref="ELI40:ELJ40"/>
    <mergeCell ref="EKM40:EKN40"/>
    <mergeCell ref="EKO40:EKP40"/>
    <mergeCell ref="EKQ40:EKR40"/>
    <mergeCell ref="EKS40:EKT40"/>
    <mergeCell ref="EKU40:EKV40"/>
    <mergeCell ref="EKW40:EKX40"/>
    <mergeCell ref="EKA40:EKB40"/>
    <mergeCell ref="EKC40:EKD40"/>
    <mergeCell ref="EKE40:EKF40"/>
    <mergeCell ref="EKG40:EKH40"/>
    <mergeCell ref="EKI40:EKJ40"/>
    <mergeCell ref="EKK40:EKL40"/>
    <mergeCell ref="EJO40:EJP40"/>
    <mergeCell ref="EJQ40:EJR40"/>
    <mergeCell ref="EJS40:EJT40"/>
    <mergeCell ref="EJU40:EJV40"/>
    <mergeCell ref="EJW40:EJX40"/>
    <mergeCell ref="EJY40:EJZ40"/>
    <mergeCell ref="EJC40:EJD40"/>
    <mergeCell ref="EJE40:EJF40"/>
    <mergeCell ref="EJG40:EJH40"/>
    <mergeCell ref="EJI40:EJJ40"/>
    <mergeCell ref="EJK40:EJL40"/>
    <mergeCell ref="EJM40:EJN40"/>
    <mergeCell ref="EOE40:EOF40"/>
    <mergeCell ref="EOG40:EOH40"/>
    <mergeCell ref="EOI40:EOJ40"/>
    <mergeCell ref="EOK40:EOL40"/>
    <mergeCell ref="EOM40:EON40"/>
    <mergeCell ref="EOO40:EOP40"/>
    <mergeCell ref="ENS40:ENT40"/>
    <mergeCell ref="ENU40:ENV40"/>
    <mergeCell ref="ENW40:ENX40"/>
    <mergeCell ref="ENY40:ENZ40"/>
    <mergeCell ref="EOA40:EOB40"/>
    <mergeCell ref="EOC40:EOD40"/>
    <mergeCell ref="ENG40:ENH40"/>
    <mergeCell ref="ENI40:ENJ40"/>
    <mergeCell ref="ENK40:ENL40"/>
    <mergeCell ref="ENM40:ENN40"/>
    <mergeCell ref="ENO40:ENP40"/>
    <mergeCell ref="ENQ40:ENR40"/>
    <mergeCell ref="EMU40:EMV40"/>
    <mergeCell ref="EMW40:EMX40"/>
    <mergeCell ref="EMY40:EMZ40"/>
    <mergeCell ref="ENA40:ENB40"/>
    <mergeCell ref="ENC40:END40"/>
    <mergeCell ref="ENE40:ENF40"/>
    <mergeCell ref="EMI40:EMJ40"/>
    <mergeCell ref="EMK40:EML40"/>
    <mergeCell ref="EMM40:EMN40"/>
    <mergeCell ref="EMO40:EMP40"/>
    <mergeCell ref="EMQ40:EMR40"/>
    <mergeCell ref="EMS40:EMT40"/>
    <mergeCell ref="ELW40:ELX40"/>
    <mergeCell ref="ELY40:ELZ40"/>
    <mergeCell ref="EMA40:EMB40"/>
    <mergeCell ref="EMC40:EMD40"/>
    <mergeCell ref="EME40:EMF40"/>
    <mergeCell ref="EMG40:EMH40"/>
    <mergeCell ref="EQY40:EQZ40"/>
    <mergeCell ref="ERA40:ERB40"/>
    <mergeCell ref="ERC40:ERD40"/>
    <mergeCell ref="ERE40:ERF40"/>
    <mergeCell ref="ERG40:ERH40"/>
    <mergeCell ref="ERI40:ERJ40"/>
    <mergeCell ref="EQM40:EQN40"/>
    <mergeCell ref="EQO40:EQP40"/>
    <mergeCell ref="EQQ40:EQR40"/>
    <mergeCell ref="EQS40:EQT40"/>
    <mergeCell ref="EQU40:EQV40"/>
    <mergeCell ref="EQW40:EQX40"/>
    <mergeCell ref="EQA40:EQB40"/>
    <mergeCell ref="EQC40:EQD40"/>
    <mergeCell ref="EQE40:EQF40"/>
    <mergeCell ref="EQG40:EQH40"/>
    <mergeCell ref="EQI40:EQJ40"/>
    <mergeCell ref="EQK40:EQL40"/>
    <mergeCell ref="EPO40:EPP40"/>
    <mergeCell ref="EPQ40:EPR40"/>
    <mergeCell ref="EPS40:EPT40"/>
    <mergeCell ref="EPU40:EPV40"/>
    <mergeCell ref="EPW40:EPX40"/>
    <mergeCell ref="EPY40:EPZ40"/>
    <mergeCell ref="EPC40:EPD40"/>
    <mergeCell ref="EPE40:EPF40"/>
    <mergeCell ref="EPG40:EPH40"/>
    <mergeCell ref="EPI40:EPJ40"/>
    <mergeCell ref="EPK40:EPL40"/>
    <mergeCell ref="EPM40:EPN40"/>
    <mergeCell ref="EOQ40:EOR40"/>
    <mergeCell ref="EOS40:EOT40"/>
    <mergeCell ref="EOU40:EOV40"/>
    <mergeCell ref="EOW40:EOX40"/>
    <mergeCell ref="EOY40:EOZ40"/>
    <mergeCell ref="EPA40:EPB40"/>
    <mergeCell ref="ETS40:ETT40"/>
    <mergeCell ref="ETU40:ETV40"/>
    <mergeCell ref="ETW40:ETX40"/>
    <mergeCell ref="ETY40:ETZ40"/>
    <mergeCell ref="EUA40:EUB40"/>
    <mergeCell ref="EUC40:EUD40"/>
    <mergeCell ref="ETG40:ETH40"/>
    <mergeCell ref="ETI40:ETJ40"/>
    <mergeCell ref="ETK40:ETL40"/>
    <mergeCell ref="ETM40:ETN40"/>
    <mergeCell ref="ETO40:ETP40"/>
    <mergeCell ref="ETQ40:ETR40"/>
    <mergeCell ref="ESU40:ESV40"/>
    <mergeCell ref="ESW40:ESX40"/>
    <mergeCell ref="ESY40:ESZ40"/>
    <mergeCell ref="ETA40:ETB40"/>
    <mergeCell ref="ETC40:ETD40"/>
    <mergeCell ref="ETE40:ETF40"/>
    <mergeCell ref="ESI40:ESJ40"/>
    <mergeCell ref="ESK40:ESL40"/>
    <mergeCell ref="ESM40:ESN40"/>
    <mergeCell ref="ESO40:ESP40"/>
    <mergeCell ref="ESQ40:ESR40"/>
    <mergeCell ref="ESS40:EST40"/>
    <mergeCell ref="ERW40:ERX40"/>
    <mergeCell ref="ERY40:ERZ40"/>
    <mergeCell ref="ESA40:ESB40"/>
    <mergeCell ref="ESC40:ESD40"/>
    <mergeCell ref="ESE40:ESF40"/>
    <mergeCell ref="ESG40:ESH40"/>
    <mergeCell ref="ERK40:ERL40"/>
    <mergeCell ref="ERM40:ERN40"/>
    <mergeCell ref="ERO40:ERP40"/>
    <mergeCell ref="ERQ40:ERR40"/>
    <mergeCell ref="ERS40:ERT40"/>
    <mergeCell ref="ERU40:ERV40"/>
    <mergeCell ref="EWM40:EWN40"/>
    <mergeCell ref="EWO40:EWP40"/>
    <mergeCell ref="EWQ40:EWR40"/>
    <mergeCell ref="EWS40:EWT40"/>
    <mergeCell ref="EWU40:EWV40"/>
    <mergeCell ref="EWW40:EWX40"/>
    <mergeCell ref="EWA40:EWB40"/>
    <mergeCell ref="EWC40:EWD40"/>
    <mergeCell ref="EWE40:EWF40"/>
    <mergeCell ref="EWG40:EWH40"/>
    <mergeCell ref="EWI40:EWJ40"/>
    <mergeCell ref="EWK40:EWL40"/>
    <mergeCell ref="EVO40:EVP40"/>
    <mergeCell ref="EVQ40:EVR40"/>
    <mergeCell ref="EVS40:EVT40"/>
    <mergeCell ref="EVU40:EVV40"/>
    <mergeCell ref="EVW40:EVX40"/>
    <mergeCell ref="EVY40:EVZ40"/>
    <mergeCell ref="EVC40:EVD40"/>
    <mergeCell ref="EVE40:EVF40"/>
    <mergeCell ref="EVG40:EVH40"/>
    <mergeCell ref="EVI40:EVJ40"/>
    <mergeCell ref="EVK40:EVL40"/>
    <mergeCell ref="EVM40:EVN40"/>
    <mergeCell ref="EUQ40:EUR40"/>
    <mergeCell ref="EUS40:EUT40"/>
    <mergeCell ref="EUU40:EUV40"/>
    <mergeCell ref="EUW40:EUX40"/>
    <mergeCell ref="EUY40:EUZ40"/>
    <mergeCell ref="EVA40:EVB40"/>
    <mergeCell ref="EUE40:EUF40"/>
    <mergeCell ref="EUG40:EUH40"/>
    <mergeCell ref="EUI40:EUJ40"/>
    <mergeCell ref="EUK40:EUL40"/>
    <mergeCell ref="EUM40:EUN40"/>
    <mergeCell ref="EUO40:EUP40"/>
    <mergeCell ref="EZG40:EZH40"/>
    <mergeCell ref="EZI40:EZJ40"/>
    <mergeCell ref="EZK40:EZL40"/>
    <mergeCell ref="EZM40:EZN40"/>
    <mergeCell ref="EZO40:EZP40"/>
    <mergeCell ref="EZQ40:EZR40"/>
    <mergeCell ref="EYU40:EYV40"/>
    <mergeCell ref="EYW40:EYX40"/>
    <mergeCell ref="EYY40:EYZ40"/>
    <mergeCell ref="EZA40:EZB40"/>
    <mergeCell ref="EZC40:EZD40"/>
    <mergeCell ref="EZE40:EZF40"/>
    <mergeCell ref="EYI40:EYJ40"/>
    <mergeCell ref="EYK40:EYL40"/>
    <mergeCell ref="EYM40:EYN40"/>
    <mergeCell ref="EYO40:EYP40"/>
    <mergeCell ref="EYQ40:EYR40"/>
    <mergeCell ref="EYS40:EYT40"/>
    <mergeCell ref="EXW40:EXX40"/>
    <mergeCell ref="EXY40:EXZ40"/>
    <mergeCell ref="EYA40:EYB40"/>
    <mergeCell ref="EYC40:EYD40"/>
    <mergeCell ref="EYE40:EYF40"/>
    <mergeCell ref="EYG40:EYH40"/>
    <mergeCell ref="EXK40:EXL40"/>
    <mergeCell ref="EXM40:EXN40"/>
    <mergeCell ref="EXO40:EXP40"/>
    <mergeCell ref="EXQ40:EXR40"/>
    <mergeCell ref="EXS40:EXT40"/>
    <mergeCell ref="EXU40:EXV40"/>
    <mergeCell ref="EWY40:EWZ40"/>
    <mergeCell ref="EXA40:EXB40"/>
    <mergeCell ref="EXC40:EXD40"/>
    <mergeCell ref="EXE40:EXF40"/>
    <mergeCell ref="EXG40:EXH40"/>
    <mergeCell ref="EXI40:EXJ40"/>
    <mergeCell ref="FCA40:FCB40"/>
    <mergeCell ref="FCC40:FCD40"/>
    <mergeCell ref="FCE40:FCF40"/>
    <mergeCell ref="FCG40:FCH40"/>
    <mergeCell ref="FCI40:FCJ40"/>
    <mergeCell ref="FCK40:FCL40"/>
    <mergeCell ref="FBO40:FBP40"/>
    <mergeCell ref="FBQ40:FBR40"/>
    <mergeCell ref="FBS40:FBT40"/>
    <mergeCell ref="FBU40:FBV40"/>
    <mergeCell ref="FBW40:FBX40"/>
    <mergeCell ref="FBY40:FBZ40"/>
    <mergeCell ref="FBC40:FBD40"/>
    <mergeCell ref="FBE40:FBF40"/>
    <mergeCell ref="FBG40:FBH40"/>
    <mergeCell ref="FBI40:FBJ40"/>
    <mergeCell ref="FBK40:FBL40"/>
    <mergeCell ref="FBM40:FBN40"/>
    <mergeCell ref="FAQ40:FAR40"/>
    <mergeCell ref="FAS40:FAT40"/>
    <mergeCell ref="FAU40:FAV40"/>
    <mergeCell ref="FAW40:FAX40"/>
    <mergeCell ref="FAY40:FAZ40"/>
    <mergeCell ref="FBA40:FBB40"/>
    <mergeCell ref="FAE40:FAF40"/>
    <mergeCell ref="FAG40:FAH40"/>
    <mergeCell ref="FAI40:FAJ40"/>
    <mergeCell ref="FAK40:FAL40"/>
    <mergeCell ref="FAM40:FAN40"/>
    <mergeCell ref="FAO40:FAP40"/>
    <mergeCell ref="EZS40:EZT40"/>
    <mergeCell ref="EZU40:EZV40"/>
    <mergeCell ref="EZW40:EZX40"/>
    <mergeCell ref="EZY40:EZZ40"/>
    <mergeCell ref="FAA40:FAB40"/>
    <mergeCell ref="FAC40:FAD40"/>
    <mergeCell ref="FEU40:FEV40"/>
    <mergeCell ref="FEW40:FEX40"/>
    <mergeCell ref="FEY40:FEZ40"/>
    <mergeCell ref="FFA40:FFB40"/>
    <mergeCell ref="FFC40:FFD40"/>
    <mergeCell ref="FFE40:FFF40"/>
    <mergeCell ref="FEI40:FEJ40"/>
    <mergeCell ref="FEK40:FEL40"/>
    <mergeCell ref="FEM40:FEN40"/>
    <mergeCell ref="FEO40:FEP40"/>
    <mergeCell ref="FEQ40:FER40"/>
    <mergeCell ref="FES40:FET40"/>
    <mergeCell ref="FDW40:FDX40"/>
    <mergeCell ref="FDY40:FDZ40"/>
    <mergeCell ref="FEA40:FEB40"/>
    <mergeCell ref="FEC40:FED40"/>
    <mergeCell ref="FEE40:FEF40"/>
    <mergeCell ref="FEG40:FEH40"/>
    <mergeCell ref="FDK40:FDL40"/>
    <mergeCell ref="FDM40:FDN40"/>
    <mergeCell ref="FDO40:FDP40"/>
    <mergeCell ref="FDQ40:FDR40"/>
    <mergeCell ref="FDS40:FDT40"/>
    <mergeCell ref="FDU40:FDV40"/>
    <mergeCell ref="FCY40:FCZ40"/>
    <mergeCell ref="FDA40:FDB40"/>
    <mergeCell ref="FDC40:FDD40"/>
    <mergeCell ref="FDE40:FDF40"/>
    <mergeCell ref="FDG40:FDH40"/>
    <mergeCell ref="FDI40:FDJ40"/>
    <mergeCell ref="FCM40:FCN40"/>
    <mergeCell ref="FCO40:FCP40"/>
    <mergeCell ref="FCQ40:FCR40"/>
    <mergeCell ref="FCS40:FCT40"/>
    <mergeCell ref="FCU40:FCV40"/>
    <mergeCell ref="FCW40:FCX40"/>
    <mergeCell ref="FHO40:FHP40"/>
    <mergeCell ref="FHQ40:FHR40"/>
    <mergeCell ref="FHS40:FHT40"/>
    <mergeCell ref="FHU40:FHV40"/>
    <mergeCell ref="FHW40:FHX40"/>
    <mergeCell ref="FHY40:FHZ40"/>
    <mergeCell ref="FHC40:FHD40"/>
    <mergeCell ref="FHE40:FHF40"/>
    <mergeCell ref="FHG40:FHH40"/>
    <mergeCell ref="FHI40:FHJ40"/>
    <mergeCell ref="FHK40:FHL40"/>
    <mergeCell ref="FHM40:FHN40"/>
    <mergeCell ref="FGQ40:FGR40"/>
    <mergeCell ref="FGS40:FGT40"/>
    <mergeCell ref="FGU40:FGV40"/>
    <mergeCell ref="FGW40:FGX40"/>
    <mergeCell ref="FGY40:FGZ40"/>
    <mergeCell ref="FHA40:FHB40"/>
    <mergeCell ref="FGE40:FGF40"/>
    <mergeCell ref="FGG40:FGH40"/>
    <mergeCell ref="FGI40:FGJ40"/>
    <mergeCell ref="FGK40:FGL40"/>
    <mergeCell ref="FGM40:FGN40"/>
    <mergeCell ref="FGO40:FGP40"/>
    <mergeCell ref="FFS40:FFT40"/>
    <mergeCell ref="FFU40:FFV40"/>
    <mergeCell ref="FFW40:FFX40"/>
    <mergeCell ref="FFY40:FFZ40"/>
    <mergeCell ref="FGA40:FGB40"/>
    <mergeCell ref="FGC40:FGD40"/>
    <mergeCell ref="FFG40:FFH40"/>
    <mergeCell ref="FFI40:FFJ40"/>
    <mergeCell ref="FFK40:FFL40"/>
    <mergeCell ref="FFM40:FFN40"/>
    <mergeCell ref="FFO40:FFP40"/>
    <mergeCell ref="FFQ40:FFR40"/>
    <mergeCell ref="FKI40:FKJ40"/>
    <mergeCell ref="FKK40:FKL40"/>
    <mergeCell ref="FKM40:FKN40"/>
    <mergeCell ref="FKO40:FKP40"/>
    <mergeCell ref="FKQ40:FKR40"/>
    <mergeCell ref="FKS40:FKT40"/>
    <mergeCell ref="FJW40:FJX40"/>
    <mergeCell ref="FJY40:FJZ40"/>
    <mergeCell ref="FKA40:FKB40"/>
    <mergeCell ref="FKC40:FKD40"/>
    <mergeCell ref="FKE40:FKF40"/>
    <mergeCell ref="FKG40:FKH40"/>
    <mergeCell ref="FJK40:FJL40"/>
    <mergeCell ref="FJM40:FJN40"/>
    <mergeCell ref="FJO40:FJP40"/>
    <mergeCell ref="FJQ40:FJR40"/>
    <mergeCell ref="FJS40:FJT40"/>
    <mergeCell ref="FJU40:FJV40"/>
    <mergeCell ref="FIY40:FIZ40"/>
    <mergeCell ref="FJA40:FJB40"/>
    <mergeCell ref="FJC40:FJD40"/>
    <mergeCell ref="FJE40:FJF40"/>
    <mergeCell ref="FJG40:FJH40"/>
    <mergeCell ref="FJI40:FJJ40"/>
    <mergeCell ref="FIM40:FIN40"/>
    <mergeCell ref="FIO40:FIP40"/>
    <mergeCell ref="FIQ40:FIR40"/>
    <mergeCell ref="FIS40:FIT40"/>
    <mergeCell ref="FIU40:FIV40"/>
    <mergeCell ref="FIW40:FIX40"/>
    <mergeCell ref="FIA40:FIB40"/>
    <mergeCell ref="FIC40:FID40"/>
    <mergeCell ref="FIE40:FIF40"/>
    <mergeCell ref="FIG40:FIH40"/>
    <mergeCell ref="FII40:FIJ40"/>
    <mergeCell ref="FIK40:FIL40"/>
    <mergeCell ref="FNC40:FND40"/>
    <mergeCell ref="FNE40:FNF40"/>
    <mergeCell ref="FNG40:FNH40"/>
    <mergeCell ref="FNI40:FNJ40"/>
    <mergeCell ref="FNK40:FNL40"/>
    <mergeCell ref="FNM40:FNN40"/>
    <mergeCell ref="FMQ40:FMR40"/>
    <mergeCell ref="FMS40:FMT40"/>
    <mergeCell ref="FMU40:FMV40"/>
    <mergeCell ref="FMW40:FMX40"/>
    <mergeCell ref="FMY40:FMZ40"/>
    <mergeCell ref="FNA40:FNB40"/>
    <mergeCell ref="FME40:FMF40"/>
    <mergeCell ref="FMG40:FMH40"/>
    <mergeCell ref="FMI40:FMJ40"/>
    <mergeCell ref="FMK40:FML40"/>
    <mergeCell ref="FMM40:FMN40"/>
    <mergeCell ref="FMO40:FMP40"/>
    <mergeCell ref="FLS40:FLT40"/>
    <mergeCell ref="FLU40:FLV40"/>
    <mergeCell ref="FLW40:FLX40"/>
    <mergeCell ref="FLY40:FLZ40"/>
    <mergeCell ref="FMA40:FMB40"/>
    <mergeCell ref="FMC40:FMD40"/>
    <mergeCell ref="FLG40:FLH40"/>
    <mergeCell ref="FLI40:FLJ40"/>
    <mergeCell ref="FLK40:FLL40"/>
    <mergeCell ref="FLM40:FLN40"/>
    <mergeCell ref="FLO40:FLP40"/>
    <mergeCell ref="FLQ40:FLR40"/>
    <mergeCell ref="FKU40:FKV40"/>
    <mergeCell ref="FKW40:FKX40"/>
    <mergeCell ref="FKY40:FKZ40"/>
    <mergeCell ref="FLA40:FLB40"/>
    <mergeCell ref="FLC40:FLD40"/>
    <mergeCell ref="FLE40:FLF40"/>
    <mergeCell ref="FPW40:FPX40"/>
    <mergeCell ref="FPY40:FPZ40"/>
    <mergeCell ref="FQA40:FQB40"/>
    <mergeCell ref="FQC40:FQD40"/>
    <mergeCell ref="FQE40:FQF40"/>
    <mergeCell ref="FQG40:FQH40"/>
    <mergeCell ref="FPK40:FPL40"/>
    <mergeCell ref="FPM40:FPN40"/>
    <mergeCell ref="FPO40:FPP40"/>
    <mergeCell ref="FPQ40:FPR40"/>
    <mergeCell ref="FPS40:FPT40"/>
    <mergeCell ref="FPU40:FPV40"/>
    <mergeCell ref="FOY40:FOZ40"/>
    <mergeCell ref="FPA40:FPB40"/>
    <mergeCell ref="FPC40:FPD40"/>
    <mergeCell ref="FPE40:FPF40"/>
    <mergeCell ref="FPG40:FPH40"/>
    <mergeCell ref="FPI40:FPJ40"/>
    <mergeCell ref="FOM40:FON40"/>
    <mergeCell ref="FOO40:FOP40"/>
    <mergeCell ref="FOQ40:FOR40"/>
    <mergeCell ref="FOS40:FOT40"/>
    <mergeCell ref="FOU40:FOV40"/>
    <mergeCell ref="FOW40:FOX40"/>
    <mergeCell ref="FOA40:FOB40"/>
    <mergeCell ref="FOC40:FOD40"/>
    <mergeCell ref="FOE40:FOF40"/>
    <mergeCell ref="FOG40:FOH40"/>
    <mergeCell ref="FOI40:FOJ40"/>
    <mergeCell ref="FOK40:FOL40"/>
    <mergeCell ref="FNO40:FNP40"/>
    <mergeCell ref="FNQ40:FNR40"/>
    <mergeCell ref="FNS40:FNT40"/>
    <mergeCell ref="FNU40:FNV40"/>
    <mergeCell ref="FNW40:FNX40"/>
    <mergeCell ref="FNY40:FNZ40"/>
    <mergeCell ref="FSQ40:FSR40"/>
    <mergeCell ref="FSS40:FST40"/>
    <mergeCell ref="FSU40:FSV40"/>
    <mergeCell ref="FSW40:FSX40"/>
    <mergeCell ref="FSY40:FSZ40"/>
    <mergeCell ref="FTA40:FTB40"/>
    <mergeCell ref="FSE40:FSF40"/>
    <mergeCell ref="FSG40:FSH40"/>
    <mergeCell ref="FSI40:FSJ40"/>
    <mergeCell ref="FSK40:FSL40"/>
    <mergeCell ref="FSM40:FSN40"/>
    <mergeCell ref="FSO40:FSP40"/>
    <mergeCell ref="FRS40:FRT40"/>
    <mergeCell ref="FRU40:FRV40"/>
    <mergeCell ref="FRW40:FRX40"/>
    <mergeCell ref="FRY40:FRZ40"/>
    <mergeCell ref="FSA40:FSB40"/>
    <mergeCell ref="FSC40:FSD40"/>
    <mergeCell ref="FRG40:FRH40"/>
    <mergeCell ref="FRI40:FRJ40"/>
    <mergeCell ref="FRK40:FRL40"/>
    <mergeCell ref="FRM40:FRN40"/>
    <mergeCell ref="FRO40:FRP40"/>
    <mergeCell ref="FRQ40:FRR40"/>
    <mergeCell ref="FQU40:FQV40"/>
    <mergeCell ref="FQW40:FQX40"/>
    <mergeCell ref="FQY40:FQZ40"/>
    <mergeCell ref="FRA40:FRB40"/>
    <mergeCell ref="FRC40:FRD40"/>
    <mergeCell ref="FRE40:FRF40"/>
    <mergeCell ref="FQI40:FQJ40"/>
    <mergeCell ref="FQK40:FQL40"/>
    <mergeCell ref="FQM40:FQN40"/>
    <mergeCell ref="FQO40:FQP40"/>
    <mergeCell ref="FQQ40:FQR40"/>
    <mergeCell ref="FQS40:FQT40"/>
    <mergeCell ref="FVK40:FVL40"/>
    <mergeCell ref="FVM40:FVN40"/>
    <mergeCell ref="FVO40:FVP40"/>
    <mergeCell ref="FVQ40:FVR40"/>
    <mergeCell ref="FVS40:FVT40"/>
    <mergeCell ref="FVU40:FVV40"/>
    <mergeCell ref="FUY40:FUZ40"/>
    <mergeCell ref="FVA40:FVB40"/>
    <mergeCell ref="FVC40:FVD40"/>
    <mergeCell ref="FVE40:FVF40"/>
    <mergeCell ref="FVG40:FVH40"/>
    <mergeCell ref="FVI40:FVJ40"/>
    <mergeCell ref="FUM40:FUN40"/>
    <mergeCell ref="FUO40:FUP40"/>
    <mergeCell ref="FUQ40:FUR40"/>
    <mergeCell ref="FUS40:FUT40"/>
    <mergeCell ref="FUU40:FUV40"/>
    <mergeCell ref="FUW40:FUX40"/>
    <mergeCell ref="FUA40:FUB40"/>
    <mergeCell ref="FUC40:FUD40"/>
    <mergeCell ref="FUE40:FUF40"/>
    <mergeCell ref="FUG40:FUH40"/>
    <mergeCell ref="FUI40:FUJ40"/>
    <mergeCell ref="FUK40:FUL40"/>
    <mergeCell ref="FTO40:FTP40"/>
    <mergeCell ref="FTQ40:FTR40"/>
    <mergeCell ref="FTS40:FTT40"/>
    <mergeCell ref="FTU40:FTV40"/>
    <mergeCell ref="FTW40:FTX40"/>
    <mergeCell ref="FTY40:FTZ40"/>
    <mergeCell ref="FTC40:FTD40"/>
    <mergeCell ref="FTE40:FTF40"/>
    <mergeCell ref="FTG40:FTH40"/>
    <mergeCell ref="FTI40:FTJ40"/>
    <mergeCell ref="FTK40:FTL40"/>
    <mergeCell ref="FTM40:FTN40"/>
    <mergeCell ref="FYE40:FYF40"/>
    <mergeCell ref="FYG40:FYH40"/>
    <mergeCell ref="FYI40:FYJ40"/>
    <mergeCell ref="FYK40:FYL40"/>
    <mergeCell ref="FYM40:FYN40"/>
    <mergeCell ref="FYO40:FYP40"/>
    <mergeCell ref="FXS40:FXT40"/>
    <mergeCell ref="FXU40:FXV40"/>
    <mergeCell ref="FXW40:FXX40"/>
    <mergeCell ref="FXY40:FXZ40"/>
    <mergeCell ref="FYA40:FYB40"/>
    <mergeCell ref="FYC40:FYD40"/>
    <mergeCell ref="FXG40:FXH40"/>
    <mergeCell ref="FXI40:FXJ40"/>
    <mergeCell ref="FXK40:FXL40"/>
    <mergeCell ref="FXM40:FXN40"/>
    <mergeCell ref="FXO40:FXP40"/>
    <mergeCell ref="FXQ40:FXR40"/>
    <mergeCell ref="FWU40:FWV40"/>
    <mergeCell ref="FWW40:FWX40"/>
    <mergeCell ref="FWY40:FWZ40"/>
    <mergeCell ref="FXA40:FXB40"/>
    <mergeCell ref="FXC40:FXD40"/>
    <mergeCell ref="FXE40:FXF40"/>
    <mergeCell ref="FWI40:FWJ40"/>
    <mergeCell ref="FWK40:FWL40"/>
    <mergeCell ref="FWM40:FWN40"/>
    <mergeCell ref="FWO40:FWP40"/>
    <mergeCell ref="FWQ40:FWR40"/>
    <mergeCell ref="FWS40:FWT40"/>
    <mergeCell ref="FVW40:FVX40"/>
    <mergeCell ref="FVY40:FVZ40"/>
    <mergeCell ref="FWA40:FWB40"/>
    <mergeCell ref="FWC40:FWD40"/>
    <mergeCell ref="FWE40:FWF40"/>
    <mergeCell ref="FWG40:FWH40"/>
    <mergeCell ref="GAY40:GAZ40"/>
    <mergeCell ref="GBA40:GBB40"/>
    <mergeCell ref="GBC40:GBD40"/>
    <mergeCell ref="GBE40:GBF40"/>
    <mergeCell ref="GBG40:GBH40"/>
    <mergeCell ref="GBI40:GBJ40"/>
    <mergeCell ref="GAM40:GAN40"/>
    <mergeCell ref="GAO40:GAP40"/>
    <mergeCell ref="GAQ40:GAR40"/>
    <mergeCell ref="GAS40:GAT40"/>
    <mergeCell ref="GAU40:GAV40"/>
    <mergeCell ref="GAW40:GAX40"/>
    <mergeCell ref="GAA40:GAB40"/>
    <mergeCell ref="GAC40:GAD40"/>
    <mergeCell ref="GAE40:GAF40"/>
    <mergeCell ref="GAG40:GAH40"/>
    <mergeCell ref="GAI40:GAJ40"/>
    <mergeCell ref="GAK40:GAL40"/>
    <mergeCell ref="FZO40:FZP40"/>
    <mergeCell ref="FZQ40:FZR40"/>
    <mergeCell ref="FZS40:FZT40"/>
    <mergeCell ref="FZU40:FZV40"/>
    <mergeCell ref="FZW40:FZX40"/>
    <mergeCell ref="FZY40:FZZ40"/>
    <mergeCell ref="FZC40:FZD40"/>
    <mergeCell ref="FZE40:FZF40"/>
    <mergeCell ref="FZG40:FZH40"/>
    <mergeCell ref="FZI40:FZJ40"/>
    <mergeCell ref="FZK40:FZL40"/>
    <mergeCell ref="FZM40:FZN40"/>
    <mergeCell ref="FYQ40:FYR40"/>
    <mergeCell ref="FYS40:FYT40"/>
    <mergeCell ref="FYU40:FYV40"/>
    <mergeCell ref="FYW40:FYX40"/>
    <mergeCell ref="FYY40:FYZ40"/>
    <mergeCell ref="FZA40:FZB40"/>
    <mergeCell ref="GDS40:GDT40"/>
    <mergeCell ref="GDU40:GDV40"/>
    <mergeCell ref="GDW40:GDX40"/>
    <mergeCell ref="GDY40:GDZ40"/>
    <mergeCell ref="GEA40:GEB40"/>
    <mergeCell ref="GEC40:GED40"/>
    <mergeCell ref="GDG40:GDH40"/>
    <mergeCell ref="GDI40:GDJ40"/>
    <mergeCell ref="GDK40:GDL40"/>
    <mergeCell ref="GDM40:GDN40"/>
    <mergeCell ref="GDO40:GDP40"/>
    <mergeCell ref="GDQ40:GDR40"/>
    <mergeCell ref="GCU40:GCV40"/>
    <mergeCell ref="GCW40:GCX40"/>
    <mergeCell ref="GCY40:GCZ40"/>
    <mergeCell ref="GDA40:GDB40"/>
    <mergeCell ref="GDC40:GDD40"/>
    <mergeCell ref="GDE40:GDF40"/>
    <mergeCell ref="GCI40:GCJ40"/>
    <mergeCell ref="GCK40:GCL40"/>
    <mergeCell ref="GCM40:GCN40"/>
    <mergeCell ref="GCO40:GCP40"/>
    <mergeCell ref="GCQ40:GCR40"/>
    <mergeCell ref="GCS40:GCT40"/>
    <mergeCell ref="GBW40:GBX40"/>
    <mergeCell ref="GBY40:GBZ40"/>
    <mergeCell ref="GCA40:GCB40"/>
    <mergeCell ref="GCC40:GCD40"/>
    <mergeCell ref="GCE40:GCF40"/>
    <mergeCell ref="GCG40:GCH40"/>
    <mergeCell ref="GBK40:GBL40"/>
    <mergeCell ref="GBM40:GBN40"/>
    <mergeCell ref="GBO40:GBP40"/>
    <mergeCell ref="GBQ40:GBR40"/>
    <mergeCell ref="GBS40:GBT40"/>
    <mergeCell ref="GBU40:GBV40"/>
    <mergeCell ref="GGM40:GGN40"/>
    <mergeCell ref="GGO40:GGP40"/>
    <mergeCell ref="GGQ40:GGR40"/>
    <mergeCell ref="GGS40:GGT40"/>
    <mergeCell ref="GGU40:GGV40"/>
    <mergeCell ref="GGW40:GGX40"/>
    <mergeCell ref="GGA40:GGB40"/>
    <mergeCell ref="GGC40:GGD40"/>
    <mergeCell ref="GGE40:GGF40"/>
    <mergeCell ref="GGG40:GGH40"/>
    <mergeCell ref="GGI40:GGJ40"/>
    <mergeCell ref="GGK40:GGL40"/>
    <mergeCell ref="GFO40:GFP40"/>
    <mergeCell ref="GFQ40:GFR40"/>
    <mergeCell ref="GFS40:GFT40"/>
    <mergeCell ref="GFU40:GFV40"/>
    <mergeCell ref="GFW40:GFX40"/>
    <mergeCell ref="GFY40:GFZ40"/>
    <mergeCell ref="GFC40:GFD40"/>
    <mergeCell ref="GFE40:GFF40"/>
    <mergeCell ref="GFG40:GFH40"/>
    <mergeCell ref="GFI40:GFJ40"/>
    <mergeCell ref="GFK40:GFL40"/>
    <mergeCell ref="GFM40:GFN40"/>
    <mergeCell ref="GEQ40:GER40"/>
    <mergeCell ref="GES40:GET40"/>
    <mergeCell ref="GEU40:GEV40"/>
    <mergeCell ref="GEW40:GEX40"/>
    <mergeCell ref="GEY40:GEZ40"/>
    <mergeCell ref="GFA40:GFB40"/>
    <mergeCell ref="GEE40:GEF40"/>
    <mergeCell ref="GEG40:GEH40"/>
    <mergeCell ref="GEI40:GEJ40"/>
    <mergeCell ref="GEK40:GEL40"/>
    <mergeCell ref="GEM40:GEN40"/>
    <mergeCell ref="GEO40:GEP40"/>
    <mergeCell ref="GJG40:GJH40"/>
    <mergeCell ref="GJI40:GJJ40"/>
    <mergeCell ref="GJK40:GJL40"/>
    <mergeCell ref="GJM40:GJN40"/>
    <mergeCell ref="GJO40:GJP40"/>
    <mergeCell ref="GJQ40:GJR40"/>
    <mergeCell ref="GIU40:GIV40"/>
    <mergeCell ref="GIW40:GIX40"/>
    <mergeCell ref="GIY40:GIZ40"/>
    <mergeCell ref="GJA40:GJB40"/>
    <mergeCell ref="GJC40:GJD40"/>
    <mergeCell ref="GJE40:GJF40"/>
    <mergeCell ref="GII40:GIJ40"/>
    <mergeCell ref="GIK40:GIL40"/>
    <mergeCell ref="GIM40:GIN40"/>
    <mergeCell ref="GIO40:GIP40"/>
    <mergeCell ref="GIQ40:GIR40"/>
    <mergeCell ref="GIS40:GIT40"/>
    <mergeCell ref="GHW40:GHX40"/>
    <mergeCell ref="GHY40:GHZ40"/>
    <mergeCell ref="GIA40:GIB40"/>
    <mergeCell ref="GIC40:GID40"/>
    <mergeCell ref="GIE40:GIF40"/>
    <mergeCell ref="GIG40:GIH40"/>
    <mergeCell ref="GHK40:GHL40"/>
    <mergeCell ref="GHM40:GHN40"/>
    <mergeCell ref="GHO40:GHP40"/>
    <mergeCell ref="GHQ40:GHR40"/>
    <mergeCell ref="GHS40:GHT40"/>
    <mergeCell ref="GHU40:GHV40"/>
    <mergeCell ref="GGY40:GGZ40"/>
    <mergeCell ref="GHA40:GHB40"/>
    <mergeCell ref="GHC40:GHD40"/>
    <mergeCell ref="GHE40:GHF40"/>
    <mergeCell ref="GHG40:GHH40"/>
    <mergeCell ref="GHI40:GHJ40"/>
    <mergeCell ref="GMA40:GMB40"/>
    <mergeCell ref="GMC40:GMD40"/>
    <mergeCell ref="GME40:GMF40"/>
    <mergeCell ref="GMG40:GMH40"/>
    <mergeCell ref="GMI40:GMJ40"/>
    <mergeCell ref="GMK40:GML40"/>
    <mergeCell ref="GLO40:GLP40"/>
    <mergeCell ref="GLQ40:GLR40"/>
    <mergeCell ref="GLS40:GLT40"/>
    <mergeCell ref="GLU40:GLV40"/>
    <mergeCell ref="GLW40:GLX40"/>
    <mergeCell ref="GLY40:GLZ40"/>
    <mergeCell ref="GLC40:GLD40"/>
    <mergeCell ref="GLE40:GLF40"/>
    <mergeCell ref="GLG40:GLH40"/>
    <mergeCell ref="GLI40:GLJ40"/>
    <mergeCell ref="GLK40:GLL40"/>
    <mergeCell ref="GLM40:GLN40"/>
    <mergeCell ref="GKQ40:GKR40"/>
    <mergeCell ref="GKS40:GKT40"/>
    <mergeCell ref="GKU40:GKV40"/>
    <mergeCell ref="GKW40:GKX40"/>
    <mergeCell ref="GKY40:GKZ40"/>
    <mergeCell ref="GLA40:GLB40"/>
    <mergeCell ref="GKE40:GKF40"/>
    <mergeCell ref="GKG40:GKH40"/>
    <mergeCell ref="GKI40:GKJ40"/>
    <mergeCell ref="GKK40:GKL40"/>
    <mergeCell ref="GKM40:GKN40"/>
    <mergeCell ref="GKO40:GKP40"/>
    <mergeCell ref="GJS40:GJT40"/>
    <mergeCell ref="GJU40:GJV40"/>
    <mergeCell ref="GJW40:GJX40"/>
    <mergeCell ref="GJY40:GJZ40"/>
    <mergeCell ref="GKA40:GKB40"/>
    <mergeCell ref="GKC40:GKD40"/>
    <mergeCell ref="GOU40:GOV40"/>
    <mergeCell ref="GOW40:GOX40"/>
    <mergeCell ref="GOY40:GOZ40"/>
    <mergeCell ref="GPA40:GPB40"/>
    <mergeCell ref="GPC40:GPD40"/>
    <mergeCell ref="GPE40:GPF40"/>
    <mergeCell ref="GOI40:GOJ40"/>
    <mergeCell ref="GOK40:GOL40"/>
    <mergeCell ref="GOM40:GON40"/>
    <mergeCell ref="GOO40:GOP40"/>
    <mergeCell ref="GOQ40:GOR40"/>
    <mergeCell ref="GOS40:GOT40"/>
    <mergeCell ref="GNW40:GNX40"/>
    <mergeCell ref="GNY40:GNZ40"/>
    <mergeCell ref="GOA40:GOB40"/>
    <mergeCell ref="GOC40:GOD40"/>
    <mergeCell ref="GOE40:GOF40"/>
    <mergeCell ref="GOG40:GOH40"/>
    <mergeCell ref="GNK40:GNL40"/>
    <mergeCell ref="GNM40:GNN40"/>
    <mergeCell ref="GNO40:GNP40"/>
    <mergeCell ref="GNQ40:GNR40"/>
    <mergeCell ref="GNS40:GNT40"/>
    <mergeCell ref="GNU40:GNV40"/>
    <mergeCell ref="GMY40:GMZ40"/>
    <mergeCell ref="GNA40:GNB40"/>
    <mergeCell ref="GNC40:GND40"/>
    <mergeCell ref="GNE40:GNF40"/>
    <mergeCell ref="GNG40:GNH40"/>
    <mergeCell ref="GNI40:GNJ40"/>
    <mergeCell ref="GMM40:GMN40"/>
    <mergeCell ref="GMO40:GMP40"/>
    <mergeCell ref="GMQ40:GMR40"/>
    <mergeCell ref="GMS40:GMT40"/>
    <mergeCell ref="GMU40:GMV40"/>
    <mergeCell ref="GMW40:GMX40"/>
    <mergeCell ref="GRO40:GRP40"/>
    <mergeCell ref="GRQ40:GRR40"/>
    <mergeCell ref="GRS40:GRT40"/>
    <mergeCell ref="GRU40:GRV40"/>
    <mergeCell ref="GRW40:GRX40"/>
    <mergeCell ref="GRY40:GRZ40"/>
    <mergeCell ref="GRC40:GRD40"/>
    <mergeCell ref="GRE40:GRF40"/>
    <mergeCell ref="GRG40:GRH40"/>
    <mergeCell ref="GRI40:GRJ40"/>
    <mergeCell ref="GRK40:GRL40"/>
    <mergeCell ref="GRM40:GRN40"/>
    <mergeCell ref="GQQ40:GQR40"/>
    <mergeCell ref="GQS40:GQT40"/>
    <mergeCell ref="GQU40:GQV40"/>
    <mergeCell ref="GQW40:GQX40"/>
    <mergeCell ref="GQY40:GQZ40"/>
    <mergeCell ref="GRA40:GRB40"/>
    <mergeCell ref="GQE40:GQF40"/>
    <mergeCell ref="GQG40:GQH40"/>
    <mergeCell ref="GQI40:GQJ40"/>
    <mergeCell ref="GQK40:GQL40"/>
    <mergeCell ref="GQM40:GQN40"/>
    <mergeCell ref="GQO40:GQP40"/>
    <mergeCell ref="GPS40:GPT40"/>
    <mergeCell ref="GPU40:GPV40"/>
    <mergeCell ref="GPW40:GPX40"/>
    <mergeCell ref="GPY40:GPZ40"/>
    <mergeCell ref="GQA40:GQB40"/>
    <mergeCell ref="GQC40:GQD40"/>
    <mergeCell ref="GPG40:GPH40"/>
    <mergeCell ref="GPI40:GPJ40"/>
    <mergeCell ref="GPK40:GPL40"/>
    <mergeCell ref="GPM40:GPN40"/>
    <mergeCell ref="GPO40:GPP40"/>
    <mergeCell ref="GPQ40:GPR40"/>
    <mergeCell ref="GUI40:GUJ40"/>
    <mergeCell ref="GUK40:GUL40"/>
    <mergeCell ref="GUM40:GUN40"/>
    <mergeCell ref="GUO40:GUP40"/>
    <mergeCell ref="GUQ40:GUR40"/>
    <mergeCell ref="GUS40:GUT40"/>
    <mergeCell ref="GTW40:GTX40"/>
    <mergeCell ref="GTY40:GTZ40"/>
    <mergeCell ref="GUA40:GUB40"/>
    <mergeCell ref="GUC40:GUD40"/>
    <mergeCell ref="GUE40:GUF40"/>
    <mergeCell ref="GUG40:GUH40"/>
    <mergeCell ref="GTK40:GTL40"/>
    <mergeCell ref="GTM40:GTN40"/>
    <mergeCell ref="GTO40:GTP40"/>
    <mergeCell ref="GTQ40:GTR40"/>
    <mergeCell ref="GTS40:GTT40"/>
    <mergeCell ref="GTU40:GTV40"/>
    <mergeCell ref="GSY40:GSZ40"/>
    <mergeCell ref="GTA40:GTB40"/>
    <mergeCell ref="GTC40:GTD40"/>
    <mergeCell ref="GTE40:GTF40"/>
    <mergeCell ref="GTG40:GTH40"/>
    <mergeCell ref="GTI40:GTJ40"/>
    <mergeCell ref="GSM40:GSN40"/>
    <mergeCell ref="GSO40:GSP40"/>
    <mergeCell ref="GSQ40:GSR40"/>
    <mergeCell ref="GSS40:GST40"/>
    <mergeCell ref="GSU40:GSV40"/>
    <mergeCell ref="GSW40:GSX40"/>
    <mergeCell ref="GSA40:GSB40"/>
    <mergeCell ref="GSC40:GSD40"/>
    <mergeCell ref="GSE40:GSF40"/>
    <mergeCell ref="GSG40:GSH40"/>
    <mergeCell ref="GSI40:GSJ40"/>
    <mergeCell ref="GSK40:GSL40"/>
    <mergeCell ref="GXC40:GXD40"/>
    <mergeCell ref="GXE40:GXF40"/>
    <mergeCell ref="GXG40:GXH40"/>
    <mergeCell ref="GXI40:GXJ40"/>
    <mergeCell ref="GXK40:GXL40"/>
    <mergeCell ref="GXM40:GXN40"/>
    <mergeCell ref="GWQ40:GWR40"/>
    <mergeCell ref="GWS40:GWT40"/>
    <mergeCell ref="GWU40:GWV40"/>
    <mergeCell ref="GWW40:GWX40"/>
    <mergeCell ref="GWY40:GWZ40"/>
    <mergeCell ref="GXA40:GXB40"/>
    <mergeCell ref="GWE40:GWF40"/>
    <mergeCell ref="GWG40:GWH40"/>
    <mergeCell ref="GWI40:GWJ40"/>
    <mergeCell ref="GWK40:GWL40"/>
    <mergeCell ref="GWM40:GWN40"/>
    <mergeCell ref="GWO40:GWP40"/>
    <mergeCell ref="GVS40:GVT40"/>
    <mergeCell ref="GVU40:GVV40"/>
    <mergeCell ref="GVW40:GVX40"/>
    <mergeCell ref="GVY40:GVZ40"/>
    <mergeCell ref="GWA40:GWB40"/>
    <mergeCell ref="GWC40:GWD40"/>
    <mergeCell ref="GVG40:GVH40"/>
    <mergeCell ref="GVI40:GVJ40"/>
    <mergeCell ref="GVK40:GVL40"/>
    <mergeCell ref="GVM40:GVN40"/>
    <mergeCell ref="GVO40:GVP40"/>
    <mergeCell ref="GVQ40:GVR40"/>
    <mergeCell ref="GUU40:GUV40"/>
    <mergeCell ref="GUW40:GUX40"/>
    <mergeCell ref="GUY40:GUZ40"/>
    <mergeCell ref="GVA40:GVB40"/>
    <mergeCell ref="GVC40:GVD40"/>
    <mergeCell ref="GVE40:GVF40"/>
    <mergeCell ref="GZW40:GZX40"/>
    <mergeCell ref="GZY40:GZZ40"/>
    <mergeCell ref="HAA40:HAB40"/>
    <mergeCell ref="HAC40:HAD40"/>
    <mergeCell ref="HAE40:HAF40"/>
    <mergeCell ref="HAG40:HAH40"/>
    <mergeCell ref="GZK40:GZL40"/>
    <mergeCell ref="GZM40:GZN40"/>
    <mergeCell ref="GZO40:GZP40"/>
    <mergeCell ref="GZQ40:GZR40"/>
    <mergeCell ref="GZS40:GZT40"/>
    <mergeCell ref="GZU40:GZV40"/>
    <mergeCell ref="GYY40:GYZ40"/>
    <mergeCell ref="GZA40:GZB40"/>
    <mergeCell ref="GZC40:GZD40"/>
    <mergeCell ref="GZE40:GZF40"/>
    <mergeCell ref="GZG40:GZH40"/>
    <mergeCell ref="GZI40:GZJ40"/>
    <mergeCell ref="GYM40:GYN40"/>
    <mergeCell ref="GYO40:GYP40"/>
    <mergeCell ref="GYQ40:GYR40"/>
    <mergeCell ref="GYS40:GYT40"/>
    <mergeCell ref="GYU40:GYV40"/>
    <mergeCell ref="GYW40:GYX40"/>
    <mergeCell ref="GYA40:GYB40"/>
    <mergeCell ref="GYC40:GYD40"/>
    <mergeCell ref="GYE40:GYF40"/>
    <mergeCell ref="GYG40:GYH40"/>
    <mergeCell ref="GYI40:GYJ40"/>
    <mergeCell ref="GYK40:GYL40"/>
    <mergeCell ref="GXO40:GXP40"/>
    <mergeCell ref="GXQ40:GXR40"/>
    <mergeCell ref="GXS40:GXT40"/>
    <mergeCell ref="GXU40:GXV40"/>
    <mergeCell ref="GXW40:GXX40"/>
    <mergeCell ref="GXY40:GXZ40"/>
    <mergeCell ref="HCQ40:HCR40"/>
    <mergeCell ref="HCS40:HCT40"/>
    <mergeCell ref="HCU40:HCV40"/>
    <mergeCell ref="HCW40:HCX40"/>
    <mergeCell ref="HCY40:HCZ40"/>
    <mergeCell ref="HDA40:HDB40"/>
    <mergeCell ref="HCE40:HCF40"/>
    <mergeCell ref="HCG40:HCH40"/>
    <mergeCell ref="HCI40:HCJ40"/>
    <mergeCell ref="HCK40:HCL40"/>
    <mergeCell ref="HCM40:HCN40"/>
    <mergeCell ref="HCO40:HCP40"/>
    <mergeCell ref="HBS40:HBT40"/>
    <mergeCell ref="HBU40:HBV40"/>
    <mergeCell ref="HBW40:HBX40"/>
    <mergeCell ref="HBY40:HBZ40"/>
    <mergeCell ref="HCA40:HCB40"/>
    <mergeCell ref="HCC40:HCD40"/>
    <mergeCell ref="HBG40:HBH40"/>
    <mergeCell ref="HBI40:HBJ40"/>
    <mergeCell ref="HBK40:HBL40"/>
    <mergeCell ref="HBM40:HBN40"/>
    <mergeCell ref="HBO40:HBP40"/>
    <mergeCell ref="HBQ40:HBR40"/>
    <mergeCell ref="HAU40:HAV40"/>
    <mergeCell ref="HAW40:HAX40"/>
    <mergeCell ref="HAY40:HAZ40"/>
    <mergeCell ref="HBA40:HBB40"/>
    <mergeCell ref="HBC40:HBD40"/>
    <mergeCell ref="HBE40:HBF40"/>
    <mergeCell ref="HAI40:HAJ40"/>
    <mergeCell ref="HAK40:HAL40"/>
    <mergeCell ref="HAM40:HAN40"/>
    <mergeCell ref="HAO40:HAP40"/>
    <mergeCell ref="HAQ40:HAR40"/>
    <mergeCell ref="HAS40:HAT40"/>
    <mergeCell ref="HFK40:HFL40"/>
    <mergeCell ref="HFM40:HFN40"/>
    <mergeCell ref="HFO40:HFP40"/>
    <mergeCell ref="HFQ40:HFR40"/>
    <mergeCell ref="HFS40:HFT40"/>
    <mergeCell ref="HFU40:HFV40"/>
    <mergeCell ref="HEY40:HEZ40"/>
    <mergeCell ref="HFA40:HFB40"/>
    <mergeCell ref="HFC40:HFD40"/>
    <mergeCell ref="HFE40:HFF40"/>
    <mergeCell ref="HFG40:HFH40"/>
    <mergeCell ref="HFI40:HFJ40"/>
    <mergeCell ref="HEM40:HEN40"/>
    <mergeCell ref="HEO40:HEP40"/>
    <mergeCell ref="HEQ40:HER40"/>
    <mergeCell ref="HES40:HET40"/>
    <mergeCell ref="HEU40:HEV40"/>
    <mergeCell ref="HEW40:HEX40"/>
    <mergeCell ref="HEA40:HEB40"/>
    <mergeCell ref="HEC40:HED40"/>
    <mergeCell ref="HEE40:HEF40"/>
    <mergeCell ref="HEG40:HEH40"/>
    <mergeCell ref="HEI40:HEJ40"/>
    <mergeCell ref="HEK40:HEL40"/>
    <mergeCell ref="HDO40:HDP40"/>
    <mergeCell ref="HDQ40:HDR40"/>
    <mergeCell ref="HDS40:HDT40"/>
    <mergeCell ref="HDU40:HDV40"/>
    <mergeCell ref="HDW40:HDX40"/>
    <mergeCell ref="HDY40:HDZ40"/>
    <mergeCell ref="HDC40:HDD40"/>
    <mergeCell ref="HDE40:HDF40"/>
    <mergeCell ref="HDG40:HDH40"/>
    <mergeCell ref="HDI40:HDJ40"/>
    <mergeCell ref="HDK40:HDL40"/>
    <mergeCell ref="HDM40:HDN40"/>
    <mergeCell ref="HIE40:HIF40"/>
    <mergeCell ref="HIG40:HIH40"/>
    <mergeCell ref="HII40:HIJ40"/>
    <mergeCell ref="HIK40:HIL40"/>
    <mergeCell ref="HIM40:HIN40"/>
    <mergeCell ref="HIO40:HIP40"/>
    <mergeCell ref="HHS40:HHT40"/>
    <mergeCell ref="HHU40:HHV40"/>
    <mergeCell ref="HHW40:HHX40"/>
    <mergeCell ref="HHY40:HHZ40"/>
    <mergeCell ref="HIA40:HIB40"/>
    <mergeCell ref="HIC40:HID40"/>
    <mergeCell ref="HHG40:HHH40"/>
    <mergeCell ref="HHI40:HHJ40"/>
    <mergeCell ref="HHK40:HHL40"/>
    <mergeCell ref="HHM40:HHN40"/>
    <mergeCell ref="HHO40:HHP40"/>
    <mergeCell ref="HHQ40:HHR40"/>
    <mergeCell ref="HGU40:HGV40"/>
    <mergeCell ref="HGW40:HGX40"/>
    <mergeCell ref="HGY40:HGZ40"/>
    <mergeCell ref="HHA40:HHB40"/>
    <mergeCell ref="HHC40:HHD40"/>
    <mergeCell ref="HHE40:HHF40"/>
    <mergeCell ref="HGI40:HGJ40"/>
    <mergeCell ref="HGK40:HGL40"/>
    <mergeCell ref="HGM40:HGN40"/>
    <mergeCell ref="HGO40:HGP40"/>
    <mergeCell ref="HGQ40:HGR40"/>
    <mergeCell ref="HGS40:HGT40"/>
    <mergeCell ref="HFW40:HFX40"/>
    <mergeCell ref="HFY40:HFZ40"/>
    <mergeCell ref="HGA40:HGB40"/>
    <mergeCell ref="HGC40:HGD40"/>
    <mergeCell ref="HGE40:HGF40"/>
    <mergeCell ref="HGG40:HGH40"/>
    <mergeCell ref="HKY40:HKZ40"/>
    <mergeCell ref="HLA40:HLB40"/>
    <mergeCell ref="HLC40:HLD40"/>
    <mergeCell ref="HLE40:HLF40"/>
    <mergeCell ref="HLG40:HLH40"/>
    <mergeCell ref="HLI40:HLJ40"/>
    <mergeCell ref="HKM40:HKN40"/>
    <mergeCell ref="HKO40:HKP40"/>
    <mergeCell ref="HKQ40:HKR40"/>
    <mergeCell ref="HKS40:HKT40"/>
    <mergeCell ref="HKU40:HKV40"/>
    <mergeCell ref="HKW40:HKX40"/>
    <mergeCell ref="HKA40:HKB40"/>
    <mergeCell ref="HKC40:HKD40"/>
    <mergeCell ref="HKE40:HKF40"/>
    <mergeCell ref="HKG40:HKH40"/>
    <mergeCell ref="HKI40:HKJ40"/>
    <mergeCell ref="HKK40:HKL40"/>
    <mergeCell ref="HJO40:HJP40"/>
    <mergeCell ref="HJQ40:HJR40"/>
    <mergeCell ref="HJS40:HJT40"/>
    <mergeCell ref="HJU40:HJV40"/>
    <mergeCell ref="HJW40:HJX40"/>
    <mergeCell ref="HJY40:HJZ40"/>
    <mergeCell ref="HJC40:HJD40"/>
    <mergeCell ref="HJE40:HJF40"/>
    <mergeCell ref="HJG40:HJH40"/>
    <mergeCell ref="HJI40:HJJ40"/>
    <mergeCell ref="HJK40:HJL40"/>
    <mergeCell ref="HJM40:HJN40"/>
    <mergeCell ref="HIQ40:HIR40"/>
    <mergeCell ref="HIS40:HIT40"/>
    <mergeCell ref="HIU40:HIV40"/>
    <mergeCell ref="HIW40:HIX40"/>
    <mergeCell ref="HIY40:HIZ40"/>
    <mergeCell ref="HJA40:HJB40"/>
    <mergeCell ref="HNS40:HNT40"/>
    <mergeCell ref="HNU40:HNV40"/>
    <mergeCell ref="HNW40:HNX40"/>
    <mergeCell ref="HNY40:HNZ40"/>
    <mergeCell ref="HOA40:HOB40"/>
    <mergeCell ref="HOC40:HOD40"/>
    <mergeCell ref="HNG40:HNH40"/>
    <mergeCell ref="HNI40:HNJ40"/>
    <mergeCell ref="HNK40:HNL40"/>
    <mergeCell ref="HNM40:HNN40"/>
    <mergeCell ref="HNO40:HNP40"/>
    <mergeCell ref="HNQ40:HNR40"/>
    <mergeCell ref="HMU40:HMV40"/>
    <mergeCell ref="HMW40:HMX40"/>
    <mergeCell ref="HMY40:HMZ40"/>
    <mergeCell ref="HNA40:HNB40"/>
    <mergeCell ref="HNC40:HND40"/>
    <mergeCell ref="HNE40:HNF40"/>
    <mergeCell ref="HMI40:HMJ40"/>
    <mergeCell ref="HMK40:HML40"/>
    <mergeCell ref="HMM40:HMN40"/>
    <mergeCell ref="HMO40:HMP40"/>
    <mergeCell ref="HMQ40:HMR40"/>
    <mergeCell ref="HMS40:HMT40"/>
    <mergeCell ref="HLW40:HLX40"/>
    <mergeCell ref="HLY40:HLZ40"/>
    <mergeCell ref="HMA40:HMB40"/>
    <mergeCell ref="HMC40:HMD40"/>
    <mergeCell ref="HME40:HMF40"/>
    <mergeCell ref="HMG40:HMH40"/>
    <mergeCell ref="HLK40:HLL40"/>
    <mergeCell ref="HLM40:HLN40"/>
    <mergeCell ref="HLO40:HLP40"/>
    <mergeCell ref="HLQ40:HLR40"/>
    <mergeCell ref="HLS40:HLT40"/>
    <mergeCell ref="HLU40:HLV40"/>
    <mergeCell ref="HQM40:HQN40"/>
    <mergeCell ref="HQO40:HQP40"/>
    <mergeCell ref="HQQ40:HQR40"/>
    <mergeCell ref="HQS40:HQT40"/>
    <mergeCell ref="HQU40:HQV40"/>
    <mergeCell ref="HQW40:HQX40"/>
    <mergeCell ref="HQA40:HQB40"/>
    <mergeCell ref="HQC40:HQD40"/>
    <mergeCell ref="HQE40:HQF40"/>
    <mergeCell ref="HQG40:HQH40"/>
    <mergeCell ref="HQI40:HQJ40"/>
    <mergeCell ref="HQK40:HQL40"/>
    <mergeCell ref="HPO40:HPP40"/>
    <mergeCell ref="HPQ40:HPR40"/>
    <mergeCell ref="HPS40:HPT40"/>
    <mergeCell ref="HPU40:HPV40"/>
    <mergeCell ref="HPW40:HPX40"/>
    <mergeCell ref="HPY40:HPZ40"/>
    <mergeCell ref="HPC40:HPD40"/>
    <mergeCell ref="HPE40:HPF40"/>
    <mergeCell ref="HPG40:HPH40"/>
    <mergeCell ref="HPI40:HPJ40"/>
    <mergeCell ref="HPK40:HPL40"/>
    <mergeCell ref="HPM40:HPN40"/>
    <mergeCell ref="HOQ40:HOR40"/>
    <mergeCell ref="HOS40:HOT40"/>
    <mergeCell ref="HOU40:HOV40"/>
    <mergeCell ref="HOW40:HOX40"/>
    <mergeCell ref="HOY40:HOZ40"/>
    <mergeCell ref="HPA40:HPB40"/>
    <mergeCell ref="HOE40:HOF40"/>
    <mergeCell ref="HOG40:HOH40"/>
    <mergeCell ref="HOI40:HOJ40"/>
    <mergeCell ref="HOK40:HOL40"/>
    <mergeCell ref="HOM40:HON40"/>
    <mergeCell ref="HOO40:HOP40"/>
    <mergeCell ref="HTG40:HTH40"/>
    <mergeCell ref="HTI40:HTJ40"/>
    <mergeCell ref="HTK40:HTL40"/>
    <mergeCell ref="HTM40:HTN40"/>
    <mergeCell ref="HTO40:HTP40"/>
    <mergeCell ref="HTQ40:HTR40"/>
    <mergeCell ref="HSU40:HSV40"/>
    <mergeCell ref="HSW40:HSX40"/>
    <mergeCell ref="HSY40:HSZ40"/>
    <mergeCell ref="HTA40:HTB40"/>
    <mergeCell ref="HTC40:HTD40"/>
    <mergeCell ref="HTE40:HTF40"/>
    <mergeCell ref="HSI40:HSJ40"/>
    <mergeCell ref="HSK40:HSL40"/>
    <mergeCell ref="HSM40:HSN40"/>
    <mergeCell ref="HSO40:HSP40"/>
    <mergeCell ref="HSQ40:HSR40"/>
    <mergeCell ref="HSS40:HST40"/>
    <mergeCell ref="HRW40:HRX40"/>
    <mergeCell ref="HRY40:HRZ40"/>
    <mergeCell ref="HSA40:HSB40"/>
    <mergeCell ref="HSC40:HSD40"/>
    <mergeCell ref="HSE40:HSF40"/>
    <mergeCell ref="HSG40:HSH40"/>
    <mergeCell ref="HRK40:HRL40"/>
    <mergeCell ref="HRM40:HRN40"/>
    <mergeCell ref="HRO40:HRP40"/>
    <mergeCell ref="HRQ40:HRR40"/>
    <mergeCell ref="HRS40:HRT40"/>
    <mergeCell ref="HRU40:HRV40"/>
    <mergeCell ref="HQY40:HQZ40"/>
    <mergeCell ref="HRA40:HRB40"/>
    <mergeCell ref="HRC40:HRD40"/>
    <mergeCell ref="HRE40:HRF40"/>
    <mergeCell ref="HRG40:HRH40"/>
    <mergeCell ref="HRI40:HRJ40"/>
    <mergeCell ref="HWA40:HWB40"/>
    <mergeCell ref="HWC40:HWD40"/>
    <mergeCell ref="HWE40:HWF40"/>
    <mergeCell ref="HWG40:HWH40"/>
    <mergeCell ref="HWI40:HWJ40"/>
    <mergeCell ref="HWK40:HWL40"/>
    <mergeCell ref="HVO40:HVP40"/>
    <mergeCell ref="HVQ40:HVR40"/>
    <mergeCell ref="HVS40:HVT40"/>
    <mergeCell ref="HVU40:HVV40"/>
    <mergeCell ref="HVW40:HVX40"/>
    <mergeCell ref="HVY40:HVZ40"/>
    <mergeCell ref="HVC40:HVD40"/>
    <mergeCell ref="HVE40:HVF40"/>
    <mergeCell ref="HVG40:HVH40"/>
    <mergeCell ref="HVI40:HVJ40"/>
    <mergeCell ref="HVK40:HVL40"/>
    <mergeCell ref="HVM40:HVN40"/>
    <mergeCell ref="HUQ40:HUR40"/>
    <mergeCell ref="HUS40:HUT40"/>
    <mergeCell ref="HUU40:HUV40"/>
    <mergeCell ref="HUW40:HUX40"/>
    <mergeCell ref="HUY40:HUZ40"/>
    <mergeCell ref="HVA40:HVB40"/>
    <mergeCell ref="HUE40:HUF40"/>
    <mergeCell ref="HUG40:HUH40"/>
    <mergeCell ref="HUI40:HUJ40"/>
    <mergeCell ref="HUK40:HUL40"/>
    <mergeCell ref="HUM40:HUN40"/>
    <mergeCell ref="HUO40:HUP40"/>
    <mergeCell ref="HTS40:HTT40"/>
    <mergeCell ref="HTU40:HTV40"/>
    <mergeCell ref="HTW40:HTX40"/>
    <mergeCell ref="HTY40:HTZ40"/>
    <mergeCell ref="HUA40:HUB40"/>
    <mergeCell ref="HUC40:HUD40"/>
    <mergeCell ref="HYU40:HYV40"/>
    <mergeCell ref="HYW40:HYX40"/>
    <mergeCell ref="HYY40:HYZ40"/>
    <mergeCell ref="HZA40:HZB40"/>
    <mergeCell ref="HZC40:HZD40"/>
    <mergeCell ref="HZE40:HZF40"/>
    <mergeCell ref="HYI40:HYJ40"/>
    <mergeCell ref="HYK40:HYL40"/>
    <mergeCell ref="HYM40:HYN40"/>
    <mergeCell ref="HYO40:HYP40"/>
    <mergeCell ref="HYQ40:HYR40"/>
    <mergeCell ref="HYS40:HYT40"/>
    <mergeCell ref="HXW40:HXX40"/>
    <mergeCell ref="HXY40:HXZ40"/>
    <mergeCell ref="HYA40:HYB40"/>
    <mergeCell ref="HYC40:HYD40"/>
    <mergeCell ref="HYE40:HYF40"/>
    <mergeCell ref="HYG40:HYH40"/>
    <mergeCell ref="HXK40:HXL40"/>
    <mergeCell ref="HXM40:HXN40"/>
    <mergeCell ref="HXO40:HXP40"/>
    <mergeCell ref="HXQ40:HXR40"/>
    <mergeCell ref="HXS40:HXT40"/>
    <mergeCell ref="HXU40:HXV40"/>
    <mergeCell ref="HWY40:HWZ40"/>
    <mergeCell ref="HXA40:HXB40"/>
    <mergeCell ref="HXC40:HXD40"/>
    <mergeCell ref="HXE40:HXF40"/>
    <mergeCell ref="HXG40:HXH40"/>
    <mergeCell ref="HXI40:HXJ40"/>
    <mergeCell ref="HWM40:HWN40"/>
    <mergeCell ref="HWO40:HWP40"/>
    <mergeCell ref="HWQ40:HWR40"/>
    <mergeCell ref="HWS40:HWT40"/>
    <mergeCell ref="HWU40:HWV40"/>
    <mergeCell ref="HWW40:HWX40"/>
    <mergeCell ref="IBO40:IBP40"/>
    <mergeCell ref="IBQ40:IBR40"/>
    <mergeCell ref="IBS40:IBT40"/>
    <mergeCell ref="IBU40:IBV40"/>
    <mergeCell ref="IBW40:IBX40"/>
    <mergeCell ref="IBY40:IBZ40"/>
    <mergeCell ref="IBC40:IBD40"/>
    <mergeCell ref="IBE40:IBF40"/>
    <mergeCell ref="IBG40:IBH40"/>
    <mergeCell ref="IBI40:IBJ40"/>
    <mergeCell ref="IBK40:IBL40"/>
    <mergeCell ref="IBM40:IBN40"/>
    <mergeCell ref="IAQ40:IAR40"/>
    <mergeCell ref="IAS40:IAT40"/>
    <mergeCell ref="IAU40:IAV40"/>
    <mergeCell ref="IAW40:IAX40"/>
    <mergeCell ref="IAY40:IAZ40"/>
    <mergeCell ref="IBA40:IBB40"/>
    <mergeCell ref="IAE40:IAF40"/>
    <mergeCell ref="IAG40:IAH40"/>
    <mergeCell ref="IAI40:IAJ40"/>
    <mergeCell ref="IAK40:IAL40"/>
    <mergeCell ref="IAM40:IAN40"/>
    <mergeCell ref="IAO40:IAP40"/>
    <mergeCell ref="HZS40:HZT40"/>
    <mergeCell ref="HZU40:HZV40"/>
    <mergeCell ref="HZW40:HZX40"/>
    <mergeCell ref="HZY40:HZZ40"/>
    <mergeCell ref="IAA40:IAB40"/>
    <mergeCell ref="IAC40:IAD40"/>
    <mergeCell ref="HZG40:HZH40"/>
    <mergeCell ref="HZI40:HZJ40"/>
    <mergeCell ref="HZK40:HZL40"/>
    <mergeCell ref="HZM40:HZN40"/>
    <mergeCell ref="HZO40:HZP40"/>
    <mergeCell ref="HZQ40:HZR40"/>
    <mergeCell ref="IEI40:IEJ40"/>
    <mergeCell ref="IEK40:IEL40"/>
    <mergeCell ref="IEM40:IEN40"/>
    <mergeCell ref="IEO40:IEP40"/>
    <mergeCell ref="IEQ40:IER40"/>
    <mergeCell ref="IES40:IET40"/>
    <mergeCell ref="IDW40:IDX40"/>
    <mergeCell ref="IDY40:IDZ40"/>
    <mergeCell ref="IEA40:IEB40"/>
    <mergeCell ref="IEC40:IED40"/>
    <mergeCell ref="IEE40:IEF40"/>
    <mergeCell ref="IEG40:IEH40"/>
    <mergeCell ref="IDK40:IDL40"/>
    <mergeCell ref="IDM40:IDN40"/>
    <mergeCell ref="IDO40:IDP40"/>
    <mergeCell ref="IDQ40:IDR40"/>
    <mergeCell ref="IDS40:IDT40"/>
    <mergeCell ref="IDU40:IDV40"/>
    <mergeCell ref="ICY40:ICZ40"/>
    <mergeCell ref="IDA40:IDB40"/>
    <mergeCell ref="IDC40:IDD40"/>
    <mergeCell ref="IDE40:IDF40"/>
    <mergeCell ref="IDG40:IDH40"/>
    <mergeCell ref="IDI40:IDJ40"/>
    <mergeCell ref="ICM40:ICN40"/>
    <mergeCell ref="ICO40:ICP40"/>
    <mergeCell ref="ICQ40:ICR40"/>
    <mergeCell ref="ICS40:ICT40"/>
    <mergeCell ref="ICU40:ICV40"/>
    <mergeCell ref="ICW40:ICX40"/>
    <mergeCell ref="ICA40:ICB40"/>
    <mergeCell ref="ICC40:ICD40"/>
    <mergeCell ref="ICE40:ICF40"/>
    <mergeCell ref="ICG40:ICH40"/>
    <mergeCell ref="ICI40:ICJ40"/>
    <mergeCell ref="ICK40:ICL40"/>
    <mergeCell ref="IHC40:IHD40"/>
    <mergeCell ref="IHE40:IHF40"/>
    <mergeCell ref="IHG40:IHH40"/>
    <mergeCell ref="IHI40:IHJ40"/>
    <mergeCell ref="IHK40:IHL40"/>
    <mergeCell ref="IHM40:IHN40"/>
    <mergeCell ref="IGQ40:IGR40"/>
    <mergeCell ref="IGS40:IGT40"/>
    <mergeCell ref="IGU40:IGV40"/>
    <mergeCell ref="IGW40:IGX40"/>
    <mergeCell ref="IGY40:IGZ40"/>
    <mergeCell ref="IHA40:IHB40"/>
    <mergeCell ref="IGE40:IGF40"/>
    <mergeCell ref="IGG40:IGH40"/>
    <mergeCell ref="IGI40:IGJ40"/>
    <mergeCell ref="IGK40:IGL40"/>
    <mergeCell ref="IGM40:IGN40"/>
    <mergeCell ref="IGO40:IGP40"/>
    <mergeCell ref="IFS40:IFT40"/>
    <mergeCell ref="IFU40:IFV40"/>
    <mergeCell ref="IFW40:IFX40"/>
    <mergeCell ref="IFY40:IFZ40"/>
    <mergeCell ref="IGA40:IGB40"/>
    <mergeCell ref="IGC40:IGD40"/>
    <mergeCell ref="IFG40:IFH40"/>
    <mergeCell ref="IFI40:IFJ40"/>
    <mergeCell ref="IFK40:IFL40"/>
    <mergeCell ref="IFM40:IFN40"/>
    <mergeCell ref="IFO40:IFP40"/>
    <mergeCell ref="IFQ40:IFR40"/>
    <mergeCell ref="IEU40:IEV40"/>
    <mergeCell ref="IEW40:IEX40"/>
    <mergeCell ref="IEY40:IEZ40"/>
    <mergeCell ref="IFA40:IFB40"/>
    <mergeCell ref="IFC40:IFD40"/>
    <mergeCell ref="IFE40:IFF40"/>
    <mergeCell ref="IJW40:IJX40"/>
    <mergeCell ref="IJY40:IJZ40"/>
    <mergeCell ref="IKA40:IKB40"/>
    <mergeCell ref="IKC40:IKD40"/>
    <mergeCell ref="IKE40:IKF40"/>
    <mergeCell ref="IKG40:IKH40"/>
    <mergeCell ref="IJK40:IJL40"/>
    <mergeCell ref="IJM40:IJN40"/>
    <mergeCell ref="IJO40:IJP40"/>
    <mergeCell ref="IJQ40:IJR40"/>
    <mergeCell ref="IJS40:IJT40"/>
    <mergeCell ref="IJU40:IJV40"/>
    <mergeCell ref="IIY40:IIZ40"/>
    <mergeCell ref="IJA40:IJB40"/>
    <mergeCell ref="IJC40:IJD40"/>
    <mergeCell ref="IJE40:IJF40"/>
    <mergeCell ref="IJG40:IJH40"/>
    <mergeCell ref="IJI40:IJJ40"/>
    <mergeCell ref="IIM40:IIN40"/>
    <mergeCell ref="IIO40:IIP40"/>
    <mergeCell ref="IIQ40:IIR40"/>
    <mergeCell ref="IIS40:IIT40"/>
    <mergeCell ref="IIU40:IIV40"/>
    <mergeCell ref="IIW40:IIX40"/>
    <mergeCell ref="IIA40:IIB40"/>
    <mergeCell ref="IIC40:IID40"/>
    <mergeCell ref="IIE40:IIF40"/>
    <mergeCell ref="IIG40:IIH40"/>
    <mergeCell ref="III40:IIJ40"/>
    <mergeCell ref="IIK40:IIL40"/>
    <mergeCell ref="IHO40:IHP40"/>
    <mergeCell ref="IHQ40:IHR40"/>
    <mergeCell ref="IHS40:IHT40"/>
    <mergeCell ref="IHU40:IHV40"/>
    <mergeCell ref="IHW40:IHX40"/>
    <mergeCell ref="IHY40:IHZ40"/>
    <mergeCell ref="IMQ40:IMR40"/>
    <mergeCell ref="IMS40:IMT40"/>
    <mergeCell ref="IMU40:IMV40"/>
    <mergeCell ref="IMW40:IMX40"/>
    <mergeCell ref="IMY40:IMZ40"/>
    <mergeCell ref="INA40:INB40"/>
    <mergeCell ref="IME40:IMF40"/>
    <mergeCell ref="IMG40:IMH40"/>
    <mergeCell ref="IMI40:IMJ40"/>
    <mergeCell ref="IMK40:IML40"/>
    <mergeCell ref="IMM40:IMN40"/>
    <mergeCell ref="IMO40:IMP40"/>
    <mergeCell ref="ILS40:ILT40"/>
    <mergeCell ref="ILU40:ILV40"/>
    <mergeCell ref="ILW40:ILX40"/>
    <mergeCell ref="ILY40:ILZ40"/>
    <mergeCell ref="IMA40:IMB40"/>
    <mergeCell ref="IMC40:IMD40"/>
    <mergeCell ref="ILG40:ILH40"/>
    <mergeCell ref="ILI40:ILJ40"/>
    <mergeCell ref="ILK40:ILL40"/>
    <mergeCell ref="ILM40:ILN40"/>
    <mergeCell ref="ILO40:ILP40"/>
    <mergeCell ref="ILQ40:ILR40"/>
    <mergeCell ref="IKU40:IKV40"/>
    <mergeCell ref="IKW40:IKX40"/>
    <mergeCell ref="IKY40:IKZ40"/>
    <mergeCell ref="ILA40:ILB40"/>
    <mergeCell ref="ILC40:ILD40"/>
    <mergeCell ref="ILE40:ILF40"/>
    <mergeCell ref="IKI40:IKJ40"/>
    <mergeCell ref="IKK40:IKL40"/>
    <mergeCell ref="IKM40:IKN40"/>
    <mergeCell ref="IKO40:IKP40"/>
    <mergeCell ref="IKQ40:IKR40"/>
    <mergeCell ref="IKS40:IKT40"/>
    <mergeCell ref="IPK40:IPL40"/>
    <mergeCell ref="IPM40:IPN40"/>
    <mergeCell ref="IPO40:IPP40"/>
    <mergeCell ref="IPQ40:IPR40"/>
    <mergeCell ref="IPS40:IPT40"/>
    <mergeCell ref="IPU40:IPV40"/>
    <mergeCell ref="IOY40:IOZ40"/>
    <mergeCell ref="IPA40:IPB40"/>
    <mergeCell ref="IPC40:IPD40"/>
    <mergeCell ref="IPE40:IPF40"/>
    <mergeCell ref="IPG40:IPH40"/>
    <mergeCell ref="IPI40:IPJ40"/>
    <mergeCell ref="IOM40:ION40"/>
    <mergeCell ref="IOO40:IOP40"/>
    <mergeCell ref="IOQ40:IOR40"/>
    <mergeCell ref="IOS40:IOT40"/>
    <mergeCell ref="IOU40:IOV40"/>
    <mergeCell ref="IOW40:IOX40"/>
    <mergeCell ref="IOA40:IOB40"/>
    <mergeCell ref="IOC40:IOD40"/>
    <mergeCell ref="IOE40:IOF40"/>
    <mergeCell ref="IOG40:IOH40"/>
    <mergeCell ref="IOI40:IOJ40"/>
    <mergeCell ref="IOK40:IOL40"/>
    <mergeCell ref="INO40:INP40"/>
    <mergeCell ref="INQ40:INR40"/>
    <mergeCell ref="INS40:INT40"/>
    <mergeCell ref="INU40:INV40"/>
    <mergeCell ref="INW40:INX40"/>
    <mergeCell ref="INY40:INZ40"/>
    <mergeCell ref="INC40:IND40"/>
    <mergeCell ref="INE40:INF40"/>
    <mergeCell ref="ING40:INH40"/>
    <mergeCell ref="INI40:INJ40"/>
    <mergeCell ref="INK40:INL40"/>
    <mergeCell ref="INM40:INN40"/>
    <mergeCell ref="ISE40:ISF40"/>
    <mergeCell ref="ISG40:ISH40"/>
    <mergeCell ref="ISI40:ISJ40"/>
    <mergeCell ref="ISK40:ISL40"/>
    <mergeCell ref="ISM40:ISN40"/>
    <mergeCell ref="ISO40:ISP40"/>
    <mergeCell ref="IRS40:IRT40"/>
    <mergeCell ref="IRU40:IRV40"/>
    <mergeCell ref="IRW40:IRX40"/>
    <mergeCell ref="IRY40:IRZ40"/>
    <mergeCell ref="ISA40:ISB40"/>
    <mergeCell ref="ISC40:ISD40"/>
    <mergeCell ref="IRG40:IRH40"/>
    <mergeCell ref="IRI40:IRJ40"/>
    <mergeCell ref="IRK40:IRL40"/>
    <mergeCell ref="IRM40:IRN40"/>
    <mergeCell ref="IRO40:IRP40"/>
    <mergeCell ref="IRQ40:IRR40"/>
    <mergeCell ref="IQU40:IQV40"/>
    <mergeCell ref="IQW40:IQX40"/>
    <mergeCell ref="IQY40:IQZ40"/>
    <mergeCell ref="IRA40:IRB40"/>
    <mergeCell ref="IRC40:IRD40"/>
    <mergeCell ref="IRE40:IRF40"/>
    <mergeCell ref="IQI40:IQJ40"/>
    <mergeCell ref="IQK40:IQL40"/>
    <mergeCell ref="IQM40:IQN40"/>
    <mergeCell ref="IQO40:IQP40"/>
    <mergeCell ref="IQQ40:IQR40"/>
    <mergeCell ref="IQS40:IQT40"/>
    <mergeCell ref="IPW40:IPX40"/>
    <mergeCell ref="IPY40:IPZ40"/>
    <mergeCell ref="IQA40:IQB40"/>
    <mergeCell ref="IQC40:IQD40"/>
    <mergeCell ref="IQE40:IQF40"/>
    <mergeCell ref="IQG40:IQH40"/>
    <mergeCell ref="IUY40:IUZ40"/>
    <mergeCell ref="IVA40:IVB40"/>
    <mergeCell ref="IVC40:IVD40"/>
    <mergeCell ref="IVE40:IVF40"/>
    <mergeCell ref="IVG40:IVH40"/>
    <mergeCell ref="IVI40:IVJ40"/>
    <mergeCell ref="IUM40:IUN40"/>
    <mergeCell ref="IUO40:IUP40"/>
    <mergeCell ref="IUQ40:IUR40"/>
    <mergeCell ref="IUS40:IUT40"/>
    <mergeCell ref="IUU40:IUV40"/>
    <mergeCell ref="IUW40:IUX40"/>
    <mergeCell ref="IUA40:IUB40"/>
    <mergeCell ref="IUC40:IUD40"/>
    <mergeCell ref="IUE40:IUF40"/>
    <mergeCell ref="IUG40:IUH40"/>
    <mergeCell ref="IUI40:IUJ40"/>
    <mergeCell ref="IUK40:IUL40"/>
    <mergeCell ref="ITO40:ITP40"/>
    <mergeCell ref="ITQ40:ITR40"/>
    <mergeCell ref="ITS40:ITT40"/>
    <mergeCell ref="ITU40:ITV40"/>
    <mergeCell ref="ITW40:ITX40"/>
    <mergeCell ref="ITY40:ITZ40"/>
    <mergeCell ref="ITC40:ITD40"/>
    <mergeCell ref="ITE40:ITF40"/>
    <mergeCell ref="ITG40:ITH40"/>
    <mergeCell ref="ITI40:ITJ40"/>
    <mergeCell ref="ITK40:ITL40"/>
    <mergeCell ref="ITM40:ITN40"/>
    <mergeCell ref="ISQ40:ISR40"/>
    <mergeCell ref="ISS40:IST40"/>
    <mergeCell ref="ISU40:ISV40"/>
    <mergeCell ref="ISW40:ISX40"/>
    <mergeCell ref="ISY40:ISZ40"/>
    <mergeCell ref="ITA40:ITB40"/>
    <mergeCell ref="IXS40:IXT40"/>
    <mergeCell ref="IXU40:IXV40"/>
    <mergeCell ref="IXW40:IXX40"/>
    <mergeCell ref="IXY40:IXZ40"/>
    <mergeCell ref="IYA40:IYB40"/>
    <mergeCell ref="IYC40:IYD40"/>
    <mergeCell ref="IXG40:IXH40"/>
    <mergeCell ref="IXI40:IXJ40"/>
    <mergeCell ref="IXK40:IXL40"/>
    <mergeCell ref="IXM40:IXN40"/>
    <mergeCell ref="IXO40:IXP40"/>
    <mergeCell ref="IXQ40:IXR40"/>
    <mergeCell ref="IWU40:IWV40"/>
    <mergeCell ref="IWW40:IWX40"/>
    <mergeCell ref="IWY40:IWZ40"/>
    <mergeCell ref="IXA40:IXB40"/>
    <mergeCell ref="IXC40:IXD40"/>
    <mergeCell ref="IXE40:IXF40"/>
    <mergeCell ref="IWI40:IWJ40"/>
    <mergeCell ref="IWK40:IWL40"/>
    <mergeCell ref="IWM40:IWN40"/>
    <mergeCell ref="IWO40:IWP40"/>
    <mergeCell ref="IWQ40:IWR40"/>
    <mergeCell ref="IWS40:IWT40"/>
    <mergeCell ref="IVW40:IVX40"/>
    <mergeCell ref="IVY40:IVZ40"/>
    <mergeCell ref="IWA40:IWB40"/>
    <mergeCell ref="IWC40:IWD40"/>
    <mergeCell ref="IWE40:IWF40"/>
    <mergeCell ref="IWG40:IWH40"/>
    <mergeCell ref="IVK40:IVL40"/>
    <mergeCell ref="IVM40:IVN40"/>
    <mergeCell ref="IVO40:IVP40"/>
    <mergeCell ref="IVQ40:IVR40"/>
    <mergeCell ref="IVS40:IVT40"/>
    <mergeCell ref="IVU40:IVV40"/>
    <mergeCell ref="JAM40:JAN40"/>
    <mergeCell ref="JAO40:JAP40"/>
    <mergeCell ref="JAQ40:JAR40"/>
    <mergeCell ref="JAS40:JAT40"/>
    <mergeCell ref="JAU40:JAV40"/>
    <mergeCell ref="JAW40:JAX40"/>
    <mergeCell ref="JAA40:JAB40"/>
    <mergeCell ref="JAC40:JAD40"/>
    <mergeCell ref="JAE40:JAF40"/>
    <mergeCell ref="JAG40:JAH40"/>
    <mergeCell ref="JAI40:JAJ40"/>
    <mergeCell ref="JAK40:JAL40"/>
    <mergeCell ref="IZO40:IZP40"/>
    <mergeCell ref="IZQ40:IZR40"/>
    <mergeCell ref="IZS40:IZT40"/>
    <mergeCell ref="IZU40:IZV40"/>
    <mergeCell ref="IZW40:IZX40"/>
    <mergeCell ref="IZY40:IZZ40"/>
    <mergeCell ref="IZC40:IZD40"/>
    <mergeCell ref="IZE40:IZF40"/>
    <mergeCell ref="IZG40:IZH40"/>
    <mergeCell ref="IZI40:IZJ40"/>
    <mergeCell ref="IZK40:IZL40"/>
    <mergeCell ref="IZM40:IZN40"/>
    <mergeCell ref="IYQ40:IYR40"/>
    <mergeCell ref="IYS40:IYT40"/>
    <mergeCell ref="IYU40:IYV40"/>
    <mergeCell ref="IYW40:IYX40"/>
    <mergeCell ref="IYY40:IYZ40"/>
    <mergeCell ref="IZA40:IZB40"/>
    <mergeCell ref="IYE40:IYF40"/>
    <mergeCell ref="IYG40:IYH40"/>
    <mergeCell ref="IYI40:IYJ40"/>
    <mergeCell ref="IYK40:IYL40"/>
    <mergeCell ref="IYM40:IYN40"/>
    <mergeCell ref="IYO40:IYP40"/>
    <mergeCell ref="JDG40:JDH40"/>
    <mergeCell ref="JDI40:JDJ40"/>
    <mergeCell ref="JDK40:JDL40"/>
    <mergeCell ref="JDM40:JDN40"/>
    <mergeCell ref="JDO40:JDP40"/>
    <mergeCell ref="JDQ40:JDR40"/>
    <mergeCell ref="JCU40:JCV40"/>
    <mergeCell ref="JCW40:JCX40"/>
    <mergeCell ref="JCY40:JCZ40"/>
    <mergeCell ref="JDA40:JDB40"/>
    <mergeCell ref="JDC40:JDD40"/>
    <mergeCell ref="JDE40:JDF40"/>
    <mergeCell ref="JCI40:JCJ40"/>
    <mergeCell ref="JCK40:JCL40"/>
    <mergeCell ref="JCM40:JCN40"/>
    <mergeCell ref="JCO40:JCP40"/>
    <mergeCell ref="JCQ40:JCR40"/>
    <mergeCell ref="JCS40:JCT40"/>
    <mergeCell ref="JBW40:JBX40"/>
    <mergeCell ref="JBY40:JBZ40"/>
    <mergeCell ref="JCA40:JCB40"/>
    <mergeCell ref="JCC40:JCD40"/>
    <mergeCell ref="JCE40:JCF40"/>
    <mergeCell ref="JCG40:JCH40"/>
    <mergeCell ref="JBK40:JBL40"/>
    <mergeCell ref="JBM40:JBN40"/>
    <mergeCell ref="JBO40:JBP40"/>
    <mergeCell ref="JBQ40:JBR40"/>
    <mergeCell ref="JBS40:JBT40"/>
    <mergeCell ref="JBU40:JBV40"/>
    <mergeCell ref="JAY40:JAZ40"/>
    <mergeCell ref="JBA40:JBB40"/>
    <mergeCell ref="JBC40:JBD40"/>
    <mergeCell ref="JBE40:JBF40"/>
    <mergeCell ref="JBG40:JBH40"/>
    <mergeCell ref="JBI40:JBJ40"/>
    <mergeCell ref="JGA40:JGB40"/>
    <mergeCell ref="JGC40:JGD40"/>
    <mergeCell ref="JGE40:JGF40"/>
    <mergeCell ref="JGG40:JGH40"/>
    <mergeCell ref="JGI40:JGJ40"/>
    <mergeCell ref="JGK40:JGL40"/>
    <mergeCell ref="JFO40:JFP40"/>
    <mergeCell ref="JFQ40:JFR40"/>
    <mergeCell ref="JFS40:JFT40"/>
    <mergeCell ref="JFU40:JFV40"/>
    <mergeCell ref="JFW40:JFX40"/>
    <mergeCell ref="JFY40:JFZ40"/>
    <mergeCell ref="JFC40:JFD40"/>
    <mergeCell ref="JFE40:JFF40"/>
    <mergeCell ref="JFG40:JFH40"/>
    <mergeCell ref="JFI40:JFJ40"/>
    <mergeCell ref="JFK40:JFL40"/>
    <mergeCell ref="JFM40:JFN40"/>
    <mergeCell ref="JEQ40:JER40"/>
    <mergeCell ref="JES40:JET40"/>
    <mergeCell ref="JEU40:JEV40"/>
    <mergeCell ref="JEW40:JEX40"/>
    <mergeCell ref="JEY40:JEZ40"/>
    <mergeCell ref="JFA40:JFB40"/>
    <mergeCell ref="JEE40:JEF40"/>
    <mergeCell ref="JEG40:JEH40"/>
    <mergeCell ref="JEI40:JEJ40"/>
    <mergeCell ref="JEK40:JEL40"/>
    <mergeCell ref="JEM40:JEN40"/>
    <mergeCell ref="JEO40:JEP40"/>
    <mergeCell ref="JDS40:JDT40"/>
    <mergeCell ref="JDU40:JDV40"/>
    <mergeCell ref="JDW40:JDX40"/>
    <mergeCell ref="JDY40:JDZ40"/>
    <mergeCell ref="JEA40:JEB40"/>
    <mergeCell ref="JEC40:JED40"/>
    <mergeCell ref="JIU40:JIV40"/>
    <mergeCell ref="JIW40:JIX40"/>
    <mergeCell ref="JIY40:JIZ40"/>
    <mergeCell ref="JJA40:JJB40"/>
    <mergeCell ref="JJC40:JJD40"/>
    <mergeCell ref="JJE40:JJF40"/>
    <mergeCell ref="JII40:JIJ40"/>
    <mergeCell ref="JIK40:JIL40"/>
    <mergeCell ref="JIM40:JIN40"/>
    <mergeCell ref="JIO40:JIP40"/>
    <mergeCell ref="JIQ40:JIR40"/>
    <mergeCell ref="JIS40:JIT40"/>
    <mergeCell ref="JHW40:JHX40"/>
    <mergeCell ref="JHY40:JHZ40"/>
    <mergeCell ref="JIA40:JIB40"/>
    <mergeCell ref="JIC40:JID40"/>
    <mergeCell ref="JIE40:JIF40"/>
    <mergeCell ref="JIG40:JIH40"/>
    <mergeCell ref="JHK40:JHL40"/>
    <mergeCell ref="JHM40:JHN40"/>
    <mergeCell ref="JHO40:JHP40"/>
    <mergeCell ref="JHQ40:JHR40"/>
    <mergeCell ref="JHS40:JHT40"/>
    <mergeCell ref="JHU40:JHV40"/>
    <mergeCell ref="JGY40:JGZ40"/>
    <mergeCell ref="JHA40:JHB40"/>
    <mergeCell ref="JHC40:JHD40"/>
    <mergeCell ref="JHE40:JHF40"/>
    <mergeCell ref="JHG40:JHH40"/>
    <mergeCell ref="JHI40:JHJ40"/>
    <mergeCell ref="JGM40:JGN40"/>
    <mergeCell ref="JGO40:JGP40"/>
    <mergeCell ref="JGQ40:JGR40"/>
    <mergeCell ref="JGS40:JGT40"/>
    <mergeCell ref="JGU40:JGV40"/>
    <mergeCell ref="JGW40:JGX40"/>
    <mergeCell ref="JLO40:JLP40"/>
    <mergeCell ref="JLQ40:JLR40"/>
    <mergeCell ref="JLS40:JLT40"/>
    <mergeCell ref="JLU40:JLV40"/>
    <mergeCell ref="JLW40:JLX40"/>
    <mergeCell ref="JLY40:JLZ40"/>
    <mergeCell ref="JLC40:JLD40"/>
    <mergeCell ref="JLE40:JLF40"/>
    <mergeCell ref="JLG40:JLH40"/>
    <mergeCell ref="JLI40:JLJ40"/>
    <mergeCell ref="JLK40:JLL40"/>
    <mergeCell ref="JLM40:JLN40"/>
    <mergeCell ref="JKQ40:JKR40"/>
    <mergeCell ref="JKS40:JKT40"/>
    <mergeCell ref="JKU40:JKV40"/>
    <mergeCell ref="JKW40:JKX40"/>
    <mergeCell ref="JKY40:JKZ40"/>
    <mergeCell ref="JLA40:JLB40"/>
    <mergeCell ref="JKE40:JKF40"/>
    <mergeCell ref="JKG40:JKH40"/>
    <mergeCell ref="JKI40:JKJ40"/>
    <mergeCell ref="JKK40:JKL40"/>
    <mergeCell ref="JKM40:JKN40"/>
    <mergeCell ref="JKO40:JKP40"/>
    <mergeCell ref="JJS40:JJT40"/>
    <mergeCell ref="JJU40:JJV40"/>
    <mergeCell ref="JJW40:JJX40"/>
    <mergeCell ref="JJY40:JJZ40"/>
    <mergeCell ref="JKA40:JKB40"/>
    <mergeCell ref="JKC40:JKD40"/>
    <mergeCell ref="JJG40:JJH40"/>
    <mergeCell ref="JJI40:JJJ40"/>
    <mergeCell ref="JJK40:JJL40"/>
    <mergeCell ref="JJM40:JJN40"/>
    <mergeCell ref="JJO40:JJP40"/>
    <mergeCell ref="JJQ40:JJR40"/>
    <mergeCell ref="JOI40:JOJ40"/>
    <mergeCell ref="JOK40:JOL40"/>
    <mergeCell ref="JOM40:JON40"/>
    <mergeCell ref="JOO40:JOP40"/>
    <mergeCell ref="JOQ40:JOR40"/>
    <mergeCell ref="JOS40:JOT40"/>
    <mergeCell ref="JNW40:JNX40"/>
    <mergeCell ref="JNY40:JNZ40"/>
    <mergeCell ref="JOA40:JOB40"/>
    <mergeCell ref="JOC40:JOD40"/>
    <mergeCell ref="JOE40:JOF40"/>
    <mergeCell ref="JOG40:JOH40"/>
    <mergeCell ref="JNK40:JNL40"/>
    <mergeCell ref="JNM40:JNN40"/>
    <mergeCell ref="JNO40:JNP40"/>
    <mergeCell ref="JNQ40:JNR40"/>
    <mergeCell ref="JNS40:JNT40"/>
    <mergeCell ref="JNU40:JNV40"/>
    <mergeCell ref="JMY40:JMZ40"/>
    <mergeCell ref="JNA40:JNB40"/>
    <mergeCell ref="JNC40:JND40"/>
    <mergeCell ref="JNE40:JNF40"/>
    <mergeCell ref="JNG40:JNH40"/>
    <mergeCell ref="JNI40:JNJ40"/>
    <mergeCell ref="JMM40:JMN40"/>
    <mergeCell ref="JMO40:JMP40"/>
    <mergeCell ref="JMQ40:JMR40"/>
    <mergeCell ref="JMS40:JMT40"/>
    <mergeCell ref="JMU40:JMV40"/>
    <mergeCell ref="JMW40:JMX40"/>
    <mergeCell ref="JMA40:JMB40"/>
    <mergeCell ref="JMC40:JMD40"/>
    <mergeCell ref="JME40:JMF40"/>
    <mergeCell ref="JMG40:JMH40"/>
    <mergeCell ref="JMI40:JMJ40"/>
    <mergeCell ref="JMK40:JML40"/>
    <mergeCell ref="JRC40:JRD40"/>
    <mergeCell ref="JRE40:JRF40"/>
    <mergeCell ref="JRG40:JRH40"/>
    <mergeCell ref="JRI40:JRJ40"/>
    <mergeCell ref="JRK40:JRL40"/>
    <mergeCell ref="JRM40:JRN40"/>
    <mergeCell ref="JQQ40:JQR40"/>
    <mergeCell ref="JQS40:JQT40"/>
    <mergeCell ref="JQU40:JQV40"/>
    <mergeCell ref="JQW40:JQX40"/>
    <mergeCell ref="JQY40:JQZ40"/>
    <mergeCell ref="JRA40:JRB40"/>
    <mergeCell ref="JQE40:JQF40"/>
    <mergeCell ref="JQG40:JQH40"/>
    <mergeCell ref="JQI40:JQJ40"/>
    <mergeCell ref="JQK40:JQL40"/>
    <mergeCell ref="JQM40:JQN40"/>
    <mergeCell ref="JQO40:JQP40"/>
    <mergeCell ref="JPS40:JPT40"/>
    <mergeCell ref="JPU40:JPV40"/>
    <mergeCell ref="JPW40:JPX40"/>
    <mergeCell ref="JPY40:JPZ40"/>
    <mergeCell ref="JQA40:JQB40"/>
    <mergeCell ref="JQC40:JQD40"/>
    <mergeCell ref="JPG40:JPH40"/>
    <mergeCell ref="JPI40:JPJ40"/>
    <mergeCell ref="JPK40:JPL40"/>
    <mergeCell ref="JPM40:JPN40"/>
    <mergeCell ref="JPO40:JPP40"/>
    <mergeCell ref="JPQ40:JPR40"/>
    <mergeCell ref="JOU40:JOV40"/>
    <mergeCell ref="JOW40:JOX40"/>
    <mergeCell ref="JOY40:JOZ40"/>
    <mergeCell ref="JPA40:JPB40"/>
    <mergeCell ref="JPC40:JPD40"/>
    <mergeCell ref="JPE40:JPF40"/>
    <mergeCell ref="JTW40:JTX40"/>
    <mergeCell ref="JTY40:JTZ40"/>
    <mergeCell ref="JUA40:JUB40"/>
    <mergeCell ref="JUC40:JUD40"/>
    <mergeCell ref="JUE40:JUF40"/>
    <mergeCell ref="JUG40:JUH40"/>
    <mergeCell ref="JTK40:JTL40"/>
    <mergeCell ref="JTM40:JTN40"/>
    <mergeCell ref="JTO40:JTP40"/>
    <mergeCell ref="JTQ40:JTR40"/>
    <mergeCell ref="JTS40:JTT40"/>
    <mergeCell ref="JTU40:JTV40"/>
    <mergeCell ref="JSY40:JSZ40"/>
    <mergeCell ref="JTA40:JTB40"/>
    <mergeCell ref="JTC40:JTD40"/>
    <mergeCell ref="JTE40:JTF40"/>
    <mergeCell ref="JTG40:JTH40"/>
    <mergeCell ref="JTI40:JTJ40"/>
    <mergeCell ref="JSM40:JSN40"/>
    <mergeCell ref="JSO40:JSP40"/>
    <mergeCell ref="JSQ40:JSR40"/>
    <mergeCell ref="JSS40:JST40"/>
    <mergeCell ref="JSU40:JSV40"/>
    <mergeCell ref="JSW40:JSX40"/>
    <mergeCell ref="JSA40:JSB40"/>
    <mergeCell ref="JSC40:JSD40"/>
    <mergeCell ref="JSE40:JSF40"/>
    <mergeCell ref="JSG40:JSH40"/>
    <mergeCell ref="JSI40:JSJ40"/>
    <mergeCell ref="JSK40:JSL40"/>
    <mergeCell ref="JRO40:JRP40"/>
    <mergeCell ref="JRQ40:JRR40"/>
    <mergeCell ref="JRS40:JRT40"/>
    <mergeCell ref="JRU40:JRV40"/>
    <mergeCell ref="JRW40:JRX40"/>
    <mergeCell ref="JRY40:JRZ40"/>
    <mergeCell ref="JWQ40:JWR40"/>
    <mergeCell ref="JWS40:JWT40"/>
    <mergeCell ref="JWU40:JWV40"/>
    <mergeCell ref="JWW40:JWX40"/>
    <mergeCell ref="JWY40:JWZ40"/>
    <mergeCell ref="JXA40:JXB40"/>
    <mergeCell ref="JWE40:JWF40"/>
    <mergeCell ref="JWG40:JWH40"/>
    <mergeCell ref="JWI40:JWJ40"/>
    <mergeCell ref="JWK40:JWL40"/>
    <mergeCell ref="JWM40:JWN40"/>
    <mergeCell ref="JWO40:JWP40"/>
    <mergeCell ref="JVS40:JVT40"/>
    <mergeCell ref="JVU40:JVV40"/>
    <mergeCell ref="JVW40:JVX40"/>
    <mergeCell ref="JVY40:JVZ40"/>
    <mergeCell ref="JWA40:JWB40"/>
    <mergeCell ref="JWC40:JWD40"/>
    <mergeCell ref="JVG40:JVH40"/>
    <mergeCell ref="JVI40:JVJ40"/>
    <mergeCell ref="JVK40:JVL40"/>
    <mergeCell ref="JVM40:JVN40"/>
    <mergeCell ref="JVO40:JVP40"/>
    <mergeCell ref="JVQ40:JVR40"/>
    <mergeCell ref="JUU40:JUV40"/>
    <mergeCell ref="JUW40:JUX40"/>
    <mergeCell ref="JUY40:JUZ40"/>
    <mergeCell ref="JVA40:JVB40"/>
    <mergeCell ref="JVC40:JVD40"/>
    <mergeCell ref="JVE40:JVF40"/>
    <mergeCell ref="JUI40:JUJ40"/>
    <mergeCell ref="JUK40:JUL40"/>
    <mergeCell ref="JUM40:JUN40"/>
    <mergeCell ref="JUO40:JUP40"/>
    <mergeCell ref="JUQ40:JUR40"/>
    <mergeCell ref="JUS40:JUT40"/>
    <mergeCell ref="JZK40:JZL40"/>
    <mergeCell ref="JZM40:JZN40"/>
    <mergeCell ref="JZO40:JZP40"/>
    <mergeCell ref="JZQ40:JZR40"/>
    <mergeCell ref="JZS40:JZT40"/>
    <mergeCell ref="JZU40:JZV40"/>
    <mergeCell ref="JYY40:JYZ40"/>
    <mergeCell ref="JZA40:JZB40"/>
    <mergeCell ref="JZC40:JZD40"/>
    <mergeCell ref="JZE40:JZF40"/>
    <mergeCell ref="JZG40:JZH40"/>
    <mergeCell ref="JZI40:JZJ40"/>
    <mergeCell ref="JYM40:JYN40"/>
    <mergeCell ref="JYO40:JYP40"/>
    <mergeCell ref="JYQ40:JYR40"/>
    <mergeCell ref="JYS40:JYT40"/>
    <mergeCell ref="JYU40:JYV40"/>
    <mergeCell ref="JYW40:JYX40"/>
    <mergeCell ref="JYA40:JYB40"/>
    <mergeCell ref="JYC40:JYD40"/>
    <mergeCell ref="JYE40:JYF40"/>
    <mergeCell ref="JYG40:JYH40"/>
    <mergeCell ref="JYI40:JYJ40"/>
    <mergeCell ref="JYK40:JYL40"/>
    <mergeCell ref="JXO40:JXP40"/>
    <mergeCell ref="JXQ40:JXR40"/>
    <mergeCell ref="JXS40:JXT40"/>
    <mergeCell ref="JXU40:JXV40"/>
    <mergeCell ref="JXW40:JXX40"/>
    <mergeCell ref="JXY40:JXZ40"/>
    <mergeCell ref="JXC40:JXD40"/>
    <mergeCell ref="JXE40:JXF40"/>
    <mergeCell ref="JXG40:JXH40"/>
    <mergeCell ref="JXI40:JXJ40"/>
    <mergeCell ref="JXK40:JXL40"/>
    <mergeCell ref="JXM40:JXN40"/>
    <mergeCell ref="KCE40:KCF40"/>
    <mergeCell ref="KCG40:KCH40"/>
    <mergeCell ref="KCI40:KCJ40"/>
    <mergeCell ref="KCK40:KCL40"/>
    <mergeCell ref="KCM40:KCN40"/>
    <mergeCell ref="KCO40:KCP40"/>
    <mergeCell ref="KBS40:KBT40"/>
    <mergeCell ref="KBU40:KBV40"/>
    <mergeCell ref="KBW40:KBX40"/>
    <mergeCell ref="KBY40:KBZ40"/>
    <mergeCell ref="KCA40:KCB40"/>
    <mergeCell ref="KCC40:KCD40"/>
    <mergeCell ref="KBG40:KBH40"/>
    <mergeCell ref="KBI40:KBJ40"/>
    <mergeCell ref="KBK40:KBL40"/>
    <mergeCell ref="KBM40:KBN40"/>
    <mergeCell ref="KBO40:KBP40"/>
    <mergeCell ref="KBQ40:KBR40"/>
    <mergeCell ref="KAU40:KAV40"/>
    <mergeCell ref="KAW40:KAX40"/>
    <mergeCell ref="KAY40:KAZ40"/>
    <mergeCell ref="KBA40:KBB40"/>
    <mergeCell ref="KBC40:KBD40"/>
    <mergeCell ref="KBE40:KBF40"/>
    <mergeCell ref="KAI40:KAJ40"/>
    <mergeCell ref="KAK40:KAL40"/>
    <mergeCell ref="KAM40:KAN40"/>
    <mergeCell ref="KAO40:KAP40"/>
    <mergeCell ref="KAQ40:KAR40"/>
    <mergeCell ref="KAS40:KAT40"/>
    <mergeCell ref="JZW40:JZX40"/>
    <mergeCell ref="JZY40:JZZ40"/>
    <mergeCell ref="KAA40:KAB40"/>
    <mergeCell ref="KAC40:KAD40"/>
    <mergeCell ref="KAE40:KAF40"/>
    <mergeCell ref="KAG40:KAH40"/>
    <mergeCell ref="KEY40:KEZ40"/>
    <mergeCell ref="KFA40:KFB40"/>
    <mergeCell ref="KFC40:KFD40"/>
    <mergeCell ref="KFE40:KFF40"/>
    <mergeCell ref="KFG40:KFH40"/>
    <mergeCell ref="KFI40:KFJ40"/>
    <mergeCell ref="KEM40:KEN40"/>
    <mergeCell ref="KEO40:KEP40"/>
    <mergeCell ref="KEQ40:KER40"/>
    <mergeCell ref="KES40:KET40"/>
    <mergeCell ref="KEU40:KEV40"/>
    <mergeCell ref="KEW40:KEX40"/>
    <mergeCell ref="KEA40:KEB40"/>
    <mergeCell ref="KEC40:KED40"/>
    <mergeCell ref="KEE40:KEF40"/>
    <mergeCell ref="KEG40:KEH40"/>
    <mergeCell ref="KEI40:KEJ40"/>
    <mergeCell ref="KEK40:KEL40"/>
    <mergeCell ref="KDO40:KDP40"/>
    <mergeCell ref="KDQ40:KDR40"/>
    <mergeCell ref="KDS40:KDT40"/>
    <mergeCell ref="KDU40:KDV40"/>
    <mergeCell ref="KDW40:KDX40"/>
    <mergeCell ref="KDY40:KDZ40"/>
    <mergeCell ref="KDC40:KDD40"/>
    <mergeCell ref="KDE40:KDF40"/>
    <mergeCell ref="KDG40:KDH40"/>
    <mergeCell ref="KDI40:KDJ40"/>
    <mergeCell ref="KDK40:KDL40"/>
    <mergeCell ref="KDM40:KDN40"/>
    <mergeCell ref="KCQ40:KCR40"/>
    <mergeCell ref="KCS40:KCT40"/>
    <mergeCell ref="KCU40:KCV40"/>
    <mergeCell ref="KCW40:KCX40"/>
    <mergeCell ref="KCY40:KCZ40"/>
    <mergeCell ref="KDA40:KDB40"/>
    <mergeCell ref="KHS40:KHT40"/>
    <mergeCell ref="KHU40:KHV40"/>
    <mergeCell ref="KHW40:KHX40"/>
    <mergeCell ref="KHY40:KHZ40"/>
    <mergeCell ref="KIA40:KIB40"/>
    <mergeCell ref="KIC40:KID40"/>
    <mergeCell ref="KHG40:KHH40"/>
    <mergeCell ref="KHI40:KHJ40"/>
    <mergeCell ref="KHK40:KHL40"/>
    <mergeCell ref="KHM40:KHN40"/>
    <mergeCell ref="KHO40:KHP40"/>
    <mergeCell ref="KHQ40:KHR40"/>
    <mergeCell ref="KGU40:KGV40"/>
    <mergeCell ref="KGW40:KGX40"/>
    <mergeCell ref="KGY40:KGZ40"/>
    <mergeCell ref="KHA40:KHB40"/>
    <mergeCell ref="KHC40:KHD40"/>
    <mergeCell ref="KHE40:KHF40"/>
    <mergeCell ref="KGI40:KGJ40"/>
    <mergeCell ref="KGK40:KGL40"/>
    <mergeCell ref="KGM40:KGN40"/>
    <mergeCell ref="KGO40:KGP40"/>
    <mergeCell ref="KGQ40:KGR40"/>
    <mergeCell ref="KGS40:KGT40"/>
    <mergeCell ref="KFW40:KFX40"/>
    <mergeCell ref="KFY40:KFZ40"/>
    <mergeCell ref="KGA40:KGB40"/>
    <mergeCell ref="KGC40:KGD40"/>
    <mergeCell ref="KGE40:KGF40"/>
    <mergeCell ref="KGG40:KGH40"/>
    <mergeCell ref="KFK40:KFL40"/>
    <mergeCell ref="KFM40:KFN40"/>
    <mergeCell ref="KFO40:KFP40"/>
    <mergeCell ref="KFQ40:KFR40"/>
    <mergeCell ref="KFS40:KFT40"/>
    <mergeCell ref="KFU40:KFV40"/>
    <mergeCell ref="KKM40:KKN40"/>
    <mergeCell ref="KKO40:KKP40"/>
    <mergeCell ref="KKQ40:KKR40"/>
    <mergeCell ref="KKS40:KKT40"/>
    <mergeCell ref="KKU40:KKV40"/>
    <mergeCell ref="KKW40:KKX40"/>
    <mergeCell ref="KKA40:KKB40"/>
    <mergeCell ref="KKC40:KKD40"/>
    <mergeCell ref="KKE40:KKF40"/>
    <mergeCell ref="KKG40:KKH40"/>
    <mergeCell ref="KKI40:KKJ40"/>
    <mergeCell ref="KKK40:KKL40"/>
    <mergeCell ref="KJO40:KJP40"/>
    <mergeCell ref="KJQ40:KJR40"/>
    <mergeCell ref="KJS40:KJT40"/>
    <mergeCell ref="KJU40:KJV40"/>
    <mergeCell ref="KJW40:KJX40"/>
    <mergeCell ref="KJY40:KJZ40"/>
    <mergeCell ref="KJC40:KJD40"/>
    <mergeCell ref="KJE40:KJF40"/>
    <mergeCell ref="KJG40:KJH40"/>
    <mergeCell ref="KJI40:KJJ40"/>
    <mergeCell ref="KJK40:KJL40"/>
    <mergeCell ref="KJM40:KJN40"/>
    <mergeCell ref="KIQ40:KIR40"/>
    <mergeCell ref="KIS40:KIT40"/>
    <mergeCell ref="KIU40:KIV40"/>
    <mergeCell ref="KIW40:KIX40"/>
    <mergeCell ref="KIY40:KIZ40"/>
    <mergeCell ref="KJA40:KJB40"/>
    <mergeCell ref="KIE40:KIF40"/>
    <mergeCell ref="KIG40:KIH40"/>
    <mergeCell ref="KII40:KIJ40"/>
    <mergeCell ref="KIK40:KIL40"/>
    <mergeCell ref="KIM40:KIN40"/>
    <mergeCell ref="KIO40:KIP40"/>
    <mergeCell ref="KNG40:KNH40"/>
    <mergeCell ref="KNI40:KNJ40"/>
    <mergeCell ref="KNK40:KNL40"/>
    <mergeCell ref="KNM40:KNN40"/>
    <mergeCell ref="KNO40:KNP40"/>
    <mergeCell ref="KNQ40:KNR40"/>
    <mergeCell ref="KMU40:KMV40"/>
    <mergeCell ref="KMW40:KMX40"/>
    <mergeCell ref="KMY40:KMZ40"/>
    <mergeCell ref="KNA40:KNB40"/>
    <mergeCell ref="KNC40:KND40"/>
    <mergeCell ref="KNE40:KNF40"/>
    <mergeCell ref="KMI40:KMJ40"/>
    <mergeCell ref="KMK40:KML40"/>
    <mergeCell ref="KMM40:KMN40"/>
    <mergeCell ref="KMO40:KMP40"/>
    <mergeCell ref="KMQ40:KMR40"/>
    <mergeCell ref="KMS40:KMT40"/>
    <mergeCell ref="KLW40:KLX40"/>
    <mergeCell ref="KLY40:KLZ40"/>
    <mergeCell ref="KMA40:KMB40"/>
    <mergeCell ref="KMC40:KMD40"/>
    <mergeCell ref="KME40:KMF40"/>
    <mergeCell ref="KMG40:KMH40"/>
    <mergeCell ref="KLK40:KLL40"/>
    <mergeCell ref="KLM40:KLN40"/>
    <mergeCell ref="KLO40:KLP40"/>
    <mergeCell ref="KLQ40:KLR40"/>
    <mergeCell ref="KLS40:KLT40"/>
    <mergeCell ref="KLU40:KLV40"/>
    <mergeCell ref="KKY40:KKZ40"/>
    <mergeCell ref="KLA40:KLB40"/>
    <mergeCell ref="KLC40:KLD40"/>
    <mergeCell ref="KLE40:KLF40"/>
    <mergeCell ref="KLG40:KLH40"/>
    <mergeCell ref="KLI40:KLJ40"/>
    <mergeCell ref="KQA40:KQB40"/>
    <mergeCell ref="KQC40:KQD40"/>
    <mergeCell ref="KQE40:KQF40"/>
    <mergeCell ref="KQG40:KQH40"/>
    <mergeCell ref="KQI40:KQJ40"/>
    <mergeCell ref="KQK40:KQL40"/>
    <mergeCell ref="KPO40:KPP40"/>
    <mergeCell ref="KPQ40:KPR40"/>
    <mergeCell ref="KPS40:KPT40"/>
    <mergeCell ref="KPU40:KPV40"/>
    <mergeCell ref="KPW40:KPX40"/>
    <mergeCell ref="KPY40:KPZ40"/>
    <mergeCell ref="KPC40:KPD40"/>
    <mergeCell ref="KPE40:KPF40"/>
    <mergeCell ref="KPG40:KPH40"/>
    <mergeCell ref="KPI40:KPJ40"/>
    <mergeCell ref="KPK40:KPL40"/>
    <mergeCell ref="KPM40:KPN40"/>
    <mergeCell ref="KOQ40:KOR40"/>
    <mergeCell ref="KOS40:KOT40"/>
    <mergeCell ref="KOU40:KOV40"/>
    <mergeCell ref="KOW40:KOX40"/>
    <mergeCell ref="KOY40:KOZ40"/>
    <mergeCell ref="KPA40:KPB40"/>
    <mergeCell ref="KOE40:KOF40"/>
    <mergeCell ref="KOG40:KOH40"/>
    <mergeCell ref="KOI40:KOJ40"/>
    <mergeCell ref="KOK40:KOL40"/>
    <mergeCell ref="KOM40:KON40"/>
    <mergeCell ref="KOO40:KOP40"/>
    <mergeCell ref="KNS40:KNT40"/>
    <mergeCell ref="KNU40:KNV40"/>
    <mergeCell ref="KNW40:KNX40"/>
    <mergeCell ref="KNY40:KNZ40"/>
    <mergeCell ref="KOA40:KOB40"/>
    <mergeCell ref="KOC40:KOD40"/>
    <mergeCell ref="KSU40:KSV40"/>
    <mergeCell ref="KSW40:KSX40"/>
    <mergeCell ref="KSY40:KSZ40"/>
    <mergeCell ref="KTA40:KTB40"/>
    <mergeCell ref="KTC40:KTD40"/>
    <mergeCell ref="KTE40:KTF40"/>
    <mergeCell ref="KSI40:KSJ40"/>
    <mergeCell ref="KSK40:KSL40"/>
    <mergeCell ref="KSM40:KSN40"/>
    <mergeCell ref="KSO40:KSP40"/>
    <mergeCell ref="KSQ40:KSR40"/>
    <mergeCell ref="KSS40:KST40"/>
    <mergeCell ref="KRW40:KRX40"/>
    <mergeCell ref="KRY40:KRZ40"/>
    <mergeCell ref="KSA40:KSB40"/>
    <mergeCell ref="KSC40:KSD40"/>
    <mergeCell ref="KSE40:KSF40"/>
    <mergeCell ref="KSG40:KSH40"/>
    <mergeCell ref="KRK40:KRL40"/>
    <mergeCell ref="KRM40:KRN40"/>
    <mergeCell ref="KRO40:KRP40"/>
    <mergeCell ref="KRQ40:KRR40"/>
    <mergeCell ref="KRS40:KRT40"/>
    <mergeCell ref="KRU40:KRV40"/>
    <mergeCell ref="KQY40:KQZ40"/>
    <mergeCell ref="KRA40:KRB40"/>
    <mergeCell ref="KRC40:KRD40"/>
    <mergeCell ref="KRE40:KRF40"/>
    <mergeCell ref="KRG40:KRH40"/>
    <mergeCell ref="KRI40:KRJ40"/>
    <mergeCell ref="KQM40:KQN40"/>
    <mergeCell ref="KQO40:KQP40"/>
    <mergeCell ref="KQQ40:KQR40"/>
    <mergeCell ref="KQS40:KQT40"/>
    <mergeCell ref="KQU40:KQV40"/>
    <mergeCell ref="KQW40:KQX40"/>
    <mergeCell ref="KVO40:KVP40"/>
    <mergeCell ref="KVQ40:KVR40"/>
    <mergeCell ref="KVS40:KVT40"/>
    <mergeCell ref="KVU40:KVV40"/>
    <mergeCell ref="KVW40:KVX40"/>
    <mergeCell ref="KVY40:KVZ40"/>
    <mergeCell ref="KVC40:KVD40"/>
    <mergeCell ref="KVE40:KVF40"/>
    <mergeCell ref="KVG40:KVH40"/>
    <mergeCell ref="KVI40:KVJ40"/>
    <mergeCell ref="KVK40:KVL40"/>
    <mergeCell ref="KVM40:KVN40"/>
    <mergeCell ref="KUQ40:KUR40"/>
    <mergeCell ref="KUS40:KUT40"/>
    <mergeCell ref="KUU40:KUV40"/>
    <mergeCell ref="KUW40:KUX40"/>
    <mergeCell ref="KUY40:KUZ40"/>
    <mergeCell ref="KVA40:KVB40"/>
    <mergeCell ref="KUE40:KUF40"/>
    <mergeCell ref="KUG40:KUH40"/>
    <mergeCell ref="KUI40:KUJ40"/>
    <mergeCell ref="KUK40:KUL40"/>
    <mergeCell ref="KUM40:KUN40"/>
    <mergeCell ref="KUO40:KUP40"/>
    <mergeCell ref="KTS40:KTT40"/>
    <mergeCell ref="KTU40:KTV40"/>
    <mergeCell ref="KTW40:KTX40"/>
    <mergeCell ref="KTY40:KTZ40"/>
    <mergeCell ref="KUA40:KUB40"/>
    <mergeCell ref="KUC40:KUD40"/>
    <mergeCell ref="KTG40:KTH40"/>
    <mergeCell ref="KTI40:KTJ40"/>
    <mergeCell ref="KTK40:KTL40"/>
    <mergeCell ref="KTM40:KTN40"/>
    <mergeCell ref="KTO40:KTP40"/>
    <mergeCell ref="KTQ40:KTR40"/>
    <mergeCell ref="KYI40:KYJ40"/>
    <mergeCell ref="KYK40:KYL40"/>
    <mergeCell ref="KYM40:KYN40"/>
    <mergeCell ref="KYO40:KYP40"/>
    <mergeCell ref="KYQ40:KYR40"/>
    <mergeCell ref="KYS40:KYT40"/>
    <mergeCell ref="KXW40:KXX40"/>
    <mergeCell ref="KXY40:KXZ40"/>
    <mergeCell ref="KYA40:KYB40"/>
    <mergeCell ref="KYC40:KYD40"/>
    <mergeCell ref="KYE40:KYF40"/>
    <mergeCell ref="KYG40:KYH40"/>
    <mergeCell ref="KXK40:KXL40"/>
    <mergeCell ref="KXM40:KXN40"/>
    <mergeCell ref="KXO40:KXP40"/>
    <mergeCell ref="KXQ40:KXR40"/>
    <mergeCell ref="KXS40:KXT40"/>
    <mergeCell ref="KXU40:KXV40"/>
    <mergeCell ref="KWY40:KWZ40"/>
    <mergeCell ref="KXA40:KXB40"/>
    <mergeCell ref="KXC40:KXD40"/>
    <mergeCell ref="KXE40:KXF40"/>
    <mergeCell ref="KXG40:KXH40"/>
    <mergeCell ref="KXI40:KXJ40"/>
    <mergeCell ref="KWM40:KWN40"/>
    <mergeCell ref="KWO40:KWP40"/>
    <mergeCell ref="KWQ40:KWR40"/>
    <mergeCell ref="KWS40:KWT40"/>
    <mergeCell ref="KWU40:KWV40"/>
    <mergeCell ref="KWW40:KWX40"/>
    <mergeCell ref="KWA40:KWB40"/>
    <mergeCell ref="KWC40:KWD40"/>
    <mergeCell ref="KWE40:KWF40"/>
    <mergeCell ref="KWG40:KWH40"/>
    <mergeCell ref="KWI40:KWJ40"/>
    <mergeCell ref="KWK40:KWL40"/>
    <mergeCell ref="LBC40:LBD40"/>
    <mergeCell ref="LBE40:LBF40"/>
    <mergeCell ref="LBG40:LBH40"/>
    <mergeCell ref="LBI40:LBJ40"/>
    <mergeCell ref="LBK40:LBL40"/>
    <mergeCell ref="LBM40:LBN40"/>
    <mergeCell ref="LAQ40:LAR40"/>
    <mergeCell ref="LAS40:LAT40"/>
    <mergeCell ref="LAU40:LAV40"/>
    <mergeCell ref="LAW40:LAX40"/>
    <mergeCell ref="LAY40:LAZ40"/>
    <mergeCell ref="LBA40:LBB40"/>
    <mergeCell ref="LAE40:LAF40"/>
    <mergeCell ref="LAG40:LAH40"/>
    <mergeCell ref="LAI40:LAJ40"/>
    <mergeCell ref="LAK40:LAL40"/>
    <mergeCell ref="LAM40:LAN40"/>
    <mergeCell ref="LAO40:LAP40"/>
    <mergeCell ref="KZS40:KZT40"/>
    <mergeCell ref="KZU40:KZV40"/>
    <mergeCell ref="KZW40:KZX40"/>
    <mergeCell ref="KZY40:KZZ40"/>
    <mergeCell ref="LAA40:LAB40"/>
    <mergeCell ref="LAC40:LAD40"/>
    <mergeCell ref="KZG40:KZH40"/>
    <mergeCell ref="KZI40:KZJ40"/>
    <mergeCell ref="KZK40:KZL40"/>
    <mergeCell ref="KZM40:KZN40"/>
    <mergeCell ref="KZO40:KZP40"/>
    <mergeCell ref="KZQ40:KZR40"/>
    <mergeCell ref="KYU40:KYV40"/>
    <mergeCell ref="KYW40:KYX40"/>
    <mergeCell ref="KYY40:KYZ40"/>
    <mergeCell ref="KZA40:KZB40"/>
    <mergeCell ref="KZC40:KZD40"/>
    <mergeCell ref="KZE40:KZF40"/>
    <mergeCell ref="LDW40:LDX40"/>
    <mergeCell ref="LDY40:LDZ40"/>
    <mergeCell ref="LEA40:LEB40"/>
    <mergeCell ref="LEC40:LED40"/>
    <mergeCell ref="LEE40:LEF40"/>
    <mergeCell ref="LEG40:LEH40"/>
    <mergeCell ref="LDK40:LDL40"/>
    <mergeCell ref="LDM40:LDN40"/>
    <mergeCell ref="LDO40:LDP40"/>
    <mergeCell ref="LDQ40:LDR40"/>
    <mergeCell ref="LDS40:LDT40"/>
    <mergeCell ref="LDU40:LDV40"/>
    <mergeCell ref="LCY40:LCZ40"/>
    <mergeCell ref="LDA40:LDB40"/>
    <mergeCell ref="LDC40:LDD40"/>
    <mergeCell ref="LDE40:LDF40"/>
    <mergeCell ref="LDG40:LDH40"/>
    <mergeCell ref="LDI40:LDJ40"/>
    <mergeCell ref="LCM40:LCN40"/>
    <mergeCell ref="LCO40:LCP40"/>
    <mergeCell ref="LCQ40:LCR40"/>
    <mergeCell ref="LCS40:LCT40"/>
    <mergeCell ref="LCU40:LCV40"/>
    <mergeCell ref="LCW40:LCX40"/>
    <mergeCell ref="LCA40:LCB40"/>
    <mergeCell ref="LCC40:LCD40"/>
    <mergeCell ref="LCE40:LCF40"/>
    <mergeCell ref="LCG40:LCH40"/>
    <mergeCell ref="LCI40:LCJ40"/>
    <mergeCell ref="LCK40:LCL40"/>
    <mergeCell ref="LBO40:LBP40"/>
    <mergeCell ref="LBQ40:LBR40"/>
    <mergeCell ref="LBS40:LBT40"/>
    <mergeCell ref="LBU40:LBV40"/>
    <mergeCell ref="LBW40:LBX40"/>
    <mergeCell ref="LBY40:LBZ40"/>
    <mergeCell ref="LGQ40:LGR40"/>
    <mergeCell ref="LGS40:LGT40"/>
    <mergeCell ref="LGU40:LGV40"/>
    <mergeCell ref="LGW40:LGX40"/>
    <mergeCell ref="LGY40:LGZ40"/>
    <mergeCell ref="LHA40:LHB40"/>
    <mergeCell ref="LGE40:LGF40"/>
    <mergeCell ref="LGG40:LGH40"/>
    <mergeCell ref="LGI40:LGJ40"/>
    <mergeCell ref="LGK40:LGL40"/>
    <mergeCell ref="LGM40:LGN40"/>
    <mergeCell ref="LGO40:LGP40"/>
    <mergeCell ref="LFS40:LFT40"/>
    <mergeCell ref="LFU40:LFV40"/>
    <mergeCell ref="LFW40:LFX40"/>
    <mergeCell ref="LFY40:LFZ40"/>
    <mergeCell ref="LGA40:LGB40"/>
    <mergeCell ref="LGC40:LGD40"/>
    <mergeCell ref="LFG40:LFH40"/>
    <mergeCell ref="LFI40:LFJ40"/>
    <mergeCell ref="LFK40:LFL40"/>
    <mergeCell ref="LFM40:LFN40"/>
    <mergeCell ref="LFO40:LFP40"/>
    <mergeCell ref="LFQ40:LFR40"/>
    <mergeCell ref="LEU40:LEV40"/>
    <mergeCell ref="LEW40:LEX40"/>
    <mergeCell ref="LEY40:LEZ40"/>
    <mergeCell ref="LFA40:LFB40"/>
    <mergeCell ref="LFC40:LFD40"/>
    <mergeCell ref="LFE40:LFF40"/>
    <mergeCell ref="LEI40:LEJ40"/>
    <mergeCell ref="LEK40:LEL40"/>
    <mergeCell ref="LEM40:LEN40"/>
    <mergeCell ref="LEO40:LEP40"/>
    <mergeCell ref="LEQ40:LER40"/>
    <mergeCell ref="LES40:LET40"/>
    <mergeCell ref="LJK40:LJL40"/>
    <mergeCell ref="LJM40:LJN40"/>
    <mergeCell ref="LJO40:LJP40"/>
    <mergeCell ref="LJQ40:LJR40"/>
    <mergeCell ref="LJS40:LJT40"/>
    <mergeCell ref="LJU40:LJV40"/>
    <mergeCell ref="LIY40:LIZ40"/>
    <mergeCell ref="LJA40:LJB40"/>
    <mergeCell ref="LJC40:LJD40"/>
    <mergeCell ref="LJE40:LJF40"/>
    <mergeCell ref="LJG40:LJH40"/>
    <mergeCell ref="LJI40:LJJ40"/>
    <mergeCell ref="LIM40:LIN40"/>
    <mergeCell ref="LIO40:LIP40"/>
    <mergeCell ref="LIQ40:LIR40"/>
    <mergeCell ref="LIS40:LIT40"/>
    <mergeCell ref="LIU40:LIV40"/>
    <mergeCell ref="LIW40:LIX40"/>
    <mergeCell ref="LIA40:LIB40"/>
    <mergeCell ref="LIC40:LID40"/>
    <mergeCell ref="LIE40:LIF40"/>
    <mergeCell ref="LIG40:LIH40"/>
    <mergeCell ref="LII40:LIJ40"/>
    <mergeCell ref="LIK40:LIL40"/>
    <mergeCell ref="LHO40:LHP40"/>
    <mergeCell ref="LHQ40:LHR40"/>
    <mergeCell ref="LHS40:LHT40"/>
    <mergeCell ref="LHU40:LHV40"/>
    <mergeCell ref="LHW40:LHX40"/>
    <mergeCell ref="LHY40:LHZ40"/>
    <mergeCell ref="LHC40:LHD40"/>
    <mergeCell ref="LHE40:LHF40"/>
    <mergeCell ref="LHG40:LHH40"/>
    <mergeCell ref="LHI40:LHJ40"/>
    <mergeCell ref="LHK40:LHL40"/>
    <mergeCell ref="LHM40:LHN40"/>
    <mergeCell ref="LME40:LMF40"/>
    <mergeCell ref="LMG40:LMH40"/>
    <mergeCell ref="LMI40:LMJ40"/>
    <mergeCell ref="LMK40:LML40"/>
    <mergeCell ref="LMM40:LMN40"/>
    <mergeCell ref="LMO40:LMP40"/>
    <mergeCell ref="LLS40:LLT40"/>
    <mergeCell ref="LLU40:LLV40"/>
    <mergeCell ref="LLW40:LLX40"/>
    <mergeCell ref="LLY40:LLZ40"/>
    <mergeCell ref="LMA40:LMB40"/>
    <mergeCell ref="LMC40:LMD40"/>
    <mergeCell ref="LLG40:LLH40"/>
    <mergeCell ref="LLI40:LLJ40"/>
    <mergeCell ref="LLK40:LLL40"/>
    <mergeCell ref="LLM40:LLN40"/>
    <mergeCell ref="LLO40:LLP40"/>
    <mergeCell ref="LLQ40:LLR40"/>
    <mergeCell ref="LKU40:LKV40"/>
    <mergeCell ref="LKW40:LKX40"/>
    <mergeCell ref="LKY40:LKZ40"/>
    <mergeCell ref="LLA40:LLB40"/>
    <mergeCell ref="LLC40:LLD40"/>
    <mergeCell ref="LLE40:LLF40"/>
    <mergeCell ref="LKI40:LKJ40"/>
    <mergeCell ref="LKK40:LKL40"/>
    <mergeCell ref="LKM40:LKN40"/>
    <mergeCell ref="LKO40:LKP40"/>
    <mergeCell ref="LKQ40:LKR40"/>
    <mergeCell ref="LKS40:LKT40"/>
    <mergeCell ref="LJW40:LJX40"/>
    <mergeCell ref="LJY40:LJZ40"/>
    <mergeCell ref="LKA40:LKB40"/>
    <mergeCell ref="LKC40:LKD40"/>
    <mergeCell ref="LKE40:LKF40"/>
    <mergeCell ref="LKG40:LKH40"/>
    <mergeCell ref="LOY40:LOZ40"/>
    <mergeCell ref="LPA40:LPB40"/>
    <mergeCell ref="LPC40:LPD40"/>
    <mergeCell ref="LPE40:LPF40"/>
    <mergeCell ref="LPG40:LPH40"/>
    <mergeCell ref="LPI40:LPJ40"/>
    <mergeCell ref="LOM40:LON40"/>
    <mergeCell ref="LOO40:LOP40"/>
    <mergeCell ref="LOQ40:LOR40"/>
    <mergeCell ref="LOS40:LOT40"/>
    <mergeCell ref="LOU40:LOV40"/>
    <mergeCell ref="LOW40:LOX40"/>
    <mergeCell ref="LOA40:LOB40"/>
    <mergeCell ref="LOC40:LOD40"/>
    <mergeCell ref="LOE40:LOF40"/>
    <mergeCell ref="LOG40:LOH40"/>
    <mergeCell ref="LOI40:LOJ40"/>
    <mergeCell ref="LOK40:LOL40"/>
    <mergeCell ref="LNO40:LNP40"/>
    <mergeCell ref="LNQ40:LNR40"/>
    <mergeCell ref="LNS40:LNT40"/>
    <mergeCell ref="LNU40:LNV40"/>
    <mergeCell ref="LNW40:LNX40"/>
    <mergeCell ref="LNY40:LNZ40"/>
    <mergeCell ref="LNC40:LND40"/>
    <mergeCell ref="LNE40:LNF40"/>
    <mergeCell ref="LNG40:LNH40"/>
    <mergeCell ref="LNI40:LNJ40"/>
    <mergeCell ref="LNK40:LNL40"/>
    <mergeCell ref="LNM40:LNN40"/>
    <mergeCell ref="LMQ40:LMR40"/>
    <mergeCell ref="LMS40:LMT40"/>
    <mergeCell ref="LMU40:LMV40"/>
    <mergeCell ref="LMW40:LMX40"/>
    <mergeCell ref="LMY40:LMZ40"/>
    <mergeCell ref="LNA40:LNB40"/>
    <mergeCell ref="LRS40:LRT40"/>
    <mergeCell ref="LRU40:LRV40"/>
    <mergeCell ref="LRW40:LRX40"/>
    <mergeCell ref="LRY40:LRZ40"/>
    <mergeCell ref="LSA40:LSB40"/>
    <mergeCell ref="LSC40:LSD40"/>
    <mergeCell ref="LRG40:LRH40"/>
    <mergeCell ref="LRI40:LRJ40"/>
    <mergeCell ref="LRK40:LRL40"/>
    <mergeCell ref="LRM40:LRN40"/>
    <mergeCell ref="LRO40:LRP40"/>
    <mergeCell ref="LRQ40:LRR40"/>
    <mergeCell ref="LQU40:LQV40"/>
    <mergeCell ref="LQW40:LQX40"/>
    <mergeCell ref="LQY40:LQZ40"/>
    <mergeCell ref="LRA40:LRB40"/>
    <mergeCell ref="LRC40:LRD40"/>
    <mergeCell ref="LRE40:LRF40"/>
    <mergeCell ref="LQI40:LQJ40"/>
    <mergeCell ref="LQK40:LQL40"/>
    <mergeCell ref="LQM40:LQN40"/>
    <mergeCell ref="LQO40:LQP40"/>
    <mergeCell ref="LQQ40:LQR40"/>
    <mergeCell ref="LQS40:LQT40"/>
    <mergeCell ref="LPW40:LPX40"/>
    <mergeCell ref="LPY40:LPZ40"/>
    <mergeCell ref="LQA40:LQB40"/>
    <mergeCell ref="LQC40:LQD40"/>
    <mergeCell ref="LQE40:LQF40"/>
    <mergeCell ref="LQG40:LQH40"/>
    <mergeCell ref="LPK40:LPL40"/>
    <mergeCell ref="LPM40:LPN40"/>
    <mergeCell ref="LPO40:LPP40"/>
    <mergeCell ref="LPQ40:LPR40"/>
    <mergeCell ref="LPS40:LPT40"/>
    <mergeCell ref="LPU40:LPV40"/>
    <mergeCell ref="LUM40:LUN40"/>
    <mergeCell ref="LUO40:LUP40"/>
    <mergeCell ref="LUQ40:LUR40"/>
    <mergeCell ref="LUS40:LUT40"/>
    <mergeCell ref="LUU40:LUV40"/>
    <mergeCell ref="LUW40:LUX40"/>
    <mergeCell ref="LUA40:LUB40"/>
    <mergeCell ref="LUC40:LUD40"/>
    <mergeCell ref="LUE40:LUF40"/>
    <mergeCell ref="LUG40:LUH40"/>
    <mergeCell ref="LUI40:LUJ40"/>
    <mergeCell ref="LUK40:LUL40"/>
    <mergeCell ref="LTO40:LTP40"/>
    <mergeCell ref="LTQ40:LTR40"/>
    <mergeCell ref="LTS40:LTT40"/>
    <mergeCell ref="LTU40:LTV40"/>
    <mergeCell ref="LTW40:LTX40"/>
    <mergeCell ref="LTY40:LTZ40"/>
    <mergeCell ref="LTC40:LTD40"/>
    <mergeCell ref="LTE40:LTF40"/>
    <mergeCell ref="LTG40:LTH40"/>
    <mergeCell ref="LTI40:LTJ40"/>
    <mergeCell ref="LTK40:LTL40"/>
    <mergeCell ref="LTM40:LTN40"/>
    <mergeCell ref="LSQ40:LSR40"/>
    <mergeCell ref="LSS40:LST40"/>
    <mergeCell ref="LSU40:LSV40"/>
    <mergeCell ref="LSW40:LSX40"/>
    <mergeCell ref="LSY40:LSZ40"/>
    <mergeCell ref="LTA40:LTB40"/>
    <mergeCell ref="LSE40:LSF40"/>
    <mergeCell ref="LSG40:LSH40"/>
    <mergeCell ref="LSI40:LSJ40"/>
    <mergeCell ref="LSK40:LSL40"/>
    <mergeCell ref="LSM40:LSN40"/>
    <mergeCell ref="LSO40:LSP40"/>
    <mergeCell ref="LXG40:LXH40"/>
    <mergeCell ref="LXI40:LXJ40"/>
    <mergeCell ref="LXK40:LXL40"/>
    <mergeCell ref="LXM40:LXN40"/>
    <mergeCell ref="LXO40:LXP40"/>
    <mergeCell ref="LXQ40:LXR40"/>
    <mergeCell ref="LWU40:LWV40"/>
    <mergeCell ref="LWW40:LWX40"/>
    <mergeCell ref="LWY40:LWZ40"/>
    <mergeCell ref="LXA40:LXB40"/>
    <mergeCell ref="LXC40:LXD40"/>
    <mergeCell ref="LXE40:LXF40"/>
    <mergeCell ref="LWI40:LWJ40"/>
    <mergeCell ref="LWK40:LWL40"/>
    <mergeCell ref="LWM40:LWN40"/>
    <mergeCell ref="LWO40:LWP40"/>
    <mergeCell ref="LWQ40:LWR40"/>
    <mergeCell ref="LWS40:LWT40"/>
    <mergeCell ref="LVW40:LVX40"/>
    <mergeCell ref="LVY40:LVZ40"/>
    <mergeCell ref="LWA40:LWB40"/>
    <mergeCell ref="LWC40:LWD40"/>
    <mergeCell ref="LWE40:LWF40"/>
    <mergeCell ref="LWG40:LWH40"/>
    <mergeCell ref="LVK40:LVL40"/>
    <mergeCell ref="LVM40:LVN40"/>
    <mergeCell ref="LVO40:LVP40"/>
    <mergeCell ref="LVQ40:LVR40"/>
    <mergeCell ref="LVS40:LVT40"/>
    <mergeCell ref="LVU40:LVV40"/>
    <mergeCell ref="LUY40:LUZ40"/>
    <mergeCell ref="LVA40:LVB40"/>
    <mergeCell ref="LVC40:LVD40"/>
    <mergeCell ref="LVE40:LVF40"/>
    <mergeCell ref="LVG40:LVH40"/>
    <mergeCell ref="LVI40:LVJ40"/>
    <mergeCell ref="MAA40:MAB40"/>
    <mergeCell ref="MAC40:MAD40"/>
    <mergeCell ref="MAE40:MAF40"/>
    <mergeCell ref="MAG40:MAH40"/>
    <mergeCell ref="MAI40:MAJ40"/>
    <mergeCell ref="MAK40:MAL40"/>
    <mergeCell ref="LZO40:LZP40"/>
    <mergeCell ref="LZQ40:LZR40"/>
    <mergeCell ref="LZS40:LZT40"/>
    <mergeCell ref="LZU40:LZV40"/>
    <mergeCell ref="LZW40:LZX40"/>
    <mergeCell ref="LZY40:LZZ40"/>
    <mergeCell ref="LZC40:LZD40"/>
    <mergeCell ref="LZE40:LZF40"/>
    <mergeCell ref="LZG40:LZH40"/>
    <mergeCell ref="LZI40:LZJ40"/>
    <mergeCell ref="LZK40:LZL40"/>
    <mergeCell ref="LZM40:LZN40"/>
    <mergeCell ref="LYQ40:LYR40"/>
    <mergeCell ref="LYS40:LYT40"/>
    <mergeCell ref="LYU40:LYV40"/>
    <mergeCell ref="LYW40:LYX40"/>
    <mergeCell ref="LYY40:LYZ40"/>
    <mergeCell ref="LZA40:LZB40"/>
    <mergeCell ref="LYE40:LYF40"/>
    <mergeCell ref="LYG40:LYH40"/>
    <mergeCell ref="LYI40:LYJ40"/>
    <mergeCell ref="LYK40:LYL40"/>
    <mergeCell ref="LYM40:LYN40"/>
    <mergeCell ref="LYO40:LYP40"/>
    <mergeCell ref="LXS40:LXT40"/>
    <mergeCell ref="LXU40:LXV40"/>
    <mergeCell ref="LXW40:LXX40"/>
    <mergeCell ref="LXY40:LXZ40"/>
    <mergeCell ref="LYA40:LYB40"/>
    <mergeCell ref="LYC40:LYD40"/>
    <mergeCell ref="MCU40:MCV40"/>
    <mergeCell ref="MCW40:MCX40"/>
    <mergeCell ref="MCY40:MCZ40"/>
    <mergeCell ref="MDA40:MDB40"/>
    <mergeCell ref="MDC40:MDD40"/>
    <mergeCell ref="MDE40:MDF40"/>
    <mergeCell ref="MCI40:MCJ40"/>
    <mergeCell ref="MCK40:MCL40"/>
    <mergeCell ref="MCM40:MCN40"/>
    <mergeCell ref="MCO40:MCP40"/>
    <mergeCell ref="MCQ40:MCR40"/>
    <mergeCell ref="MCS40:MCT40"/>
    <mergeCell ref="MBW40:MBX40"/>
    <mergeCell ref="MBY40:MBZ40"/>
    <mergeCell ref="MCA40:MCB40"/>
    <mergeCell ref="MCC40:MCD40"/>
    <mergeCell ref="MCE40:MCF40"/>
    <mergeCell ref="MCG40:MCH40"/>
    <mergeCell ref="MBK40:MBL40"/>
    <mergeCell ref="MBM40:MBN40"/>
    <mergeCell ref="MBO40:MBP40"/>
    <mergeCell ref="MBQ40:MBR40"/>
    <mergeCell ref="MBS40:MBT40"/>
    <mergeCell ref="MBU40:MBV40"/>
    <mergeCell ref="MAY40:MAZ40"/>
    <mergeCell ref="MBA40:MBB40"/>
    <mergeCell ref="MBC40:MBD40"/>
    <mergeCell ref="MBE40:MBF40"/>
    <mergeCell ref="MBG40:MBH40"/>
    <mergeCell ref="MBI40:MBJ40"/>
    <mergeCell ref="MAM40:MAN40"/>
    <mergeCell ref="MAO40:MAP40"/>
    <mergeCell ref="MAQ40:MAR40"/>
    <mergeCell ref="MAS40:MAT40"/>
    <mergeCell ref="MAU40:MAV40"/>
    <mergeCell ref="MAW40:MAX40"/>
    <mergeCell ref="MFO40:MFP40"/>
    <mergeCell ref="MFQ40:MFR40"/>
    <mergeCell ref="MFS40:MFT40"/>
    <mergeCell ref="MFU40:MFV40"/>
    <mergeCell ref="MFW40:MFX40"/>
    <mergeCell ref="MFY40:MFZ40"/>
    <mergeCell ref="MFC40:MFD40"/>
    <mergeCell ref="MFE40:MFF40"/>
    <mergeCell ref="MFG40:MFH40"/>
    <mergeCell ref="MFI40:MFJ40"/>
    <mergeCell ref="MFK40:MFL40"/>
    <mergeCell ref="MFM40:MFN40"/>
    <mergeCell ref="MEQ40:MER40"/>
    <mergeCell ref="MES40:MET40"/>
    <mergeCell ref="MEU40:MEV40"/>
    <mergeCell ref="MEW40:MEX40"/>
    <mergeCell ref="MEY40:MEZ40"/>
    <mergeCell ref="MFA40:MFB40"/>
    <mergeCell ref="MEE40:MEF40"/>
    <mergeCell ref="MEG40:MEH40"/>
    <mergeCell ref="MEI40:MEJ40"/>
    <mergeCell ref="MEK40:MEL40"/>
    <mergeCell ref="MEM40:MEN40"/>
    <mergeCell ref="MEO40:MEP40"/>
    <mergeCell ref="MDS40:MDT40"/>
    <mergeCell ref="MDU40:MDV40"/>
    <mergeCell ref="MDW40:MDX40"/>
    <mergeCell ref="MDY40:MDZ40"/>
    <mergeCell ref="MEA40:MEB40"/>
    <mergeCell ref="MEC40:MED40"/>
    <mergeCell ref="MDG40:MDH40"/>
    <mergeCell ref="MDI40:MDJ40"/>
    <mergeCell ref="MDK40:MDL40"/>
    <mergeCell ref="MDM40:MDN40"/>
    <mergeCell ref="MDO40:MDP40"/>
    <mergeCell ref="MDQ40:MDR40"/>
    <mergeCell ref="MII40:MIJ40"/>
    <mergeCell ref="MIK40:MIL40"/>
    <mergeCell ref="MIM40:MIN40"/>
    <mergeCell ref="MIO40:MIP40"/>
    <mergeCell ref="MIQ40:MIR40"/>
    <mergeCell ref="MIS40:MIT40"/>
    <mergeCell ref="MHW40:MHX40"/>
    <mergeCell ref="MHY40:MHZ40"/>
    <mergeCell ref="MIA40:MIB40"/>
    <mergeCell ref="MIC40:MID40"/>
    <mergeCell ref="MIE40:MIF40"/>
    <mergeCell ref="MIG40:MIH40"/>
    <mergeCell ref="MHK40:MHL40"/>
    <mergeCell ref="MHM40:MHN40"/>
    <mergeCell ref="MHO40:MHP40"/>
    <mergeCell ref="MHQ40:MHR40"/>
    <mergeCell ref="MHS40:MHT40"/>
    <mergeCell ref="MHU40:MHV40"/>
    <mergeCell ref="MGY40:MGZ40"/>
    <mergeCell ref="MHA40:MHB40"/>
    <mergeCell ref="MHC40:MHD40"/>
    <mergeCell ref="MHE40:MHF40"/>
    <mergeCell ref="MHG40:MHH40"/>
    <mergeCell ref="MHI40:MHJ40"/>
    <mergeCell ref="MGM40:MGN40"/>
    <mergeCell ref="MGO40:MGP40"/>
    <mergeCell ref="MGQ40:MGR40"/>
    <mergeCell ref="MGS40:MGT40"/>
    <mergeCell ref="MGU40:MGV40"/>
    <mergeCell ref="MGW40:MGX40"/>
    <mergeCell ref="MGA40:MGB40"/>
    <mergeCell ref="MGC40:MGD40"/>
    <mergeCell ref="MGE40:MGF40"/>
    <mergeCell ref="MGG40:MGH40"/>
    <mergeCell ref="MGI40:MGJ40"/>
    <mergeCell ref="MGK40:MGL40"/>
    <mergeCell ref="MLC40:MLD40"/>
    <mergeCell ref="MLE40:MLF40"/>
    <mergeCell ref="MLG40:MLH40"/>
    <mergeCell ref="MLI40:MLJ40"/>
    <mergeCell ref="MLK40:MLL40"/>
    <mergeCell ref="MLM40:MLN40"/>
    <mergeCell ref="MKQ40:MKR40"/>
    <mergeCell ref="MKS40:MKT40"/>
    <mergeCell ref="MKU40:MKV40"/>
    <mergeCell ref="MKW40:MKX40"/>
    <mergeCell ref="MKY40:MKZ40"/>
    <mergeCell ref="MLA40:MLB40"/>
    <mergeCell ref="MKE40:MKF40"/>
    <mergeCell ref="MKG40:MKH40"/>
    <mergeCell ref="MKI40:MKJ40"/>
    <mergeCell ref="MKK40:MKL40"/>
    <mergeCell ref="MKM40:MKN40"/>
    <mergeCell ref="MKO40:MKP40"/>
    <mergeCell ref="MJS40:MJT40"/>
    <mergeCell ref="MJU40:MJV40"/>
    <mergeCell ref="MJW40:MJX40"/>
    <mergeCell ref="MJY40:MJZ40"/>
    <mergeCell ref="MKA40:MKB40"/>
    <mergeCell ref="MKC40:MKD40"/>
    <mergeCell ref="MJG40:MJH40"/>
    <mergeCell ref="MJI40:MJJ40"/>
    <mergeCell ref="MJK40:MJL40"/>
    <mergeCell ref="MJM40:MJN40"/>
    <mergeCell ref="MJO40:MJP40"/>
    <mergeCell ref="MJQ40:MJR40"/>
    <mergeCell ref="MIU40:MIV40"/>
    <mergeCell ref="MIW40:MIX40"/>
    <mergeCell ref="MIY40:MIZ40"/>
    <mergeCell ref="MJA40:MJB40"/>
    <mergeCell ref="MJC40:MJD40"/>
    <mergeCell ref="MJE40:MJF40"/>
    <mergeCell ref="MNW40:MNX40"/>
    <mergeCell ref="MNY40:MNZ40"/>
    <mergeCell ref="MOA40:MOB40"/>
    <mergeCell ref="MOC40:MOD40"/>
    <mergeCell ref="MOE40:MOF40"/>
    <mergeCell ref="MOG40:MOH40"/>
    <mergeCell ref="MNK40:MNL40"/>
    <mergeCell ref="MNM40:MNN40"/>
    <mergeCell ref="MNO40:MNP40"/>
    <mergeCell ref="MNQ40:MNR40"/>
    <mergeCell ref="MNS40:MNT40"/>
    <mergeCell ref="MNU40:MNV40"/>
    <mergeCell ref="MMY40:MMZ40"/>
    <mergeCell ref="MNA40:MNB40"/>
    <mergeCell ref="MNC40:MND40"/>
    <mergeCell ref="MNE40:MNF40"/>
    <mergeCell ref="MNG40:MNH40"/>
    <mergeCell ref="MNI40:MNJ40"/>
    <mergeCell ref="MMM40:MMN40"/>
    <mergeCell ref="MMO40:MMP40"/>
    <mergeCell ref="MMQ40:MMR40"/>
    <mergeCell ref="MMS40:MMT40"/>
    <mergeCell ref="MMU40:MMV40"/>
    <mergeCell ref="MMW40:MMX40"/>
    <mergeCell ref="MMA40:MMB40"/>
    <mergeCell ref="MMC40:MMD40"/>
    <mergeCell ref="MME40:MMF40"/>
    <mergeCell ref="MMG40:MMH40"/>
    <mergeCell ref="MMI40:MMJ40"/>
    <mergeCell ref="MMK40:MML40"/>
    <mergeCell ref="MLO40:MLP40"/>
    <mergeCell ref="MLQ40:MLR40"/>
    <mergeCell ref="MLS40:MLT40"/>
    <mergeCell ref="MLU40:MLV40"/>
    <mergeCell ref="MLW40:MLX40"/>
    <mergeCell ref="MLY40:MLZ40"/>
    <mergeCell ref="MQQ40:MQR40"/>
    <mergeCell ref="MQS40:MQT40"/>
    <mergeCell ref="MQU40:MQV40"/>
    <mergeCell ref="MQW40:MQX40"/>
    <mergeCell ref="MQY40:MQZ40"/>
    <mergeCell ref="MRA40:MRB40"/>
    <mergeCell ref="MQE40:MQF40"/>
    <mergeCell ref="MQG40:MQH40"/>
    <mergeCell ref="MQI40:MQJ40"/>
    <mergeCell ref="MQK40:MQL40"/>
    <mergeCell ref="MQM40:MQN40"/>
    <mergeCell ref="MQO40:MQP40"/>
    <mergeCell ref="MPS40:MPT40"/>
    <mergeCell ref="MPU40:MPV40"/>
    <mergeCell ref="MPW40:MPX40"/>
    <mergeCell ref="MPY40:MPZ40"/>
    <mergeCell ref="MQA40:MQB40"/>
    <mergeCell ref="MQC40:MQD40"/>
    <mergeCell ref="MPG40:MPH40"/>
    <mergeCell ref="MPI40:MPJ40"/>
    <mergeCell ref="MPK40:MPL40"/>
    <mergeCell ref="MPM40:MPN40"/>
    <mergeCell ref="MPO40:MPP40"/>
    <mergeCell ref="MPQ40:MPR40"/>
    <mergeCell ref="MOU40:MOV40"/>
    <mergeCell ref="MOW40:MOX40"/>
    <mergeCell ref="MOY40:MOZ40"/>
    <mergeCell ref="MPA40:MPB40"/>
    <mergeCell ref="MPC40:MPD40"/>
    <mergeCell ref="MPE40:MPF40"/>
    <mergeCell ref="MOI40:MOJ40"/>
    <mergeCell ref="MOK40:MOL40"/>
    <mergeCell ref="MOM40:MON40"/>
    <mergeCell ref="MOO40:MOP40"/>
    <mergeCell ref="MOQ40:MOR40"/>
    <mergeCell ref="MOS40:MOT40"/>
    <mergeCell ref="MTK40:MTL40"/>
    <mergeCell ref="MTM40:MTN40"/>
    <mergeCell ref="MTO40:MTP40"/>
    <mergeCell ref="MTQ40:MTR40"/>
    <mergeCell ref="MTS40:MTT40"/>
    <mergeCell ref="MTU40:MTV40"/>
    <mergeCell ref="MSY40:MSZ40"/>
    <mergeCell ref="MTA40:MTB40"/>
    <mergeCell ref="MTC40:MTD40"/>
    <mergeCell ref="MTE40:MTF40"/>
    <mergeCell ref="MTG40:MTH40"/>
    <mergeCell ref="MTI40:MTJ40"/>
    <mergeCell ref="MSM40:MSN40"/>
    <mergeCell ref="MSO40:MSP40"/>
    <mergeCell ref="MSQ40:MSR40"/>
    <mergeCell ref="MSS40:MST40"/>
    <mergeCell ref="MSU40:MSV40"/>
    <mergeCell ref="MSW40:MSX40"/>
    <mergeCell ref="MSA40:MSB40"/>
    <mergeCell ref="MSC40:MSD40"/>
    <mergeCell ref="MSE40:MSF40"/>
    <mergeCell ref="MSG40:MSH40"/>
    <mergeCell ref="MSI40:MSJ40"/>
    <mergeCell ref="MSK40:MSL40"/>
    <mergeCell ref="MRO40:MRP40"/>
    <mergeCell ref="MRQ40:MRR40"/>
    <mergeCell ref="MRS40:MRT40"/>
    <mergeCell ref="MRU40:MRV40"/>
    <mergeCell ref="MRW40:MRX40"/>
    <mergeCell ref="MRY40:MRZ40"/>
    <mergeCell ref="MRC40:MRD40"/>
    <mergeCell ref="MRE40:MRF40"/>
    <mergeCell ref="MRG40:MRH40"/>
    <mergeCell ref="MRI40:MRJ40"/>
    <mergeCell ref="MRK40:MRL40"/>
    <mergeCell ref="MRM40:MRN40"/>
    <mergeCell ref="MWE40:MWF40"/>
    <mergeCell ref="MWG40:MWH40"/>
    <mergeCell ref="MWI40:MWJ40"/>
    <mergeCell ref="MWK40:MWL40"/>
    <mergeCell ref="MWM40:MWN40"/>
    <mergeCell ref="MWO40:MWP40"/>
    <mergeCell ref="MVS40:MVT40"/>
    <mergeCell ref="MVU40:MVV40"/>
    <mergeCell ref="MVW40:MVX40"/>
    <mergeCell ref="MVY40:MVZ40"/>
    <mergeCell ref="MWA40:MWB40"/>
    <mergeCell ref="MWC40:MWD40"/>
    <mergeCell ref="MVG40:MVH40"/>
    <mergeCell ref="MVI40:MVJ40"/>
    <mergeCell ref="MVK40:MVL40"/>
    <mergeCell ref="MVM40:MVN40"/>
    <mergeCell ref="MVO40:MVP40"/>
    <mergeCell ref="MVQ40:MVR40"/>
    <mergeCell ref="MUU40:MUV40"/>
    <mergeCell ref="MUW40:MUX40"/>
    <mergeCell ref="MUY40:MUZ40"/>
    <mergeCell ref="MVA40:MVB40"/>
    <mergeCell ref="MVC40:MVD40"/>
    <mergeCell ref="MVE40:MVF40"/>
    <mergeCell ref="MUI40:MUJ40"/>
    <mergeCell ref="MUK40:MUL40"/>
    <mergeCell ref="MUM40:MUN40"/>
    <mergeCell ref="MUO40:MUP40"/>
    <mergeCell ref="MUQ40:MUR40"/>
    <mergeCell ref="MUS40:MUT40"/>
    <mergeCell ref="MTW40:MTX40"/>
    <mergeCell ref="MTY40:MTZ40"/>
    <mergeCell ref="MUA40:MUB40"/>
    <mergeCell ref="MUC40:MUD40"/>
    <mergeCell ref="MUE40:MUF40"/>
    <mergeCell ref="MUG40:MUH40"/>
    <mergeCell ref="MYY40:MYZ40"/>
    <mergeCell ref="MZA40:MZB40"/>
    <mergeCell ref="MZC40:MZD40"/>
    <mergeCell ref="MZE40:MZF40"/>
    <mergeCell ref="MZG40:MZH40"/>
    <mergeCell ref="MZI40:MZJ40"/>
    <mergeCell ref="MYM40:MYN40"/>
    <mergeCell ref="MYO40:MYP40"/>
    <mergeCell ref="MYQ40:MYR40"/>
    <mergeCell ref="MYS40:MYT40"/>
    <mergeCell ref="MYU40:MYV40"/>
    <mergeCell ref="MYW40:MYX40"/>
    <mergeCell ref="MYA40:MYB40"/>
    <mergeCell ref="MYC40:MYD40"/>
    <mergeCell ref="MYE40:MYF40"/>
    <mergeCell ref="MYG40:MYH40"/>
    <mergeCell ref="MYI40:MYJ40"/>
    <mergeCell ref="MYK40:MYL40"/>
    <mergeCell ref="MXO40:MXP40"/>
    <mergeCell ref="MXQ40:MXR40"/>
    <mergeCell ref="MXS40:MXT40"/>
    <mergeCell ref="MXU40:MXV40"/>
    <mergeCell ref="MXW40:MXX40"/>
    <mergeCell ref="MXY40:MXZ40"/>
    <mergeCell ref="MXC40:MXD40"/>
    <mergeCell ref="MXE40:MXF40"/>
    <mergeCell ref="MXG40:MXH40"/>
    <mergeCell ref="MXI40:MXJ40"/>
    <mergeCell ref="MXK40:MXL40"/>
    <mergeCell ref="MXM40:MXN40"/>
    <mergeCell ref="MWQ40:MWR40"/>
    <mergeCell ref="MWS40:MWT40"/>
    <mergeCell ref="MWU40:MWV40"/>
    <mergeCell ref="MWW40:MWX40"/>
    <mergeCell ref="MWY40:MWZ40"/>
    <mergeCell ref="MXA40:MXB40"/>
    <mergeCell ref="NBS40:NBT40"/>
    <mergeCell ref="NBU40:NBV40"/>
    <mergeCell ref="NBW40:NBX40"/>
    <mergeCell ref="NBY40:NBZ40"/>
    <mergeCell ref="NCA40:NCB40"/>
    <mergeCell ref="NCC40:NCD40"/>
    <mergeCell ref="NBG40:NBH40"/>
    <mergeCell ref="NBI40:NBJ40"/>
    <mergeCell ref="NBK40:NBL40"/>
    <mergeCell ref="NBM40:NBN40"/>
    <mergeCell ref="NBO40:NBP40"/>
    <mergeCell ref="NBQ40:NBR40"/>
    <mergeCell ref="NAU40:NAV40"/>
    <mergeCell ref="NAW40:NAX40"/>
    <mergeCell ref="NAY40:NAZ40"/>
    <mergeCell ref="NBA40:NBB40"/>
    <mergeCell ref="NBC40:NBD40"/>
    <mergeCell ref="NBE40:NBF40"/>
    <mergeCell ref="NAI40:NAJ40"/>
    <mergeCell ref="NAK40:NAL40"/>
    <mergeCell ref="NAM40:NAN40"/>
    <mergeCell ref="NAO40:NAP40"/>
    <mergeCell ref="NAQ40:NAR40"/>
    <mergeCell ref="NAS40:NAT40"/>
    <mergeCell ref="MZW40:MZX40"/>
    <mergeCell ref="MZY40:MZZ40"/>
    <mergeCell ref="NAA40:NAB40"/>
    <mergeCell ref="NAC40:NAD40"/>
    <mergeCell ref="NAE40:NAF40"/>
    <mergeCell ref="NAG40:NAH40"/>
    <mergeCell ref="MZK40:MZL40"/>
    <mergeCell ref="MZM40:MZN40"/>
    <mergeCell ref="MZO40:MZP40"/>
    <mergeCell ref="MZQ40:MZR40"/>
    <mergeCell ref="MZS40:MZT40"/>
    <mergeCell ref="MZU40:MZV40"/>
    <mergeCell ref="NEM40:NEN40"/>
    <mergeCell ref="NEO40:NEP40"/>
    <mergeCell ref="NEQ40:NER40"/>
    <mergeCell ref="NES40:NET40"/>
    <mergeCell ref="NEU40:NEV40"/>
    <mergeCell ref="NEW40:NEX40"/>
    <mergeCell ref="NEA40:NEB40"/>
    <mergeCell ref="NEC40:NED40"/>
    <mergeCell ref="NEE40:NEF40"/>
    <mergeCell ref="NEG40:NEH40"/>
    <mergeCell ref="NEI40:NEJ40"/>
    <mergeCell ref="NEK40:NEL40"/>
    <mergeCell ref="NDO40:NDP40"/>
    <mergeCell ref="NDQ40:NDR40"/>
    <mergeCell ref="NDS40:NDT40"/>
    <mergeCell ref="NDU40:NDV40"/>
    <mergeCell ref="NDW40:NDX40"/>
    <mergeCell ref="NDY40:NDZ40"/>
    <mergeCell ref="NDC40:NDD40"/>
    <mergeCell ref="NDE40:NDF40"/>
    <mergeCell ref="NDG40:NDH40"/>
    <mergeCell ref="NDI40:NDJ40"/>
    <mergeCell ref="NDK40:NDL40"/>
    <mergeCell ref="NDM40:NDN40"/>
    <mergeCell ref="NCQ40:NCR40"/>
    <mergeCell ref="NCS40:NCT40"/>
    <mergeCell ref="NCU40:NCV40"/>
    <mergeCell ref="NCW40:NCX40"/>
    <mergeCell ref="NCY40:NCZ40"/>
    <mergeCell ref="NDA40:NDB40"/>
    <mergeCell ref="NCE40:NCF40"/>
    <mergeCell ref="NCG40:NCH40"/>
    <mergeCell ref="NCI40:NCJ40"/>
    <mergeCell ref="NCK40:NCL40"/>
    <mergeCell ref="NCM40:NCN40"/>
    <mergeCell ref="NCO40:NCP40"/>
    <mergeCell ref="NHG40:NHH40"/>
    <mergeCell ref="NHI40:NHJ40"/>
    <mergeCell ref="NHK40:NHL40"/>
    <mergeCell ref="NHM40:NHN40"/>
    <mergeCell ref="NHO40:NHP40"/>
    <mergeCell ref="NHQ40:NHR40"/>
    <mergeCell ref="NGU40:NGV40"/>
    <mergeCell ref="NGW40:NGX40"/>
    <mergeCell ref="NGY40:NGZ40"/>
    <mergeCell ref="NHA40:NHB40"/>
    <mergeCell ref="NHC40:NHD40"/>
    <mergeCell ref="NHE40:NHF40"/>
    <mergeCell ref="NGI40:NGJ40"/>
    <mergeCell ref="NGK40:NGL40"/>
    <mergeCell ref="NGM40:NGN40"/>
    <mergeCell ref="NGO40:NGP40"/>
    <mergeCell ref="NGQ40:NGR40"/>
    <mergeCell ref="NGS40:NGT40"/>
    <mergeCell ref="NFW40:NFX40"/>
    <mergeCell ref="NFY40:NFZ40"/>
    <mergeCell ref="NGA40:NGB40"/>
    <mergeCell ref="NGC40:NGD40"/>
    <mergeCell ref="NGE40:NGF40"/>
    <mergeCell ref="NGG40:NGH40"/>
    <mergeCell ref="NFK40:NFL40"/>
    <mergeCell ref="NFM40:NFN40"/>
    <mergeCell ref="NFO40:NFP40"/>
    <mergeCell ref="NFQ40:NFR40"/>
    <mergeCell ref="NFS40:NFT40"/>
    <mergeCell ref="NFU40:NFV40"/>
    <mergeCell ref="NEY40:NEZ40"/>
    <mergeCell ref="NFA40:NFB40"/>
    <mergeCell ref="NFC40:NFD40"/>
    <mergeCell ref="NFE40:NFF40"/>
    <mergeCell ref="NFG40:NFH40"/>
    <mergeCell ref="NFI40:NFJ40"/>
    <mergeCell ref="NKA40:NKB40"/>
    <mergeCell ref="NKC40:NKD40"/>
    <mergeCell ref="NKE40:NKF40"/>
    <mergeCell ref="NKG40:NKH40"/>
    <mergeCell ref="NKI40:NKJ40"/>
    <mergeCell ref="NKK40:NKL40"/>
    <mergeCell ref="NJO40:NJP40"/>
    <mergeCell ref="NJQ40:NJR40"/>
    <mergeCell ref="NJS40:NJT40"/>
    <mergeCell ref="NJU40:NJV40"/>
    <mergeCell ref="NJW40:NJX40"/>
    <mergeCell ref="NJY40:NJZ40"/>
    <mergeCell ref="NJC40:NJD40"/>
    <mergeCell ref="NJE40:NJF40"/>
    <mergeCell ref="NJG40:NJH40"/>
    <mergeCell ref="NJI40:NJJ40"/>
    <mergeCell ref="NJK40:NJL40"/>
    <mergeCell ref="NJM40:NJN40"/>
    <mergeCell ref="NIQ40:NIR40"/>
    <mergeCell ref="NIS40:NIT40"/>
    <mergeCell ref="NIU40:NIV40"/>
    <mergeCell ref="NIW40:NIX40"/>
    <mergeCell ref="NIY40:NIZ40"/>
    <mergeCell ref="NJA40:NJB40"/>
    <mergeCell ref="NIE40:NIF40"/>
    <mergeCell ref="NIG40:NIH40"/>
    <mergeCell ref="NII40:NIJ40"/>
    <mergeCell ref="NIK40:NIL40"/>
    <mergeCell ref="NIM40:NIN40"/>
    <mergeCell ref="NIO40:NIP40"/>
    <mergeCell ref="NHS40:NHT40"/>
    <mergeCell ref="NHU40:NHV40"/>
    <mergeCell ref="NHW40:NHX40"/>
    <mergeCell ref="NHY40:NHZ40"/>
    <mergeCell ref="NIA40:NIB40"/>
    <mergeCell ref="NIC40:NID40"/>
    <mergeCell ref="NMU40:NMV40"/>
    <mergeCell ref="NMW40:NMX40"/>
    <mergeCell ref="NMY40:NMZ40"/>
    <mergeCell ref="NNA40:NNB40"/>
    <mergeCell ref="NNC40:NND40"/>
    <mergeCell ref="NNE40:NNF40"/>
    <mergeCell ref="NMI40:NMJ40"/>
    <mergeCell ref="NMK40:NML40"/>
    <mergeCell ref="NMM40:NMN40"/>
    <mergeCell ref="NMO40:NMP40"/>
    <mergeCell ref="NMQ40:NMR40"/>
    <mergeCell ref="NMS40:NMT40"/>
    <mergeCell ref="NLW40:NLX40"/>
    <mergeCell ref="NLY40:NLZ40"/>
    <mergeCell ref="NMA40:NMB40"/>
    <mergeCell ref="NMC40:NMD40"/>
    <mergeCell ref="NME40:NMF40"/>
    <mergeCell ref="NMG40:NMH40"/>
    <mergeCell ref="NLK40:NLL40"/>
    <mergeCell ref="NLM40:NLN40"/>
    <mergeCell ref="NLO40:NLP40"/>
    <mergeCell ref="NLQ40:NLR40"/>
    <mergeCell ref="NLS40:NLT40"/>
    <mergeCell ref="NLU40:NLV40"/>
    <mergeCell ref="NKY40:NKZ40"/>
    <mergeCell ref="NLA40:NLB40"/>
    <mergeCell ref="NLC40:NLD40"/>
    <mergeCell ref="NLE40:NLF40"/>
    <mergeCell ref="NLG40:NLH40"/>
    <mergeCell ref="NLI40:NLJ40"/>
    <mergeCell ref="NKM40:NKN40"/>
    <mergeCell ref="NKO40:NKP40"/>
    <mergeCell ref="NKQ40:NKR40"/>
    <mergeCell ref="NKS40:NKT40"/>
    <mergeCell ref="NKU40:NKV40"/>
    <mergeCell ref="NKW40:NKX40"/>
    <mergeCell ref="NPO40:NPP40"/>
    <mergeCell ref="NPQ40:NPR40"/>
    <mergeCell ref="NPS40:NPT40"/>
    <mergeCell ref="NPU40:NPV40"/>
    <mergeCell ref="NPW40:NPX40"/>
    <mergeCell ref="NPY40:NPZ40"/>
    <mergeCell ref="NPC40:NPD40"/>
    <mergeCell ref="NPE40:NPF40"/>
    <mergeCell ref="NPG40:NPH40"/>
    <mergeCell ref="NPI40:NPJ40"/>
    <mergeCell ref="NPK40:NPL40"/>
    <mergeCell ref="NPM40:NPN40"/>
    <mergeCell ref="NOQ40:NOR40"/>
    <mergeCell ref="NOS40:NOT40"/>
    <mergeCell ref="NOU40:NOV40"/>
    <mergeCell ref="NOW40:NOX40"/>
    <mergeCell ref="NOY40:NOZ40"/>
    <mergeCell ref="NPA40:NPB40"/>
    <mergeCell ref="NOE40:NOF40"/>
    <mergeCell ref="NOG40:NOH40"/>
    <mergeCell ref="NOI40:NOJ40"/>
    <mergeCell ref="NOK40:NOL40"/>
    <mergeCell ref="NOM40:NON40"/>
    <mergeCell ref="NOO40:NOP40"/>
    <mergeCell ref="NNS40:NNT40"/>
    <mergeCell ref="NNU40:NNV40"/>
    <mergeCell ref="NNW40:NNX40"/>
    <mergeCell ref="NNY40:NNZ40"/>
    <mergeCell ref="NOA40:NOB40"/>
    <mergeCell ref="NOC40:NOD40"/>
    <mergeCell ref="NNG40:NNH40"/>
    <mergeCell ref="NNI40:NNJ40"/>
    <mergeCell ref="NNK40:NNL40"/>
    <mergeCell ref="NNM40:NNN40"/>
    <mergeCell ref="NNO40:NNP40"/>
    <mergeCell ref="NNQ40:NNR40"/>
    <mergeCell ref="NSI40:NSJ40"/>
    <mergeCell ref="NSK40:NSL40"/>
    <mergeCell ref="NSM40:NSN40"/>
    <mergeCell ref="NSO40:NSP40"/>
    <mergeCell ref="NSQ40:NSR40"/>
    <mergeCell ref="NSS40:NST40"/>
    <mergeCell ref="NRW40:NRX40"/>
    <mergeCell ref="NRY40:NRZ40"/>
    <mergeCell ref="NSA40:NSB40"/>
    <mergeCell ref="NSC40:NSD40"/>
    <mergeCell ref="NSE40:NSF40"/>
    <mergeCell ref="NSG40:NSH40"/>
    <mergeCell ref="NRK40:NRL40"/>
    <mergeCell ref="NRM40:NRN40"/>
    <mergeCell ref="NRO40:NRP40"/>
    <mergeCell ref="NRQ40:NRR40"/>
    <mergeCell ref="NRS40:NRT40"/>
    <mergeCell ref="NRU40:NRV40"/>
    <mergeCell ref="NQY40:NQZ40"/>
    <mergeCell ref="NRA40:NRB40"/>
    <mergeCell ref="NRC40:NRD40"/>
    <mergeCell ref="NRE40:NRF40"/>
    <mergeCell ref="NRG40:NRH40"/>
    <mergeCell ref="NRI40:NRJ40"/>
    <mergeCell ref="NQM40:NQN40"/>
    <mergeCell ref="NQO40:NQP40"/>
    <mergeCell ref="NQQ40:NQR40"/>
    <mergeCell ref="NQS40:NQT40"/>
    <mergeCell ref="NQU40:NQV40"/>
    <mergeCell ref="NQW40:NQX40"/>
    <mergeCell ref="NQA40:NQB40"/>
    <mergeCell ref="NQC40:NQD40"/>
    <mergeCell ref="NQE40:NQF40"/>
    <mergeCell ref="NQG40:NQH40"/>
    <mergeCell ref="NQI40:NQJ40"/>
    <mergeCell ref="NQK40:NQL40"/>
    <mergeCell ref="NVC40:NVD40"/>
    <mergeCell ref="NVE40:NVF40"/>
    <mergeCell ref="NVG40:NVH40"/>
    <mergeCell ref="NVI40:NVJ40"/>
    <mergeCell ref="NVK40:NVL40"/>
    <mergeCell ref="NVM40:NVN40"/>
    <mergeCell ref="NUQ40:NUR40"/>
    <mergeCell ref="NUS40:NUT40"/>
    <mergeCell ref="NUU40:NUV40"/>
    <mergeCell ref="NUW40:NUX40"/>
    <mergeCell ref="NUY40:NUZ40"/>
    <mergeCell ref="NVA40:NVB40"/>
    <mergeCell ref="NUE40:NUF40"/>
    <mergeCell ref="NUG40:NUH40"/>
    <mergeCell ref="NUI40:NUJ40"/>
    <mergeCell ref="NUK40:NUL40"/>
    <mergeCell ref="NUM40:NUN40"/>
    <mergeCell ref="NUO40:NUP40"/>
    <mergeCell ref="NTS40:NTT40"/>
    <mergeCell ref="NTU40:NTV40"/>
    <mergeCell ref="NTW40:NTX40"/>
    <mergeCell ref="NTY40:NTZ40"/>
    <mergeCell ref="NUA40:NUB40"/>
    <mergeCell ref="NUC40:NUD40"/>
    <mergeCell ref="NTG40:NTH40"/>
    <mergeCell ref="NTI40:NTJ40"/>
    <mergeCell ref="NTK40:NTL40"/>
    <mergeCell ref="NTM40:NTN40"/>
    <mergeCell ref="NTO40:NTP40"/>
    <mergeCell ref="NTQ40:NTR40"/>
    <mergeCell ref="NSU40:NSV40"/>
    <mergeCell ref="NSW40:NSX40"/>
    <mergeCell ref="NSY40:NSZ40"/>
    <mergeCell ref="NTA40:NTB40"/>
    <mergeCell ref="NTC40:NTD40"/>
    <mergeCell ref="NTE40:NTF40"/>
    <mergeCell ref="NXW40:NXX40"/>
    <mergeCell ref="NXY40:NXZ40"/>
    <mergeCell ref="NYA40:NYB40"/>
    <mergeCell ref="NYC40:NYD40"/>
    <mergeCell ref="NYE40:NYF40"/>
    <mergeCell ref="NYG40:NYH40"/>
    <mergeCell ref="NXK40:NXL40"/>
    <mergeCell ref="NXM40:NXN40"/>
    <mergeCell ref="NXO40:NXP40"/>
    <mergeCell ref="NXQ40:NXR40"/>
    <mergeCell ref="NXS40:NXT40"/>
    <mergeCell ref="NXU40:NXV40"/>
    <mergeCell ref="NWY40:NWZ40"/>
    <mergeCell ref="NXA40:NXB40"/>
    <mergeCell ref="NXC40:NXD40"/>
    <mergeCell ref="NXE40:NXF40"/>
    <mergeCell ref="NXG40:NXH40"/>
    <mergeCell ref="NXI40:NXJ40"/>
    <mergeCell ref="NWM40:NWN40"/>
    <mergeCell ref="NWO40:NWP40"/>
    <mergeCell ref="NWQ40:NWR40"/>
    <mergeCell ref="NWS40:NWT40"/>
    <mergeCell ref="NWU40:NWV40"/>
    <mergeCell ref="NWW40:NWX40"/>
    <mergeCell ref="NWA40:NWB40"/>
    <mergeCell ref="NWC40:NWD40"/>
    <mergeCell ref="NWE40:NWF40"/>
    <mergeCell ref="NWG40:NWH40"/>
    <mergeCell ref="NWI40:NWJ40"/>
    <mergeCell ref="NWK40:NWL40"/>
    <mergeCell ref="NVO40:NVP40"/>
    <mergeCell ref="NVQ40:NVR40"/>
    <mergeCell ref="NVS40:NVT40"/>
    <mergeCell ref="NVU40:NVV40"/>
    <mergeCell ref="NVW40:NVX40"/>
    <mergeCell ref="NVY40:NVZ40"/>
    <mergeCell ref="OAQ40:OAR40"/>
    <mergeCell ref="OAS40:OAT40"/>
    <mergeCell ref="OAU40:OAV40"/>
    <mergeCell ref="OAW40:OAX40"/>
    <mergeCell ref="OAY40:OAZ40"/>
    <mergeCell ref="OBA40:OBB40"/>
    <mergeCell ref="OAE40:OAF40"/>
    <mergeCell ref="OAG40:OAH40"/>
    <mergeCell ref="OAI40:OAJ40"/>
    <mergeCell ref="OAK40:OAL40"/>
    <mergeCell ref="OAM40:OAN40"/>
    <mergeCell ref="OAO40:OAP40"/>
    <mergeCell ref="NZS40:NZT40"/>
    <mergeCell ref="NZU40:NZV40"/>
    <mergeCell ref="NZW40:NZX40"/>
    <mergeCell ref="NZY40:NZZ40"/>
    <mergeCell ref="OAA40:OAB40"/>
    <mergeCell ref="OAC40:OAD40"/>
    <mergeCell ref="NZG40:NZH40"/>
    <mergeCell ref="NZI40:NZJ40"/>
    <mergeCell ref="NZK40:NZL40"/>
    <mergeCell ref="NZM40:NZN40"/>
    <mergeCell ref="NZO40:NZP40"/>
    <mergeCell ref="NZQ40:NZR40"/>
    <mergeCell ref="NYU40:NYV40"/>
    <mergeCell ref="NYW40:NYX40"/>
    <mergeCell ref="NYY40:NYZ40"/>
    <mergeCell ref="NZA40:NZB40"/>
    <mergeCell ref="NZC40:NZD40"/>
    <mergeCell ref="NZE40:NZF40"/>
    <mergeCell ref="NYI40:NYJ40"/>
    <mergeCell ref="NYK40:NYL40"/>
    <mergeCell ref="NYM40:NYN40"/>
    <mergeCell ref="NYO40:NYP40"/>
    <mergeCell ref="NYQ40:NYR40"/>
    <mergeCell ref="NYS40:NYT40"/>
    <mergeCell ref="ODK40:ODL40"/>
    <mergeCell ref="ODM40:ODN40"/>
    <mergeCell ref="ODO40:ODP40"/>
    <mergeCell ref="ODQ40:ODR40"/>
    <mergeCell ref="ODS40:ODT40"/>
    <mergeCell ref="ODU40:ODV40"/>
    <mergeCell ref="OCY40:OCZ40"/>
    <mergeCell ref="ODA40:ODB40"/>
    <mergeCell ref="ODC40:ODD40"/>
    <mergeCell ref="ODE40:ODF40"/>
    <mergeCell ref="ODG40:ODH40"/>
    <mergeCell ref="ODI40:ODJ40"/>
    <mergeCell ref="OCM40:OCN40"/>
    <mergeCell ref="OCO40:OCP40"/>
    <mergeCell ref="OCQ40:OCR40"/>
    <mergeCell ref="OCS40:OCT40"/>
    <mergeCell ref="OCU40:OCV40"/>
    <mergeCell ref="OCW40:OCX40"/>
    <mergeCell ref="OCA40:OCB40"/>
    <mergeCell ref="OCC40:OCD40"/>
    <mergeCell ref="OCE40:OCF40"/>
    <mergeCell ref="OCG40:OCH40"/>
    <mergeCell ref="OCI40:OCJ40"/>
    <mergeCell ref="OCK40:OCL40"/>
    <mergeCell ref="OBO40:OBP40"/>
    <mergeCell ref="OBQ40:OBR40"/>
    <mergeCell ref="OBS40:OBT40"/>
    <mergeCell ref="OBU40:OBV40"/>
    <mergeCell ref="OBW40:OBX40"/>
    <mergeCell ref="OBY40:OBZ40"/>
    <mergeCell ref="OBC40:OBD40"/>
    <mergeCell ref="OBE40:OBF40"/>
    <mergeCell ref="OBG40:OBH40"/>
    <mergeCell ref="OBI40:OBJ40"/>
    <mergeCell ref="OBK40:OBL40"/>
    <mergeCell ref="OBM40:OBN40"/>
    <mergeCell ref="OGE40:OGF40"/>
    <mergeCell ref="OGG40:OGH40"/>
    <mergeCell ref="OGI40:OGJ40"/>
    <mergeCell ref="OGK40:OGL40"/>
    <mergeCell ref="OGM40:OGN40"/>
    <mergeCell ref="OGO40:OGP40"/>
    <mergeCell ref="OFS40:OFT40"/>
    <mergeCell ref="OFU40:OFV40"/>
    <mergeCell ref="OFW40:OFX40"/>
    <mergeCell ref="OFY40:OFZ40"/>
    <mergeCell ref="OGA40:OGB40"/>
    <mergeCell ref="OGC40:OGD40"/>
    <mergeCell ref="OFG40:OFH40"/>
    <mergeCell ref="OFI40:OFJ40"/>
    <mergeCell ref="OFK40:OFL40"/>
    <mergeCell ref="OFM40:OFN40"/>
    <mergeCell ref="OFO40:OFP40"/>
    <mergeCell ref="OFQ40:OFR40"/>
    <mergeCell ref="OEU40:OEV40"/>
    <mergeCell ref="OEW40:OEX40"/>
    <mergeCell ref="OEY40:OEZ40"/>
    <mergeCell ref="OFA40:OFB40"/>
    <mergeCell ref="OFC40:OFD40"/>
    <mergeCell ref="OFE40:OFF40"/>
    <mergeCell ref="OEI40:OEJ40"/>
    <mergeCell ref="OEK40:OEL40"/>
    <mergeCell ref="OEM40:OEN40"/>
    <mergeCell ref="OEO40:OEP40"/>
    <mergeCell ref="OEQ40:OER40"/>
    <mergeCell ref="OES40:OET40"/>
    <mergeCell ref="ODW40:ODX40"/>
    <mergeCell ref="ODY40:ODZ40"/>
    <mergeCell ref="OEA40:OEB40"/>
    <mergeCell ref="OEC40:OED40"/>
    <mergeCell ref="OEE40:OEF40"/>
    <mergeCell ref="OEG40:OEH40"/>
    <mergeCell ref="OIY40:OIZ40"/>
    <mergeCell ref="OJA40:OJB40"/>
    <mergeCell ref="OJC40:OJD40"/>
    <mergeCell ref="OJE40:OJF40"/>
    <mergeCell ref="OJG40:OJH40"/>
    <mergeCell ref="OJI40:OJJ40"/>
    <mergeCell ref="OIM40:OIN40"/>
    <mergeCell ref="OIO40:OIP40"/>
    <mergeCell ref="OIQ40:OIR40"/>
    <mergeCell ref="OIS40:OIT40"/>
    <mergeCell ref="OIU40:OIV40"/>
    <mergeCell ref="OIW40:OIX40"/>
    <mergeCell ref="OIA40:OIB40"/>
    <mergeCell ref="OIC40:OID40"/>
    <mergeCell ref="OIE40:OIF40"/>
    <mergeCell ref="OIG40:OIH40"/>
    <mergeCell ref="OII40:OIJ40"/>
    <mergeCell ref="OIK40:OIL40"/>
    <mergeCell ref="OHO40:OHP40"/>
    <mergeCell ref="OHQ40:OHR40"/>
    <mergeCell ref="OHS40:OHT40"/>
    <mergeCell ref="OHU40:OHV40"/>
    <mergeCell ref="OHW40:OHX40"/>
    <mergeCell ref="OHY40:OHZ40"/>
    <mergeCell ref="OHC40:OHD40"/>
    <mergeCell ref="OHE40:OHF40"/>
    <mergeCell ref="OHG40:OHH40"/>
    <mergeCell ref="OHI40:OHJ40"/>
    <mergeCell ref="OHK40:OHL40"/>
    <mergeCell ref="OHM40:OHN40"/>
    <mergeCell ref="OGQ40:OGR40"/>
    <mergeCell ref="OGS40:OGT40"/>
    <mergeCell ref="OGU40:OGV40"/>
    <mergeCell ref="OGW40:OGX40"/>
    <mergeCell ref="OGY40:OGZ40"/>
    <mergeCell ref="OHA40:OHB40"/>
    <mergeCell ref="OLS40:OLT40"/>
    <mergeCell ref="OLU40:OLV40"/>
    <mergeCell ref="OLW40:OLX40"/>
    <mergeCell ref="OLY40:OLZ40"/>
    <mergeCell ref="OMA40:OMB40"/>
    <mergeCell ref="OMC40:OMD40"/>
    <mergeCell ref="OLG40:OLH40"/>
    <mergeCell ref="OLI40:OLJ40"/>
    <mergeCell ref="OLK40:OLL40"/>
    <mergeCell ref="OLM40:OLN40"/>
    <mergeCell ref="OLO40:OLP40"/>
    <mergeCell ref="OLQ40:OLR40"/>
    <mergeCell ref="OKU40:OKV40"/>
    <mergeCell ref="OKW40:OKX40"/>
    <mergeCell ref="OKY40:OKZ40"/>
    <mergeCell ref="OLA40:OLB40"/>
    <mergeCell ref="OLC40:OLD40"/>
    <mergeCell ref="OLE40:OLF40"/>
    <mergeCell ref="OKI40:OKJ40"/>
    <mergeCell ref="OKK40:OKL40"/>
    <mergeCell ref="OKM40:OKN40"/>
    <mergeCell ref="OKO40:OKP40"/>
    <mergeCell ref="OKQ40:OKR40"/>
    <mergeCell ref="OKS40:OKT40"/>
    <mergeCell ref="OJW40:OJX40"/>
    <mergeCell ref="OJY40:OJZ40"/>
    <mergeCell ref="OKA40:OKB40"/>
    <mergeCell ref="OKC40:OKD40"/>
    <mergeCell ref="OKE40:OKF40"/>
    <mergeCell ref="OKG40:OKH40"/>
    <mergeCell ref="OJK40:OJL40"/>
    <mergeCell ref="OJM40:OJN40"/>
    <mergeCell ref="OJO40:OJP40"/>
    <mergeCell ref="OJQ40:OJR40"/>
    <mergeCell ref="OJS40:OJT40"/>
    <mergeCell ref="OJU40:OJV40"/>
    <mergeCell ref="OOM40:OON40"/>
    <mergeCell ref="OOO40:OOP40"/>
    <mergeCell ref="OOQ40:OOR40"/>
    <mergeCell ref="OOS40:OOT40"/>
    <mergeCell ref="OOU40:OOV40"/>
    <mergeCell ref="OOW40:OOX40"/>
    <mergeCell ref="OOA40:OOB40"/>
    <mergeCell ref="OOC40:OOD40"/>
    <mergeCell ref="OOE40:OOF40"/>
    <mergeCell ref="OOG40:OOH40"/>
    <mergeCell ref="OOI40:OOJ40"/>
    <mergeCell ref="OOK40:OOL40"/>
    <mergeCell ref="ONO40:ONP40"/>
    <mergeCell ref="ONQ40:ONR40"/>
    <mergeCell ref="ONS40:ONT40"/>
    <mergeCell ref="ONU40:ONV40"/>
    <mergeCell ref="ONW40:ONX40"/>
    <mergeCell ref="ONY40:ONZ40"/>
    <mergeCell ref="ONC40:OND40"/>
    <mergeCell ref="ONE40:ONF40"/>
    <mergeCell ref="ONG40:ONH40"/>
    <mergeCell ref="ONI40:ONJ40"/>
    <mergeCell ref="ONK40:ONL40"/>
    <mergeCell ref="ONM40:ONN40"/>
    <mergeCell ref="OMQ40:OMR40"/>
    <mergeCell ref="OMS40:OMT40"/>
    <mergeCell ref="OMU40:OMV40"/>
    <mergeCell ref="OMW40:OMX40"/>
    <mergeCell ref="OMY40:OMZ40"/>
    <mergeCell ref="ONA40:ONB40"/>
    <mergeCell ref="OME40:OMF40"/>
    <mergeCell ref="OMG40:OMH40"/>
    <mergeCell ref="OMI40:OMJ40"/>
    <mergeCell ref="OMK40:OML40"/>
    <mergeCell ref="OMM40:OMN40"/>
    <mergeCell ref="OMO40:OMP40"/>
    <mergeCell ref="ORG40:ORH40"/>
    <mergeCell ref="ORI40:ORJ40"/>
    <mergeCell ref="ORK40:ORL40"/>
    <mergeCell ref="ORM40:ORN40"/>
    <mergeCell ref="ORO40:ORP40"/>
    <mergeCell ref="ORQ40:ORR40"/>
    <mergeCell ref="OQU40:OQV40"/>
    <mergeCell ref="OQW40:OQX40"/>
    <mergeCell ref="OQY40:OQZ40"/>
    <mergeCell ref="ORA40:ORB40"/>
    <mergeCell ref="ORC40:ORD40"/>
    <mergeCell ref="ORE40:ORF40"/>
    <mergeCell ref="OQI40:OQJ40"/>
    <mergeCell ref="OQK40:OQL40"/>
    <mergeCell ref="OQM40:OQN40"/>
    <mergeCell ref="OQO40:OQP40"/>
    <mergeCell ref="OQQ40:OQR40"/>
    <mergeCell ref="OQS40:OQT40"/>
    <mergeCell ref="OPW40:OPX40"/>
    <mergeCell ref="OPY40:OPZ40"/>
    <mergeCell ref="OQA40:OQB40"/>
    <mergeCell ref="OQC40:OQD40"/>
    <mergeCell ref="OQE40:OQF40"/>
    <mergeCell ref="OQG40:OQH40"/>
    <mergeCell ref="OPK40:OPL40"/>
    <mergeCell ref="OPM40:OPN40"/>
    <mergeCell ref="OPO40:OPP40"/>
    <mergeCell ref="OPQ40:OPR40"/>
    <mergeCell ref="OPS40:OPT40"/>
    <mergeCell ref="OPU40:OPV40"/>
    <mergeCell ref="OOY40:OOZ40"/>
    <mergeCell ref="OPA40:OPB40"/>
    <mergeCell ref="OPC40:OPD40"/>
    <mergeCell ref="OPE40:OPF40"/>
    <mergeCell ref="OPG40:OPH40"/>
    <mergeCell ref="OPI40:OPJ40"/>
    <mergeCell ref="OUA40:OUB40"/>
    <mergeCell ref="OUC40:OUD40"/>
    <mergeCell ref="OUE40:OUF40"/>
    <mergeCell ref="OUG40:OUH40"/>
    <mergeCell ref="OUI40:OUJ40"/>
    <mergeCell ref="OUK40:OUL40"/>
    <mergeCell ref="OTO40:OTP40"/>
    <mergeCell ref="OTQ40:OTR40"/>
    <mergeCell ref="OTS40:OTT40"/>
    <mergeCell ref="OTU40:OTV40"/>
    <mergeCell ref="OTW40:OTX40"/>
    <mergeCell ref="OTY40:OTZ40"/>
    <mergeCell ref="OTC40:OTD40"/>
    <mergeCell ref="OTE40:OTF40"/>
    <mergeCell ref="OTG40:OTH40"/>
    <mergeCell ref="OTI40:OTJ40"/>
    <mergeCell ref="OTK40:OTL40"/>
    <mergeCell ref="OTM40:OTN40"/>
    <mergeCell ref="OSQ40:OSR40"/>
    <mergeCell ref="OSS40:OST40"/>
    <mergeCell ref="OSU40:OSV40"/>
    <mergeCell ref="OSW40:OSX40"/>
    <mergeCell ref="OSY40:OSZ40"/>
    <mergeCell ref="OTA40:OTB40"/>
    <mergeCell ref="OSE40:OSF40"/>
    <mergeCell ref="OSG40:OSH40"/>
    <mergeCell ref="OSI40:OSJ40"/>
    <mergeCell ref="OSK40:OSL40"/>
    <mergeCell ref="OSM40:OSN40"/>
    <mergeCell ref="OSO40:OSP40"/>
    <mergeCell ref="ORS40:ORT40"/>
    <mergeCell ref="ORU40:ORV40"/>
    <mergeCell ref="ORW40:ORX40"/>
    <mergeCell ref="ORY40:ORZ40"/>
    <mergeCell ref="OSA40:OSB40"/>
    <mergeCell ref="OSC40:OSD40"/>
    <mergeCell ref="OWU40:OWV40"/>
    <mergeCell ref="OWW40:OWX40"/>
    <mergeCell ref="OWY40:OWZ40"/>
    <mergeCell ref="OXA40:OXB40"/>
    <mergeCell ref="OXC40:OXD40"/>
    <mergeCell ref="OXE40:OXF40"/>
    <mergeCell ref="OWI40:OWJ40"/>
    <mergeCell ref="OWK40:OWL40"/>
    <mergeCell ref="OWM40:OWN40"/>
    <mergeCell ref="OWO40:OWP40"/>
    <mergeCell ref="OWQ40:OWR40"/>
    <mergeCell ref="OWS40:OWT40"/>
    <mergeCell ref="OVW40:OVX40"/>
    <mergeCell ref="OVY40:OVZ40"/>
    <mergeCell ref="OWA40:OWB40"/>
    <mergeCell ref="OWC40:OWD40"/>
    <mergeCell ref="OWE40:OWF40"/>
    <mergeCell ref="OWG40:OWH40"/>
    <mergeCell ref="OVK40:OVL40"/>
    <mergeCell ref="OVM40:OVN40"/>
    <mergeCell ref="OVO40:OVP40"/>
    <mergeCell ref="OVQ40:OVR40"/>
    <mergeCell ref="OVS40:OVT40"/>
    <mergeCell ref="OVU40:OVV40"/>
    <mergeCell ref="OUY40:OUZ40"/>
    <mergeCell ref="OVA40:OVB40"/>
    <mergeCell ref="OVC40:OVD40"/>
    <mergeCell ref="OVE40:OVF40"/>
    <mergeCell ref="OVG40:OVH40"/>
    <mergeCell ref="OVI40:OVJ40"/>
    <mergeCell ref="OUM40:OUN40"/>
    <mergeCell ref="OUO40:OUP40"/>
    <mergeCell ref="OUQ40:OUR40"/>
    <mergeCell ref="OUS40:OUT40"/>
    <mergeCell ref="OUU40:OUV40"/>
    <mergeCell ref="OUW40:OUX40"/>
    <mergeCell ref="OZO40:OZP40"/>
    <mergeCell ref="OZQ40:OZR40"/>
    <mergeCell ref="OZS40:OZT40"/>
    <mergeCell ref="OZU40:OZV40"/>
    <mergeCell ref="OZW40:OZX40"/>
    <mergeCell ref="OZY40:OZZ40"/>
    <mergeCell ref="OZC40:OZD40"/>
    <mergeCell ref="OZE40:OZF40"/>
    <mergeCell ref="OZG40:OZH40"/>
    <mergeCell ref="OZI40:OZJ40"/>
    <mergeCell ref="OZK40:OZL40"/>
    <mergeCell ref="OZM40:OZN40"/>
    <mergeCell ref="OYQ40:OYR40"/>
    <mergeCell ref="OYS40:OYT40"/>
    <mergeCell ref="OYU40:OYV40"/>
    <mergeCell ref="OYW40:OYX40"/>
    <mergeCell ref="OYY40:OYZ40"/>
    <mergeCell ref="OZA40:OZB40"/>
    <mergeCell ref="OYE40:OYF40"/>
    <mergeCell ref="OYG40:OYH40"/>
    <mergeCell ref="OYI40:OYJ40"/>
    <mergeCell ref="OYK40:OYL40"/>
    <mergeCell ref="OYM40:OYN40"/>
    <mergeCell ref="OYO40:OYP40"/>
    <mergeCell ref="OXS40:OXT40"/>
    <mergeCell ref="OXU40:OXV40"/>
    <mergeCell ref="OXW40:OXX40"/>
    <mergeCell ref="OXY40:OXZ40"/>
    <mergeCell ref="OYA40:OYB40"/>
    <mergeCell ref="OYC40:OYD40"/>
    <mergeCell ref="OXG40:OXH40"/>
    <mergeCell ref="OXI40:OXJ40"/>
    <mergeCell ref="OXK40:OXL40"/>
    <mergeCell ref="OXM40:OXN40"/>
    <mergeCell ref="OXO40:OXP40"/>
    <mergeCell ref="OXQ40:OXR40"/>
    <mergeCell ref="PCI40:PCJ40"/>
    <mergeCell ref="PCK40:PCL40"/>
    <mergeCell ref="PCM40:PCN40"/>
    <mergeCell ref="PCO40:PCP40"/>
    <mergeCell ref="PCQ40:PCR40"/>
    <mergeCell ref="PCS40:PCT40"/>
    <mergeCell ref="PBW40:PBX40"/>
    <mergeCell ref="PBY40:PBZ40"/>
    <mergeCell ref="PCA40:PCB40"/>
    <mergeCell ref="PCC40:PCD40"/>
    <mergeCell ref="PCE40:PCF40"/>
    <mergeCell ref="PCG40:PCH40"/>
    <mergeCell ref="PBK40:PBL40"/>
    <mergeCell ref="PBM40:PBN40"/>
    <mergeCell ref="PBO40:PBP40"/>
    <mergeCell ref="PBQ40:PBR40"/>
    <mergeCell ref="PBS40:PBT40"/>
    <mergeCell ref="PBU40:PBV40"/>
    <mergeCell ref="PAY40:PAZ40"/>
    <mergeCell ref="PBA40:PBB40"/>
    <mergeCell ref="PBC40:PBD40"/>
    <mergeCell ref="PBE40:PBF40"/>
    <mergeCell ref="PBG40:PBH40"/>
    <mergeCell ref="PBI40:PBJ40"/>
    <mergeCell ref="PAM40:PAN40"/>
    <mergeCell ref="PAO40:PAP40"/>
    <mergeCell ref="PAQ40:PAR40"/>
    <mergeCell ref="PAS40:PAT40"/>
    <mergeCell ref="PAU40:PAV40"/>
    <mergeCell ref="PAW40:PAX40"/>
    <mergeCell ref="PAA40:PAB40"/>
    <mergeCell ref="PAC40:PAD40"/>
    <mergeCell ref="PAE40:PAF40"/>
    <mergeCell ref="PAG40:PAH40"/>
    <mergeCell ref="PAI40:PAJ40"/>
    <mergeCell ref="PAK40:PAL40"/>
    <mergeCell ref="PFC40:PFD40"/>
    <mergeCell ref="PFE40:PFF40"/>
    <mergeCell ref="PFG40:PFH40"/>
    <mergeCell ref="PFI40:PFJ40"/>
    <mergeCell ref="PFK40:PFL40"/>
    <mergeCell ref="PFM40:PFN40"/>
    <mergeCell ref="PEQ40:PER40"/>
    <mergeCell ref="PES40:PET40"/>
    <mergeCell ref="PEU40:PEV40"/>
    <mergeCell ref="PEW40:PEX40"/>
    <mergeCell ref="PEY40:PEZ40"/>
    <mergeCell ref="PFA40:PFB40"/>
    <mergeCell ref="PEE40:PEF40"/>
    <mergeCell ref="PEG40:PEH40"/>
    <mergeCell ref="PEI40:PEJ40"/>
    <mergeCell ref="PEK40:PEL40"/>
    <mergeCell ref="PEM40:PEN40"/>
    <mergeCell ref="PEO40:PEP40"/>
    <mergeCell ref="PDS40:PDT40"/>
    <mergeCell ref="PDU40:PDV40"/>
    <mergeCell ref="PDW40:PDX40"/>
    <mergeCell ref="PDY40:PDZ40"/>
    <mergeCell ref="PEA40:PEB40"/>
    <mergeCell ref="PEC40:PED40"/>
    <mergeCell ref="PDG40:PDH40"/>
    <mergeCell ref="PDI40:PDJ40"/>
    <mergeCell ref="PDK40:PDL40"/>
    <mergeCell ref="PDM40:PDN40"/>
    <mergeCell ref="PDO40:PDP40"/>
    <mergeCell ref="PDQ40:PDR40"/>
    <mergeCell ref="PCU40:PCV40"/>
    <mergeCell ref="PCW40:PCX40"/>
    <mergeCell ref="PCY40:PCZ40"/>
    <mergeCell ref="PDA40:PDB40"/>
    <mergeCell ref="PDC40:PDD40"/>
    <mergeCell ref="PDE40:PDF40"/>
    <mergeCell ref="PHW40:PHX40"/>
    <mergeCell ref="PHY40:PHZ40"/>
    <mergeCell ref="PIA40:PIB40"/>
    <mergeCell ref="PIC40:PID40"/>
    <mergeCell ref="PIE40:PIF40"/>
    <mergeCell ref="PIG40:PIH40"/>
    <mergeCell ref="PHK40:PHL40"/>
    <mergeCell ref="PHM40:PHN40"/>
    <mergeCell ref="PHO40:PHP40"/>
    <mergeCell ref="PHQ40:PHR40"/>
    <mergeCell ref="PHS40:PHT40"/>
    <mergeCell ref="PHU40:PHV40"/>
    <mergeCell ref="PGY40:PGZ40"/>
    <mergeCell ref="PHA40:PHB40"/>
    <mergeCell ref="PHC40:PHD40"/>
    <mergeCell ref="PHE40:PHF40"/>
    <mergeCell ref="PHG40:PHH40"/>
    <mergeCell ref="PHI40:PHJ40"/>
    <mergeCell ref="PGM40:PGN40"/>
    <mergeCell ref="PGO40:PGP40"/>
    <mergeCell ref="PGQ40:PGR40"/>
    <mergeCell ref="PGS40:PGT40"/>
    <mergeCell ref="PGU40:PGV40"/>
    <mergeCell ref="PGW40:PGX40"/>
    <mergeCell ref="PGA40:PGB40"/>
    <mergeCell ref="PGC40:PGD40"/>
    <mergeCell ref="PGE40:PGF40"/>
    <mergeCell ref="PGG40:PGH40"/>
    <mergeCell ref="PGI40:PGJ40"/>
    <mergeCell ref="PGK40:PGL40"/>
    <mergeCell ref="PFO40:PFP40"/>
    <mergeCell ref="PFQ40:PFR40"/>
    <mergeCell ref="PFS40:PFT40"/>
    <mergeCell ref="PFU40:PFV40"/>
    <mergeCell ref="PFW40:PFX40"/>
    <mergeCell ref="PFY40:PFZ40"/>
    <mergeCell ref="PKQ40:PKR40"/>
    <mergeCell ref="PKS40:PKT40"/>
    <mergeCell ref="PKU40:PKV40"/>
    <mergeCell ref="PKW40:PKX40"/>
    <mergeCell ref="PKY40:PKZ40"/>
    <mergeCell ref="PLA40:PLB40"/>
    <mergeCell ref="PKE40:PKF40"/>
    <mergeCell ref="PKG40:PKH40"/>
    <mergeCell ref="PKI40:PKJ40"/>
    <mergeCell ref="PKK40:PKL40"/>
    <mergeCell ref="PKM40:PKN40"/>
    <mergeCell ref="PKO40:PKP40"/>
    <mergeCell ref="PJS40:PJT40"/>
    <mergeCell ref="PJU40:PJV40"/>
    <mergeCell ref="PJW40:PJX40"/>
    <mergeCell ref="PJY40:PJZ40"/>
    <mergeCell ref="PKA40:PKB40"/>
    <mergeCell ref="PKC40:PKD40"/>
    <mergeCell ref="PJG40:PJH40"/>
    <mergeCell ref="PJI40:PJJ40"/>
    <mergeCell ref="PJK40:PJL40"/>
    <mergeCell ref="PJM40:PJN40"/>
    <mergeCell ref="PJO40:PJP40"/>
    <mergeCell ref="PJQ40:PJR40"/>
    <mergeCell ref="PIU40:PIV40"/>
    <mergeCell ref="PIW40:PIX40"/>
    <mergeCell ref="PIY40:PIZ40"/>
    <mergeCell ref="PJA40:PJB40"/>
    <mergeCell ref="PJC40:PJD40"/>
    <mergeCell ref="PJE40:PJF40"/>
    <mergeCell ref="PII40:PIJ40"/>
    <mergeCell ref="PIK40:PIL40"/>
    <mergeCell ref="PIM40:PIN40"/>
    <mergeCell ref="PIO40:PIP40"/>
    <mergeCell ref="PIQ40:PIR40"/>
    <mergeCell ref="PIS40:PIT40"/>
    <mergeCell ref="PNK40:PNL40"/>
    <mergeCell ref="PNM40:PNN40"/>
    <mergeCell ref="PNO40:PNP40"/>
    <mergeCell ref="PNQ40:PNR40"/>
    <mergeCell ref="PNS40:PNT40"/>
    <mergeCell ref="PNU40:PNV40"/>
    <mergeCell ref="PMY40:PMZ40"/>
    <mergeCell ref="PNA40:PNB40"/>
    <mergeCell ref="PNC40:PND40"/>
    <mergeCell ref="PNE40:PNF40"/>
    <mergeCell ref="PNG40:PNH40"/>
    <mergeCell ref="PNI40:PNJ40"/>
    <mergeCell ref="PMM40:PMN40"/>
    <mergeCell ref="PMO40:PMP40"/>
    <mergeCell ref="PMQ40:PMR40"/>
    <mergeCell ref="PMS40:PMT40"/>
    <mergeCell ref="PMU40:PMV40"/>
    <mergeCell ref="PMW40:PMX40"/>
    <mergeCell ref="PMA40:PMB40"/>
    <mergeCell ref="PMC40:PMD40"/>
    <mergeCell ref="PME40:PMF40"/>
    <mergeCell ref="PMG40:PMH40"/>
    <mergeCell ref="PMI40:PMJ40"/>
    <mergeCell ref="PMK40:PML40"/>
    <mergeCell ref="PLO40:PLP40"/>
    <mergeCell ref="PLQ40:PLR40"/>
    <mergeCell ref="PLS40:PLT40"/>
    <mergeCell ref="PLU40:PLV40"/>
    <mergeCell ref="PLW40:PLX40"/>
    <mergeCell ref="PLY40:PLZ40"/>
    <mergeCell ref="PLC40:PLD40"/>
    <mergeCell ref="PLE40:PLF40"/>
    <mergeCell ref="PLG40:PLH40"/>
    <mergeCell ref="PLI40:PLJ40"/>
    <mergeCell ref="PLK40:PLL40"/>
    <mergeCell ref="PLM40:PLN40"/>
    <mergeCell ref="PQE40:PQF40"/>
    <mergeCell ref="PQG40:PQH40"/>
    <mergeCell ref="PQI40:PQJ40"/>
    <mergeCell ref="PQK40:PQL40"/>
    <mergeCell ref="PQM40:PQN40"/>
    <mergeCell ref="PQO40:PQP40"/>
    <mergeCell ref="PPS40:PPT40"/>
    <mergeCell ref="PPU40:PPV40"/>
    <mergeCell ref="PPW40:PPX40"/>
    <mergeCell ref="PPY40:PPZ40"/>
    <mergeCell ref="PQA40:PQB40"/>
    <mergeCell ref="PQC40:PQD40"/>
    <mergeCell ref="PPG40:PPH40"/>
    <mergeCell ref="PPI40:PPJ40"/>
    <mergeCell ref="PPK40:PPL40"/>
    <mergeCell ref="PPM40:PPN40"/>
    <mergeCell ref="PPO40:PPP40"/>
    <mergeCell ref="PPQ40:PPR40"/>
    <mergeCell ref="POU40:POV40"/>
    <mergeCell ref="POW40:POX40"/>
    <mergeCell ref="POY40:POZ40"/>
    <mergeCell ref="PPA40:PPB40"/>
    <mergeCell ref="PPC40:PPD40"/>
    <mergeCell ref="PPE40:PPF40"/>
    <mergeCell ref="POI40:POJ40"/>
    <mergeCell ref="POK40:POL40"/>
    <mergeCell ref="POM40:PON40"/>
    <mergeCell ref="POO40:POP40"/>
    <mergeCell ref="POQ40:POR40"/>
    <mergeCell ref="POS40:POT40"/>
    <mergeCell ref="PNW40:PNX40"/>
    <mergeCell ref="PNY40:PNZ40"/>
    <mergeCell ref="POA40:POB40"/>
    <mergeCell ref="POC40:POD40"/>
    <mergeCell ref="POE40:POF40"/>
    <mergeCell ref="POG40:POH40"/>
    <mergeCell ref="PSY40:PSZ40"/>
    <mergeCell ref="PTA40:PTB40"/>
    <mergeCell ref="PTC40:PTD40"/>
    <mergeCell ref="PTE40:PTF40"/>
    <mergeCell ref="PTG40:PTH40"/>
    <mergeCell ref="PTI40:PTJ40"/>
    <mergeCell ref="PSM40:PSN40"/>
    <mergeCell ref="PSO40:PSP40"/>
    <mergeCell ref="PSQ40:PSR40"/>
    <mergeCell ref="PSS40:PST40"/>
    <mergeCell ref="PSU40:PSV40"/>
    <mergeCell ref="PSW40:PSX40"/>
    <mergeCell ref="PSA40:PSB40"/>
    <mergeCell ref="PSC40:PSD40"/>
    <mergeCell ref="PSE40:PSF40"/>
    <mergeCell ref="PSG40:PSH40"/>
    <mergeCell ref="PSI40:PSJ40"/>
    <mergeCell ref="PSK40:PSL40"/>
    <mergeCell ref="PRO40:PRP40"/>
    <mergeCell ref="PRQ40:PRR40"/>
    <mergeCell ref="PRS40:PRT40"/>
    <mergeCell ref="PRU40:PRV40"/>
    <mergeCell ref="PRW40:PRX40"/>
    <mergeCell ref="PRY40:PRZ40"/>
    <mergeCell ref="PRC40:PRD40"/>
    <mergeCell ref="PRE40:PRF40"/>
    <mergeCell ref="PRG40:PRH40"/>
    <mergeCell ref="PRI40:PRJ40"/>
    <mergeCell ref="PRK40:PRL40"/>
    <mergeCell ref="PRM40:PRN40"/>
    <mergeCell ref="PQQ40:PQR40"/>
    <mergeCell ref="PQS40:PQT40"/>
    <mergeCell ref="PQU40:PQV40"/>
    <mergeCell ref="PQW40:PQX40"/>
    <mergeCell ref="PQY40:PQZ40"/>
    <mergeCell ref="PRA40:PRB40"/>
    <mergeCell ref="PVS40:PVT40"/>
    <mergeCell ref="PVU40:PVV40"/>
    <mergeCell ref="PVW40:PVX40"/>
    <mergeCell ref="PVY40:PVZ40"/>
    <mergeCell ref="PWA40:PWB40"/>
    <mergeCell ref="PWC40:PWD40"/>
    <mergeCell ref="PVG40:PVH40"/>
    <mergeCell ref="PVI40:PVJ40"/>
    <mergeCell ref="PVK40:PVL40"/>
    <mergeCell ref="PVM40:PVN40"/>
    <mergeCell ref="PVO40:PVP40"/>
    <mergeCell ref="PVQ40:PVR40"/>
    <mergeCell ref="PUU40:PUV40"/>
    <mergeCell ref="PUW40:PUX40"/>
    <mergeCell ref="PUY40:PUZ40"/>
    <mergeCell ref="PVA40:PVB40"/>
    <mergeCell ref="PVC40:PVD40"/>
    <mergeCell ref="PVE40:PVF40"/>
    <mergeCell ref="PUI40:PUJ40"/>
    <mergeCell ref="PUK40:PUL40"/>
    <mergeCell ref="PUM40:PUN40"/>
    <mergeCell ref="PUO40:PUP40"/>
    <mergeCell ref="PUQ40:PUR40"/>
    <mergeCell ref="PUS40:PUT40"/>
    <mergeCell ref="PTW40:PTX40"/>
    <mergeCell ref="PTY40:PTZ40"/>
    <mergeCell ref="PUA40:PUB40"/>
    <mergeCell ref="PUC40:PUD40"/>
    <mergeCell ref="PUE40:PUF40"/>
    <mergeCell ref="PUG40:PUH40"/>
    <mergeCell ref="PTK40:PTL40"/>
    <mergeCell ref="PTM40:PTN40"/>
    <mergeCell ref="PTO40:PTP40"/>
    <mergeCell ref="PTQ40:PTR40"/>
    <mergeCell ref="PTS40:PTT40"/>
    <mergeCell ref="PTU40:PTV40"/>
    <mergeCell ref="PYM40:PYN40"/>
    <mergeCell ref="PYO40:PYP40"/>
    <mergeCell ref="PYQ40:PYR40"/>
    <mergeCell ref="PYS40:PYT40"/>
    <mergeCell ref="PYU40:PYV40"/>
    <mergeCell ref="PYW40:PYX40"/>
    <mergeCell ref="PYA40:PYB40"/>
    <mergeCell ref="PYC40:PYD40"/>
    <mergeCell ref="PYE40:PYF40"/>
    <mergeCell ref="PYG40:PYH40"/>
    <mergeCell ref="PYI40:PYJ40"/>
    <mergeCell ref="PYK40:PYL40"/>
    <mergeCell ref="PXO40:PXP40"/>
    <mergeCell ref="PXQ40:PXR40"/>
    <mergeCell ref="PXS40:PXT40"/>
    <mergeCell ref="PXU40:PXV40"/>
    <mergeCell ref="PXW40:PXX40"/>
    <mergeCell ref="PXY40:PXZ40"/>
    <mergeCell ref="PXC40:PXD40"/>
    <mergeCell ref="PXE40:PXF40"/>
    <mergeCell ref="PXG40:PXH40"/>
    <mergeCell ref="PXI40:PXJ40"/>
    <mergeCell ref="PXK40:PXL40"/>
    <mergeCell ref="PXM40:PXN40"/>
    <mergeCell ref="PWQ40:PWR40"/>
    <mergeCell ref="PWS40:PWT40"/>
    <mergeCell ref="PWU40:PWV40"/>
    <mergeCell ref="PWW40:PWX40"/>
    <mergeCell ref="PWY40:PWZ40"/>
    <mergeCell ref="PXA40:PXB40"/>
    <mergeCell ref="PWE40:PWF40"/>
    <mergeCell ref="PWG40:PWH40"/>
    <mergeCell ref="PWI40:PWJ40"/>
    <mergeCell ref="PWK40:PWL40"/>
    <mergeCell ref="PWM40:PWN40"/>
    <mergeCell ref="PWO40:PWP40"/>
    <mergeCell ref="QBG40:QBH40"/>
    <mergeCell ref="QBI40:QBJ40"/>
    <mergeCell ref="QBK40:QBL40"/>
    <mergeCell ref="QBM40:QBN40"/>
    <mergeCell ref="QBO40:QBP40"/>
    <mergeCell ref="QBQ40:QBR40"/>
    <mergeCell ref="QAU40:QAV40"/>
    <mergeCell ref="QAW40:QAX40"/>
    <mergeCell ref="QAY40:QAZ40"/>
    <mergeCell ref="QBA40:QBB40"/>
    <mergeCell ref="QBC40:QBD40"/>
    <mergeCell ref="QBE40:QBF40"/>
    <mergeCell ref="QAI40:QAJ40"/>
    <mergeCell ref="QAK40:QAL40"/>
    <mergeCell ref="QAM40:QAN40"/>
    <mergeCell ref="QAO40:QAP40"/>
    <mergeCell ref="QAQ40:QAR40"/>
    <mergeCell ref="QAS40:QAT40"/>
    <mergeCell ref="PZW40:PZX40"/>
    <mergeCell ref="PZY40:PZZ40"/>
    <mergeCell ref="QAA40:QAB40"/>
    <mergeCell ref="QAC40:QAD40"/>
    <mergeCell ref="QAE40:QAF40"/>
    <mergeCell ref="QAG40:QAH40"/>
    <mergeCell ref="PZK40:PZL40"/>
    <mergeCell ref="PZM40:PZN40"/>
    <mergeCell ref="PZO40:PZP40"/>
    <mergeCell ref="PZQ40:PZR40"/>
    <mergeCell ref="PZS40:PZT40"/>
    <mergeCell ref="PZU40:PZV40"/>
    <mergeCell ref="PYY40:PYZ40"/>
    <mergeCell ref="PZA40:PZB40"/>
    <mergeCell ref="PZC40:PZD40"/>
    <mergeCell ref="PZE40:PZF40"/>
    <mergeCell ref="PZG40:PZH40"/>
    <mergeCell ref="PZI40:PZJ40"/>
    <mergeCell ref="QEA40:QEB40"/>
    <mergeCell ref="QEC40:QED40"/>
    <mergeCell ref="QEE40:QEF40"/>
    <mergeCell ref="QEG40:QEH40"/>
    <mergeCell ref="QEI40:QEJ40"/>
    <mergeCell ref="QEK40:QEL40"/>
    <mergeCell ref="QDO40:QDP40"/>
    <mergeCell ref="QDQ40:QDR40"/>
    <mergeCell ref="QDS40:QDT40"/>
    <mergeCell ref="QDU40:QDV40"/>
    <mergeCell ref="QDW40:QDX40"/>
    <mergeCell ref="QDY40:QDZ40"/>
    <mergeCell ref="QDC40:QDD40"/>
    <mergeCell ref="QDE40:QDF40"/>
    <mergeCell ref="QDG40:QDH40"/>
    <mergeCell ref="QDI40:QDJ40"/>
    <mergeCell ref="QDK40:QDL40"/>
    <mergeCell ref="QDM40:QDN40"/>
    <mergeCell ref="QCQ40:QCR40"/>
    <mergeCell ref="QCS40:QCT40"/>
    <mergeCell ref="QCU40:QCV40"/>
    <mergeCell ref="QCW40:QCX40"/>
    <mergeCell ref="QCY40:QCZ40"/>
    <mergeCell ref="QDA40:QDB40"/>
    <mergeCell ref="QCE40:QCF40"/>
    <mergeCell ref="QCG40:QCH40"/>
    <mergeCell ref="QCI40:QCJ40"/>
    <mergeCell ref="QCK40:QCL40"/>
    <mergeCell ref="QCM40:QCN40"/>
    <mergeCell ref="QCO40:QCP40"/>
    <mergeCell ref="QBS40:QBT40"/>
    <mergeCell ref="QBU40:QBV40"/>
    <mergeCell ref="QBW40:QBX40"/>
    <mergeCell ref="QBY40:QBZ40"/>
    <mergeCell ref="QCA40:QCB40"/>
    <mergeCell ref="QCC40:QCD40"/>
    <mergeCell ref="QGU40:QGV40"/>
    <mergeCell ref="QGW40:QGX40"/>
    <mergeCell ref="QGY40:QGZ40"/>
    <mergeCell ref="QHA40:QHB40"/>
    <mergeCell ref="QHC40:QHD40"/>
    <mergeCell ref="QHE40:QHF40"/>
    <mergeCell ref="QGI40:QGJ40"/>
    <mergeCell ref="QGK40:QGL40"/>
    <mergeCell ref="QGM40:QGN40"/>
    <mergeCell ref="QGO40:QGP40"/>
    <mergeCell ref="QGQ40:QGR40"/>
    <mergeCell ref="QGS40:QGT40"/>
    <mergeCell ref="QFW40:QFX40"/>
    <mergeCell ref="QFY40:QFZ40"/>
    <mergeCell ref="QGA40:QGB40"/>
    <mergeCell ref="QGC40:QGD40"/>
    <mergeCell ref="QGE40:QGF40"/>
    <mergeCell ref="QGG40:QGH40"/>
    <mergeCell ref="QFK40:QFL40"/>
    <mergeCell ref="QFM40:QFN40"/>
    <mergeCell ref="QFO40:QFP40"/>
    <mergeCell ref="QFQ40:QFR40"/>
    <mergeCell ref="QFS40:QFT40"/>
    <mergeCell ref="QFU40:QFV40"/>
    <mergeCell ref="QEY40:QEZ40"/>
    <mergeCell ref="QFA40:QFB40"/>
    <mergeCell ref="QFC40:QFD40"/>
    <mergeCell ref="QFE40:QFF40"/>
    <mergeCell ref="QFG40:QFH40"/>
    <mergeCell ref="QFI40:QFJ40"/>
    <mergeCell ref="QEM40:QEN40"/>
    <mergeCell ref="QEO40:QEP40"/>
    <mergeCell ref="QEQ40:QER40"/>
    <mergeCell ref="QES40:QET40"/>
    <mergeCell ref="QEU40:QEV40"/>
    <mergeCell ref="QEW40:QEX40"/>
    <mergeCell ref="QJO40:QJP40"/>
    <mergeCell ref="QJQ40:QJR40"/>
    <mergeCell ref="QJS40:QJT40"/>
    <mergeCell ref="QJU40:QJV40"/>
    <mergeCell ref="QJW40:QJX40"/>
    <mergeCell ref="QJY40:QJZ40"/>
    <mergeCell ref="QJC40:QJD40"/>
    <mergeCell ref="QJE40:QJF40"/>
    <mergeCell ref="QJG40:QJH40"/>
    <mergeCell ref="QJI40:QJJ40"/>
    <mergeCell ref="QJK40:QJL40"/>
    <mergeCell ref="QJM40:QJN40"/>
    <mergeCell ref="QIQ40:QIR40"/>
    <mergeCell ref="QIS40:QIT40"/>
    <mergeCell ref="QIU40:QIV40"/>
    <mergeCell ref="QIW40:QIX40"/>
    <mergeCell ref="QIY40:QIZ40"/>
    <mergeCell ref="QJA40:QJB40"/>
    <mergeCell ref="QIE40:QIF40"/>
    <mergeCell ref="QIG40:QIH40"/>
    <mergeCell ref="QII40:QIJ40"/>
    <mergeCell ref="QIK40:QIL40"/>
    <mergeCell ref="QIM40:QIN40"/>
    <mergeCell ref="QIO40:QIP40"/>
    <mergeCell ref="QHS40:QHT40"/>
    <mergeCell ref="QHU40:QHV40"/>
    <mergeCell ref="QHW40:QHX40"/>
    <mergeCell ref="QHY40:QHZ40"/>
    <mergeCell ref="QIA40:QIB40"/>
    <mergeCell ref="QIC40:QID40"/>
    <mergeCell ref="QHG40:QHH40"/>
    <mergeCell ref="QHI40:QHJ40"/>
    <mergeCell ref="QHK40:QHL40"/>
    <mergeCell ref="QHM40:QHN40"/>
    <mergeCell ref="QHO40:QHP40"/>
    <mergeCell ref="QHQ40:QHR40"/>
    <mergeCell ref="QMI40:QMJ40"/>
    <mergeCell ref="QMK40:QML40"/>
    <mergeCell ref="QMM40:QMN40"/>
    <mergeCell ref="QMO40:QMP40"/>
    <mergeCell ref="QMQ40:QMR40"/>
    <mergeCell ref="QMS40:QMT40"/>
    <mergeCell ref="QLW40:QLX40"/>
    <mergeCell ref="QLY40:QLZ40"/>
    <mergeCell ref="QMA40:QMB40"/>
    <mergeCell ref="QMC40:QMD40"/>
    <mergeCell ref="QME40:QMF40"/>
    <mergeCell ref="QMG40:QMH40"/>
    <mergeCell ref="QLK40:QLL40"/>
    <mergeCell ref="QLM40:QLN40"/>
    <mergeCell ref="QLO40:QLP40"/>
    <mergeCell ref="QLQ40:QLR40"/>
    <mergeCell ref="QLS40:QLT40"/>
    <mergeCell ref="QLU40:QLV40"/>
    <mergeCell ref="QKY40:QKZ40"/>
    <mergeCell ref="QLA40:QLB40"/>
    <mergeCell ref="QLC40:QLD40"/>
    <mergeCell ref="QLE40:QLF40"/>
    <mergeCell ref="QLG40:QLH40"/>
    <mergeCell ref="QLI40:QLJ40"/>
    <mergeCell ref="QKM40:QKN40"/>
    <mergeCell ref="QKO40:QKP40"/>
    <mergeCell ref="QKQ40:QKR40"/>
    <mergeCell ref="QKS40:QKT40"/>
    <mergeCell ref="QKU40:QKV40"/>
    <mergeCell ref="QKW40:QKX40"/>
    <mergeCell ref="QKA40:QKB40"/>
    <mergeCell ref="QKC40:QKD40"/>
    <mergeCell ref="QKE40:QKF40"/>
    <mergeCell ref="QKG40:QKH40"/>
    <mergeCell ref="QKI40:QKJ40"/>
    <mergeCell ref="QKK40:QKL40"/>
    <mergeCell ref="QPC40:QPD40"/>
    <mergeCell ref="QPE40:QPF40"/>
    <mergeCell ref="QPG40:QPH40"/>
    <mergeCell ref="QPI40:QPJ40"/>
    <mergeCell ref="QPK40:QPL40"/>
    <mergeCell ref="QPM40:QPN40"/>
    <mergeCell ref="QOQ40:QOR40"/>
    <mergeCell ref="QOS40:QOT40"/>
    <mergeCell ref="QOU40:QOV40"/>
    <mergeCell ref="QOW40:QOX40"/>
    <mergeCell ref="QOY40:QOZ40"/>
    <mergeCell ref="QPA40:QPB40"/>
    <mergeCell ref="QOE40:QOF40"/>
    <mergeCell ref="QOG40:QOH40"/>
    <mergeCell ref="QOI40:QOJ40"/>
    <mergeCell ref="QOK40:QOL40"/>
    <mergeCell ref="QOM40:QON40"/>
    <mergeCell ref="QOO40:QOP40"/>
    <mergeCell ref="QNS40:QNT40"/>
    <mergeCell ref="QNU40:QNV40"/>
    <mergeCell ref="QNW40:QNX40"/>
    <mergeCell ref="QNY40:QNZ40"/>
    <mergeCell ref="QOA40:QOB40"/>
    <mergeCell ref="QOC40:QOD40"/>
    <mergeCell ref="QNG40:QNH40"/>
    <mergeCell ref="QNI40:QNJ40"/>
    <mergeCell ref="QNK40:QNL40"/>
    <mergeCell ref="QNM40:QNN40"/>
    <mergeCell ref="QNO40:QNP40"/>
    <mergeCell ref="QNQ40:QNR40"/>
    <mergeCell ref="QMU40:QMV40"/>
    <mergeCell ref="QMW40:QMX40"/>
    <mergeCell ref="QMY40:QMZ40"/>
    <mergeCell ref="QNA40:QNB40"/>
    <mergeCell ref="QNC40:QND40"/>
    <mergeCell ref="QNE40:QNF40"/>
    <mergeCell ref="QRW40:QRX40"/>
    <mergeCell ref="QRY40:QRZ40"/>
    <mergeCell ref="QSA40:QSB40"/>
    <mergeCell ref="QSC40:QSD40"/>
    <mergeCell ref="QSE40:QSF40"/>
    <mergeCell ref="QSG40:QSH40"/>
    <mergeCell ref="QRK40:QRL40"/>
    <mergeCell ref="QRM40:QRN40"/>
    <mergeCell ref="QRO40:QRP40"/>
    <mergeCell ref="QRQ40:QRR40"/>
    <mergeCell ref="QRS40:QRT40"/>
    <mergeCell ref="QRU40:QRV40"/>
    <mergeCell ref="QQY40:QQZ40"/>
    <mergeCell ref="QRA40:QRB40"/>
    <mergeCell ref="QRC40:QRD40"/>
    <mergeCell ref="QRE40:QRF40"/>
    <mergeCell ref="QRG40:QRH40"/>
    <mergeCell ref="QRI40:QRJ40"/>
    <mergeCell ref="QQM40:QQN40"/>
    <mergeCell ref="QQO40:QQP40"/>
    <mergeCell ref="QQQ40:QQR40"/>
    <mergeCell ref="QQS40:QQT40"/>
    <mergeCell ref="QQU40:QQV40"/>
    <mergeCell ref="QQW40:QQX40"/>
    <mergeCell ref="QQA40:QQB40"/>
    <mergeCell ref="QQC40:QQD40"/>
    <mergeCell ref="QQE40:QQF40"/>
    <mergeCell ref="QQG40:QQH40"/>
    <mergeCell ref="QQI40:QQJ40"/>
    <mergeCell ref="QQK40:QQL40"/>
    <mergeCell ref="QPO40:QPP40"/>
    <mergeCell ref="QPQ40:QPR40"/>
    <mergeCell ref="QPS40:QPT40"/>
    <mergeCell ref="QPU40:QPV40"/>
    <mergeCell ref="QPW40:QPX40"/>
    <mergeCell ref="QPY40:QPZ40"/>
    <mergeCell ref="QUQ40:QUR40"/>
    <mergeCell ref="QUS40:QUT40"/>
    <mergeCell ref="QUU40:QUV40"/>
    <mergeCell ref="QUW40:QUX40"/>
    <mergeCell ref="QUY40:QUZ40"/>
    <mergeCell ref="QVA40:QVB40"/>
    <mergeCell ref="QUE40:QUF40"/>
    <mergeCell ref="QUG40:QUH40"/>
    <mergeCell ref="QUI40:QUJ40"/>
    <mergeCell ref="QUK40:QUL40"/>
    <mergeCell ref="QUM40:QUN40"/>
    <mergeCell ref="QUO40:QUP40"/>
    <mergeCell ref="QTS40:QTT40"/>
    <mergeCell ref="QTU40:QTV40"/>
    <mergeCell ref="QTW40:QTX40"/>
    <mergeCell ref="QTY40:QTZ40"/>
    <mergeCell ref="QUA40:QUB40"/>
    <mergeCell ref="QUC40:QUD40"/>
    <mergeCell ref="QTG40:QTH40"/>
    <mergeCell ref="QTI40:QTJ40"/>
    <mergeCell ref="QTK40:QTL40"/>
    <mergeCell ref="QTM40:QTN40"/>
    <mergeCell ref="QTO40:QTP40"/>
    <mergeCell ref="QTQ40:QTR40"/>
    <mergeCell ref="QSU40:QSV40"/>
    <mergeCell ref="QSW40:QSX40"/>
    <mergeCell ref="QSY40:QSZ40"/>
    <mergeCell ref="QTA40:QTB40"/>
    <mergeCell ref="QTC40:QTD40"/>
    <mergeCell ref="QTE40:QTF40"/>
    <mergeCell ref="QSI40:QSJ40"/>
    <mergeCell ref="QSK40:QSL40"/>
    <mergeCell ref="QSM40:QSN40"/>
    <mergeCell ref="QSO40:QSP40"/>
    <mergeCell ref="QSQ40:QSR40"/>
    <mergeCell ref="QSS40:QST40"/>
    <mergeCell ref="QXK40:QXL40"/>
    <mergeCell ref="QXM40:QXN40"/>
    <mergeCell ref="QXO40:QXP40"/>
    <mergeCell ref="QXQ40:QXR40"/>
    <mergeCell ref="QXS40:QXT40"/>
    <mergeCell ref="QXU40:QXV40"/>
    <mergeCell ref="QWY40:QWZ40"/>
    <mergeCell ref="QXA40:QXB40"/>
    <mergeCell ref="QXC40:QXD40"/>
    <mergeCell ref="QXE40:QXF40"/>
    <mergeCell ref="QXG40:QXH40"/>
    <mergeCell ref="QXI40:QXJ40"/>
    <mergeCell ref="QWM40:QWN40"/>
    <mergeCell ref="QWO40:QWP40"/>
    <mergeCell ref="QWQ40:QWR40"/>
    <mergeCell ref="QWS40:QWT40"/>
    <mergeCell ref="QWU40:QWV40"/>
    <mergeCell ref="QWW40:QWX40"/>
    <mergeCell ref="QWA40:QWB40"/>
    <mergeCell ref="QWC40:QWD40"/>
    <mergeCell ref="QWE40:QWF40"/>
    <mergeCell ref="QWG40:QWH40"/>
    <mergeCell ref="QWI40:QWJ40"/>
    <mergeCell ref="QWK40:QWL40"/>
    <mergeCell ref="QVO40:QVP40"/>
    <mergeCell ref="QVQ40:QVR40"/>
    <mergeCell ref="QVS40:QVT40"/>
    <mergeCell ref="QVU40:QVV40"/>
    <mergeCell ref="QVW40:QVX40"/>
    <mergeCell ref="QVY40:QVZ40"/>
    <mergeCell ref="QVC40:QVD40"/>
    <mergeCell ref="QVE40:QVF40"/>
    <mergeCell ref="QVG40:QVH40"/>
    <mergeCell ref="QVI40:QVJ40"/>
    <mergeCell ref="QVK40:QVL40"/>
    <mergeCell ref="QVM40:QVN40"/>
    <mergeCell ref="RAE40:RAF40"/>
    <mergeCell ref="RAG40:RAH40"/>
    <mergeCell ref="RAI40:RAJ40"/>
    <mergeCell ref="RAK40:RAL40"/>
    <mergeCell ref="RAM40:RAN40"/>
    <mergeCell ref="RAO40:RAP40"/>
    <mergeCell ref="QZS40:QZT40"/>
    <mergeCell ref="QZU40:QZV40"/>
    <mergeCell ref="QZW40:QZX40"/>
    <mergeCell ref="QZY40:QZZ40"/>
    <mergeCell ref="RAA40:RAB40"/>
    <mergeCell ref="RAC40:RAD40"/>
    <mergeCell ref="QZG40:QZH40"/>
    <mergeCell ref="QZI40:QZJ40"/>
    <mergeCell ref="QZK40:QZL40"/>
    <mergeCell ref="QZM40:QZN40"/>
    <mergeCell ref="QZO40:QZP40"/>
    <mergeCell ref="QZQ40:QZR40"/>
    <mergeCell ref="QYU40:QYV40"/>
    <mergeCell ref="QYW40:QYX40"/>
    <mergeCell ref="QYY40:QYZ40"/>
    <mergeCell ref="QZA40:QZB40"/>
    <mergeCell ref="QZC40:QZD40"/>
    <mergeCell ref="QZE40:QZF40"/>
    <mergeCell ref="QYI40:QYJ40"/>
    <mergeCell ref="QYK40:QYL40"/>
    <mergeCell ref="QYM40:QYN40"/>
    <mergeCell ref="QYO40:QYP40"/>
    <mergeCell ref="QYQ40:QYR40"/>
    <mergeCell ref="QYS40:QYT40"/>
    <mergeCell ref="QXW40:QXX40"/>
    <mergeCell ref="QXY40:QXZ40"/>
    <mergeCell ref="QYA40:QYB40"/>
    <mergeCell ref="QYC40:QYD40"/>
    <mergeCell ref="QYE40:QYF40"/>
    <mergeCell ref="QYG40:QYH40"/>
    <mergeCell ref="RCY40:RCZ40"/>
    <mergeCell ref="RDA40:RDB40"/>
    <mergeCell ref="RDC40:RDD40"/>
    <mergeCell ref="RDE40:RDF40"/>
    <mergeCell ref="RDG40:RDH40"/>
    <mergeCell ref="RDI40:RDJ40"/>
    <mergeCell ref="RCM40:RCN40"/>
    <mergeCell ref="RCO40:RCP40"/>
    <mergeCell ref="RCQ40:RCR40"/>
    <mergeCell ref="RCS40:RCT40"/>
    <mergeCell ref="RCU40:RCV40"/>
    <mergeCell ref="RCW40:RCX40"/>
    <mergeCell ref="RCA40:RCB40"/>
    <mergeCell ref="RCC40:RCD40"/>
    <mergeCell ref="RCE40:RCF40"/>
    <mergeCell ref="RCG40:RCH40"/>
    <mergeCell ref="RCI40:RCJ40"/>
    <mergeCell ref="RCK40:RCL40"/>
    <mergeCell ref="RBO40:RBP40"/>
    <mergeCell ref="RBQ40:RBR40"/>
    <mergeCell ref="RBS40:RBT40"/>
    <mergeCell ref="RBU40:RBV40"/>
    <mergeCell ref="RBW40:RBX40"/>
    <mergeCell ref="RBY40:RBZ40"/>
    <mergeCell ref="RBC40:RBD40"/>
    <mergeCell ref="RBE40:RBF40"/>
    <mergeCell ref="RBG40:RBH40"/>
    <mergeCell ref="RBI40:RBJ40"/>
    <mergeCell ref="RBK40:RBL40"/>
    <mergeCell ref="RBM40:RBN40"/>
    <mergeCell ref="RAQ40:RAR40"/>
    <mergeCell ref="RAS40:RAT40"/>
    <mergeCell ref="RAU40:RAV40"/>
    <mergeCell ref="RAW40:RAX40"/>
    <mergeCell ref="RAY40:RAZ40"/>
    <mergeCell ref="RBA40:RBB40"/>
    <mergeCell ref="RFS40:RFT40"/>
    <mergeCell ref="RFU40:RFV40"/>
    <mergeCell ref="RFW40:RFX40"/>
    <mergeCell ref="RFY40:RFZ40"/>
    <mergeCell ref="RGA40:RGB40"/>
    <mergeCell ref="RGC40:RGD40"/>
    <mergeCell ref="RFG40:RFH40"/>
    <mergeCell ref="RFI40:RFJ40"/>
    <mergeCell ref="RFK40:RFL40"/>
    <mergeCell ref="RFM40:RFN40"/>
    <mergeCell ref="RFO40:RFP40"/>
    <mergeCell ref="RFQ40:RFR40"/>
    <mergeCell ref="REU40:REV40"/>
    <mergeCell ref="REW40:REX40"/>
    <mergeCell ref="REY40:REZ40"/>
    <mergeCell ref="RFA40:RFB40"/>
    <mergeCell ref="RFC40:RFD40"/>
    <mergeCell ref="RFE40:RFF40"/>
    <mergeCell ref="REI40:REJ40"/>
    <mergeCell ref="REK40:REL40"/>
    <mergeCell ref="REM40:REN40"/>
    <mergeCell ref="REO40:REP40"/>
    <mergeCell ref="REQ40:RER40"/>
    <mergeCell ref="RES40:RET40"/>
    <mergeCell ref="RDW40:RDX40"/>
    <mergeCell ref="RDY40:RDZ40"/>
    <mergeCell ref="REA40:REB40"/>
    <mergeCell ref="REC40:RED40"/>
    <mergeCell ref="REE40:REF40"/>
    <mergeCell ref="REG40:REH40"/>
    <mergeCell ref="RDK40:RDL40"/>
    <mergeCell ref="RDM40:RDN40"/>
    <mergeCell ref="RDO40:RDP40"/>
    <mergeCell ref="RDQ40:RDR40"/>
    <mergeCell ref="RDS40:RDT40"/>
    <mergeCell ref="RDU40:RDV40"/>
    <mergeCell ref="RIM40:RIN40"/>
    <mergeCell ref="RIO40:RIP40"/>
    <mergeCell ref="RIQ40:RIR40"/>
    <mergeCell ref="RIS40:RIT40"/>
    <mergeCell ref="RIU40:RIV40"/>
    <mergeCell ref="RIW40:RIX40"/>
    <mergeCell ref="RIA40:RIB40"/>
    <mergeCell ref="RIC40:RID40"/>
    <mergeCell ref="RIE40:RIF40"/>
    <mergeCell ref="RIG40:RIH40"/>
    <mergeCell ref="RII40:RIJ40"/>
    <mergeCell ref="RIK40:RIL40"/>
    <mergeCell ref="RHO40:RHP40"/>
    <mergeCell ref="RHQ40:RHR40"/>
    <mergeCell ref="RHS40:RHT40"/>
    <mergeCell ref="RHU40:RHV40"/>
    <mergeCell ref="RHW40:RHX40"/>
    <mergeCell ref="RHY40:RHZ40"/>
    <mergeCell ref="RHC40:RHD40"/>
    <mergeCell ref="RHE40:RHF40"/>
    <mergeCell ref="RHG40:RHH40"/>
    <mergeCell ref="RHI40:RHJ40"/>
    <mergeCell ref="RHK40:RHL40"/>
    <mergeCell ref="RHM40:RHN40"/>
    <mergeCell ref="RGQ40:RGR40"/>
    <mergeCell ref="RGS40:RGT40"/>
    <mergeCell ref="RGU40:RGV40"/>
    <mergeCell ref="RGW40:RGX40"/>
    <mergeCell ref="RGY40:RGZ40"/>
    <mergeCell ref="RHA40:RHB40"/>
    <mergeCell ref="RGE40:RGF40"/>
    <mergeCell ref="RGG40:RGH40"/>
    <mergeCell ref="RGI40:RGJ40"/>
    <mergeCell ref="RGK40:RGL40"/>
    <mergeCell ref="RGM40:RGN40"/>
    <mergeCell ref="RGO40:RGP40"/>
    <mergeCell ref="RLG40:RLH40"/>
    <mergeCell ref="RLI40:RLJ40"/>
    <mergeCell ref="RLK40:RLL40"/>
    <mergeCell ref="RLM40:RLN40"/>
    <mergeCell ref="RLO40:RLP40"/>
    <mergeCell ref="RLQ40:RLR40"/>
    <mergeCell ref="RKU40:RKV40"/>
    <mergeCell ref="RKW40:RKX40"/>
    <mergeCell ref="RKY40:RKZ40"/>
    <mergeCell ref="RLA40:RLB40"/>
    <mergeCell ref="RLC40:RLD40"/>
    <mergeCell ref="RLE40:RLF40"/>
    <mergeCell ref="RKI40:RKJ40"/>
    <mergeCell ref="RKK40:RKL40"/>
    <mergeCell ref="RKM40:RKN40"/>
    <mergeCell ref="RKO40:RKP40"/>
    <mergeCell ref="RKQ40:RKR40"/>
    <mergeCell ref="RKS40:RKT40"/>
    <mergeCell ref="RJW40:RJX40"/>
    <mergeCell ref="RJY40:RJZ40"/>
    <mergeCell ref="RKA40:RKB40"/>
    <mergeCell ref="RKC40:RKD40"/>
    <mergeCell ref="RKE40:RKF40"/>
    <mergeCell ref="RKG40:RKH40"/>
    <mergeCell ref="RJK40:RJL40"/>
    <mergeCell ref="RJM40:RJN40"/>
    <mergeCell ref="RJO40:RJP40"/>
    <mergeCell ref="RJQ40:RJR40"/>
    <mergeCell ref="RJS40:RJT40"/>
    <mergeCell ref="RJU40:RJV40"/>
    <mergeCell ref="RIY40:RIZ40"/>
    <mergeCell ref="RJA40:RJB40"/>
    <mergeCell ref="RJC40:RJD40"/>
    <mergeCell ref="RJE40:RJF40"/>
    <mergeCell ref="RJG40:RJH40"/>
    <mergeCell ref="RJI40:RJJ40"/>
    <mergeCell ref="ROA40:ROB40"/>
    <mergeCell ref="ROC40:ROD40"/>
    <mergeCell ref="ROE40:ROF40"/>
    <mergeCell ref="ROG40:ROH40"/>
    <mergeCell ref="ROI40:ROJ40"/>
    <mergeCell ref="ROK40:ROL40"/>
    <mergeCell ref="RNO40:RNP40"/>
    <mergeCell ref="RNQ40:RNR40"/>
    <mergeCell ref="RNS40:RNT40"/>
    <mergeCell ref="RNU40:RNV40"/>
    <mergeCell ref="RNW40:RNX40"/>
    <mergeCell ref="RNY40:RNZ40"/>
    <mergeCell ref="RNC40:RND40"/>
    <mergeCell ref="RNE40:RNF40"/>
    <mergeCell ref="RNG40:RNH40"/>
    <mergeCell ref="RNI40:RNJ40"/>
    <mergeCell ref="RNK40:RNL40"/>
    <mergeCell ref="RNM40:RNN40"/>
    <mergeCell ref="RMQ40:RMR40"/>
    <mergeCell ref="RMS40:RMT40"/>
    <mergeCell ref="RMU40:RMV40"/>
    <mergeCell ref="RMW40:RMX40"/>
    <mergeCell ref="RMY40:RMZ40"/>
    <mergeCell ref="RNA40:RNB40"/>
    <mergeCell ref="RME40:RMF40"/>
    <mergeCell ref="RMG40:RMH40"/>
    <mergeCell ref="RMI40:RMJ40"/>
    <mergeCell ref="RMK40:RML40"/>
    <mergeCell ref="RMM40:RMN40"/>
    <mergeCell ref="RMO40:RMP40"/>
    <mergeCell ref="RLS40:RLT40"/>
    <mergeCell ref="RLU40:RLV40"/>
    <mergeCell ref="RLW40:RLX40"/>
    <mergeCell ref="RLY40:RLZ40"/>
    <mergeCell ref="RMA40:RMB40"/>
    <mergeCell ref="RMC40:RMD40"/>
    <mergeCell ref="RQU40:RQV40"/>
    <mergeCell ref="RQW40:RQX40"/>
    <mergeCell ref="RQY40:RQZ40"/>
    <mergeCell ref="RRA40:RRB40"/>
    <mergeCell ref="RRC40:RRD40"/>
    <mergeCell ref="RRE40:RRF40"/>
    <mergeCell ref="RQI40:RQJ40"/>
    <mergeCell ref="RQK40:RQL40"/>
    <mergeCell ref="RQM40:RQN40"/>
    <mergeCell ref="RQO40:RQP40"/>
    <mergeCell ref="RQQ40:RQR40"/>
    <mergeCell ref="RQS40:RQT40"/>
    <mergeCell ref="RPW40:RPX40"/>
    <mergeCell ref="RPY40:RPZ40"/>
    <mergeCell ref="RQA40:RQB40"/>
    <mergeCell ref="RQC40:RQD40"/>
    <mergeCell ref="RQE40:RQF40"/>
    <mergeCell ref="RQG40:RQH40"/>
    <mergeCell ref="RPK40:RPL40"/>
    <mergeCell ref="RPM40:RPN40"/>
    <mergeCell ref="RPO40:RPP40"/>
    <mergeCell ref="RPQ40:RPR40"/>
    <mergeCell ref="RPS40:RPT40"/>
    <mergeCell ref="RPU40:RPV40"/>
    <mergeCell ref="ROY40:ROZ40"/>
    <mergeCell ref="RPA40:RPB40"/>
    <mergeCell ref="RPC40:RPD40"/>
    <mergeCell ref="RPE40:RPF40"/>
    <mergeCell ref="RPG40:RPH40"/>
    <mergeCell ref="RPI40:RPJ40"/>
    <mergeCell ref="ROM40:RON40"/>
    <mergeCell ref="ROO40:ROP40"/>
    <mergeCell ref="ROQ40:ROR40"/>
    <mergeCell ref="ROS40:ROT40"/>
    <mergeCell ref="ROU40:ROV40"/>
    <mergeCell ref="ROW40:ROX40"/>
    <mergeCell ref="RTO40:RTP40"/>
    <mergeCell ref="RTQ40:RTR40"/>
    <mergeCell ref="RTS40:RTT40"/>
    <mergeCell ref="RTU40:RTV40"/>
    <mergeCell ref="RTW40:RTX40"/>
    <mergeCell ref="RTY40:RTZ40"/>
    <mergeCell ref="RTC40:RTD40"/>
    <mergeCell ref="RTE40:RTF40"/>
    <mergeCell ref="RTG40:RTH40"/>
    <mergeCell ref="RTI40:RTJ40"/>
    <mergeCell ref="RTK40:RTL40"/>
    <mergeCell ref="RTM40:RTN40"/>
    <mergeCell ref="RSQ40:RSR40"/>
    <mergeCell ref="RSS40:RST40"/>
    <mergeCell ref="RSU40:RSV40"/>
    <mergeCell ref="RSW40:RSX40"/>
    <mergeCell ref="RSY40:RSZ40"/>
    <mergeCell ref="RTA40:RTB40"/>
    <mergeCell ref="RSE40:RSF40"/>
    <mergeCell ref="RSG40:RSH40"/>
    <mergeCell ref="RSI40:RSJ40"/>
    <mergeCell ref="RSK40:RSL40"/>
    <mergeCell ref="RSM40:RSN40"/>
    <mergeCell ref="RSO40:RSP40"/>
    <mergeCell ref="RRS40:RRT40"/>
    <mergeCell ref="RRU40:RRV40"/>
    <mergeCell ref="RRW40:RRX40"/>
    <mergeCell ref="RRY40:RRZ40"/>
    <mergeCell ref="RSA40:RSB40"/>
    <mergeCell ref="RSC40:RSD40"/>
    <mergeCell ref="RRG40:RRH40"/>
    <mergeCell ref="RRI40:RRJ40"/>
    <mergeCell ref="RRK40:RRL40"/>
    <mergeCell ref="RRM40:RRN40"/>
    <mergeCell ref="RRO40:RRP40"/>
    <mergeCell ref="RRQ40:RRR40"/>
    <mergeCell ref="RWI40:RWJ40"/>
    <mergeCell ref="RWK40:RWL40"/>
    <mergeCell ref="RWM40:RWN40"/>
    <mergeCell ref="RWO40:RWP40"/>
    <mergeCell ref="RWQ40:RWR40"/>
    <mergeCell ref="RWS40:RWT40"/>
    <mergeCell ref="RVW40:RVX40"/>
    <mergeCell ref="RVY40:RVZ40"/>
    <mergeCell ref="RWA40:RWB40"/>
    <mergeCell ref="RWC40:RWD40"/>
    <mergeCell ref="RWE40:RWF40"/>
    <mergeCell ref="RWG40:RWH40"/>
    <mergeCell ref="RVK40:RVL40"/>
    <mergeCell ref="RVM40:RVN40"/>
    <mergeCell ref="RVO40:RVP40"/>
    <mergeCell ref="RVQ40:RVR40"/>
    <mergeCell ref="RVS40:RVT40"/>
    <mergeCell ref="RVU40:RVV40"/>
    <mergeCell ref="RUY40:RUZ40"/>
    <mergeCell ref="RVA40:RVB40"/>
    <mergeCell ref="RVC40:RVD40"/>
    <mergeCell ref="RVE40:RVF40"/>
    <mergeCell ref="RVG40:RVH40"/>
    <mergeCell ref="RVI40:RVJ40"/>
    <mergeCell ref="RUM40:RUN40"/>
    <mergeCell ref="RUO40:RUP40"/>
    <mergeCell ref="RUQ40:RUR40"/>
    <mergeCell ref="RUS40:RUT40"/>
    <mergeCell ref="RUU40:RUV40"/>
    <mergeCell ref="RUW40:RUX40"/>
    <mergeCell ref="RUA40:RUB40"/>
    <mergeCell ref="RUC40:RUD40"/>
    <mergeCell ref="RUE40:RUF40"/>
    <mergeCell ref="RUG40:RUH40"/>
    <mergeCell ref="RUI40:RUJ40"/>
    <mergeCell ref="RUK40:RUL40"/>
    <mergeCell ref="RZC40:RZD40"/>
    <mergeCell ref="RZE40:RZF40"/>
    <mergeCell ref="RZG40:RZH40"/>
    <mergeCell ref="RZI40:RZJ40"/>
    <mergeCell ref="RZK40:RZL40"/>
    <mergeCell ref="RZM40:RZN40"/>
    <mergeCell ref="RYQ40:RYR40"/>
    <mergeCell ref="RYS40:RYT40"/>
    <mergeCell ref="RYU40:RYV40"/>
    <mergeCell ref="RYW40:RYX40"/>
    <mergeCell ref="RYY40:RYZ40"/>
    <mergeCell ref="RZA40:RZB40"/>
    <mergeCell ref="RYE40:RYF40"/>
    <mergeCell ref="RYG40:RYH40"/>
    <mergeCell ref="RYI40:RYJ40"/>
    <mergeCell ref="RYK40:RYL40"/>
    <mergeCell ref="RYM40:RYN40"/>
    <mergeCell ref="RYO40:RYP40"/>
    <mergeCell ref="RXS40:RXT40"/>
    <mergeCell ref="RXU40:RXV40"/>
    <mergeCell ref="RXW40:RXX40"/>
    <mergeCell ref="RXY40:RXZ40"/>
    <mergeCell ref="RYA40:RYB40"/>
    <mergeCell ref="RYC40:RYD40"/>
    <mergeCell ref="RXG40:RXH40"/>
    <mergeCell ref="RXI40:RXJ40"/>
    <mergeCell ref="RXK40:RXL40"/>
    <mergeCell ref="RXM40:RXN40"/>
    <mergeCell ref="RXO40:RXP40"/>
    <mergeCell ref="RXQ40:RXR40"/>
    <mergeCell ref="RWU40:RWV40"/>
    <mergeCell ref="RWW40:RWX40"/>
    <mergeCell ref="RWY40:RWZ40"/>
    <mergeCell ref="RXA40:RXB40"/>
    <mergeCell ref="RXC40:RXD40"/>
    <mergeCell ref="RXE40:RXF40"/>
    <mergeCell ref="SBW40:SBX40"/>
    <mergeCell ref="SBY40:SBZ40"/>
    <mergeCell ref="SCA40:SCB40"/>
    <mergeCell ref="SCC40:SCD40"/>
    <mergeCell ref="SCE40:SCF40"/>
    <mergeCell ref="SCG40:SCH40"/>
    <mergeCell ref="SBK40:SBL40"/>
    <mergeCell ref="SBM40:SBN40"/>
    <mergeCell ref="SBO40:SBP40"/>
    <mergeCell ref="SBQ40:SBR40"/>
    <mergeCell ref="SBS40:SBT40"/>
    <mergeCell ref="SBU40:SBV40"/>
    <mergeCell ref="SAY40:SAZ40"/>
    <mergeCell ref="SBA40:SBB40"/>
    <mergeCell ref="SBC40:SBD40"/>
    <mergeCell ref="SBE40:SBF40"/>
    <mergeCell ref="SBG40:SBH40"/>
    <mergeCell ref="SBI40:SBJ40"/>
    <mergeCell ref="SAM40:SAN40"/>
    <mergeCell ref="SAO40:SAP40"/>
    <mergeCell ref="SAQ40:SAR40"/>
    <mergeCell ref="SAS40:SAT40"/>
    <mergeCell ref="SAU40:SAV40"/>
    <mergeCell ref="SAW40:SAX40"/>
    <mergeCell ref="SAA40:SAB40"/>
    <mergeCell ref="SAC40:SAD40"/>
    <mergeCell ref="SAE40:SAF40"/>
    <mergeCell ref="SAG40:SAH40"/>
    <mergeCell ref="SAI40:SAJ40"/>
    <mergeCell ref="SAK40:SAL40"/>
    <mergeCell ref="RZO40:RZP40"/>
    <mergeCell ref="RZQ40:RZR40"/>
    <mergeCell ref="RZS40:RZT40"/>
    <mergeCell ref="RZU40:RZV40"/>
    <mergeCell ref="RZW40:RZX40"/>
    <mergeCell ref="RZY40:RZZ40"/>
    <mergeCell ref="SEQ40:SER40"/>
    <mergeCell ref="SES40:SET40"/>
    <mergeCell ref="SEU40:SEV40"/>
    <mergeCell ref="SEW40:SEX40"/>
    <mergeCell ref="SEY40:SEZ40"/>
    <mergeCell ref="SFA40:SFB40"/>
    <mergeCell ref="SEE40:SEF40"/>
    <mergeCell ref="SEG40:SEH40"/>
    <mergeCell ref="SEI40:SEJ40"/>
    <mergeCell ref="SEK40:SEL40"/>
    <mergeCell ref="SEM40:SEN40"/>
    <mergeCell ref="SEO40:SEP40"/>
    <mergeCell ref="SDS40:SDT40"/>
    <mergeCell ref="SDU40:SDV40"/>
    <mergeCell ref="SDW40:SDX40"/>
    <mergeCell ref="SDY40:SDZ40"/>
    <mergeCell ref="SEA40:SEB40"/>
    <mergeCell ref="SEC40:SED40"/>
    <mergeCell ref="SDG40:SDH40"/>
    <mergeCell ref="SDI40:SDJ40"/>
    <mergeCell ref="SDK40:SDL40"/>
    <mergeCell ref="SDM40:SDN40"/>
    <mergeCell ref="SDO40:SDP40"/>
    <mergeCell ref="SDQ40:SDR40"/>
    <mergeCell ref="SCU40:SCV40"/>
    <mergeCell ref="SCW40:SCX40"/>
    <mergeCell ref="SCY40:SCZ40"/>
    <mergeCell ref="SDA40:SDB40"/>
    <mergeCell ref="SDC40:SDD40"/>
    <mergeCell ref="SDE40:SDF40"/>
    <mergeCell ref="SCI40:SCJ40"/>
    <mergeCell ref="SCK40:SCL40"/>
    <mergeCell ref="SCM40:SCN40"/>
    <mergeCell ref="SCO40:SCP40"/>
    <mergeCell ref="SCQ40:SCR40"/>
    <mergeCell ref="SCS40:SCT40"/>
    <mergeCell ref="SHK40:SHL40"/>
    <mergeCell ref="SHM40:SHN40"/>
    <mergeCell ref="SHO40:SHP40"/>
    <mergeCell ref="SHQ40:SHR40"/>
    <mergeCell ref="SHS40:SHT40"/>
    <mergeCell ref="SHU40:SHV40"/>
    <mergeCell ref="SGY40:SGZ40"/>
    <mergeCell ref="SHA40:SHB40"/>
    <mergeCell ref="SHC40:SHD40"/>
    <mergeCell ref="SHE40:SHF40"/>
    <mergeCell ref="SHG40:SHH40"/>
    <mergeCell ref="SHI40:SHJ40"/>
    <mergeCell ref="SGM40:SGN40"/>
    <mergeCell ref="SGO40:SGP40"/>
    <mergeCell ref="SGQ40:SGR40"/>
    <mergeCell ref="SGS40:SGT40"/>
    <mergeCell ref="SGU40:SGV40"/>
    <mergeCell ref="SGW40:SGX40"/>
    <mergeCell ref="SGA40:SGB40"/>
    <mergeCell ref="SGC40:SGD40"/>
    <mergeCell ref="SGE40:SGF40"/>
    <mergeCell ref="SGG40:SGH40"/>
    <mergeCell ref="SGI40:SGJ40"/>
    <mergeCell ref="SGK40:SGL40"/>
    <mergeCell ref="SFO40:SFP40"/>
    <mergeCell ref="SFQ40:SFR40"/>
    <mergeCell ref="SFS40:SFT40"/>
    <mergeCell ref="SFU40:SFV40"/>
    <mergeCell ref="SFW40:SFX40"/>
    <mergeCell ref="SFY40:SFZ40"/>
    <mergeCell ref="SFC40:SFD40"/>
    <mergeCell ref="SFE40:SFF40"/>
    <mergeCell ref="SFG40:SFH40"/>
    <mergeCell ref="SFI40:SFJ40"/>
    <mergeCell ref="SFK40:SFL40"/>
    <mergeCell ref="SFM40:SFN40"/>
    <mergeCell ref="SKE40:SKF40"/>
    <mergeCell ref="SKG40:SKH40"/>
    <mergeCell ref="SKI40:SKJ40"/>
    <mergeCell ref="SKK40:SKL40"/>
    <mergeCell ref="SKM40:SKN40"/>
    <mergeCell ref="SKO40:SKP40"/>
    <mergeCell ref="SJS40:SJT40"/>
    <mergeCell ref="SJU40:SJV40"/>
    <mergeCell ref="SJW40:SJX40"/>
    <mergeCell ref="SJY40:SJZ40"/>
    <mergeCell ref="SKA40:SKB40"/>
    <mergeCell ref="SKC40:SKD40"/>
    <mergeCell ref="SJG40:SJH40"/>
    <mergeCell ref="SJI40:SJJ40"/>
    <mergeCell ref="SJK40:SJL40"/>
    <mergeCell ref="SJM40:SJN40"/>
    <mergeCell ref="SJO40:SJP40"/>
    <mergeCell ref="SJQ40:SJR40"/>
    <mergeCell ref="SIU40:SIV40"/>
    <mergeCell ref="SIW40:SIX40"/>
    <mergeCell ref="SIY40:SIZ40"/>
    <mergeCell ref="SJA40:SJB40"/>
    <mergeCell ref="SJC40:SJD40"/>
    <mergeCell ref="SJE40:SJF40"/>
    <mergeCell ref="SII40:SIJ40"/>
    <mergeCell ref="SIK40:SIL40"/>
    <mergeCell ref="SIM40:SIN40"/>
    <mergeCell ref="SIO40:SIP40"/>
    <mergeCell ref="SIQ40:SIR40"/>
    <mergeCell ref="SIS40:SIT40"/>
    <mergeCell ref="SHW40:SHX40"/>
    <mergeCell ref="SHY40:SHZ40"/>
    <mergeCell ref="SIA40:SIB40"/>
    <mergeCell ref="SIC40:SID40"/>
    <mergeCell ref="SIE40:SIF40"/>
    <mergeCell ref="SIG40:SIH40"/>
    <mergeCell ref="SMY40:SMZ40"/>
    <mergeCell ref="SNA40:SNB40"/>
    <mergeCell ref="SNC40:SND40"/>
    <mergeCell ref="SNE40:SNF40"/>
    <mergeCell ref="SNG40:SNH40"/>
    <mergeCell ref="SNI40:SNJ40"/>
    <mergeCell ref="SMM40:SMN40"/>
    <mergeCell ref="SMO40:SMP40"/>
    <mergeCell ref="SMQ40:SMR40"/>
    <mergeCell ref="SMS40:SMT40"/>
    <mergeCell ref="SMU40:SMV40"/>
    <mergeCell ref="SMW40:SMX40"/>
    <mergeCell ref="SMA40:SMB40"/>
    <mergeCell ref="SMC40:SMD40"/>
    <mergeCell ref="SME40:SMF40"/>
    <mergeCell ref="SMG40:SMH40"/>
    <mergeCell ref="SMI40:SMJ40"/>
    <mergeCell ref="SMK40:SML40"/>
    <mergeCell ref="SLO40:SLP40"/>
    <mergeCell ref="SLQ40:SLR40"/>
    <mergeCell ref="SLS40:SLT40"/>
    <mergeCell ref="SLU40:SLV40"/>
    <mergeCell ref="SLW40:SLX40"/>
    <mergeCell ref="SLY40:SLZ40"/>
    <mergeCell ref="SLC40:SLD40"/>
    <mergeCell ref="SLE40:SLF40"/>
    <mergeCell ref="SLG40:SLH40"/>
    <mergeCell ref="SLI40:SLJ40"/>
    <mergeCell ref="SLK40:SLL40"/>
    <mergeCell ref="SLM40:SLN40"/>
    <mergeCell ref="SKQ40:SKR40"/>
    <mergeCell ref="SKS40:SKT40"/>
    <mergeCell ref="SKU40:SKV40"/>
    <mergeCell ref="SKW40:SKX40"/>
    <mergeCell ref="SKY40:SKZ40"/>
    <mergeCell ref="SLA40:SLB40"/>
    <mergeCell ref="SPS40:SPT40"/>
    <mergeCell ref="SPU40:SPV40"/>
    <mergeCell ref="SPW40:SPX40"/>
    <mergeCell ref="SPY40:SPZ40"/>
    <mergeCell ref="SQA40:SQB40"/>
    <mergeCell ref="SQC40:SQD40"/>
    <mergeCell ref="SPG40:SPH40"/>
    <mergeCell ref="SPI40:SPJ40"/>
    <mergeCell ref="SPK40:SPL40"/>
    <mergeCell ref="SPM40:SPN40"/>
    <mergeCell ref="SPO40:SPP40"/>
    <mergeCell ref="SPQ40:SPR40"/>
    <mergeCell ref="SOU40:SOV40"/>
    <mergeCell ref="SOW40:SOX40"/>
    <mergeCell ref="SOY40:SOZ40"/>
    <mergeCell ref="SPA40:SPB40"/>
    <mergeCell ref="SPC40:SPD40"/>
    <mergeCell ref="SPE40:SPF40"/>
    <mergeCell ref="SOI40:SOJ40"/>
    <mergeCell ref="SOK40:SOL40"/>
    <mergeCell ref="SOM40:SON40"/>
    <mergeCell ref="SOO40:SOP40"/>
    <mergeCell ref="SOQ40:SOR40"/>
    <mergeCell ref="SOS40:SOT40"/>
    <mergeCell ref="SNW40:SNX40"/>
    <mergeCell ref="SNY40:SNZ40"/>
    <mergeCell ref="SOA40:SOB40"/>
    <mergeCell ref="SOC40:SOD40"/>
    <mergeCell ref="SOE40:SOF40"/>
    <mergeCell ref="SOG40:SOH40"/>
    <mergeCell ref="SNK40:SNL40"/>
    <mergeCell ref="SNM40:SNN40"/>
    <mergeCell ref="SNO40:SNP40"/>
    <mergeCell ref="SNQ40:SNR40"/>
    <mergeCell ref="SNS40:SNT40"/>
    <mergeCell ref="SNU40:SNV40"/>
    <mergeCell ref="SSM40:SSN40"/>
    <mergeCell ref="SSO40:SSP40"/>
    <mergeCell ref="SSQ40:SSR40"/>
    <mergeCell ref="SSS40:SST40"/>
    <mergeCell ref="SSU40:SSV40"/>
    <mergeCell ref="SSW40:SSX40"/>
    <mergeCell ref="SSA40:SSB40"/>
    <mergeCell ref="SSC40:SSD40"/>
    <mergeCell ref="SSE40:SSF40"/>
    <mergeCell ref="SSG40:SSH40"/>
    <mergeCell ref="SSI40:SSJ40"/>
    <mergeCell ref="SSK40:SSL40"/>
    <mergeCell ref="SRO40:SRP40"/>
    <mergeCell ref="SRQ40:SRR40"/>
    <mergeCell ref="SRS40:SRT40"/>
    <mergeCell ref="SRU40:SRV40"/>
    <mergeCell ref="SRW40:SRX40"/>
    <mergeCell ref="SRY40:SRZ40"/>
    <mergeCell ref="SRC40:SRD40"/>
    <mergeCell ref="SRE40:SRF40"/>
    <mergeCell ref="SRG40:SRH40"/>
    <mergeCell ref="SRI40:SRJ40"/>
    <mergeCell ref="SRK40:SRL40"/>
    <mergeCell ref="SRM40:SRN40"/>
    <mergeCell ref="SQQ40:SQR40"/>
    <mergeCell ref="SQS40:SQT40"/>
    <mergeCell ref="SQU40:SQV40"/>
    <mergeCell ref="SQW40:SQX40"/>
    <mergeCell ref="SQY40:SQZ40"/>
    <mergeCell ref="SRA40:SRB40"/>
    <mergeCell ref="SQE40:SQF40"/>
    <mergeCell ref="SQG40:SQH40"/>
    <mergeCell ref="SQI40:SQJ40"/>
    <mergeCell ref="SQK40:SQL40"/>
    <mergeCell ref="SQM40:SQN40"/>
    <mergeCell ref="SQO40:SQP40"/>
    <mergeCell ref="SVG40:SVH40"/>
    <mergeCell ref="SVI40:SVJ40"/>
    <mergeCell ref="SVK40:SVL40"/>
    <mergeCell ref="SVM40:SVN40"/>
    <mergeCell ref="SVO40:SVP40"/>
    <mergeCell ref="SVQ40:SVR40"/>
    <mergeCell ref="SUU40:SUV40"/>
    <mergeCell ref="SUW40:SUX40"/>
    <mergeCell ref="SUY40:SUZ40"/>
    <mergeCell ref="SVA40:SVB40"/>
    <mergeCell ref="SVC40:SVD40"/>
    <mergeCell ref="SVE40:SVF40"/>
    <mergeCell ref="SUI40:SUJ40"/>
    <mergeCell ref="SUK40:SUL40"/>
    <mergeCell ref="SUM40:SUN40"/>
    <mergeCell ref="SUO40:SUP40"/>
    <mergeCell ref="SUQ40:SUR40"/>
    <mergeCell ref="SUS40:SUT40"/>
    <mergeCell ref="STW40:STX40"/>
    <mergeCell ref="STY40:STZ40"/>
    <mergeCell ref="SUA40:SUB40"/>
    <mergeCell ref="SUC40:SUD40"/>
    <mergeCell ref="SUE40:SUF40"/>
    <mergeCell ref="SUG40:SUH40"/>
    <mergeCell ref="STK40:STL40"/>
    <mergeCell ref="STM40:STN40"/>
    <mergeCell ref="STO40:STP40"/>
    <mergeCell ref="STQ40:STR40"/>
    <mergeCell ref="STS40:STT40"/>
    <mergeCell ref="STU40:STV40"/>
    <mergeCell ref="SSY40:SSZ40"/>
    <mergeCell ref="STA40:STB40"/>
    <mergeCell ref="STC40:STD40"/>
    <mergeCell ref="STE40:STF40"/>
    <mergeCell ref="STG40:STH40"/>
    <mergeCell ref="STI40:STJ40"/>
    <mergeCell ref="SYA40:SYB40"/>
    <mergeCell ref="SYC40:SYD40"/>
    <mergeCell ref="SYE40:SYF40"/>
    <mergeCell ref="SYG40:SYH40"/>
    <mergeCell ref="SYI40:SYJ40"/>
    <mergeCell ref="SYK40:SYL40"/>
    <mergeCell ref="SXO40:SXP40"/>
    <mergeCell ref="SXQ40:SXR40"/>
    <mergeCell ref="SXS40:SXT40"/>
    <mergeCell ref="SXU40:SXV40"/>
    <mergeCell ref="SXW40:SXX40"/>
    <mergeCell ref="SXY40:SXZ40"/>
    <mergeCell ref="SXC40:SXD40"/>
    <mergeCell ref="SXE40:SXF40"/>
    <mergeCell ref="SXG40:SXH40"/>
    <mergeCell ref="SXI40:SXJ40"/>
    <mergeCell ref="SXK40:SXL40"/>
    <mergeCell ref="SXM40:SXN40"/>
    <mergeCell ref="SWQ40:SWR40"/>
    <mergeCell ref="SWS40:SWT40"/>
    <mergeCell ref="SWU40:SWV40"/>
    <mergeCell ref="SWW40:SWX40"/>
    <mergeCell ref="SWY40:SWZ40"/>
    <mergeCell ref="SXA40:SXB40"/>
    <mergeCell ref="SWE40:SWF40"/>
    <mergeCell ref="SWG40:SWH40"/>
    <mergeCell ref="SWI40:SWJ40"/>
    <mergeCell ref="SWK40:SWL40"/>
    <mergeCell ref="SWM40:SWN40"/>
    <mergeCell ref="SWO40:SWP40"/>
    <mergeCell ref="SVS40:SVT40"/>
    <mergeCell ref="SVU40:SVV40"/>
    <mergeCell ref="SVW40:SVX40"/>
    <mergeCell ref="SVY40:SVZ40"/>
    <mergeCell ref="SWA40:SWB40"/>
    <mergeCell ref="SWC40:SWD40"/>
    <mergeCell ref="TAU40:TAV40"/>
    <mergeCell ref="TAW40:TAX40"/>
    <mergeCell ref="TAY40:TAZ40"/>
    <mergeCell ref="TBA40:TBB40"/>
    <mergeCell ref="TBC40:TBD40"/>
    <mergeCell ref="TBE40:TBF40"/>
    <mergeCell ref="TAI40:TAJ40"/>
    <mergeCell ref="TAK40:TAL40"/>
    <mergeCell ref="TAM40:TAN40"/>
    <mergeCell ref="TAO40:TAP40"/>
    <mergeCell ref="TAQ40:TAR40"/>
    <mergeCell ref="TAS40:TAT40"/>
    <mergeCell ref="SZW40:SZX40"/>
    <mergeCell ref="SZY40:SZZ40"/>
    <mergeCell ref="TAA40:TAB40"/>
    <mergeCell ref="TAC40:TAD40"/>
    <mergeCell ref="TAE40:TAF40"/>
    <mergeCell ref="TAG40:TAH40"/>
    <mergeCell ref="SZK40:SZL40"/>
    <mergeCell ref="SZM40:SZN40"/>
    <mergeCell ref="SZO40:SZP40"/>
    <mergeCell ref="SZQ40:SZR40"/>
    <mergeCell ref="SZS40:SZT40"/>
    <mergeCell ref="SZU40:SZV40"/>
    <mergeCell ref="SYY40:SYZ40"/>
    <mergeCell ref="SZA40:SZB40"/>
    <mergeCell ref="SZC40:SZD40"/>
    <mergeCell ref="SZE40:SZF40"/>
    <mergeCell ref="SZG40:SZH40"/>
    <mergeCell ref="SZI40:SZJ40"/>
    <mergeCell ref="SYM40:SYN40"/>
    <mergeCell ref="SYO40:SYP40"/>
    <mergeCell ref="SYQ40:SYR40"/>
    <mergeCell ref="SYS40:SYT40"/>
    <mergeCell ref="SYU40:SYV40"/>
    <mergeCell ref="SYW40:SYX40"/>
    <mergeCell ref="TDO40:TDP40"/>
    <mergeCell ref="TDQ40:TDR40"/>
    <mergeCell ref="TDS40:TDT40"/>
    <mergeCell ref="TDU40:TDV40"/>
    <mergeCell ref="TDW40:TDX40"/>
    <mergeCell ref="TDY40:TDZ40"/>
    <mergeCell ref="TDC40:TDD40"/>
    <mergeCell ref="TDE40:TDF40"/>
    <mergeCell ref="TDG40:TDH40"/>
    <mergeCell ref="TDI40:TDJ40"/>
    <mergeCell ref="TDK40:TDL40"/>
    <mergeCell ref="TDM40:TDN40"/>
    <mergeCell ref="TCQ40:TCR40"/>
    <mergeCell ref="TCS40:TCT40"/>
    <mergeCell ref="TCU40:TCV40"/>
    <mergeCell ref="TCW40:TCX40"/>
    <mergeCell ref="TCY40:TCZ40"/>
    <mergeCell ref="TDA40:TDB40"/>
    <mergeCell ref="TCE40:TCF40"/>
    <mergeCell ref="TCG40:TCH40"/>
    <mergeCell ref="TCI40:TCJ40"/>
    <mergeCell ref="TCK40:TCL40"/>
    <mergeCell ref="TCM40:TCN40"/>
    <mergeCell ref="TCO40:TCP40"/>
    <mergeCell ref="TBS40:TBT40"/>
    <mergeCell ref="TBU40:TBV40"/>
    <mergeCell ref="TBW40:TBX40"/>
    <mergeCell ref="TBY40:TBZ40"/>
    <mergeCell ref="TCA40:TCB40"/>
    <mergeCell ref="TCC40:TCD40"/>
    <mergeCell ref="TBG40:TBH40"/>
    <mergeCell ref="TBI40:TBJ40"/>
    <mergeCell ref="TBK40:TBL40"/>
    <mergeCell ref="TBM40:TBN40"/>
    <mergeCell ref="TBO40:TBP40"/>
    <mergeCell ref="TBQ40:TBR40"/>
    <mergeCell ref="TGI40:TGJ40"/>
    <mergeCell ref="TGK40:TGL40"/>
    <mergeCell ref="TGM40:TGN40"/>
    <mergeCell ref="TGO40:TGP40"/>
    <mergeCell ref="TGQ40:TGR40"/>
    <mergeCell ref="TGS40:TGT40"/>
    <mergeCell ref="TFW40:TFX40"/>
    <mergeCell ref="TFY40:TFZ40"/>
    <mergeCell ref="TGA40:TGB40"/>
    <mergeCell ref="TGC40:TGD40"/>
    <mergeCell ref="TGE40:TGF40"/>
    <mergeCell ref="TGG40:TGH40"/>
    <mergeCell ref="TFK40:TFL40"/>
    <mergeCell ref="TFM40:TFN40"/>
    <mergeCell ref="TFO40:TFP40"/>
    <mergeCell ref="TFQ40:TFR40"/>
    <mergeCell ref="TFS40:TFT40"/>
    <mergeCell ref="TFU40:TFV40"/>
    <mergeCell ref="TEY40:TEZ40"/>
    <mergeCell ref="TFA40:TFB40"/>
    <mergeCell ref="TFC40:TFD40"/>
    <mergeCell ref="TFE40:TFF40"/>
    <mergeCell ref="TFG40:TFH40"/>
    <mergeCell ref="TFI40:TFJ40"/>
    <mergeCell ref="TEM40:TEN40"/>
    <mergeCell ref="TEO40:TEP40"/>
    <mergeCell ref="TEQ40:TER40"/>
    <mergeCell ref="TES40:TET40"/>
    <mergeCell ref="TEU40:TEV40"/>
    <mergeCell ref="TEW40:TEX40"/>
    <mergeCell ref="TEA40:TEB40"/>
    <mergeCell ref="TEC40:TED40"/>
    <mergeCell ref="TEE40:TEF40"/>
    <mergeCell ref="TEG40:TEH40"/>
    <mergeCell ref="TEI40:TEJ40"/>
    <mergeCell ref="TEK40:TEL40"/>
    <mergeCell ref="TJC40:TJD40"/>
    <mergeCell ref="TJE40:TJF40"/>
    <mergeCell ref="TJG40:TJH40"/>
    <mergeCell ref="TJI40:TJJ40"/>
    <mergeCell ref="TJK40:TJL40"/>
    <mergeCell ref="TJM40:TJN40"/>
    <mergeCell ref="TIQ40:TIR40"/>
    <mergeCell ref="TIS40:TIT40"/>
    <mergeCell ref="TIU40:TIV40"/>
    <mergeCell ref="TIW40:TIX40"/>
    <mergeCell ref="TIY40:TIZ40"/>
    <mergeCell ref="TJA40:TJB40"/>
    <mergeCell ref="TIE40:TIF40"/>
    <mergeCell ref="TIG40:TIH40"/>
    <mergeCell ref="TII40:TIJ40"/>
    <mergeCell ref="TIK40:TIL40"/>
    <mergeCell ref="TIM40:TIN40"/>
    <mergeCell ref="TIO40:TIP40"/>
    <mergeCell ref="THS40:THT40"/>
    <mergeCell ref="THU40:THV40"/>
    <mergeCell ref="THW40:THX40"/>
    <mergeCell ref="THY40:THZ40"/>
    <mergeCell ref="TIA40:TIB40"/>
    <mergeCell ref="TIC40:TID40"/>
    <mergeCell ref="THG40:THH40"/>
    <mergeCell ref="THI40:THJ40"/>
    <mergeCell ref="THK40:THL40"/>
    <mergeCell ref="THM40:THN40"/>
    <mergeCell ref="THO40:THP40"/>
    <mergeCell ref="THQ40:THR40"/>
    <mergeCell ref="TGU40:TGV40"/>
    <mergeCell ref="TGW40:TGX40"/>
    <mergeCell ref="TGY40:TGZ40"/>
    <mergeCell ref="THA40:THB40"/>
    <mergeCell ref="THC40:THD40"/>
    <mergeCell ref="THE40:THF40"/>
    <mergeCell ref="TLW40:TLX40"/>
    <mergeCell ref="TLY40:TLZ40"/>
    <mergeCell ref="TMA40:TMB40"/>
    <mergeCell ref="TMC40:TMD40"/>
    <mergeCell ref="TME40:TMF40"/>
    <mergeCell ref="TMG40:TMH40"/>
    <mergeCell ref="TLK40:TLL40"/>
    <mergeCell ref="TLM40:TLN40"/>
    <mergeCell ref="TLO40:TLP40"/>
    <mergeCell ref="TLQ40:TLR40"/>
    <mergeCell ref="TLS40:TLT40"/>
    <mergeCell ref="TLU40:TLV40"/>
    <mergeCell ref="TKY40:TKZ40"/>
    <mergeCell ref="TLA40:TLB40"/>
    <mergeCell ref="TLC40:TLD40"/>
    <mergeCell ref="TLE40:TLF40"/>
    <mergeCell ref="TLG40:TLH40"/>
    <mergeCell ref="TLI40:TLJ40"/>
    <mergeCell ref="TKM40:TKN40"/>
    <mergeCell ref="TKO40:TKP40"/>
    <mergeCell ref="TKQ40:TKR40"/>
    <mergeCell ref="TKS40:TKT40"/>
    <mergeCell ref="TKU40:TKV40"/>
    <mergeCell ref="TKW40:TKX40"/>
    <mergeCell ref="TKA40:TKB40"/>
    <mergeCell ref="TKC40:TKD40"/>
    <mergeCell ref="TKE40:TKF40"/>
    <mergeCell ref="TKG40:TKH40"/>
    <mergeCell ref="TKI40:TKJ40"/>
    <mergeCell ref="TKK40:TKL40"/>
    <mergeCell ref="TJO40:TJP40"/>
    <mergeCell ref="TJQ40:TJR40"/>
    <mergeCell ref="TJS40:TJT40"/>
    <mergeCell ref="TJU40:TJV40"/>
    <mergeCell ref="TJW40:TJX40"/>
    <mergeCell ref="TJY40:TJZ40"/>
    <mergeCell ref="TOQ40:TOR40"/>
    <mergeCell ref="TOS40:TOT40"/>
    <mergeCell ref="TOU40:TOV40"/>
    <mergeCell ref="TOW40:TOX40"/>
    <mergeCell ref="TOY40:TOZ40"/>
    <mergeCell ref="TPA40:TPB40"/>
    <mergeCell ref="TOE40:TOF40"/>
    <mergeCell ref="TOG40:TOH40"/>
    <mergeCell ref="TOI40:TOJ40"/>
    <mergeCell ref="TOK40:TOL40"/>
    <mergeCell ref="TOM40:TON40"/>
    <mergeCell ref="TOO40:TOP40"/>
    <mergeCell ref="TNS40:TNT40"/>
    <mergeCell ref="TNU40:TNV40"/>
    <mergeCell ref="TNW40:TNX40"/>
    <mergeCell ref="TNY40:TNZ40"/>
    <mergeCell ref="TOA40:TOB40"/>
    <mergeCell ref="TOC40:TOD40"/>
    <mergeCell ref="TNG40:TNH40"/>
    <mergeCell ref="TNI40:TNJ40"/>
    <mergeCell ref="TNK40:TNL40"/>
    <mergeCell ref="TNM40:TNN40"/>
    <mergeCell ref="TNO40:TNP40"/>
    <mergeCell ref="TNQ40:TNR40"/>
    <mergeCell ref="TMU40:TMV40"/>
    <mergeCell ref="TMW40:TMX40"/>
    <mergeCell ref="TMY40:TMZ40"/>
    <mergeCell ref="TNA40:TNB40"/>
    <mergeCell ref="TNC40:TND40"/>
    <mergeCell ref="TNE40:TNF40"/>
    <mergeCell ref="TMI40:TMJ40"/>
    <mergeCell ref="TMK40:TML40"/>
    <mergeCell ref="TMM40:TMN40"/>
    <mergeCell ref="TMO40:TMP40"/>
    <mergeCell ref="TMQ40:TMR40"/>
    <mergeCell ref="TMS40:TMT40"/>
    <mergeCell ref="TRK40:TRL40"/>
    <mergeCell ref="TRM40:TRN40"/>
    <mergeCell ref="TRO40:TRP40"/>
    <mergeCell ref="TRQ40:TRR40"/>
    <mergeCell ref="TRS40:TRT40"/>
    <mergeCell ref="TRU40:TRV40"/>
    <mergeCell ref="TQY40:TQZ40"/>
    <mergeCell ref="TRA40:TRB40"/>
    <mergeCell ref="TRC40:TRD40"/>
    <mergeCell ref="TRE40:TRF40"/>
    <mergeCell ref="TRG40:TRH40"/>
    <mergeCell ref="TRI40:TRJ40"/>
    <mergeCell ref="TQM40:TQN40"/>
    <mergeCell ref="TQO40:TQP40"/>
    <mergeCell ref="TQQ40:TQR40"/>
    <mergeCell ref="TQS40:TQT40"/>
    <mergeCell ref="TQU40:TQV40"/>
    <mergeCell ref="TQW40:TQX40"/>
    <mergeCell ref="TQA40:TQB40"/>
    <mergeCell ref="TQC40:TQD40"/>
    <mergeCell ref="TQE40:TQF40"/>
    <mergeCell ref="TQG40:TQH40"/>
    <mergeCell ref="TQI40:TQJ40"/>
    <mergeCell ref="TQK40:TQL40"/>
    <mergeCell ref="TPO40:TPP40"/>
    <mergeCell ref="TPQ40:TPR40"/>
    <mergeCell ref="TPS40:TPT40"/>
    <mergeCell ref="TPU40:TPV40"/>
    <mergeCell ref="TPW40:TPX40"/>
    <mergeCell ref="TPY40:TPZ40"/>
    <mergeCell ref="TPC40:TPD40"/>
    <mergeCell ref="TPE40:TPF40"/>
    <mergeCell ref="TPG40:TPH40"/>
    <mergeCell ref="TPI40:TPJ40"/>
    <mergeCell ref="TPK40:TPL40"/>
    <mergeCell ref="TPM40:TPN40"/>
    <mergeCell ref="TUE40:TUF40"/>
    <mergeCell ref="TUG40:TUH40"/>
    <mergeCell ref="TUI40:TUJ40"/>
    <mergeCell ref="TUK40:TUL40"/>
    <mergeCell ref="TUM40:TUN40"/>
    <mergeCell ref="TUO40:TUP40"/>
    <mergeCell ref="TTS40:TTT40"/>
    <mergeCell ref="TTU40:TTV40"/>
    <mergeCell ref="TTW40:TTX40"/>
    <mergeCell ref="TTY40:TTZ40"/>
    <mergeCell ref="TUA40:TUB40"/>
    <mergeCell ref="TUC40:TUD40"/>
    <mergeCell ref="TTG40:TTH40"/>
    <mergeCell ref="TTI40:TTJ40"/>
    <mergeCell ref="TTK40:TTL40"/>
    <mergeCell ref="TTM40:TTN40"/>
    <mergeCell ref="TTO40:TTP40"/>
    <mergeCell ref="TTQ40:TTR40"/>
    <mergeCell ref="TSU40:TSV40"/>
    <mergeCell ref="TSW40:TSX40"/>
    <mergeCell ref="TSY40:TSZ40"/>
    <mergeCell ref="TTA40:TTB40"/>
    <mergeCell ref="TTC40:TTD40"/>
    <mergeCell ref="TTE40:TTF40"/>
    <mergeCell ref="TSI40:TSJ40"/>
    <mergeCell ref="TSK40:TSL40"/>
    <mergeCell ref="TSM40:TSN40"/>
    <mergeCell ref="TSO40:TSP40"/>
    <mergeCell ref="TSQ40:TSR40"/>
    <mergeCell ref="TSS40:TST40"/>
    <mergeCell ref="TRW40:TRX40"/>
    <mergeCell ref="TRY40:TRZ40"/>
    <mergeCell ref="TSA40:TSB40"/>
    <mergeCell ref="TSC40:TSD40"/>
    <mergeCell ref="TSE40:TSF40"/>
    <mergeCell ref="TSG40:TSH40"/>
    <mergeCell ref="TWY40:TWZ40"/>
    <mergeCell ref="TXA40:TXB40"/>
    <mergeCell ref="TXC40:TXD40"/>
    <mergeCell ref="TXE40:TXF40"/>
    <mergeCell ref="TXG40:TXH40"/>
    <mergeCell ref="TXI40:TXJ40"/>
    <mergeCell ref="TWM40:TWN40"/>
    <mergeCell ref="TWO40:TWP40"/>
    <mergeCell ref="TWQ40:TWR40"/>
    <mergeCell ref="TWS40:TWT40"/>
    <mergeCell ref="TWU40:TWV40"/>
    <mergeCell ref="TWW40:TWX40"/>
    <mergeCell ref="TWA40:TWB40"/>
    <mergeCell ref="TWC40:TWD40"/>
    <mergeCell ref="TWE40:TWF40"/>
    <mergeCell ref="TWG40:TWH40"/>
    <mergeCell ref="TWI40:TWJ40"/>
    <mergeCell ref="TWK40:TWL40"/>
    <mergeCell ref="TVO40:TVP40"/>
    <mergeCell ref="TVQ40:TVR40"/>
    <mergeCell ref="TVS40:TVT40"/>
    <mergeCell ref="TVU40:TVV40"/>
    <mergeCell ref="TVW40:TVX40"/>
    <mergeCell ref="TVY40:TVZ40"/>
    <mergeCell ref="TVC40:TVD40"/>
    <mergeCell ref="TVE40:TVF40"/>
    <mergeCell ref="TVG40:TVH40"/>
    <mergeCell ref="TVI40:TVJ40"/>
    <mergeCell ref="TVK40:TVL40"/>
    <mergeCell ref="TVM40:TVN40"/>
    <mergeCell ref="TUQ40:TUR40"/>
    <mergeCell ref="TUS40:TUT40"/>
    <mergeCell ref="TUU40:TUV40"/>
    <mergeCell ref="TUW40:TUX40"/>
    <mergeCell ref="TUY40:TUZ40"/>
    <mergeCell ref="TVA40:TVB40"/>
    <mergeCell ref="TZS40:TZT40"/>
    <mergeCell ref="TZU40:TZV40"/>
    <mergeCell ref="TZW40:TZX40"/>
    <mergeCell ref="TZY40:TZZ40"/>
    <mergeCell ref="UAA40:UAB40"/>
    <mergeCell ref="UAC40:UAD40"/>
    <mergeCell ref="TZG40:TZH40"/>
    <mergeCell ref="TZI40:TZJ40"/>
    <mergeCell ref="TZK40:TZL40"/>
    <mergeCell ref="TZM40:TZN40"/>
    <mergeCell ref="TZO40:TZP40"/>
    <mergeCell ref="TZQ40:TZR40"/>
    <mergeCell ref="TYU40:TYV40"/>
    <mergeCell ref="TYW40:TYX40"/>
    <mergeCell ref="TYY40:TYZ40"/>
    <mergeCell ref="TZA40:TZB40"/>
    <mergeCell ref="TZC40:TZD40"/>
    <mergeCell ref="TZE40:TZF40"/>
    <mergeCell ref="TYI40:TYJ40"/>
    <mergeCell ref="TYK40:TYL40"/>
    <mergeCell ref="TYM40:TYN40"/>
    <mergeCell ref="TYO40:TYP40"/>
    <mergeCell ref="TYQ40:TYR40"/>
    <mergeCell ref="TYS40:TYT40"/>
    <mergeCell ref="TXW40:TXX40"/>
    <mergeCell ref="TXY40:TXZ40"/>
    <mergeCell ref="TYA40:TYB40"/>
    <mergeCell ref="TYC40:TYD40"/>
    <mergeCell ref="TYE40:TYF40"/>
    <mergeCell ref="TYG40:TYH40"/>
    <mergeCell ref="TXK40:TXL40"/>
    <mergeCell ref="TXM40:TXN40"/>
    <mergeCell ref="TXO40:TXP40"/>
    <mergeCell ref="TXQ40:TXR40"/>
    <mergeCell ref="TXS40:TXT40"/>
    <mergeCell ref="TXU40:TXV40"/>
    <mergeCell ref="UCM40:UCN40"/>
    <mergeCell ref="UCO40:UCP40"/>
    <mergeCell ref="UCQ40:UCR40"/>
    <mergeCell ref="UCS40:UCT40"/>
    <mergeCell ref="UCU40:UCV40"/>
    <mergeCell ref="UCW40:UCX40"/>
    <mergeCell ref="UCA40:UCB40"/>
    <mergeCell ref="UCC40:UCD40"/>
    <mergeCell ref="UCE40:UCF40"/>
    <mergeCell ref="UCG40:UCH40"/>
    <mergeCell ref="UCI40:UCJ40"/>
    <mergeCell ref="UCK40:UCL40"/>
    <mergeCell ref="UBO40:UBP40"/>
    <mergeCell ref="UBQ40:UBR40"/>
    <mergeCell ref="UBS40:UBT40"/>
    <mergeCell ref="UBU40:UBV40"/>
    <mergeCell ref="UBW40:UBX40"/>
    <mergeCell ref="UBY40:UBZ40"/>
    <mergeCell ref="UBC40:UBD40"/>
    <mergeCell ref="UBE40:UBF40"/>
    <mergeCell ref="UBG40:UBH40"/>
    <mergeCell ref="UBI40:UBJ40"/>
    <mergeCell ref="UBK40:UBL40"/>
    <mergeCell ref="UBM40:UBN40"/>
    <mergeCell ref="UAQ40:UAR40"/>
    <mergeCell ref="UAS40:UAT40"/>
    <mergeCell ref="UAU40:UAV40"/>
    <mergeCell ref="UAW40:UAX40"/>
    <mergeCell ref="UAY40:UAZ40"/>
    <mergeCell ref="UBA40:UBB40"/>
    <mergeCell ref="UAE40:UAF40"/>
    <mergeCell ref="UAG40:UAH40"/>
    <mergeCell ref="UAI40:UAJ40"/>
    <mergeCell ref="UAK40:UAL40"/>
    <mergeCell ref="UAM40:UAN40"/>
    <mergeCell ref="UAO40:UAP40"/>
    <mergeCell ref="UFG40:UFH40"/>
    <mergeCell ref="UFI40:UFJ40"/>
    <mergeCell ref="UFK40:UFL40"/>
    <mergeCell ref="UFM40:UFN40"/>
    <mergeCell ref="UFO40:UFP40"/>
    <mergeCell ref="UFQ40:UFR40"/>
    <mergeCell ref="UEU40:UEV40"/>
    <mergeCell ref="UEW40:UEX40"/>
    <mergeCell ref="UEY40:UEZ40"/>
    <mergeCell ref="UFA40:UFB40"/>
    <mergeCell ref="UFC40:UFD40"/>
    <mergeCell ref="UFE40:UFF40"/>
    <mergeCell ref="UEI40:UEJ40"/>
    <mergeCell ref="UEK40:UEL40"/>
    <mergeCell ref="UEM40:UEN40"/>
    <mergeCell ref="UEO40:UEP40"/>
    <mergeCell ref="UEQ40:UER40"/>
    <mergeCell ref="UES40:UET40"/>
    <mergeCell ref="UDW40:UDX40"/>
    <mergeCell ref="UDY40:UDZ40"/>
    <mergeCell ref="UEA40:UEB40"/>
    <mergeCell ref="UEC40:UED40"/>
    <mergeCell ref="UEE40:UEF40"/>
    <mergeCell ref="UEG40:UEH40"/>
    <mergeCell ref="UDK40:UDL40"/>
    <mergeCell ref="UDM40:UDN40"/>
    <mergeCell ref="UDO40:UDP40"/>
    <mergeCell ref="UDQ40:UDR40"/>
    <mergeCell ref="UDS40:UDT40"/>
    <mergeCell ref="UDU40:UDV40"/>
    <mergeCell ref="UCY40:UCZ40"/>
    <mergeCell ref="UDA40:UDB40"/>
    <mergeCell ref="UDC40:UDD40"/>
    <mergeCell ref="UDE40:UDF40"/>
    <mergeCell ref="UDG40:UDH40"/>
    <mergeCell ref="UDI40:UDJ40"/>
    <mergeCell ref="UIA40:UIB40"/>
    <mergeCell ref="UIC40:UID40"/>
    <mergeCell ref="UIE40:UIF40"/>
    <mergeCell ref="UIG40:UIH40"/>
    <mergeCell ref="UII40:UIJ40"/>
    <mergeCell ref="UIK40:UIL40"/>
    <mergeCell ref="UHO40:UHP40"/>
    <mergeCell ref="UHQ40:UHR40"/>
    <mergeCell ref="UHS40:UHT40"/>
    <mergeCell ref="UHU40:UHV40"/>
    <mergeCell ref="UHW40:UHX40"/>
    <mergeCell ref="UHY40:UHZ40"/>
    <mergeCell ref="UHC40:UHD40"/>
    <mergeCell ref="UHE40:UHF40"/>
    <mergeCell ref="UHG40:UHH40"/>
    <mergeCell ref="UHI40:UHJ40"/>
    <mergeCell ref="UHK40:UHL40"/>
    <mergeCell ref="UHM40:UHN40"/>
    <mergeCell ref="UGQ40:UGR40"/>
    <mergeCell ref="UGS40:UGT40"/>
    <mergeCell ref="UGU40:UGV40"/>
    <mergeCell ref="UGW40:UGX40"/>
    <mergeCell ref="UGY40:UGZ40"/>
    <mergeCell ref="UHA40:UHB40"/>
    <mergeCell ref="UGE40:UGF40"/>
    <mergeCell ref="UGG40:UGH40"/>
    <mergeCell ref="UGI40:UGJ40"/>
    <mergeCell ref="UGK40:UGL40"/>
    <mergeCell ref="UGM40:UGN40"/>
    <mergeCell ref="UGO40:UGP40"/>
    <mergeCell ref="UFS40:UFT40"/>
    <mergeCell ref="UFU40:UFV40"/>
    <mergeCell ref="UFW40:UFX40"/>
    <mergeCell ref="UFY40:UFZ40"/>
    <mergeCell ref="UGA40:UGB40"/>
    <mergeCell ref="UGC40:UGD40"/>
    <mergeCell ref="UKU40:UKV40"/>
    <mergeCell ref="UKW40:UKX40"/>
    <mergeCell ref="UKY40:UKZ40"/>
    <mergeCell ref="ULA40:ULB40"/>
    <mergeCell ref="ULC40:ULD40"/>
    <mergeCell ref="ULE40:ULF40"/>
    <mergeCell ref="UKI40:UKJ40"/>
    <mergeCell ref="UKK40:UKL40"/>
    <mergeCell ref="UKM40:UKN40"/>
    <mergeCell ref="UKO40:UKP40"/>
    <mergeCell ref="UKQ40:UKR40"/>
    <mergeCell ref="UKS40:UKT40"/>
    <mergeCell ref="UJW40:UJX40"/>
    <mergeCell ref="UJY40:UJZ40"/>
    <mergeCell ref="UKA40:UKB40"/>
    <mergeCell ref="UKC40:UKD40"/>
    <mergeCell ref="UKE40:UKF40"/>
    <mergeCell ref="UKG40:UKH40"/>
    <mergeCell ref="UJK40:UJL40"/>
    <mergeCell ref="UJM40:UJN40"/>
    <mergeCell ref="UJO40:UJP40"/>
    <mergeCell ref="UJQ40:UJR40"/>
    <mergeCell ref="UJS40:UJT40"/>
    <mergeCell ref="UJU40:UJV40"/>
    <mergeCell ref="UIY40:UIZ40"/>
    <mergeCell ref="UJA40:UJB40"/>
    <mergeCell ref="UJC40:UJD40"/>
    <mergeCell ref="UJE40:UJF40"/>
    <mergeCell ref="UJG40:UJH40"/>
    <mergeCell ref="UJI40:UJJ40"/>
    <mergeCell ref="UIM40:UIN40"/>
    <mergeCell ref="UIO40:UIP40"/>
    <mergeCell ref="UIQ40:UIR40"/>
    <mergeCell ref="UIS40:UIT40"/>
    <mergeCell ref="UIU40:UIV40"/>
    <mergeCell ref="UIW40:UIX40"/>
    <mergeCell ref="UNO40:UNP40"/>
    <mergeCell ref="UNQ40:UNR40"/>
    <mergeCell ref="UNS40:UNT40"/>
    <mergeCell ref="UNU40:UNV40"/>
    <mergeCell ref="UNW40:UNX40"/>
    <mergeCell ref="UNY40:UNZ40"/>
    <mergeCell ref="UNC40:UND40"/>
    <mergeCell ref="UNE40:UNF40"/>
    <mergeCell ref="UNG40:UNH40"/>
    <mergeCell ref="UNI40:UNJ40"/>
    <mergeCell ref="UNK40:UNL40"/>
    <mergeCell ref="UNM40:UNN40"/>
    <mergeCell ref="UMQ40:UMR40"/>
    <mergeCell ref="UMS40:UMT40"/>
    <mergeCell ref="UMU40:UMV40"/>
    <mergeCell ref="UMW40:UMX40"/>
    <mergeCell ref="UMY40:UMZ40"/>
    <mergeCell ref="UNA40:UNB40"/>
    <mergeCell ref="UME40:UMF40"/>
    <mergeCell ref="UMG40:UMH40"/>
    <mergeCell ref="UMI40:UMJ40"/>
    <mergeCell ref="UMK40:UML40"/>
    <mergeCell ref="UMM40:UMN40"/>
    <mergeCell ref="UMO40:UMP40"/>
    <mergeCell ref="ULS40:ULT40"/>
    <mergeCell ref="ULU40:ULV40"/>
    <mergeCell ref="ULW40:ULX40"/>
    <mergeCell ref="ULY40:ULZ40"/>
    <mergeCell ref="UMA40:UMB40"/>
    <mergeCell ref="UMC40:UMD40"/>
    <mergeCell ref="ULG40:ULH40"/>
    <mergeCell ref="ULI40:ULJ40"/>
    <mergeCell ref="ULK40:ULL40"/>
    <mergeCell ref="ULM40:ULN40"/>
    <mergeCell ref="ULO40:ULP40"/>
    <mergeCell ref="ULQ40:ULR40"/>
    <mergeCell ref="UQI40:UQJ40"/>
    <mergeCell ref="UQK40:UQL40"/>
    <mergeCell ref="UQM40:UQN40"/>
    <mergeCell ref="UQO40:UQP40"/>
    <mergeCell ref="UQQ40:UQR40"/>
    <mergeCell ref="UQS40:UQT40"/>
    <mergeCell ref="UPW40:UPX40"/>
    <mergeCell ref="UPY40:UPZ40"/>
    <mergeCell ref="UQA40:UQB40"/>
    <mergeCell ref="UQC40:UQD40"/>
    <mergeCell ref="UQE40:UQF40"/>
    <mergeCell ref="UQG40:UQH40"/>
    <mergeCell ref="UPK40:UPL40"/>
    <mergeCell ref="UPM40:UPN40"/>
    <mergeCell ref="UPO40:UPP40"/>
    <mergeCell ref="UPQ40:UPR40"/>
    <mergeCell ref="UPS40:UPT40"/>
    <mergeCell ref="UPU40:UPV40"/>
    <mergeCell ref="UOY40:UOZ40"/>
    <mergeCell ref="UPA40:UPB40"/>
    <mergeCell ref="UPC40:UPD40"/>
    <mergeCell ref="UPE40:UPF40"/>
    <mergeCell ref="UPG40:UPH40"/>
    <mergeCell ref="UPI40:UPJ40"/>
    <mergeCell ref="UOM40:UON40"/>
    <mergeCell ref="UOO40:UOP40"/>
    <mergeCell ref="UOQ40:UOR40"/>
    <mergeCell ref="UOS40:UOT40"/>
    <mergeCell ref="UOU40:UOV40"/>
    <mergeCell ref="UOW40:UOX40"/>
    <mergeCell ref="UOA40:UOB40"/>
    <mergeCell ref="UOC40:UOD40"/>
    <mergeCell ref="UOE40:UOF40"/>
    <mergeCell ref="UOG40:UOH40"/>
    <mergeCell ref="UOI40:UOJ40"/>
    <mergeCell ref="UOK40:UOL40"/>
    <mergeCell ref="UTC40:UTD40"/>
    <mergeCell ref="UTE40:UTF40"/>
    <mergeCell ref="UTG40:UTH40"/>
    <mergeCell ref="UTI40:UTJ40"/>
    <mergeCell ref="UTK40:UTL40"/>
    <mergeCell ref="UTM40:UTN40"/>
    <mergeCell ref="USQ40:USR40"/>
    <mergeCell ref="USS40:UST40"/>
    <mergeCell ref="USU40:USV40"/>
    <mergeCell ref="USW40:USX40"/>
    <mergeCell ref="USY40:USZ40"/>
    <mergeCell ref="UTA40:UTB40"/>
    <mergeCell ref="USE40:USF40"/>
    <mergeCell ref="USG40:USH40"/>
    <mergeCell ref="USI40:USJ40"/>
    <mergeCell ref="USK40:USL40"/>
    <mergeCell ref="USM40:USN40"/>
    <mergeCell ref="USO40:USP40"/>
    <mergeCell ref="URS40:URT40"/>
    <mergeCell ref="URU40:URV40"/>
    <mergeCell ref="URW40:URX40"/>
    <mergeCell ref="URY40:URZ40"/>
    <mergeCell ref="USA40:USB40"/>
    <mergeCell ref="USC40:USD40"/>
    <mergeCell ref="URG40:URH40"/>
    <mergeCell ref="URI40:URJ40"/>
    <mergeCell ref="URK40:URL40"/>
    <mergeCell ref="URM40:URN40"/>
    <mergeCell ref="URO40:URP40"/>
    <mergeCell ref="URQ40:URR40"/>
    <mergeCell ref="UQU40:UQV40"/>
    <mergeCell ref="UQW40:UQX40"/>
    <mergeCell ref="UQY40:UQZ40"/>
    <mergeCell ref="URA40:URB40"/>
    <mergeCell ref="URC40:URD40"/>
    <mergeCell ref="URE40:URF40"/>
    <mergeCell ref="UVW40:UVX40"/>
    <mergeCell ref="UVY40:UVZ40"/>
    <mergeCell ref="UWA40:UWB40"/>
    <mergeCell ref="UWC40:UWD40"/>
    <mergeCell ref="UWE40:UWF40"/>
    <mergeCell ref="UWG40:UWH40"/>
    <mergeCell ref="UVK40:UVL40"/>
    <mergeCell ref="UVM40:UVN40"/>
    <mergeCell ref="UVO40:UVP40"/>
    <mergeCell ref="UVQ40:UVR40"/>
    <mergeCell ref="UVS40:UVT40"/>
    <mergeCell ref="UVU40:UVV40"/>
    <mergeCell ref="UUY40:UUZ40"/>
    <mergeCell ref="UVA40:UVB40"/>
    <mergeCell ref="UVC40:UVD40"/>
    <mergeCell ref="UVE40:UVF40"/>
    <mergeCell ref="UVG40:UVH40"/>
    <mergeCell ref="UVI40:UVJ40"/>
    <mergeCell ref="UUM40:UUN40"/>
    <mergeCell ref="UUO40:UUP40"/>
    <mergeCell ref="UUQ40:UUR40"/>
    <mergeCell ref="UUS40:UUT40"/>
    <mergeCell ref="UUU40:UUV40"/>
    <mergeCell ref="UUW40:UUX40"/>
    <mergeCell ref="UUA40:UUB40"/>
    <mergeCell ref="UUC40:UUD40"/>
    <mergeCell ref="UUE40:UUF40"/>
    <mergeCell ref="UUG40:UUH40"/>
    <mergeCell ref="UUI40:UUJ40"/>
    <mergeCell ref="UUK40:UUL40"/>
    <mergeCell ref="UTO40:UTP40"/>
    <mergeCell ref="UTQ40:UTR40"/>
    <mergeCell ref="UTS40:UTT40"/>
    <mergeCell ref="UTU40:UTV40"/>
    <mergeCell ref="UTW40:UTX40"/>
    <mergeCell ref="UTY40:UTZ40"/>
    <mergeCell ref="UYQ40:UYR40"/>
    <mergeCell ref="UYS40:UYT40"/>
    <mergeCell ref="UYU40:UYV40"/>
    <mergeCell ref="UYW40:UYX40"/>
    <mergeCell ref="UYY40:UYZ40"/>
    <mergeCell ref="UZA40:UZB40"/>
    <mergeCell ref="UYE40:UYF40"/>
    <mergeCell ref="UYG40:UYH40"/>
    <mergeCell ref="UYI40:UYJ40"/>
    <mergeCell ref="UYK40:UYL40"/>
    <mergeCell ref="UYM40:UYN40"/>
    <mergeCell ref="UYO40:UYP40"/>
    <mergeCell ref="UXS40:UXT40"/>
    <mergeCell ref="UXU40:UXV40"/>
    <mergeCell ref="UXW40:UXX40"/>
    <mergeCell ref="UXY40:UXZ40"/>
    <mergeCell ref="UYA40:UYB40"/>
    <mergeCell ref="UYC40:UYD40"/>
    <mergeCell ref="UXG40:UXH40"/>
    <mergeCell ref="UXI40:UXJ40"/>
    <mergeCell ref="UXK40:UXL40"/>
    <mergeCell ref="UXM40:UXN40"/>
    <mergeCell ref="UXO40:UXP40"/>
    <mergeCell ref="UXQ40:UXR40"/>
    <mergeCell ref="UWU40:UWV40"/>
    <mergeCell ref="UWW40:UWX40"/>
    <mergeCell ref="UWY40:UWZ40"/>
    <mergeCell ref="UXA40:UXB40"/>
    <mergeCell ref="UXC40:UXD40"/>
    <mergeCell ref="UXE40:UXF40"/>
    <mergeCell ref="UWI40:UWJ40"/>
    <mergeCell ref="UWK40:UWL40"/>
    <mergeCell ref="UWM40:UWN40"/>
    <mergeCell ref="UWO40:UWP40"/>
    <mergeCell ref="UWQ40:UWR40"/>
    <mergeCell ref="UWS40:UWT40"/>
    <mergeCell ref="VBK40:VBL40"/>
    <mergeCell ref="VBM40:VBN40"/>
    <mergeCell ref="VBO40:VBP40"/>
    <mergeCell ref="VBQ40:VBR40"/>
    <mergeCell ref="VBS40:VBT40"/>
    <mergeCell ref="VBU40:VBV40"/>
    <mergeCell ref="VAY40:VAZ40"/>
    <mergeCell ref="VBA40:VBB40"/>
    <mergeCell ref="VBC40:VBD40"/>
    <mergeCell ref="VBE40:VBF40"/>
    <mergeCell ref="VBG40:VBH40"/>
    <mergeCell ref="VBI40:VBJ40"/>
    <mergeCell ref="VAM40:VAN40"/>
    <mergeCell ref="VAO40:VAP40"/>
    <mergeCell ref="VAQ40:VAR40"/>
    <mergeCell ref="VAS40:VAT40"/>
    <mergeCell ref="VAU40:VAV40"/>
    <mergeCell ref="VAW40:VAX40"/>
    <mergeCell ref="VAA40:VAB40"/>
    <mergeCell ref="VAC40:VAD40"/>
    <mergeCell ref="VAE40:VAF40"/>
    <mergeCell ref="VAG40:VAH40"/>
    <mergeCell ref="VAI40:VAJ40"/>
    <mergeCell ref="VAK40:VAL40"/>
    <mergeCell ref="UZO40:UZP40"/>
    <mergeCell ref="UZQ40:UZR40"/>
    <mergeCell ref="UZS40:UZT40"/>
    <mergeCell ref="UZU40:UZV40"/>
    <mergeCell ref="UZW40:UZX40"/>
    <mergeCell ref="UZY40:UZZ40"/>
    <mergeCell ref="UZC40:UZD40"/>
    <mergeCell ref="UZE40:UZF40"/>
    <mergeCell ref="UZG40:UZH40"/>
    <mergeCell ref="UZI40:UZJ40"/>
    <mergeCell ref="UZK40:UZL40"/>
    <mergeCell ref="UZM40:UZN40"/>
    <mergeCell ref="VEE40:VEF40"/>
    <mergeCell ref="VEG40:VEH40"/>
    <mergeCell ref="VEI40:VEJ40"/>
    <mergeCell ref="VEK40:VEL40"/>
    <mergeCell ref="VEM40:VEN40"/>
    <mergeCell ref="VEO40:VEP40"/>
    <mergeCell ref="VDS40:VDT40"/>
    <mergeCell ref="VDU40:VDV40"/>
    <mergeCell ref="VDW40:VDX40"/>
    <mergeCell ref="VDY40:VDZ40"/>
    <mergeCell ref="VEA40:VEB40"/>
    <mergeCell ref="VEC40:VED40"/>
    <mergeCell ref="VDG40:VDH40"/>
    <mergeCell ref="VDI40:VDJ40"/>
    <mergeCell ref="VDK40:VDL40"/>
    <mergeCell ref="VDM40:VDN40"/>
    <mergeCell ref="VDO40:VDP40"/>
    <mergeCell ref="VDQ40:VDR40"/>
    <mergeCell ref="VCU40:VCV40"/>
    <mergeCell ref="VCW40:VCX40"/>
    <mergeCell ref="VCY40:VCZ40"/>
    <mergeCell ref="VDA40:VDB40"/>
    <mergeCell ref="VDC40:VDD40"/>
    <mergeCell ref="VDE40:VDF40"/>
    <mergeCell ref="VCI40:VCJ40"/>
    <mergeCell ref="VCK40:VCL40"/>
    <mergeCell ref="VCM40:VCN40"/>
    <mergeCell ref="VCO40:VCP40"/>
    <mergeCell ref="VCQ40:VCR40"/>
    <mergeCell ref="VCS40:VCT40"/>
    <mergeCell ref="VBW40:VBX40"/>
    <mergeCell ref="VBY40:VBZ40"/>
    <mergeCell ref="VCA40:VCB40"/>
    <mergeCell ref="VCC40:VCD40"/>
    <mergeCell ref="VCE40:VCF40"/>
    <mergeCell ref="VCG40:VCH40"/>
    <mergeCell ref="VGY40:VGZ40"/>
    <mergeCell ref="VHA40:VHB40"/>
    <mergeCell ref="VHC40:VHD40"/>
    <mergeCell ref="VHE40:VHF40"/>
    <mergeCell ref="VHG40:VHH40"/>
    <mergeCell ref="VHI40:VHJ40"/>
    <mergeCell ref="VGM40:VGN40"/>
    <mergeCell ref="VGO40:VGP40"/>
    <mergeCell ref="VGQ40:VGR40"/>
    <mergeCell ref="VGS40:VGT40"/>
    <mergeCell ref="VGU40:VGV40"/>
    <mergeCell ref="VGW40:VGX40"/>
    <mergeCell ref="VGA40:VGB40"/>
    <mergeCell ref="VGC40:VGD40"/>
    <mergeCell ref="VGE40:VGF40"/>
    <mergeCell ref="VGG40:VGH40"/>
    <mergeCell ref="VGI40:VGJ40"/>
    <mergeCell ref="VGK40:VGL40"/>
    <mergeCell ref="VFO40:VFP40"/>
    <mergeCell ref="VFQ40:VFR40"/>
    <mergeCell ref="VFS40:VFT40"/>
    <mergeCell ref="VFU40:VFV40"/>
    <mergeCell ref="VFW40:VFX40"/>
    <mergeCell ref="VFY40:VFZ40"/>
    <mergeCell ref="VFC40:VFD40"/>
    <mergeCell ref="VFE40:VFF40"/>
    <mergeCell ref="VFG40:VFH40"/>
    <mergeCell ref="VFI40:VFJ40"/>
    <mergeCell ref="VFK40:VFL40"/>
    <mergeCell ref="VFM40:VFN40"/>
    <mergeCell ref="VEQ40:VER40"/>
    <mergeCell ref="VES40:VET40"/>
    <mergeCell ref="VEU40:VEV40"/>
    <mergeCell ref="VEW40:VEX40"/>
    <mergeCell ref="VEY40:VEZ40"/>
    <mergeCell ref="VFA40:VFB40"/>
    <mergeCell ref="VJS40:VJT40"/>
    <mergeCell ref="VJU40:VJV40"/>
    <mergeCell ref="VJW40:VJX40"/>
    <mergeCell ref="VJY40:VJZ40"/>
    <mergeCell ref="VKA40:VKB40"/>
    <mergeCell ref="VKC40:VKD40"/>
    <mergeCell ref="VJG40:VJH40"/>
    <mergeCell ref="VJI40:VJJ40"/>
    <mergeCell ref="VJK40:VJL40"/>
    <mergeCell ref="VJM40:VJN40"/>
    <mergeCell ref="VJO40:VJP40"/>
    <mergeCell ref="VJQ40:VJR40"/>
    <mergeCell ref="VIU40:VIV40"/>
    <mergeCell ref="VIW40:VIX40"/>
    <mergeCell ref="VIY40:VIZ40"/>
    <mergeCell ref="VJA40:VJB40"/>
    <mergeCell ref="VJC40:VJD40"/>
    <mergeCell ref="VJE40:VJF40"/>
    <mergeCell ref="VII40:VIJ40"/>
    <mergeCell ref="VIK40:VIL40"/>
    <mergeCell ref="VIM40:VIN40"/>
    <mergeCell ref="VIO40:VIP40"/>
    <mergeCell ref="VIQ40:VIR40"/>
    <mergeCell ref="VIS40:VIT40"/>
    <mergeCell ref="VHW40:VHX40"/>
    <mergeCell ref="VHY40:VHZ40"/>
    <mergeCell ref="VIA40:VIB40"/>
    <mergeCell ref="VIC40:VID40"/>
    <mergeCell ref="VIE40:VIF40"/>
    <mergeCell ref="VIG40:VIH40"/>
    <mergeCell ref="VHK40:VHL40"/>
    <mergeCell ref="VHM40:VHN40"/>
    <mergeCell ref="VHO40:VHP40"/>
    <mergeCell ref="VHQ40:VHR40"/>
    <mergeCell ref="VHS40:VHT40"/>
    <mergeCell ref="VHU40:VHV40"/>
    <mergeCell ref="VMM40:VMN40"/>
    <mergeCell ref="VMO40:VMP40"/>
    <mergeCell ref="VMQ40:VMR40"/>
    <mergeCell ref="VMS40:VMT40"/>
    <mergeCell ref="VMU40:VMV40"/>
    <mergeCell ref="VMW40:VMX40"/>
    <mergeCell ref="VMA40:VMB40"/>
    <mergeCell ref="VMC40:VMD40"/>
    <mergeCell ref="VME40:VMF40"/>
    <mergeCell ref="VMG40:VMH40"/>
    <mergeCell ref="VMI40:VMJ40"/>
    <mergeCell ref="VMK40:VML40"/>
    <mergeCell ref="VLO40:VLP40"/>
    <mergeCell ref="VLQ40:VLR40"/>
    <mergeCell ref="VLS40:VLT40"/>
    <mergeCell ref="VLU40:VLV40"/>
    <mergeCell ref="VLW40:VLX40"/>
    <mergeCell ref="VLY40:VLZ40"/>
    <mergeCell ref="VLC40:VLD40"/>
    <mergeCell ref="VLE40:VLF40"/>
    <mergeCell ref="VLG40:VLH40"/>
    <mergeCell ref="VLI40:VLJ40"/>
    <mergeCell ref="VLK40:VLL40"/>
    <mergeCell ref="VLM40:VLN40"/>
    <mergeCell ref="VKQ40:VKR40"/>
    <mergeCell ref="VKS40:VKT40"/>
    <mergeCell ref="VKU40:VKV40"/>
    <mergeCell ref="VKW40:VKX40"/>
    <mergeCell ref="VKY40:VKZ40"/>
    <mergeCell ref="VLA40:VLB40"/>
    <mergeCell ref="VKE40:VKF40"/>
    <mergeCell ref="VKG40:VKH40"/>
    <mergeCell ref="VKI40:VKJ40"/>
    <mergeCell ref="VKK40:VKL40"/>
    <mergeCell ref="VKM40:VKN40"/>
    <mergeCell ref="VKO40:VKP40"/>
    <mergeCell ref="VPG40:VPH40"/>
    <mergeCell ref="VPI40:VPJ40"/>
    <mergeCell ref="VPK40:VPL40"/>
    <mergeCell ref="VPM40:VPN40"/>
    <mergeCell ref="VPO40:VPP40"/>
    <mergeCell ref="VPQ40:VPR40"/>
    <mergeCell ref="VOU40:VOV40"/>
    <mergeCell ref="VOW40:VOX40"/>
    <mergeCell ref="VOY40:VOZ40"/>
    <mergeCell ref="VPA40:VPB40"/>
    <mergeCell ref="VPC40:VPD40"/>
    <mergeCell ref="VPE40:VPF40"/>
    <mergeCell ref="VOI40:VOJ40"/>
    <mergeCell ref="VOK40:VOL40"/>
    <mergeCell ref="VOM40:VON40"/>
    <mergeCell ref="VOO40:VOP40"/>
    <mergeCell ref="VOQ40:VOR40"/>
    <mergeCell ref="VOS40:VOT40"/>
    <mergeCell ref="VNW40:VNX40"/>
    <mergeCell ref="VNY40:VNZ40"/>
    <mergeCell ref="VOA40:VOB40"/>
    <mergeCell ref="VOC40:VOD40"/>
    <mergeCell ref="VOE40:VOF40"/>
    <mergeCell ref="VOG40:VOH40"/>
    <mergeCell ref="VNK40:VNL40"/>
    <mergeCell ref="VNM40:VNN40"/>
    <mergeCell ref="VNO40:VNP40"/>
    <mergeCell ref="VNQ40:VNR40"/>
    <mergeCell ref="VNS40:VNT40"/>
    <mergeCell ref="VNU40:VNV40"/>
    <mergeCell ref="VMY40:VMZ40"/>
    <mergeCell ref="VNA40:VNB40"/>
    <mergeCell ref="VNC40:VND40"/>
    <mergeCell ref="VNE40:VNF40"/>
    <mergeCell ref="VNG40:VNH40"/>
    <mergeCell ref="VNI40:VNJ40"/>
    <mergeCell ref="VSA40:VSB40"/>
    <mergeCell ref="VSC40:VSD40"/>
    <mergeCell ref="VSE40:VSF40"/>
    <mergeCell ref="VSG40:VSH40"/>
    <mergeCell ref="VSI40:VSJ40"/>
    <mergeCell ref="VSK40:VSL40"/>
    <mergeCell ref="VRO40:VRP40"/>
    <mergeCell ref="VRQ40:VRR40"/>
    <mergeCell ref="VRS40:VRT40"/>
    <mergeCell ref="VRU40:VRV40"/>
    <mergeCell ref="VRW40:VRX40"/>
    <mergeCell ref="VRY40:VRZ40"/>
    <mergeCell ref="VRC40:VRD40"/>
    <mergeCell ref="VRE40:VRF40"/>
    <mergeCell ref="VRG40:VRH40"/>
    <mergeCell ref="VRI40:VRJ40"/>
    <mergeCell ref="VRK40:VRL40"/>
    <mergeCell ref="VRM40:VRN40"/>
    <mergeCell ref="VQQ40:VQR40"/>
    <mergeCell ref="VQS40:VQT40"/>
    <mergeCell ref="VQU40:VQV40"/>
    <mergeCell ref="VQW40:VQX40"/>
    <mergeCell ref="VQY40:VQZ40"/>
    <mergeCell ref="VRA40:VRB40"/>
    <mergeCell ref="VQE40:VQF40"/>
    <mergeCell ref="VQG40:VQH40"/>
    <mergeCell ref="VQI40:VQJ40"/>
    <mergeCell ref="VQK40:VQL40"/>
    <mergeCell ref="VQM40:VQN40"/>
    <mergeCell ref="VQO40:VQP40"/>
    <mergeCell ref="VPS40:VPT40"/>
    <mergeCell ref="VPU40:VPV40"/>
    <mergeCell ref="VPW40:VPX40"/>
    <mergeCell ref="VPY40:VPZ40"/>
    <mergeCell ref="VQA40:VQB40"/>
    <mergeCell ref="VQC40:VQD40"/>
    <mergeCell ref="VUU40:VUV40"/>
    <mergeCell ref="VUW40:VUX40"/>
    <mergeCell ref="VUY40:VUZ40"/>
    <mergeCell ref="VVA40:VVB40"/>
    <mergeCell ref="VVC40:VVD40"/>
    <mergeCell ref="VVE40:VVF40"/>
    <mergeCell ref="VUI40:VUJ40"/>
    <mergeCell ref="VUK40:VUL40"/>
    <mergeCell ref="VUM40:VUN40"/>
    <mergeCell ref="VUO40:VUP40"/>
    <mergeCell ref="VUQ40:VUR40"/>
    <mergeCell ref="VUS40:VUT40"/>
    <mergeCell ref="VTW40:VTX40"/>
    <mergeCell ref="VTY40:VTZ40"/>
    <mergeCell ref="VUA40:VUB40"/>
    <mergeCell ref="VUC40:VUD40"/>
    <mergeCell ref="VUE40:VUF40"/>
    <mergeCell ref="VUG40:VUH40"/>
    <mergeCell ref="VTK40:VTL40"/>
    <mergeCell ref="VTM40:VTN40"/>
    <mergeCell ref="VTO40:VTP40"/>
    <mergeCell ref="VTQ40:VTR40"/>
    <mergeCell ref="VTS40:VTT40"/>
    <mergeCell ref="VTU40:VTV40"/>
    <mergeCell ref="VSY40:VSZ40"/>
    <mergeCell ref="VTA40:VTB40"/>
    <mergeCell ref="VTC40:VTD40"/>
    <mergeCell ref="VTE40:VTF40"/>
    <mergeCell ref="VTG40:VTH40"/>
    <mergeCell ref="VTI40:VTJ40"/>
    <mergeCell ref="VSM40:VSN40"/>
    <mergeCell ref="VSO40:VSP40"/>
    <mergeCell ref="VSQ40:VSR40"/>
    <mergeCell ref="VSS40:VST40"/>
    <mergeCell ref="VSU40:VSV40"/>
    <mergeCell ref="VSW40:VSX40"/>
    <mergeCell ref="VXO40:VXP40"/>
    <mergeCell ref="VXQ40:VXR40"/>
    <mergeCell ref="VXS40:VXT40"/>
    <mergeCell ref="VXU40:VXV40"/>
    <mergeCell ref="VXW40:VXX40"/>
    <mergeCell ref="VXY40:VXZ40"/>
    <mergeCell ref="VXC40:VXD40"/>
    <mergeCell ref="VXE40:VXF40"/>
    <mergeCell ref="VXG40:VXH40"/>
    <mergeCell ref="VXI40:VXJ40"/>
    <mergeCell ref="VXK40:VXL40"/>
    <mergeCell ref="VXM40:VXN40"/>
    <mergeCell ref="VWQ40:VWR40"/>
    <mergeCell ref="VWS40:VWT40"/>
    <mergeCell ref="VWU40:VWV40"/>
    <mergeCell ref="VWW40:VWX40"/>
    <mergeCell ref="VWY40:VWZ40"/>
    <mergeCell ref="VXA40:VXB40"/>
    <mergeCell ref="VWE40:VWF40"/>
    <mergeCell ref="VWG40:VWH40"/>
    <mergeCell ref="VWI40:VWJ40"/>
    <mergeCell ref="VWK40:VWL40"/>
    <mergeCell ref="VWM40:VWN40"/>
    <mergeCell ref="VWO40:VWP40"/>
    <mergeCell ref="VVS40:VVT40"/>
    <mergeCell ref="VVU40:VVV40"/>
    <mergeCell ref="VVW40:VVX40"/>
    <mergeCell ref="VVY40:VVZ40"/>
    <mergeCell ref="VWA40:VWB40"/>
    <mergeCell ref="VWC40:VWD40"/>
    <mergeCell ref="VVG40:VVH40"/>
    <mergeCell ref="VVI40:VVJ40"/>
    <mergeCell ref="VVK40:VVL40"/>
    <mergeCell ref="VVM40:VVN40"/>
    <mergeCell ref="VVO40:VVP40"/>
    <mergeCell ref="VVQ40:VVR40"/>
    <mergeCell ref="WAI40:WAJ40"/>
    <mergeCell ref="WAK40:WAL40"/>
    <mergeCell ref="WAM40:WAN40"/>
    <mergeCell ref="WAO40:WAP40"/>
    <mergeCell ref="WAQ40:WAR40"/>
    <mergeCell ref="WAS40:WAT40"/>
    <mergeCell ref="VZW40:VZX40"/>
    <mergeCell ref="VZY40:VZZ40"/>
    <mergeCell ref="WAA40:WAB40"/>
    <mergeCell ref="WAC40:WAD40"/>
    <mergeCell ref="WAE40:WAF40"/>
    <mergeCell ref="WAG40:WAH40"/>
    <mergeCell ref="VZK40:VZL40"/>
    <mergeCell ref="VZM40:VZN40"/>
    <mergeCell ref="VZO40:VZP40"/>
    <mergeCell ref="VZQ40:VZR40"/>
    <mergeCell ref="VZS40:VZT40"/>
    <mergeCell ref="VZU40:VZV40"/>
    <mergeCell ref="VYY40:VYZ40"/>
    <mergeCell ref="VZA40:VZB40"/>
    <mergeCell ref="VZC40:VZD40"/>
    <mergeCell ref="VZE40:VZF40"/>
    <mergeCell ref="VZG40:VZH40"/>
    <mergeCell ref="VZI40:VZJ40"/>
    <mergeCell ref="VYM40:VYN40"/>
    <mergeCell ref="VYO40:VYP40"/>
    <mergeCell ref="VYQ40:VYR40"/>
    <mergeCell ref="VYS40:VYT40"/>
    <mergeCell ref="VYU40:VYV40"/>
    <mergeCell ref="VYW40:VYX40"/>
    <mergeCell ref="VYA40:VYB40"/>
    <mergeCell ref="VYC40:VYD40"/>
    <mergeCell ref="VYE40:VYF40"/>
    <mergeCell ref="VYG40:VYH40"/>
    <mergeCell ref="VYI40:VYJ40"/>
    <mergeCell ref="VYK40:VYL40"/>
    <mergeCell ref="WDC40:WDD40"/>
    <mergeCell ref="WDE40:WDF40"/>
    <mergeCell ref="WDG40:WDH40"/>
    <mergeCell ref="WDI40:WDJ40"/>
    <mergeCell ref="WDK40:WDL40"/>
    <mergeCell ref="WDM40:WDN40"/>
    <mergeCell ref="WCQ40:WCR40"/>
    <mergeCell ref="WCS40:WCT40"/>
    <mergeCell ref="WCU40:WCV40"/>
    <mergeCell ref="WCW40:WCX40"/>
    <mergeCell ref="WCY40:WCZ40"/>
    <mergeCell ref="WDA40:WDB40"/>
    <mergeCell ref="WCE40:WCF40"/>
    <mergeCell ref="WCG40:WCH40"/>
    <mergeCell ref="WCI40:WCJ40"/>
    <mergeCell ref="WCK40:WCL40"/>
    <mergeCell ref="WCM40:WCN40"/>
    <mergeCell ref="WCO40:WCP40"/>
    <mergeCell ref="WBS40:WBT40"/>
    <mergeCell ref="WBU40:WBV40"/>
    <mergeCell ref="WBW40:WBX40"/>
    <mergeCell ref="WBY40:WBZ40"/>
    <mergeCell ref="WCA40:WCB40"/>
    <mergeCell ref="WCC40:WCD40"/>
    <mergeCell ref="WBG40:WBH40"/>
    <mergeCell ref="WBI40:WBJ40"/>
    <mergeCell ref="WBK40:WBL40"/>
    <mergeCell ref="WBM40:WBN40"/>
    <mergeCell ref="WBO40:WBP40"/>
    <mergeCell ref="WBQ40:WBR40"/>
    <mergeCell ref="WAU40:WAV40"/>
    <mergeCell ref="WAW40:WAX40"/>
    <mergeCell ref="WAY40:WAZ40"/>
    <mergeCell ref="WBA40:WBB40"/>
    <mergeCell ref="WBC40:WBD40"/>
    <mergeCell ref="WBE40:WBF40"/>
    <mergeCell ref="WFW40:WFX40"/>
    <mergeCell ref="WFY40:WFZ40"/>
    <mergeCell ref="WGA40:WGB40"/>
    <mergeCell ref="WGC40:WGD40"/>
    <mergeCell ref="WGE40:WGF40"/>
    <mergeCell ref="WGG40:WGH40"/>
    <mergeCell ref="WFK40:WFL40"/>
    <mergeCell ref="WFM40:WFN40"/>
    <mergeCell ref="WFO40:WFP40"/>
    <mergeCell ref="WFQ40:WFR40"/>
    <mergeCell ref="WFS40:WFT40"/>
    <mergeCell ref="WFU40:WFV40"/>
    <mergeCell ref="WEY40:WEZ40"/>
    <mergeCell ref="WFA40:WFB40"/>
    <mergeCell ref="WFC40:WFD40"/>
    <mergeCell ref="WFE40:WFF40"/>
    <mergeCell ref="WFG40:WFH40"/>
    <mergeCell ref="WFI40:WFJ40"/>
    <mergeCell ref="WEM40:WEN40"/>
    <mergeCell ref="WEO40:WEP40"/>
    <mergeCell ref="WEQ40:WER40"/>
    <mergeCell ref="WES40:WET40"/>
    <mergeCell ref="WEU40:WEV40"/>
    <mergeCell ref="WEW40:WEX40"/>
    <mergeCell ref="WEA40:WEB40"/>
    <mergeCell ref="WEC40:WED40"/>
    <mergeCell ref="WEE40:WEF40"/>
    <mergeCell ref="WEG40:WEH40"/>
    <mergeCell ref="WEI40:WEJ40"/>
    <mergeCell ref="WEK40:WEL40"/>
    <mergeCell ref="WDO40:WDP40"/>
    <mergeCell ref="WDQ40:WDR40"/>
    <mergeCell ref="WDS40:WDT40"/>
    <mergeCell ref="WDU40:WDV40"/>
    <mergeCell ref="WDW40:WDX40"/>
    <mergeCell ref="WDY40:WDZ40"/>
    <mergeCell ref="WIQ40:WIR40"/>
    <mergeCell ref="WIS40:WIT40"/>
    <mergeCell ref="WIU40:WIV40"/>
    <mergeCell ref="WIW40:WIX40"/>
    <mergeCell ref="WIY40:WIZ40"/>
    <mergeCell ref="WJA40:WJB40"/>
    <mergeCell ref="WIE40:WIF40"/>
    <mergeCell ref="WIG40:WIH40"/>
    <mergeCell ref="WII40:WIJ40"/>
    <mergeCell ref="WIK40:WIL40"/>
    <mergeCell ref="WIM40:WIN40"/>
    <mergeCell ref="WIO40:WIP40"/>
    <mergeCell ref="WHS40:WHT40"/>
    <mergeCell ref="WHU40:WHV40"/>
    <mergeCell ref="WHW40:WHX40"/>
    <mergeCell ref="WHY40:WHZ40"/>
    <mergeCell ref="WIA40:WIB40"/>
    <mergeCell ref="WIC40:WID40"/>
    <mergeCell ref="WHG40:WHH40"/>
    <mergeCell ref="WHI40:WHJ40"/>
    <mergeCell ref="WHK40:WHL40"/>
    <mergeCell ref="WHM40:WHN40"/>
    <mergeCell ref="WHO40:WHP40"/>
    <mergeCell ref="WHQ40:WHR40"/>
    <mergeCell ref="WGU40:WGV40"/>
    <mergeCell ref="WGW40:WGX40"/>
    <mergeCell ref="WGY40:WGZ40"/>
    <mergeCell ref="WHA40:WHB40"/>
    <mergeCell ref="WHC40:WHD40"/>
    <mergeCell ref="WHE40:WHF40"/>
    <mergeCell ref="WGI40:WGJ40"/>
    <mergeCell ref="WGK40:WGL40"/>
    <mergeCell ref="WGM40:WGN40"/>
    <mergeCell ref="WGO40:WGP40"/>
    <mergeCell ref="WGQ40:WGR40"/>
    <mergeCell ref="WGS40:WGT40"/>
    <mergeCell ref="WLK40:WLL40"/>
    <mergeCell ref="WLM40:WLN40"/>
    <mergeCell ref="WLO40:WLP40"/>
    <mergeCell ref="WLQ40:WLR40"/>
    <mergeCell ref="WLS40:WLT40"/>
    <mergeCell ref="WLU40:WLV40"/>
    <mergeCell ref="WKY40:WKZ40"/>
    <mergeCell ref="WLA40:WLB40"/>
    <mergeCell ref="WLC40:WLD40"/>
    <mergeCell ref="WLE40:WLF40"/>
    <mergeCell ref="WLG40:WLH40"/>
    <mergeCell ref="WLI40:WLJ40"/>
    <mergeCell ref="WKM40:WKN40"/>
    <mergeCell ref="WKO40:WKP40"/>
    <mergeCell ref="WKQ40:WKR40"/>
    <mergeCell ref="WKS40:WKT40"/>
    <mergeCell ref="WKU40:WKV40"/>
    <mergeCell ref="WKW40:WKX40"/>
    <mergeCell ref="WKA40:WKB40"/>
    <mergeCell ref="WKC40:WKD40"/>
    <mergeCell ref="WKE40:WKF40"/>
    <mergeCell ref="WKG40:WKH40"/>
    <mergeCell ref="WKI40:WKJ40"/>
    <mergeCell ref="WKK40:WKL40"/>
    <mergeCell ref="WJO40:WJP40"/>
    <mergeCell ref="WJQ40:WJR40"/>
    <mergeCell ref="WJS40:WJT40"/>
    <mergeCell ref="WJU40:WJV40"/>
    <mergeCell ref="WJW40:WJX40"/>
    <mergeCell ref="WJY40:WJZ40"/>
    <mergeCell ref="WJC40:WJD40"/>
    <mergeCell ref="WJE40:WJF40"/>
    <mergeCell ref="WJG40:WJH40"/>
    <mergeCell ref="WJI40:WJJ40"/>
    <mergeCell ref="WJK40:WJL40"/>
    <mergeCell ref="WJM40:WJN40"/>
    <mergeCell ref="WOE40:WOF40"/>
    <mergeCell ref="WOG40:WOH40"/>
    <mergeCell ref="WOI40:WOJ40"/>
    <mergeCell ref="WOK40:WOL40"/>
    <mergeCell ref="WOM40:WON40"/>
    <mergeCell ref="WOO40:WOP40"/>
    <mergeCell ref="WNS40:WNT40"/>
    <mergeCell ref="WNU40:WNV40"/>
    <mergeCell ref="WNW40:WNX40"/>
    <mergeCell ref="WNY40:WNZ40"/>
    <mergeCell ref="WOA40:WOB40"/>
    <mergeCell ref="WOC40:WOD40"/>
    <mergeCell ref="WNG40:WNH40"/>
    <mergeCell ref="WNI40:WNJ40"/>
    <mergeCell ref="WNK40:WNL40"/>
    <mergeCell ref="WNM40:WNN40"/>
    <mergeCell ref="WNO40:WNP40"/>
    <mergeCell ref="WNQ40:WNR40"/>
    <mergeCell ref="WMU40:WMV40"/>
    <mergeCell ref="WMW40:WMX40"/>
    <mergeCell ref="WMY40:WMZ40"/>
    <mergeCell ref="WNA40:WNB40"/>
    <mergeCell ref="WNC40:WND40"/>
    <mergeCell ref="WNE40:WNF40"/>
    <mergeCell ref="WMI40:WMJ40"/>
    <mergeCell ref="WMK40:WML40"/>
    <mergeCell ref="WMM40:WMN40"/>
    <mergeCell ref="WMO40:WMP40"/>
    <mergeCell ref="WMQ40:WMR40"/>
    <mergeCell ref="WMS40:WMT40"/>
    <mergeCell ref="WLW40:WLX40"/>
    <mergeCell ref="WLY40:WLZ40"/>
    <mergeCell ref="WMA40:WMB40"/>
    <mergeCell ref="WMC40:WMD40"/>
    <mergeCell ref="WME40:WMF40"/>
    <mergeCell ref="WMG40:WMH40"/>
    <mergeCell ref="WQY40:WQZ40"/>
    <mergeCell ref="WRA40:WRB40"/>
    <mergeCell ref="WRC40:WRD40"/>
    <mergeCell ref="WRE40:WRF40"/>
    <mergeCell ref="WRG40:WRH40"/>
    <mergeCell ref="WRI40:WRJ40"/>
    <mergeCell ref="WQM40:WQN40"/>
    <mergeCell ref="WQO40:WQP40"/>
    <mergeCell ref="WQQ40:WQR40"/>
    <mergeCell ref="WQS40:WQT40"/>
    <mergeCell ref="WQU40:WQV40"/>
    <mergeCell ref="WQW40:WQX40"/>
    <mergeCell ref="WQA40:WQB40"/>
    <mergeCell ref="WQC40:WQD40"/>
    <mergeCell ref="WQE40:WQF40"/>
    <mergeCell ref="WQG40:WQH40"/>
    <mergeCell ref="WQI40:WQJ40"/>
    <mergeCell ref="WQK40:WQL40"/>
    <mergeCell ref="WPO40:WPP40"/>
    <mergeCell ref="WPQ40:WPR40"/>
    <mergeCell ref="WPS40:WPT40"/>
    <mergeCell ref="WPU40:WPV40"/>
    <mergeCell ref="WPW40:WPX40"/>
    <mergeCell ref="WPY40:WPZ40"/>
    <mergeCell ref="WPC40:WPD40"/>
    <mergeCell ref="WPE40:WPF40"/>
    <mergeCell ref="WPG40:WPH40"/>
    <mergeCell ref="WPI40:WPJ40"/>
    <mergeCell ref="WPK40:WPL40"/>
    <mergeCell ref="WPM40:WPN40"/>
    <mergeCell ref="WOQ40:WOR40"/>
    <mergeCell ref="WOS40:WOT40"/>
    <mergeCell ref="WOU40:WOV40"/>
    <mergeCell ref="WOW40:WOX40"/>
    <mergeCell ref="WOY40:WOZ40"/>
    <mergeCell ref="WPA40:WPB40"/>
    <mergeCell ref="WTS40:WTT40"/>
    <mergeCell ref="WTU40:WTV40"/>
    <mergeCell ref="WTW40:WTX40"/>
    <mergeCell ref="WTY40:WTZ40"/>
    <mergeCell ref="WUA40:WUB40"/>
    <mergeCell ref="WUC40:WUD40"/>
    <mergeCell ref="WTG40:WTH40"/>
    <mergeCell ref="WTI40:WTJ40"/>
    <mergeCell ref="WTK40:WTL40"/>
    <mergeCell ref="WTM40:WTN40"/>
    <mergeCell ref="WTO40:WTP40"/>
    <mergeCell ref="WTQ40:WTR40"/>
    <mergeCell ref="WSU40:WSV40"/>
    <mergeCell ref="WSW40:WSX40"/>
    <mergeCell ref="WSY40:WSZ40"/>
    <mergeCell ref="WTA40:WTB40"/>
    <mergeCell ref="WTC40:WTD40"/>
    <mergeCell ref="WTE40:WTF40"/>
    <mergeCell ref="WSI40:WSJ40"/>
    <mergeCell ref="WSK40:WSL40"/>
    <mergeCell ref="WSM40:WSN40"/>
    <mergeCell ref="WSO40:WSP40"/>
    <mergeCell ref="WSQ40:WSR40"/>
    <mergeCell ref="WSS40:WST40"/>
    <mergeCell ref="WRW40:WRX40"/>
    <mergeCell ref="WRY40:WRZ40"/>
    <mergeCell ref="WSA40:WSB40"/>
    <mergeCell ref="WSC40:WSD40"/>
    <mergeCell ref="WSE40:WSF40"/>
    <mergeCell ref="WSG40:WSH40"/>
    <mergeCell ref="WRK40:WRL40"/>
    <mergeCell ref="WRM40:WRN40"/>
    <mergeCell ref="WRO40:WRP40"/>
    <mergeCell ref="WRQ40:WRR40"/>
    <mergeCell ref="WRS40:WRT40"/>
    <mergeCell ref="WRU40:WRV40"/>
    <mergeCell ref="WWM40:WWN40"/>
    <mergeCell ref="WWO40:WWP40"/>
    <mergeCell ref="WWQ40:WWR40"/>
    <mergeCell ref="WWS40:WWT40"/>
    <mergeCell ref="WWU40:WWV40"/>
    <mergeCell ref="WWW40:WWX40"/>
    <mergeCell ref="WWA40:WWB40"/>
    <mergeCell ref="WWC40:WWD40"/>
    <mergeCell ref="WWE40:WWF40"/>
    <mergeCell ref="WWG40:WWH40"/>
    <mergeCell ref="WWI40:WWJ40"/>
    <mergeCell ref="WWK40:WWL40"/>
    <mergeCell ref="WVO40:WVP40"/>
    <mergeCell ref="WVQ40:WVR40"/>
    <mergeCell ref="WVS40:WVT40"/>
    <mergeCell ref="WVU40:WVV40"/>
    <mergeCell ref="WVW40:WVX40"/>
    <mergeCell ref="WVY40:WVZ40"/>
    <mergeCell ref="WVC40:WVD40"/>
    <mergeCell ref="WVE40:WVF40"/>
    <mergeCell ref="WVG40:WVH40"/>
    <mergeCell ref="WVI40:WVJ40"/>
    <mergeCell ref="WVK40:WVL40"/>
    <mergeCell ref="WVM40:WVN40"/>
    <mergeCell ref="WUQ40:WUR40"/>
    <mergeCell ref="WUS40:WUT40"/>
    <mergeCell ref="WUU40:WUV40"/>
    <mergeCell ref="WUW40:WUX40"/>
    <mergeCell ref="WUY40:WUZ40"/>
    <mergeCell ref="WVA40:WVB40"/>
    <mergeCell ref="WUE40:WUF40"/>
    <mergeCell ref="WUG40:WUH40"/>
    <mergeCell ref="WUI40:WUJ40"/>
    <mergeCell ref="WUK40:WUL40"/>
    <mergeCell ref="WUM40:WUN40"/>
    <mergeCell ref="WUO40:WUP40"/>
    <mergeCell ref="WZG40:WZH40"/>
    <mergeCell ref="WZI40:WZJ40"/>
    <mergeCell ref="WZK40:WZL40"/>
    <mergeCell ref="WZM40:WZN40"/>
    <mergeCell ref="WZO40:WZP40"/>
    <mergeCell ref="WZQ40:WZR40"/>
    <mergeCell ref="WYU40:WYV40"/>
    <mergeCell ref="WYW40:WYX40"/>
    <mergeCell ref="WYY40:WYZ40"/>
    <mergeCell ref="WZA40:WZB40"/>
    <mergeCell ref="WZC40:WZD40"/>
    <mergeCell ref="WZE40:WZF40"/>
    <mergeCell ref="WYI40:WYJ40"/>
    <mergeCell ref="WYK40:WYL40"/>
    <mergeCell ref="WYM40:WYN40"/>
    <mergeCell ref="WYO40:WYP40"/>
    <mergeCell ref="WYQ40:WYR40"/>
    <mergeCell ref="WYS40:WYT40"/>
    <mergeCell ref="WXW40:WXX40"/>
    <mergeCell ref="WXY40:WXZ40"/>
    <mergeCell ref="WYA40:WYB40"/>
    <mergeCell ref="WYC40:WYD40"/>
    <mergeCell ref="WYE40:WYF40"/>
    <mergeCell ref="WYG40:WYH40"/>
    <mergeCell ref="WXK40:WXL40"/>
    <mergeCell ref="WXM40:WXN40"/>
    <mergeCell ref="WXO40:WXP40"/>
    <mergeCell ref="WXQ40:WXR40"/>
    <mergeCell ref="WXS40:WXT40"/>
    <mergeCell ref="WXU40:WXV40"/>
    <mergeCell ref="WWY40:WWZ40"/>
    <mergeCell ref="WXA40:WXB40"/>
    <mergeCell ref="WXC40:WXD40"/>
    <mergeCell ref="WXE40:WXF40"/>
    <mergeCell ref="WXG40:WXH40"/>
    <mergeCell ref="WXI40:WXJ40"/>
    <mergeCell ref="XCE40:XCF40"/>
    <mergeCell ref="XCG40:XCH40"/>
    <mergeCell ref="XCI40:XCJ40"/>
    <mergeCell ref="XCK40:XCL40"/>
    <mergeCell ref="XBO40:XBP40"/>
    <mergeCell ref="XBQ40:XBR40"/>
    <mergeCell ref="XBS40:XBT40"/>
    <mergeCell ref="XBU40:XBV40"/>
    <mergeCell ref="XBW40:XBX40"/>
    <mergeCell ref="XBY40:XBZ40"/>
    <mergeCell ref="XBC40:XBD40"/>
    <mergeCell ref="XBE40:XBF40"/>
    <mergeCell ref="XBG40:XBH40"/>
    <mergeCell ref="XBI40:XBJ40"/>
    <mergeCell ref="XBK40:XBL40"/>
    <mergeCell ref="XBM40:XBN40"/>
    <mergeCell ref="XAQ40:XAR40"/>
    <mergeCell ref="XAS40:XAT40"/>
    <mergeCell ref="XAU40:XAV40"/>
    <mergeCell ref="XAW40:XAX40"/>
    <mergeCell ref="XAY40:XAZ40"/>
    <mergeCell ref="XBA40:XBB40"/>
    <mergeCell ref="XAE40:XAF40"/>
    <mergeCell ref="XAG40:XAH40"/>
    <mergeCell ref="XAI40:XAJ40"/>
    <mergeCell ref="XAK40:XAL40"/>
    <mergeCell ref="XAM40:XAN40"/>
    <mergeCell ref="XAO40:XAP40"/>
    <mergeCell ref="WZS40:WZT40"/>
    <mergeCell ref="WZU40:WZV40"/>
    <mergeCell ref="WZW40:WZX40"/>
    <mergeCell ref="WZY40:WZZ40"/>
    <mergeCell ref="XAA40:XAB40"/>
    <mergeCell ref="XAC40:XAD40"/>
    <mergeCell ref="AE50:AF50"/>
    <mergeCell ref="AG50:AH50"/>
    <mergeCell ref="AI50:AJ50"/>
    <mergeCell ref="AK50:AL50"/>
    <mergeCell ref="AM50:AN50"/>
    <mergeCell ref="AO50:AP50"/>
    <mergeCell ref="O50:R50"/>
    <mergeCell ref="S50:V50"/>
    <mergeCell ref="AA50:AB50"/>
    <mergeCell ref="AC50:AD50"/>
    <mergeCell ref="XEI40:XEJ40"/>
    <mergeCell ref="XEK40:XEL40"/>
    <mergeCell ref="XEM40:XEN40"/>
    <mergeCell ref="C50:F50"/>
    <mergeCell ref="G50:J50"/>
    <mergeCell ref="K50:N50"/>
    <mergeCell ref="XDW40:XDX40"/>
    <mergeCell ref="XDY40:XDZ40"/>
    <mergeCell ref="XEA40:XEB40"/>
    <mergeCell ref="XEC40:XED40"/>
    <mergeCell ref="XEE40:XEF40"/>
    <mergeCell ref="XEG40:XEH40"/>
    <mergeCell ref="XDK40:XDL40"/>
    <mergeCell ref="XDM40:XDN40"/>
    <mergeCell ref="XDO40:XDP40"/>
    <mergeCell ref="XDQ40:XDR40"/>
    <mergeCell ref="XDS40:XDT40"/>
    <mergeCell ref="XDU40:XDV40"/>
    <mergeCell ref="XCY40:XCZ40"/>
    <mergeCell ref="XDA40:XDB40"/>
    <mergeCell ref="XDC40:XDD40"/>
    <mergeCell ref="XDE40:XDF40"/>
    <mergeCell ref="XDG40:XDH40"/>
    <mergeCell ref="XDI40:XDJ40"/>
    <mergeCell ref="XCM40:XCN40"/>
    <mergeCell ref="XCO40:XCP40"/>
    <mergeCell ref="XCQ40:XCR40"/>
    <mergeCell ref="XCS40:XCT40"/>
    <mergeCell ref="XCU40:XCV40"/>
    <mergeCell ref="XCW40:XCX40"/>
    <mergeCell ref="XCA40:XCB40"/>
    <mergeCell ref="XCC40:XCD40"/>
    <mergeCell ref="EI50:EJ50"/>
    <mergeCell ref="EK50:EL50"/>
    <mergeCell ref="EM50:EN50"/>
    <mergeCell ref="EO50:EP50"/>
    <mergeCell ref="EQ50:ER50"/>
    <mergeCell ref="ES50:ET50"/>
    <mergeCell ref="DW50:DX50"/>
    <mergeCell ref="DY50:DZ50"/>
    <mergeCell ref="EA50:EB50"/>
    <mergeCell ref="EC50:ED50"/>
    <mergeCell ref="EE50:EF50"/>
    <mergeCell ref="EG50:EH50"/>
    <mergeCell ref="DK50:DL50"/>
    <mergeCell ref="DM50:DN50"/>
    <mergeCell ref="DO50:DP50"/>
    <mergeCell ref="DQ50:DR50"/>
    <mergeCell ref="IA50:IB50"/>
    <mergeCell ref="DS50:DT50"/>
    <mergeCell ref="IC50:ID50"/>
    <mergeCell ref="DU50:DV50"/>
    <mergeCell ref="IE50:IF50"/>
    <mergeCell ref="IG50:IH50"/>
    <mergeCell ref="II50:IJ50"/>
    <mergeCell ref="IK50:IL50"/>
    <mergeCell ref="HO50:HP50"/>
    <mergeCell ref="HQ50:HR50"/>
    <mergeCell ref="HS50:HT50"/>
    <mergeCell ref="HU50:HV50"/>
    <mergeCell ref="HW50:HX50"/>
    <mergeCell ref="HY50:HZ50"/>
    <mergeCell ref="CY50:CZ50"/>
    <mergeCell ref="DA50:DB50"/>
    <mergeCell ref="DC50:DD50"/>
    <mergeCell ref="DE50:DF50"/>
    <mergeCell ref="DG50:DH50"/>
    <mergeCell ref="DI50:DJ50"/>
    <mergeCell ref="CM50:CN50"/>
    <mergeCell ref="CO50:CP50"/>
    <mergeCell ref="CQ50:CR50"/>
    <mergeCell ref="CS50:CT50"/>
    <mergeCell ref="CU50:CV50"/>
    <mergeCell ref="CW50:CX50"/>
    <mergeCell ref="CA50:CB50"/>
    <mergeCell ref="CC50:CD50"/>
    <mergeCell ref="CE50:CF50"/>
    <mergeCell ref="CG50:CH50"/>
    <mergeCell ref="CI50:CJ50"/>
    <mergeCell ref="CK50:CL50"/>
    <mergeCell ref="HC50:HD50"/>
    <mergeCell ref="HE50:HF50"/>
    <mergeCell ref="HG50:HH50"/>
    <mergeCell ref="HI50:HJ50"/>
    <mergeCell ref="HK50:HL50"/>
    <mergeCell ref="HM50:HN50"/>
    <mergeCell ref="GQ50:GR50"/>
    <mergeCell ref="GS50:GT50"/>
    <mergeCell ref="GU50:GV50"/>
    <mergeCell ref="GW50:GX50"/>
    <mergeCell ref="GY50:GZ50"/>
    <mergeCell ref="HA50:HB50"/>
    <mergeCell ref="GE50:GF50"/>
    <mergeCell ref="GG50:GH50"/>
    <mergeCell ref="GI50:GJ50"/>
    <mergeCell ref="GK50:GL50"/>
    <mergeCell ref="GM50:GN50"/>
    <mergeCell ref="GO50:GP50"/>
    <mergeCell ref="FS50:FT50"/>
    <mergeCell ref="FU50:FV50"/>
    <mergeCell ref="FW50:FX50"/>
    <mergeCell ref="FY50:FZ50"/>
    <mergeCell ref="GA50:GB50"/>
    <mergeCell ref="GC50:GD50"/>
    <mergeCell ref="FG50:FH50"/>
    <mergeCell ref="FI50:FJ50"/>
    <mergeCell ref="FK50:FL50"/>
    <mergeCell ref="FM50:FN50"/>
    <mergeCell ref="FO50:FP50"/>
    <mergeCell ref="FQ50:FR50"/>
    <mergeCell ref="EU50:EV50"/>
    <mergeCell ref="EW50:EX50"/>
    <mergeCell ref="EY50:EZ50"/>
    <mergeCell ref="FA50:FB50"/>
    <mergeCell ref="FC50:FD50"/>
    <mergeCell ref="FE50:FF50"/>
    <mergeCell ref="KU50:KV50"/>
    <mergeCell ref="KW50:KX50"/>
    <mergeCell ref="KY50:KZ50"/>
    <mergeCell ref="LA50:LB50"/>
    <mergeCell ref="LC50:LD50"/>
    <mergeCell ref="LE50:LF50"/>
    <mergeCell ref="KI50:KJ50"/>
    <mergeCell ref="KK50:KL50"/>
    <mergeCell ref="KM50:KN50"/>
    <mergeCell ref="KO50:KP50"/>
    <mergeCell ref="KQ50:KR50"/>
    <mergeCell ref="KS50:KT50"/>
    <mergeCell ref="JW50:JX50"/>
    <mergeCell ref="JY50:JZ50"/>
    <mergeCell ref="KA50:KB50"/>
    <mergeCell ref="KC50:KD50"/>
    <mergeCell ref="KE50:KF50"/>
    <mergeCell ref="KG50:KH50"/>
    <mergeCell ref="JK50:JL50"/>
    <mergeCell ref="JM50:JN50"/>
    <mergeCell ref="JO50:JP50"/>
    <mergeCell ref="JQ50:JR50"/>
    <mergeCell ref="JS50:JT50"/>
    <mergeCell ref="JU50:JV50"/>
    <mergeCell ref="IY50:IZ50"/>
    <mergeCell ref="JA50:JB50"/>
    <mergeCell ref="JC50:JD50"/>
    <mergeCell ref="JE50:JF50"/>
    <mergeCell ref="JG50:JH50"/>
    <mergeCell ref="JI50:JJ50"/>
    <mergeCell ref="IM50:IN50"/>
    <mergeCell ref="IO50:IP50"/>
    <mergeCell ref="IQ50:IR50"/>
    <mergeCell ref="IS50:IT50"/>
    <mergeCell ref="IU50:IV50"/>
    <mergeCell ref="IW50:IX50"/>
    <mergeCell ref="NO50:NP50"/>
    <mergeCell ref="NQ50:NR50"/>
    <mergeCell ref="NS50:NT50"/>
    <mergeCell ref="NU50:NV50"/>
    <mergeCell ref="NW50:NX50"/>
    <mergeCell ref="NY50:NZ50"/>
    <mergeCell ref="NC50:ND50"/>
    <mergeCell ref="NE50:NF50"/>
    <mergeCell ref="NG50:NH50"/>
    <mergeCell ref="NI50:NJ50"/>
    <mergeCell ref="NK50:NL50"/>
    <mergeCell ref="NM50:NN50"/>
    <mergeCell ref="MQ50:MR50"/>
    <mergeCell ref="MS50:MT50"/>
    <mergeCell ref="MU50:MV50"/>
    <mergeCell ref="MW50:MX50"/>
    <mergeCell ref="MY50:MZ50"/>
    <mergeCell ref="NA50:NB50"/>
    <mergeCell ref="ME50:MF50"/>
    <mergeCell ref="MG50:MH50"/>
    <mergeCell ref="MI50:MJ50"/>
    <mergeCell ref="MK50:ML50"/>
    <mergeCell ref="MM50:MN50"/>
    <mergeCell ref="MO50:MP50"/>
    <mergeCell ref="LS50:LT50"/>
    <mergeCell ref="LU50:LV50"/>
    <mergeCell ref="LW50:LX50"/>
    <mergeCell ref="LY50:LZ50"/>
    <mergeCell ref="MA50:MB50"/>
    <mergeCell ref="MC50:MD50"/>
    <mergeCell ref="LG50:LH50"/>
    <mergeCell ref="LI50:LJ50"/>
    <mergeCell ref="LK50:LL50"/>
    <mergeCell ref="LM50:LN50"/>
    <mergeCell ref="LO50:LP50"/>
    <mergeCell ref="LQ50:LR50"/>
    <mergeCell ref="QI50:QJ50"/>
    <mergeCell ref="QK50:QL50"/>
    <mergeCell ref="QM50:QN50"/>
    <mergeCell ref="QO50:QP50"/>
    <mergeCell ref="QQ50:QR50"/>
    <mergeCell ref="QS50:QT50"/>
    <mergeCell ref="PW50:PX50"/>
    <mergeCell ref="PY50:PZ50"/>
    <mergeCell ref="QA50:QB50"/>
    <mergeCell ref="QC50:QD50"/>
    <mergeCell ref="QE50:QF50"/>
    <mergeCell ref="QG50:QH50"/>
    <mergeCell ref="PK50:PL50"/>
    <mergeCell ref="PM50:PN50"/>
    <mergeCell ref="PO50:PP50"/>
    <mergeCell ref="PQ50:PR50"/>
    <mergeCell ref="PS50:PT50"/>
    <mergeCell ref="PU50:PV50"/>
    <mergeCell ref="OY50:OZ50"/>
    <mergeCell ref="PA50:PB50"/>
    <mergeCell ref="PC50:PD50"/>
    <mergeCell ref="PE50:PF50"/>
    <mergeCell ref="PG50:PH50"/>
    <mergeCell ref="PI50:PJ50"/>
    <mergeCell ref="OM50:ON50"/>
    <mergeCell ref="OO50:OP50"/>
    <mergeCell ref="OQ50:OR50"/>
    <mergeCell ref="OS50:OT50"/>
    <mergeCell ref="OU50:OV50"/>
    <mergeCell ref="OW50:OX50"/>
    <mergeCell ref="OA50:OB50"/>
    <mergeCell ref="OC50:OD50"/>
    <mergeCell ref="OE50:OF50"/>
    <mergeCell ref="OG50:OH50"/>
    <mergeCell ref="OI50:OJ50"/>
    <mergeCell ref="OK50:OL50"/>
    <mergeCell ref="TC50:TD50"/>
    <mergeCell ref="TE50:TF50"/>
    <mergeCell ref="TG50:TH50"/>
    <mergeCell ref="TI50:TJ50"/>
    <mergeCell ref="TK50:TL50"/>
    <mergeCell ref="TM50:TN50"/>
    <mergeCell ref="SQ50:SR50"/>
    <mergeCell ref="SS50:ST50"/>
    <mergeCell ref="SU50:SV50"/>
    <mergeCell ref="SW50:SX50"/>
    <mergeCell ref="SY50:SZ50"/>
    <mergeCell ref="TA50:TB50"/>
    <mergeCell ref="SE50:SF50"/>
    <mergeCell ref="SG50:SH50"/>
    <mergeCell ref="SI50:SJ50"/>
    <mergeCell ref="SK50:SL50"/>
    <mergeCell ref="SM50:SN50"/>
    <mergeCell ref="SO50:SP50"/>
    <mergeCell ref="RS50:RT50"/>
    <mergeCell ref="RU50:RV50"/>
    <mergeCell ref="RW50:RX50"/>
    <mergeCell ref="RY50:RZ50"/>
    <mergeCell ref="SA50:SB50"/>
    <mergeCell ref="SC50:SD50"/>
    <mergeCell ref="RG50:RH50"/>
    <mergeCell ref="RI50:RJ50"/>
    <mergeCell ref="RK50:RL50"/>
    <mergeCell ref="RM50:RN50"/>
    <mergeCell ref="RO50:RP50"/>
    <mergeCell ref="RQ50:RR50"/>
    <mergeCell ref="QU50:QV50"/>
    <mergeCell ref="QW50:QX50"/>
    <mergeCell ref="QY50:QZ50"/>
    <mergeCell ref="RA50:RB50"/>
    <mergeCell ref="RC50:RD50"/>
    <mergeCell ref="RE50:RF50"/>
    <mergeCell ref="VW50:VX50"/>
    <mergeCell ref="VY50:VZ50"/>
    <mergeCell ref="WA50:WB50"/>
    <mergeCell ref="WC50:WD50"/>
    <mergeCell ref="WE50:WF50"/>
    <mergeCell ref="WG50:WH50"/>
    <mergeCell ref="VK50:VL50"/>
    <mergeCell ref="VM50:VN50"/>
    <mergeCell ref="VO50:VP50"/>
    <mergeCell ref="VQ50:VR50"/>
    <mergeCell ref="VS50:VT50"/>
    <mergeCell ref="VU50:VV50"/>
    <mergeCell ref="UY50:UZ50"/>
    <mergeCell ref="VA50:VB50"/>
    <mergeCell ref="VC50:VD50"/>
    <mergeCell ref="VE50:VF50"/>
    <mergeCell ref="VG50:VH50"/>
    <mergeCell ref="VI50:VJ50"/>
    <mergeCell ref="UM50:UN50"/>
    <mergeCell ref="UO50:UP50"/>
    <mergeCell ref="UQ50:UR50"/>
    <mergeCell ref="US50:UT50"/>
    <mergeCell ref="UU50:UV50"/>
    <mergeCell ref="UW50:UX50"/>
    <mergeCell ref="UA50:UB50"/>
    <mergeCell ref="UC50:UD50"/>
    <mergeCell ref="UE50:UF50"/>
    <mergeCell ref="UG50:UH50"/>
    <mergeCell ref="UI50:UJ50"/>
    <mergeCell ref="UK50:UL50"/>
    <mergeCell ref="TO50:TP50"/>
    <mergeCell ref="TQ50:TR50"/>
    <mergeCell ref="TS50:TT50"/>
    <mergeCell ref="TU50:TV50"/>
    <mergeCell ref="TW50:TX50"/>
    <mergeCell ref="TY50:TZ50"/>
    <mergeCell ref="YQ50:YR50"/>
    <mergeCell ref="YS50:YT50"/>
    <mergeCell ref="YU50:YV50"/>
    <mergeCell ref="YW50:YX50"/>
    <mergeCell ref="YY50:YZ50"/>
    <mergeCell ref="ZA50:ZB50"/>
    <mergeCell ref="YE50:YF50"/>
    <mergeCell ref="YG50:YH50"/>
    <mergeCell ref="YI50:YJ50"/>
    <mergeCell ref="YK50:YL50"/>
    <mergeCell ref="YM50:YN50"/>
    <mergeCell ref="YO50:YP50"/>
    <mergeCell ref="XS50:XT50"/>
    <mergeCell ref="XU50:XV50"/>
    <mergeCell ref="XW50:XX50"/>
    <mergeCell ref="XY50:XZ50"/>
    <mergeCell ref="YA50:YB50"/>
    <mergeCell ref="YC50:YD50"/>
    <mergeCell ref="XG50:XH50"/>
    <mergeCell ref="XI50:XJ50"/>
    <mergeCell ref="XK50:XL50"/>
    <mergeCell ref="XM50:XN50"/>
    <mergeCell ref="XO50:XP50"/>
    <mergeCell ref="XQ50:XR50"/>
    <mergeCell ref="WU50:WV50"/>
    <mergeCell ref="WW50:WX50"/>
    <mergeCell ref="WY50:WZ50"/>
    <mergeCell ref="XA50:XB50"/>
    <mergeCell ref="XC50:XD50"/>
    <mergeCell ref="XE50:XF50"/>
    <mergeCell ref="WI50:WJ50"/>
    <mergeCell ref="WK50:WL50"/>
    <mergeCell ref="WM50:WN50"/>
    <mergeCell ref="WO50:WP50"/>
    <mergeCell ref="WQ50:WR50"/>
    <mergeCell ref="WS50:WT50"/>
    <mergeCell ref="ABK50:ABL50"/>
    <mergeCell ref="ABM50:ABN50"/>
    <mergeCell ref="ABO50:ABP50"/>
    <mergeCell ref="ABQ50:ABR50"/>
    <mergeCell ref="ABS50:ABT50"/>
    <mergeCell ref="ABU50:ABV50"/>
    <mergeCell ref="AAY50:AAZ50"/>
    <mergeCell ref="ABA50:ABB50"/>
    <mergeCell ref="ABC50:ABD50"/>
    <mergeCell ref="ABE50:ABF50"/>
    <mergeCell ref="ABG50:ABH50"/>
    <mergeCell ref="ABI50:ABJ50"/>
    <mergeCell ref="AAM50:AAN50"/>
    <mergeCell ref="AAO50:AAP50"/>
    <mergeCell ref="AAQ50:AAR50"/>
    <mergeCell ref="AAS50:AAT50"/>
    <mergeCell ref="AAU50:AAV50"/>
    <mergeCell ref="AAW50:AAX50"/>
    <mergeCell ref="AAA50:AAB50"/>
    <mergeCell ref="AAC50:AAD50"/>
    <mergeCell ref="AAE50:AAF50"/>
    <mergeCell ref="AAG50:AAH50"/>
    <mergeCell ref="AAI50:AAJ50"/>
    <mergeCell ref="AAK50:AAL50"/>
    <mergeCell ref="ZO50:ZP50"/>
    <mergeCell ref="ZQ50:ZR50"/>
    <mergeCell ref="ZS50:ZT50"/>
    <mergeCell ref="ZU50:ZV50"/>
    <mergeCell ref="ZW50:ZX50"/>
    <mergeCell ref="ZY50:ZZ50"/>
    <mergeCell ref="ZC50:ZD50"/>
    <mergeCell ref="ZE50:ZF50"/>
    <mergeCell ref="ZG50:ZH50"/>
    <mergeCell ref="ZI50:ZJ50"/>
    <mergeCell ref="ZK50:ZL50"/>
    <mergeCell ref="ZM50:ZN50"/>
    <mergeCell ref="AEE50:AEF50"/>
    <mergeCell ref="AEG50:AEH50"/>
    <mergeCell ref="AEI50:AEJ50"/>
    <mergeCell ref="AEK50:AEL50"/>
    <mergeCell ref="AEM50:AEN50"/>
    <mergeCell ref="AEO50:AEP50"/>
    <mergeCell ref="ADS50:ADT50"/>
    <mergeCell ref="ADU50:ADV50"/>
    <mergeCell ref="ADW50:ADX50"/>
    <mergeCell ref="ADY50:ADZ50"/>
    <mergeCell ref="AEA50:AEB50"/>
    <mergeCell ref="AEC50:AED50"/>
    <mergeCell ref="ADG50:ADH50"/>
    <mergeCell ref="ADI50:ADJ50"/>
    <mergeCell ref="ADK50:ADL50"/>
    <mergeCell ref="ADM50:ADN50"/>
    <mergeCell ref="ADO50:ADP50"/>
    <mergeCell ref="ADQ50:ADR50"/>
    <mergeCell ref="ACU50:ACV50"/>
    <mergeCell ref="ACW50:ACX50"/>
    <mergeCell ref="ACY50:ACZ50"/>
    <mergeCell ref="ADA50:ADB50"/>
    <mergeCell ref="ADC50:ADD50"/>
    <mergeCell ref="ADE50:ADF50"/>
    <mergeCell ref="ACI50:ACJ50"/>
    <mergeCell ref="ACK50:ACL50"/>
    <mergeCell ref="ACM50:ACN50"/>
    <mergeCell ref="ACO50:ACP50"/>
    <mergeCell ref="ACQ50:ACR50"/>
    <mergeCell ref="ACS50:ACT50"/>
    <mergeCell ref="ABW50:ABX50"/>
    <mergeCell ref="ABY50:ABZ50"/>
    <mergeCell ref="ACA50:ACB50"/>
    <mergeCell ref="ACC50:ACD50"/>
    <mergeCell ref="ACE50:ACF50"/>
    <mergeCell ref="ACG50:ACH50"/>
    <mergeCell ref="AGY50:AGZ50"/>
    <mergeCell ref="AHA50:AHB50"/>
    <mergeCell ref="AHC50:AHD50"/>
    <mergeCell ref="AHE50:AHF50"/>
    <mergeCell ref="AHG50:AHH50"/>
    <mergeCell ref="AHI50:AHJ50"/>
    <mergeCell ref="AGM50:AGN50"/>
    <mergeCell ref="AGO50:AGP50"/>
    <mergeCell ref="AGQ50:AGR50"/>
    <mergeCell ref="AGS50:AGT50"/>
    <mergeCell ref="AGU50:AGV50"/>
    <mergeCell ref="AGW50:AGX50"/>
    <mergeCell ref="AGA50:AGB50"/>
    <mergeCell ref="AGC50:AGD50"/>
    <mergeCell ref="AGE50:AGF50"/>
    <mergeCell ref="AGG50:AGH50"/>
    <mergeCell ref="AGI50:AGJ50"/>
    <mergeCell ref="AGK50:AGL50"/>
    <mergeCell ref="AFO50:AFP50"/>
    <mergeCell ref="AFQ50:AFR50"/>
    <mergeCell ref="AFS50:AFT50"/>
    <mergeCell ref="AFU50:AFV50"/>
    <mergeCell ref="AFW50:AFX50"/>
    <mergeCell ref="AFY50:AFZ50"/>
    <mergeCell ref="AFC50:AFD50"/>
    <mergeCell ref="AFE50:AFF50"/>
    <mergeCell ref="AFG50:AFH50"/>
    <mergeCell ref="AFI50:AFJ50"/>
    <mergeCell ref="AFK50:AFL50"/>
    <mergeCell ref="AFM50:AFN50"/>
    <mergeCell ref="AEQ50:AER50"/>
    <mergeCell ref="AES50:AET50"/>
    <mergeCell ref="AEU50:AEV50"/>
    <mergeCell ref="AEW50:AEX50"/>
    <mergeCell ref="AEY50:AEZ50"/>
    <mergeCell ref="AFA50:AFB50"/>
    <mergeCell ref="AJS50:AJT50"/>
    <mergeCell ref="AJU50:AJV50"/>
    <mergeCell ref="AJW50:AJX50"/>
    <mergeCell ref="AJY50:AJZ50"/>
    <mergeCell ref="AKA50:AKB50"/>
    <mergeCell ref="AKC50:AKD50"/>
    <mergeCell ref="AJG50:AJH50"/>
    <mergeCell ref="AJI50:AJJ50"/>
    <mergeCell ref="AJK50:AJL50"/>
    <mergeCell ref="AJM50:AJN50"/>
    <mergeCell ref="AJO50:AJP50"/>
    <mergeCell ref="AJQ50:AJR50"/>
    <mergeCell ref="AIU50:AIV50"/>
    <mergeCell ref="AIW50:AIX50"/>
    <mergeCell ref="AIY50:AIZ50"/>
    <mergeCell ref="AJA50:AJB50"/>
    <mergeCell ref="AJC50:AJD50"/>
    <mergeCell ref="AJE50:AJF50"/>
    <mergeCell ref="AII50:AIJ50"/>
    <mergeCell ref="AIK50:AIL50"/>
    <mergeCell ref="AIM50:AIN50"/>
    <mergeCell ref="AIO50:AIP50"/>
    <mergeCell ref="AIQ50:AIR50"/>
    <mergeCell ref="AIS50:AIT50"/>
    <mergeCell ref="AHW50:AHX50"/>
    <mergeCell ref="AHY50:AHZ50"/>
    <mergeCell ref="AIA50:AIB50"/>
    <mergeCell ref="AIC50:AID50"/>
    <mergeCell ref="AIE50:AIF50"/>
    <mergeCell ref="AIG50:AIH50"/>
    <mergeCell ref="AHK50:AHL50"/>
    <mergeCell ref="AHM50:AHN50"/>
    <mergeCell ref="AHO50:AHP50"/>
    <mergeCell ref="AHQ50:AHR50"/>
    <mergeCell ref="AHS50:AHT50"/>
    <mergeCell ref="AHU50:AHV50"/>
    <mergeCell ref="AMM50:AMN50"/>
    <mergeCell ref="AMO50:AMP50"/>
    <mergeCell ref="AMQ50:AMR50"/>
    <mergeCell ref="AMS50:AMT50"/>
    <mergeCell ref="AMU50:AMV50"/>
    <mergeCell ref="AMW50:AMX50"/>
    <mergeCell ref="AMA50:AMB50"/>
    <mergeCell ref="AMC50:AMD50"/>
    <mergeCell ref="AME50:AMF50"/>
    <mergeCell ref="AMG50:AMH50"/>
    <mergeCell ref="AMI50:AMJ50"/>
    <mergeCell ref="AMK50:AML50"/>
    <mergeCell ref="ALO50:ALP50"/>
    <mergeCell ref="ALQ50:ALR50"/>
    <mergeCell ref="ALS50:ALT50"/>
    <mergeCell ref="ALU50:ALV50"/>
    <mergeCell ref="ALW50:ALX50"/>
    <mergeCell ref="ALY50:ALZ50"/>
    <mergeCell ref="ALC50:ALD50"/>
    <mergeCell ref="ALE50:ALF50"/>
    <mergeCell ref="ALG50:ALH50"/>
    <mergeCell ref="ALI50:ALJ50"/>
    <mergeCell ref="ALK50:ALL50"/>
    <mergeCell ref="ALM50:ALN50"/>
    <mergeCell ref="AKQ50:AKR50"/>
    <mergeCell ref="AKS50:AKT50"/>
    <mergeCell ref="AKU50:AKV50"/>
    <mergeCell ref="AKW50:AKX50"/>
    <mergeCell ref="AKY50:AKZ50"/>
    <mergeCell ref="ALA50:ALB50"/>
    <mergeCell ref="AKE50:AKF50"/>
    <mergeCell ref="AKG50:AKH50"/>
    <mergeCell ref="AKI50:AKJ50"/>
    <mergeCell ref="AKK50:AKL50"/>
    <mergeCell ref="AKM50:AKN50"/>
    <mergeCell ref="AKO50:AKP50"/>
    <mergeCell ref="APG50:APH50"/>
    <mergeCell ref="API50:APJ50"/>
    <mergeCell ref="APK50:APL50"/>
    <mergeCell ref="APM50:APN50"/>
    <mergeCell ref="APO50:APP50"/>
    <mergeCell ref="APQ50:APR50"/>
    <mergeCell ref="AOU50:AOV50"/>
    <mergeCell ref="AOW50:AOX50"/>
    <mergeCell ref="AOY50:AOZ50"/>
    <mergeCell ref="APA50:APB50"/>
    <mergeCell ref="APC50:APD50"/>
    <mergeCell ref="APE50:APF50"/>
    <mergeCell ref="AOI50:AOJ50"/>
    <mergeCell ref="AOK50:AOL50"/>
    <mergeCell ref="AOM50:AON50"/>
    <mergeCell ref="AOO50:AOP50"/>
    <mergeCell ref="AOQ50:AOR50"/>
    <mergeCell ref="AOS50:AOT50"/>
    <mergeCell ref="ANW50:ANX50"/>
    <mergeCell ref="ANY50:ANZ50"/>
    <mergeCell ref="AOA50:AOB50"/>
    <mergeCell ref="AOC50:AOD50"/>
    <mergeCell ref="AOE50:AOF50"/>
    <mergeCell ref="AOG50:AOH50"/>
    <mergeCell ref="ANK50:ANL50"/>
    <mergeCell ref="ANM50:ANN50"/>
    <mergeCell ref="ANO50:ANP50"/>
    <mergeCell ref="ANQ50:ANR50"/>
    <mergeCell ref="ANS50:ANT50"/>
    <mergeCell ref="ANU50:ANV50"/>
    <mergeCell ref="AMY50:AMZ50"/>
    <mergeCell ref="ANA50:ANB50"/>
    <mergeCell ref="ANC50:AND50"/>
    <mergeCell ref="ANE50:ANF50"/>
    <mergeCell ref="ANG50:ANH50"/>
    <mergeCell ref="ANI50:ANJ50"/>
    <mergeCell ref="ASA50:ASB50"/>
    <mergeCell ref="ASC50:ASD50"/>
    <mergeCell ref="ASE50:ASF50"/>
    <mergeCell ref="ASG50:ASH50"/>
    <mergeCell ref="ASI50:ASJ50"/>
    <mergeCell ref="ASK50:ASL50"/>
    <mergeCell ref="ARO50:ARP50"/>
    <mergeCell ref="ARQ50:ARR50"/>
    <mergeCell ref="ARS50:ART50"/>
    <mergeCell ref="ARU50:ARV50"/>
    <mergeCell ref="ARW50:ARX50"/>
    <mergeCell ref="ARY50:ARZ50"/>
    <mergeCell ref="ARC50:ARD50"/>
    <mergeCell ref="ARE50:ARF50"/>
    <mergeCell ref="ARG50:ARH50"/>
    <mergeCell ref="ARI50:ARJ50"/>
    <mergeCell ref="ARK50:ARL50"/>
    <mergeCell ref="ARM50:ARN50"/>
    <mergeCell ref="AQQ50:AQR50"/>
    <mergeCell ref="AQS50:AQT50"/>
    <mergeCell ref="AQU50:AQV50"/>
    <mergeCell ref="AQW50:AQX50"/>
    <mergeCell ref="AQY50:AQZ50"/>
    <mergeCell ref="ARA50:ARB50"/>
    <mergeCell ref="AQE50:AQF50"/>
    <mergeCell ref="AQG50:AQH50"/>
    <mergeCell ref="AQI50:AQJ50"/>
    <mergeCell ref="AQK50:AQL50"/>
    <mergeCell ref="AQM50:AQN50"/>
    <mergeCell ref="AQO50:AQP50"/>
    <mergeCell ref="APS50:APT50"/>
    <mergeCell ref="APU50:APV50"/>
    <mergeCell ref="APW50:APX50"/>
    <mergeCell ref="APY50:APZ50"/>
    <mergeCell ref="AQA50:AQB50"/>
    <mergeCell ref="AQC50:AQD50"/>
    <mergeCell ref="AUU50:AUV50"/>
    <mergeCell ref="AUW50:AUX50"/>
    <mergeCell ref="AUY50:AUZ50"/>
    <mergeCell ref="AVA50:AVB50"/>
    <mergeCell ref="AVC50:AVD50"/>
    <mergeCell ref="AVE50:AVF50"/>
    <mergeCell ref="AUI50:AUJ50"/>
    <mergeCell ref="AUK50:AUL50"/>
    <mergeCell ref="AUM50:AUN50"/>
    <mergeCell ref="AUO50:AUP50"/>
    <mergeCell ref="AUQ50:AUR50"/>
    <mergeCell ref="AUS50:AUT50"/>
    <mergeCell ref="ATW50:ATX50"/>
    <mergeCell ref="ATY50:ATZ50"/>
    <mergeCell ref="AUA50:AUB50"/>
    <mergeCell ref="AUC50:AUD50"/>
    <mergeCell ref="AUE50:AUF50"/>
    <mergeCell ref="AUG50:AUH50"/>
    <mergeCell ref="ATK50:ATL50"/>
    <mergeCell ref="ATM50:ATN50"/>
    <mergeCell ref="ATO50:ATP50"/>
    <mergeCell ref="ATQ50:ATR50"/>
    <mergeCell ref="ATS50:ATT50"/>
    <mergeCell ref="ATU50:ATV50"/>
    <mergeCell ref="ASY50:ASZ50"/>
    <mergeCell ref="ATA50:ATB50"/>
    <mergeCell ref="ATC50:ATD50"/>
    <mergeCell ref="ATE50:ATF50"/>
    <mergeCell ref="ATG50:ATH50"/>
    <mergeCell ref="ATI50:ATJ50"/>
    <mergeCell ref="ASM50:ASN50"/>
    <mergeCell ref="ASO50:ASP50"/>
    <mergeCell ref="ASQ50:ASR50"/>
    <mergeCell ref="ASS50:AST50"/>
    <mergeCell ref="ASU50:ASV50"/>
    <mergeCell ref="ASW50:ASX50"/>
    <mergeCell ref="AXO50:AXP50"/>
    <mergeCell ref="AXQ50:AXR50"/>
    <mergeCell ref="AXS50:AXT50"/>
    <mergeCell ref="AXU50:AXV50"/>
    <mergeCell ref="AXW50:AXX50"/>
    <mergeCell ref="AXY50:AXZ50"/>
    <mergeCell ref="AXC50:AXD50"/>
    <mergeCell ref="AXE50:AXF50"/>
    <mergeCell ref="AXG50:AXH50"/>
    <mergeCell ref="AXI50:AXJ50"/>
    <mergeCell ref="AXK50:AXL50"/>
    <mergeCell ref="AXM50:AXN50"/>
    <mergeCell ref="AWQ50:AWR50"/>
    <mergeCell ref="AWS50:AWT50"/>
    <mergeCell ref="AWU50:AWV50"/>
    <mergeCell ref="AWW50:AWX50"/>
    <mergeCell ref="AWY50:AWZ50"/>
    <mergeCell ref="AXA50:AXB50"/>
    <mergeCell ref="AWE50:AWF50"/>
    <mergeCell ref="AWG50:AWH50"/>
    <mergeCell ref="AWI50:AWJ50"/>
    <mergeCell ref="AWK50:AWL50"/>
    <mergeCell ref="AWM50:AWN50"/>
    <mergeCell ref="AWO50:AWP50"/>
    <mergeCell ref="AVS50:AVT50"/>
    <mergeCell ref="AVU50:AVV50"/>
    <mergeCell ref="AVW50:AVX50"/>
    <mergeCell ref="AVY50:AVZ50"/>
    <mergeCell ref="AWA50:AWB50"/>
    <mergeCell ref="AWC50:AWD50"/>
    <mergeCell ref="AVG50:AVH50"/>
    <mergeCell ref="AVI50:AVJ50"/>
    <mergeCell ref="AVK50:AVL50"/>
    <mergeCell ref="AVM50:AVN50"/>
    <mergeCell ref="AVO50:AVP50"/>
    <mergeCell ref="AVQ50:AVR50"/>
    <mergeCell ref="BAI50:BAJ50"/>
    <mergeCell ref="BAK50:BAL50"/>
    <mergeCell ref="BAM50:BAN50"/>
    <mergeCell ref="BAO50:BAP50"/>
    <mergeCell ref="BAQ50:BAR50"/>
    <mergeCell ref="BAS50:BAT50"/>
    <mergeCell ref="AZW50:AZX50"/>
    <mergeCell ref="AZY50:AZZ50"/>
    <mergeCell ref="BAA50:BAB50"/>
    <mergeCell ref="BAC50:BAD50"/>
    <mergeCell ref="BAE50:BAF50"/>
    <mergeCell ref="BAG50:BAH50"/>
    <mergeCell ref="AZK50:AZL50"/>
    <mergeCell ref="AZM50:AZN50"/>
    <mergeCell ref="AZO50:AZP50"/>
    <mergeCell ref="AZQ50:AZR50"/>
    <mergeCell ref="AZS50:AZT50"/>
    <mergeCell ref="AZU50:AZV50"/>
    <mergeCell ref="AYY50:AYZ50"/>
    <mergeCell ref="AZA50:AZB50"/>
    <mergeCell ref="AZC50:AZD50"/>
    <mergeCell ref="AZE50:AZF50"/>
    <mergeCell ref="AZG50:AZH50"/>
    <mergeCell ref="AZI50:AZJ50"/>
    <mergeCell ref="AYM50:AYN50"/>
    <mergeCell ref="AYO50:AYP50"/>
    <mergeCell ref="AYQ50:AYR50"/>
    <mergeCell ref="AYS50:AYT50"/>
    <mergeCell ref="AYU50:AYV50"/>
    <mergeCell ref="AYW50:AYX50"/>
    <mergeCell ref="AYA50:AYB50"/>
    <mergeCell ref="AYC50:AYD50"/>
    <mergeCell ref="AYE50:AYF50"/>
    <mergeCell ref="AYG50:AYH50"/>
    <mergeCell ref="AYI50:AYJ50"/>
    <mergeCell ref="AYK50:AYL50"/>
    <mergeCell ref="BDC50:BDD50"/>
    <mergeCell ref="BDE50:BDF50"/>
    <mergeCell ref="BDG50:BDH50"/>
    <mergeCell ref="BDI50:BDJ50"/>
    <mergeCell ref="BDK50:BDL50"/>
    <mergeCell ref="BDM50:BDN50"/>
    <mergeCell ref="BCQ50:BCR50"/>
    <mergeCell ref="BCS50:BCT50"/>
    <mergeCell ref="BCU50:BCV50"/>
    <mergeCell ref="BCW50:BCX50"/>
    <mergeCell ref="BCY50:BCZ50"/>
    <mergeCell ref="BDA50:BDB50"/>
    <mergeCell ref="BCE50:BCF50"/>
    <mergeCell ref="BCG50:BCH50"/>
    <mergeCell ref="BCI50:BCJ50"/>
    <mergeCell ref="BCK50:BCL50"/>
    <mergeCell ref="BCM50:BCN50"/>
    <mergeCell ref="BCO50:BCP50"/>
    <mergeCell ref="BBS50:BBT50"/>
    <mergeCell ref="BBU50:BBV50"/>
    <mergeCell ref="BBW50:BBX50"/>
    <mergeCell ref="BBY50:BBZ50"/>
    <mergeCell ref="BCA50:BCB50"/>
    <mergeCell ref="BCC50:BCD50"/>
    <mergeCell ref="BBG50:BBH50"/>
    <mergeCell ref="BBI50:BBJ50"/>
    <mergeCell ref="BBK50:BBL50"/>
    <mergeCell ref="BBM50:BBN50"/>
    <mergeCell ref="BBO50:BBP50"/>
    <mergeCell ref="BBQ50:BBR50"/>
    <mergeCell ref="BAU50:BAV50"/>
    <mergeCell ref="BAW50:BAX50"/>
    <mergeCell ref="BAY50:BAZ50"/>
    <mergeCell ref="BBA50:BBB50"/>
    <mergeCell ref="BBC50:BBD50"/>
    <mergeCell ref="BBE50:BBF50"/>
    <mergeCell ref="BFW50:BFX50"/>
    <mergeCell ref="BFY50:BFZ50"/>
    <mergeCell ref="BGA50:BGB50"/>
    <mergeCell ref="BGC50:BGD50"/>
    <mergeCell ref="BGE50:BGF50"/>
    <mergeCell ref="BGG50:BGH50"/>
    <mergeCell ref="BFK50:BFL50"/>
    <mergeCell ref="BFM50:BFN50"/>
    <mergeCell ref="BFO50:BFP50"/>
    <mergeCell ref="BFQ50:BFR50"/>
    <mergeCell ref="BFS50:BFT50"/>
    <mergeCell ref="BFU50:BFV50"/>
    <mergeCell ref="BEY50:BEZ50"/>
    <mergeCell ref="BFA50:BFB50"/>
    <mergeCell ref="BFC50:BFD50"/>
    <mergeCell ref="BFE50:BFF50"/>
    <mergeCell ref="BFG50:BFH50"/>
    <mergeCell ref="BFI50:BFJ50"/>
    <mergeCell ref="BEM50:BEN50"/>
    <mergeCell ref="BEO50:BEP50"/>
    <mergeCell ref="BEQ50:BER50"/>
    <mergeCell ref="BES50:BET50"/>
    <mergeCell ref="BEU50:BEV50"/>
    <mergeCell ref="BEW50:BEX50"/>
    <mergeCell ref="BEA50:BEB50"/>
    <mergeCell ref="BEC50:BED50"/>
    <mergeCell ref="BEE50:BEF50"/>
    <mergeCell ref="BEG50:BEH50"/>
    <mergeCell ref="BEI50:BEJ50"/>
    <mergeCell ref="BEK50:BEL50"/>
    <mergeCell ref="BDO50:BDP50"/>
    <mergeCell ref="BDQ50:BDR50"/>
    <mergeCell ref="BDS50:BDT50"/>
    <mergeCell ref="BDU50:BDV50"/>
    <mergeCell ref="BDW50:BDX50"/>
    <mergeCell ref="BDY50:BDZ50"/>
    <mergeCell ref="BIQ50:BIR50"/>
    <mergeCell ref="BIS50:BIT50"/>
    <mergeCell ref="BIU50:BIV50"/>
    <mergeCell ref="BIW50:BIX50"/>
    <mergeCell ref="BIY50:BIZ50"/>
    <mergeCell ref="BJA50:BJB50"/>
    <mergeCell ref="BIE50:BIF50"/>
    <mergeCell ref="BIG50:BIH50"/>
    <mergeCell ref="BII50:BIJ50"/>
    <mergeCell ref="BIK50:BIL50"/>
    <mergeCell ref="BIM50:BIN50"/>
    <mergeCell ref="BIO50:BIP50"/>
    <mergeCell ref="BHS50:BHT50"/>
    <mergeCell ref="BHU50:BHV50"/>
    <mergeCell ref="BHW50:BHX50"/>
    <mergeCell ref="BHY50:BHZ50"/>
    <mergeCell ref="BIA50:BIB50"/>
    <mergeCell ref="BIC50:BID50"/>
    <mergeCell ref="BHG50:BHH50"/>
    <mergeCell ref="BHI50:BHJ50"/>
    <mergeCell ref="BHK50:BHL50"/>
    <mergeCell ref="BHM50:BHN50"/>
    <mergeCell ref="BHO50:BHP50"/>
    <mergeCell ref="BHQ50:BHR50"/>
    <mergeCell ref="BGU50:BGV50"/>
    <mergeCell ref="BGW50:BGX50"/>
    <mergeCell ref="BGY50:BGZ50"/>
    <mergeCell ref="BHA50:BHB50"/>
    <mergeCell ref="BHC50:BHD50"/>
    <mergeCell ref="BHE50:BHF50"/>
    <mergeCell ref="BGI50:BGJ50"/>
    <mergeCell ref="BGK50:BGL50"/>
    <mergeCell ref="BGM50:BGN50"/>
    <mergeCell ref="BGO50:BGP50"/>
    <mergeCell ref="BGQ50:BGR50"/>
    <mergeCell ref="BGS50:BGT50"/>
    <mergeCell ref="BLK50:BLL50"/>
    <mergeCell ref="BLM50:BLN50"/>
    <mergeCell ref="BLO50:BLP50"/>
    <mergeCell ref="BLQ50:BLR50"/>
    <mergeCell ref="BLS50:BLT50"/>
    <mergeCell ref="BLU50:BLV50"/>
    <mergeCell ref="BKY50:BKZ50"/>
    <mergeCell ref="BLA50:BLB50"/>
    <mergeCell ref="BLC50:BLD50"/>
    <mergeCell ref="BLE50:BLF50"/>
    <mergeCell ref="BLG50:BLH50"/>
    <mergeCell ref="BLI50:BLJ50"/>
    <mergeCell ref="BKM50:BKN50"/>
    <mergeCell ref="BKO50:BKP50"/>
    <mergeCell ref="BKQ50:BKR50"/>
    <mergeCell ref="BKS50:BKT50"/>
    <mergeCell ref="BKU50:BKV50"/>
    <mergeCell ref="BKW50:BKX50"/>
    <mergeCell ref="BKA50:BKB50"/>
    <mergeCell ref="BKC50:BKD50"/>
    <mergeCell ref="BKE50:BKF50"/>
    <mergeCell ref="BKG50:BKH50"/>
    <mergeCell ref="BKI50:BKJ50"/>
    <mergeCell ref="BKK50:BKL50"/>
    <mergeCell ref="BJO50:BJP50"/>
    <mergeCell ref="BJQ50:BJR50"/>
    <mergeCell ref="BJS50:BJT50"/>
    <mergeCell ref="BJU50:BJV50"/>
    <mergeCell ref="BJW50:BJX50"/>
    <mergeCell ref="BJY50:BJZ50"/>
    <mergeCell ref="BJC50:BJD50"/>
    <mergeCell ref="BJE50:BJF50"/>
    <mergeCell ref="BJG50:BJH50"/>
    <mergeCell ref="BJI50:BJJ50"/>
    <mergeCell ref="BJK50:BJL50"/>
    <mergeCell ref="BJM50:BJN50"/>
    <mergeCell ref="BOE50:BOF50"/>
    <mergeCell ref="BOG50:BOH50"/>
    <mergeCell ref="BOI50:BOJ50"/>
    <mergeCell ref="BOK50:BOL50"/>
    <mergeCell ref="BOM50:BON50"/>
    <mergeCell ref="BOO50:BOP50"/>
    <mergeCell ref="BNS50:BNT50"/>
    <mergeCell ref="BNU50:BNV50"/>
    <mergeCell ref="BNW50:BNX50"/>
    <mergeCell ref="BNY50:BNZ50"/>
    <mergeCell ref="BOA50:BOB50"/>
    <mergeCell ref="BOC50:BOD50"/>
    <mergeCell ref="BNG50:BNH50"/>
    <mergeCell ref="BNI50:BNJ50"/>
    <mergeCell ref="BNK50:BNL50"/>
    <mergeCell ref="BNM50:BNN50"/>
    <mergeCell ref="BNO50:BNP50"/>
    <mergeCell ref="BNQ50:BNR50"/>
    <mergeCell ref="BMU50:BMV50"/>
    <mergeCell ref="BMW50:BMX50"/>
    <mergeCell ref="BMY50:BMZ50"/>
    <mergeCell ref="BNA50:BNB50"/>
    <mergeCell ref="BNC50:BND50"/>
    <mergeCell ref="BNE50:BNF50"/>
    <mergeCell ref="BMI50:BMJ50"/>
    <mergeCell ref="BMK50:BML50"/>
    <mergeCell ref="BMM50:BMN50"/>
    <mergeCell ref="BMO50:BMP50"/>
    <mergeCell ref="BMQ50:BMR50"/>
    <mergeCell ref="BMS50:BMT50"/>
    <mergeCell ref="BLW50:BLX50"/>
    <mergeCell ref="BLY50:BLZ50"/>
    <mergeCell ref="BMA50:BMB50"/>
    <mergeCell ref="BMC50:BMD50"/>
    <mergeCell ref="BME50:BMF50"/>
    <mergeCell ref="BMG50:BMH50"/>
    <mergeCell ref="BQY50:BQZ50"/>
    <mergeCell ref="BRA50:BRB50"/>
    <mergeCell ref="BRC50:BRD50"/>
    <mergeCell ref="BRE50:BRF50"/>
    <mergeCell ref="BRG50:BRH50"/>
    <mergeCell ref="BRI50:BRJ50"/>
    <mergeCell ref="BQM50:BQN50"/>
    <mergeCell ref="BQO50:BQP50"/>
    <mergeCell ref="BQQ50:BQR50"/>
    <mergeCell ref="BQS50:BQT50"/>
    <mergeCell ref="BQU50:BQV50"/>
    <mergeCell ref="BQW50:BQX50"/>
    <mergeCell ref="BQA50:BQB50"/>
    <mergeCell ref="BQC50:BQD50"/>
    <mergeCell ref="BQE50:BQF50"/>
    <mergeCell ref="BQG50:BQH50"/>
    <mergeCell ref="BQI50:BQJ50"/>
    <mergeCell ref="BQK50:BQL50"/>
    <mergeCell ref="BPO50:BPP50"/>
    <mergeCell ref="BPQ50:BPR50"/>
    <mergeCell ref="BPS50:BPT50"/>
    <mergeCell ref="BPU50:BPV50"/>
    <mergeCell ref="BPW50:BPX50"/>
    <mergeCell ref="BPY50:BPZ50"/>
    <mergeCell ref="BPC50:BPD50"/>
    <mergeCell ref="BPE50:BPF50"/>
    <mergeCell ref="BPG50:BPH50"/>
    <mergeCell ref="BPI50:BPJ50"/>
    <mergeCell ref="BPK50:BPL50"/>
    <mergeCell ref="BPM50:BPN50"/>
    <mergeCell ref="BOQ50:BOR50"/>
    <mergeCell ref="BOS50:BOT50"/>
    <mergeCell ref="BOU50:BOV50"/>
    <mergeCell ref="BOW50:BOX50"/>
    <mergeCell ref="BOY50:BOZ50"/>
    <mergeCell ref="BPA50:BPB50"/>
    <mergeCell ref="BTS50:BTT50"/>
    <mergeCell ref="BTU50:BTV50"/>
    <mergeCell ref="BTW50:BTX50"/>
    <mergeCell ref="BTY50:BTZ50"/>
    <mergeCell ref="BUA50:BUB50"/>
    <mergeCell ref="BUC50:BUD50"/>
    <mergeCell ref="BTG50:BTH50"/>
    <mergeCell ref="BTI50:BTJ50"/>
    <mergeCell ref="BTK50:BTL50"/>
    <mergeCell ref="BTM50:BTN50"/>
    <mergeCell ref="BTO50:BTP50"/>
    <mergeCell ref="BTQ50:BTR50"/>
    <mergeCell ref="BSU50:BSV50"/>
    <mergeCell ref="BSW50:BSX50"/>
    <mergeCell ref="BSY50:BSZ50"/>
    <mergeCell ref="BTA50:BTB50"/>
    <mergeCell ref="BTC50:BTD50"/>
    <mergeCell ref="BTE50:BTF50"/>
    <mergeCell ref="BSI50:BSJ50"/>
    <mergeCell ref="BSK50:BSL50"/>
    <mergeCell ref="BSM50:BSN50"/>
    <mergeCell ref="BSO50:BSP50"/>
    <mergeCell ref="BSQ50:BSR50"/>
    <mergeCell ref="BSS50:BST50"/>
    <mergeCell ref="BRW50:BRX50"/>
    <mergeCell ref="BRY50:BRZ50"/>
    <mergeCell ref="BSA50:BSB50"/>
    <mergeCell ref="BSC50:BSD50"/>
    <mergeCell ref="BSE50:BSF50"/>
    <mergeCell ref="BSG50:BSH50"/>
    <mergeCell ref="BRK50:BRL50"/>
    <mergeCell ref="BRM50:BRN50"/>
    <mergeCell ref="BRO50:BRP50"/>
    <mergeCell ref="BRQ50:BRR50"/>
    <mergeCell ref="BRS50:BRT50"/>
    <mergeCell ref="BRU50:BRV50"/>
    <mergeCell ref="BWM50:BWN50"/>
    <mergeCell ref="BWO50:BWP50"/>
    <mergeCell ref="BWQ50:BWR50"/>
    <mergeCell ref="BWS50:BWT50"/>
    <mergeCell ref="BWU50:BWV50"/>
    <mergeCell ref="BWW50:BWX50"/>
    <mergeCell ref="BWA50:BWB50"/>
    <mergeCell ref="BWC50:BWD50"/>
    <mergeCell ref="BWE50:BWF50"/>
    <mergeCell ref="BWG50:BWH50"/>
    <mergeCell ref="BWI50:BWJ50"/>
    <mergeCell ref="BWK50:BWL50"/>
    <mergeCell ref="BVO50:BVP50"/>
    <mergeCell ref="BVQ50:BVR50"/>
    <mergeCell ref="BVS50:BVT50"/>
    <mergeCell ref="BVU50:BVV50"/>
    <mergeCell ref="BVW50:BVX50"/>
    <mergeCell ref="BVY50:BVZ50"/>
    <mergeCell ref="BVC50:BVD50"/>
    <mergeCell ref="BVE50:BVF50"/>
    <mergeCell ref="BVG50:BVH50"/>
    <mergeCell ref="BVI50:BVJ50"/>
    <mergeCell ref="BVK50:BVL50"/>
    <mergeCell ref="BVM50:BVN50"/>
    <mergeCell ref="BUQ50:BUR50"/>
    <mergeCell ref="BUS50:BUT50"/>
    <mergeCell ref="BUU50:BUV50"/>
    <mergeCell ref="BUW50:BUX50"/>
    <mergeCell ref="BUY50:BUZ50"/>
    <mergeCell ref="BVA50:BVB50"/>
    <mergeCell ref="BUE50:BUF50"/>
    <mergeCell ref="BUG50:BUH50"/>
    <mergeCell ref="BUI50:BUJ50"/>
    <mergeCell ref="BUK50:BUL50"/>
    <mergeCell ref="BUM50:BUN50"/>
    <mergeCell ref="BUO50:BUP50"/>
    <mergeCell ref="BZG50:BZH50"/>
    <mergeCell ref="BZI50:BZJ50"/>
    <mergeCell ref="BZK50:BZL50"/>
    <mergeCell ref="BZM50:BZN50"/>
    <mergeCell ref="BZO50:BZP50"/>
    <mergeCell ref="BZQ50:BZR50"/>
    <mergeCell ref="BYU50:BYV50"/>
    <mergeCell ref="BYW50:BYX50"/>
    <mergeCell ref="BYY50:BYZ50"/>
    <mergeCell ref="BZA50:BZB50"/>
    <mergeCell ref="BZC50:BZD50"/>
    <mergeCell ref="BZE50:BZF50"/>
    <mergeCell ref="BYI50:BYJ50"/>
    <mergeCell ref="BYK50:BYL50"/>
    <mergeCell ref="BYM50:BYN50"/>
    <mergeCell ref="BYO50:BYP50"/>
    <mergeCell ref="BYQ50:BYR50"/>
    <mergeCell ref="BYS50:BYT50"/>
    <mergeCell ref="BXW50:BXX50"/>
    <mergeCell ref="BXY50:BXZ50"/>
    <mergeCell ref="BYA50:BYB50"/>
    <mergeCell ref="BYC50:BYD50"/>
    <mergeCell ref="BYE50:BYF50"/>
    <mergeCell ref="BYG50:BYH50"/>
    <mergeCell ref="BXK50:BXL50"/>
    <mergeCell ref="BXM50:BXN50"/>
    <mergeCell ref="BXO50:BXP50"/>
    <mergeCell ref="BXQ50:BXR50"/>
    <mergeCell ref="BXS50:BXT50"/>
    <mergeCell ref="BXU50:BXV50"/>
    <mergeCell ref="BWY50:BWZ50"/>
    <mergeCell ref="BXA50:BXB50"/>
    <mergeCell ref="BXC50:BXD50"/>
    <mergeCell ref="BXE50:BXF50"/>
    <mergeCell ref="BXG50:BXH50"/>
    <mergeCell ref="BXI50:BXJ50"/>
    <mergeCell ref="CCA50:CCB50"/>
    <mergeCell ref="CCC50:CCD50"/>
    <mergeCell ref="CCE50:CCF50"/>
    <mergeCell ref="CCG50:CCH50"/>
    <mergeCell ref="CCI50:CCJ50"/>
    <mergeCell ref="CCK50:CCL50"/>
    <mergeCell ref="CBO50:CBP50"/>
    <mergeCell ref="CBQ50:CBR50"/>
    <mergeCell ref="CBS50:CBT50"/>
    <mergeCell ref="CBU50:CBV50"/>
    <mergeCell ref="CBW50:CBX50"/>
    <mergeCell ref="CBY50:CBZ50"/>
    <mergeCell ref="CBC50:CBD50"/>
    <mergeCell ref="CBE50:CBF50"/>
    <mergeCell ref="CBG50:CBH50"/>
    <mergeCell ref="CBI50:CBJ50"/>
    <mergeCell ref="CBK50:CBL50"/>
    <mergeCell ref="CBM50:CBN50"/>
    <mergeCell ref="CAQ50:CAR50"/>
    <mergeCell ref="CAS50:CAT50"/>
    <mergeCell ref="CAU50:CAV50"/>
    <mergeCell ref="CAW50:CAX50"/>
    <mergeCell ref="CAY50:CAZ50"/>
    <mergeCell ref="CBA50:CBB50"/>
    <mergeCell ref="CAE50:CAF50"/>
    <mergeCell ref="CAG50:CAH50"/>
    <mergeCell ref="CAI50:CAJ50"/>
    <mergeCell ref="CAK50:CAL50"/>
    <mergeCell ref="CAM50:CAN50"/>
    <mergeCell ref="CAO50:CAP50"/>
    <mergeCell ref="BZS50:BZT50"/>
    <mergeCell ref="BZU50:BZV50"/>
    <mergeCell ref="BZW50:BZX50"/>
    <mergeCell ref="BZY50:BZZ50"/>
    <mergeCell ref="CAA50:CAB50"/>
    <mergeCell ref="CAC50:CAD50"/>
    <mergeCell ref="CEU50:CEV50"/>
    <mergeCell ref="CEW50:CEX50"/>
    <mergeCell ref="CEY50:CEZ50"/>
    <mergeCell ref="CFA50:CFB50"/>
    <mergeCell ref="CFC50:CFD50"/>
    <mergeCell ref="CFE50:CFF50"/>
    <mergeCell ref="CEI50:CEJ50"/>
    <mergeCell ref="CEK50:CEL50"/>
    <mergeCell ref="CEM50:CEN50"/>
    <mergeCell ref="CEO50:CEP50"/>
    <mergeCell ref="CEQ50:CER50"/>
    <mergeCell ref="CES50:CET50"/>
    <mergeCell ref="CDW50:CDX50"/>
    <mergeCell ref="CDY50:CDZ50"/>
    <mergeCell ref="CEA50:CEB50"/>
    <mergeCell ref="CEC50:CED50"/>
    <mergeCell ref="CEE50:CEF50"/>
    <mergeCell ref="CEG50:CEH50"/>
    <mergeCell ref="CDK50:CDL50"/>
    <mergeCell ref="CDM50:CDN50"/>
    <mergeCell ref="CDO50:CDP50"/>
    <mergeCell ref="CDQ50:CDR50"/>
    <mergeCell ref="CDS50:CDT50"/>
    <mergeCell ref="CDU50:CDV50"/>
    <mergeCell ref="CCY50:CCZ50"/>
    <mergeCell ref="CDA50:CDB50"/>
    <mergeCell ref="CDC50:CDD50"/>
    <mergeCell ref="CDE50:CDF50"/>
    <mergeCell ref="CDG50:CDH50"/>
    <mergeCell ref="CDI50:CDJ50"/>
    <mergeCell ref="CCM50:CCN50"/>
    <mergeCell ref="CCO50:CCP50"/>
    <mergeCell ref="CCQ50:CCR50"/>
    <mergeCell ref="CCS50:CCT50"/>
    <mergeCell ref="CCU50:CCV50"/>
    <mergeCell ref="CCW50:CCX50"/>
    <mergeCell ref="CHO50:CHP50"/>
    <mergeCell ref="CHQ50:CHR50"/>
    <mergeCell ref="CHS50:CHT50"/>
    <mergeCell ref="CHU50:CHV50"/>
    <mergeCell ref="CHW50:CHX50"/>
    <mergeCell ref="CHY50:CHZ50"/>
    <mergeCell ref="CHC50:CHD50"/>
    <mergeCell ref="CHE50:CHF50"/>
    <mergeCell ref="CHG50:CHH50"/>
    <mergeCell ref="CHI50:CHJ50"/>
    <mergeCell ref="CHK50:CHL50"/>
    <mergeCell ref="CHM50:CHN50"/>
    <mergeCell ref="CGQ50:CGR50"/>
    <mergeCell ref="CGS50:CGT50"/>
    <mergeCell ref="CGU50:CGV50"/>
    <mergeCell ref="CGW50:CGX50"/>
    <mergeCell ref="CGY50:CGZ50"/>
    <mergeCell ref="CHA50:CHB50"/>
    <mergeCell ref="CGE50:CGF50"/>
    <mergeCell ref="CGG50:CGH50"/>
    <mergeCell ref="CGI50:CGJ50"/>
    <mergeCell ref="CGK50:CGL50"/>
    <mergeCell ref="CGM50:CGN50"/>
    <mergeCell ref="CGO50:CGP50"/>
    <mergeCell ref="CFS50:CFT50"/>
    <mergeCell ref="CFU50:CFV50"/>
    <mergeCell ref="CFW50:CFX50"/>
    <mergeCell ref="CFY50:CFZ50"/>
    <mergeCell ref="CGA50:CGB50"/>
    <mergeCell ref="CGC50:CGD50"/>
    <mergeCell ref="CFG50:CFH50"/>
    <mergeCell ref="CFI50:CFJ50"/>
    <mergeCell ref="CFK50:CFL50"/>
    <mergeCell ref="CFM50:CFN50"/>
    <mergeCell ref="CFO50:CFP50"/>
    <mergeCell ref="CFQ50:CFR50"/>
    <mergeCell ref="CKI50:CKJ50"/>
    <mergeCell ref="CKK50:CKL50"/>
    <mergeCell ref="CKM50:CKN50"/>
    <mergeCell ref="CKO50:CKP50"/>
    <mergeCell ref="CKQ50:CKR50"/>
    <mergeCell ref="CKS50:CKT50"/>
    <mergeCell ref="CJW50:CJX50"/>
    <mergeCell ref="CJY50:CJZ50"/>
    <mergeCell ref="CKA50:CKB50"/>
    <mergeCell ref="CKC50:CKD50"/>
    <mergeCell ref="CKE50:CKF50"/>
    <mergeCell ref="CKG50:CKH50"/>
    <mergeCell ref="CJK50:CJL50"/>
    <mergeCell ref="CJM50:CJN50"/>
    <mergeCell ref="CJO50:CJP50"/>
    <mergeCell ref="CJQ50:CJR50"/>
    <mergeCell ref="CJS50:CJT50"/>
    <mergeCell ref="CJU50:CJV50"/>
    <mergeCell ref="CIY50:CIZ50"/>
    <mergeCell ref="CJA50:CJB50"/>
    <mergeCell ref="CJC50:CJD50"/>
    <mergeCell ref="CJE50:CJF50"/>
    <mergeCell ref="CJG50:CJH50"/>
    <mergeCell ref="CJI50:CJJ50"/>
    <mergeCell ref="CIM50:CIN50"/>
    <mergeCell ref="CIO50:CIP50"/>
    <mergeCell ref="CIQ50:CIR50"/>
    <mergeCell ref="CIS50:CIT50"/>
    <mergeCell ref="CIU50:CIV50"/>
    <mergeCell ref="CIW50:CIX50"/>
    <mergeCell ref="CIA50:CIB50"/>
    <mergeCell ref="CIC50:CID50"/>
    <mergeCell ref="CIE50:CIF50"/>
    <mergeCell ref="CIG50:CIH50"/>
    <mergeCell ref="CII50:CIJ50"/>
    <mergeCell ref="CIK50:CIL50"/>
    <mergeCell ref="CNC50:CND50"/>
    <mergeCell ref="CNE50:CNF50"/>
    <mergeCell ref="CNG50:CNH50"/>
    <mergeCell ref="CNI50:CNJ50"/>
    <mergeCell ref="CNK50:CNL50"/>
    <mergeCell ref="CNM50:CNN50"/>
    <mergeCell ref="CMQ50:CMR50"/>
    <mergeCell ref="CMS50:CMT50"/>
    <mergeCell ref="CMU50:CMV50"/>
    <mergeCell ref="CMW50:CMX50"/>
    <mergeCell ref="CMY50:CMZ50"/>
    <mergeCell ref="CNA50:CNB50"/>
    <mergeCell ref="CME50:CMF50"/>
    <mergeCell ref="CMG50:CMH50"/>
    <mergeCell ref="CMI50:CMJ50"/>
    <mergeCell ref="CMK50:CML50"/>
    <mergeCell ref="CMM50:CMN50"/>
    <mergeCell ref="CMO50:CMP50"/>
    <mergeCell ref="CLS50:CLT50"/>
    <mergeCell ref="CLU50:CLV50"/>
    <mergeCell ref="CLW50:CLX50"/>
    <mergeCell ref="CLY50:CLZ50"/>
    <mergeCell ref="CMA50:CMB50"/>
    <mergeCell ref="CMC50:CMD50"/>
    <mergeCell ref="CLG50:CLH50"/>
    <mergeCell ref="CLI50:CLJ50"/>
    <mergeCell ref="CLK50:CLL50"/>
    <mergeCell ref="CLM50:CLN50"/>
    <mergeCell ref="CLO50:CLP50"/>
    <mergeCell ref="CLQ50:CLR50"/>
    <mergeCell ref="CKU50:CKV50"/>
    <mergeCell ref="CKW50:CKX50"/>
    <mergeCell ref="CKY50:CKZ50"/>
    <mergeCell ref="CLA50:CLB50"/>
    <mergeCell ref="CLC50:CLD50"/>
    <mergeCell ref="CLE50:CLF50"/>
    <mergeCell ref="CPW50:CPX50"/>
    <mergeCell ref="CPY50:CPZ50"/>
    <mergeCell ref="CQA50:CQB50"/>
    <mergeCell ref="CQC50:CQD50"/>
    <mergeCell ref="CQE50:CQF50"/>
    <mergeCell ref="CQG50:CQH50"/>
    <mergeCell ref="CPK50:CPL50"/>
    <mergeCell ref="CPM50:CPN50"/>
    <mergeCell ref="CPO50:CPP50"/>
    <mergeCell ref="CPQ50:CPR50"/>
    <mergeCell ref="CPS50:CPT50"/>
    <mergeCell ref="CPU50:CPV50"/>
    <mergeCell ref="COY50:COZ50"/>
    <mergeCell ref="CPA50:CPB50"/>
    <mergeCell ref="CPC50:CPD50"/>
    <mergeCell ref="CPE50:CPF50"/>
    <mergeCell ref="CPG50:CPH50"/>
    <mergeCell ref="CPI50:CPJ50"/>
    <mergeCell ref="COM50:CON50"/>
    <mergeCell ref="COO50:COP50"/>
    <mergeCell ref="COQ50:COR50"/>
    <mergeCell ref="COS50:COT50"/>
    <mergeCell ref="COU50:COV50"/>
    <mergeCell ref="COW50:COX50"/>
    <mergeCell ref="COA50:COB50"/>
    <mergeCell ref="COC50:COD50"/>
    <mergeCell ref="COE50:COF50"/>
    <mergeCell ref="COG50:COH50"/>
    <mergeCell ref="COI50:COJ50"/>
    <mergeCell ref="COK50:COL50"/>
    <mergeCell ref="CNO50:CNP50"/>
    <mergeCell ref="CNQ50:CNR50"/>
    <mergeCell ref="CNS50:CNT50"/>
    <mergeCell ref="CNU50:CNV50"/>
    <mergeCell ref="CNW50:CNX50"/>
    <mergeCell ref="CNY50:CNZ50"/>
    <mergeCell ref="CSQ50:CSR50"/>
    <mergeCell ref="CSS50:CST50"/>
    <mergeCell ref="CSU50:CSV50"/>
    <mergeCell ref="CSW50:CSX50"/>
    <mergeCell ref="CSY50:CSZ50"/>
    <mergeCell ref="CTA50:CTB50"/>
    <mergeCell ref="CSE50:CSF50"/>
    <mergeCell ref="CSG50:CSH50"/>
    <mergeCell ref="CSI50:CSJ50"/>
    <mergeCell ref="CSK50:CSL50"/>
    <mergeCell ref="CSM50:CSN50"/>
    <mergeCell ref="CSO50:CSP50"/>
    <mergeCell ref="CRS50:CRT50"/>
    <mergeCell ref="CRU50:CRV50"/>
    <mergeCell ref="CRW50:CRX50"/>
    <mergeCell ref="CRY50:CRZ50"/>
    <mergeCell ref="CSA50:CSB50"/>
    <mergeCell ref="CSC50:CSD50"/>
    <mergeCell ref="CRG50:CRH50"/>
    <mergeCell ref="CRI50:CRJ50"/>
    <mergeCell ref="CRK50:CRL50"/>
    <mergeCell ref="CRM50:CRN50"/>
    <mergeCell ref="CRO50:CRP50"/>
    <mergeCell ref="CRQ50:CRR50"/>
    <mergeCell ref="CQU50:CQV50"/>
    <mergeCell ref="CQW50:CQX50"/>
    <mergeCell ref="CQY50:CQZ50"/>
    <mergeCell ref="CRA50:CRB50"/>
    <mergeCell ref="CRC50:CRD50"/>
    <mergeCell ref="CRE50:CRF50"/>
    <mergeCell ref="CQI50:CQJ50"/>
    <mergeCell ref="CQK50:CQL50"/>
    <mergeCell ref="CQM50:CQN50"/>
    <mergeCell ref="CQO50:CQP50"/>
    <mergeCell ref="CQQ50:CQR50"/>
    <mergeCell ref="CQS50:CQT50"/>
    <mergeCell ref="CVK50:CVL50"/>
    <mergeCell ref="CVM50:CVN50"/>
    <mergeCell ref="CVO50:CVP50"/>
    <mergeCell ref="CVQ50:CVR50"/>
    <mergeCell ref="CVS50:CVT50"/>
    <mergeCell ref="CVU50:CVV50"/>
    <mergeCell ref="CUY50:CUZ50"/>
    <mergeCell ref="CVA50:CVB50"/>
    <mergeCell ref="CVC50:CVD50"/>
    <mergeCell ref="CVE50:CVF50"/>
    <mergeCell ref="CVG50:CVH50"/>
    <mergeCell ref="CVI50:CVJ50"/>
    <mergeCell ref="CUM50:CUN50"/>
    <mergeCell ref="CUO50:CUP50"/>
    <mergeCell ref="CUQ50:CUR50"/>
    <mergeCell ref="CUS50:CUT50"/>
    <mergeCell ref="CUU50:CUV50"/>
    <mergeCell ref="CUW50:CUX50"/>
    <mergeCell ref="CUA50:CUB50"/>
    <mergeCell ref="CUC50:CUD50"/>
    <mergeCell ref="CUE50:CUF50"/>
    <mergeCell ref="CUG50:CUH50"/>
    <mergeCell ref="CUI50:CUJ50"/>
    <mergeCell ref="CUK50:CUL50"/>
    <mergeCell ref="CTO50:CTP50"/>
    <mergeCell ref="CTQ50:CTR50"/>
    <mergeCell ref="CTS50:CTT50"/>
    <mergeCell ref="CTU50:CTV50"/>
    <mergeCell ref="CTW50:CTX50"/>
    <mergeCell ref="CTY50:CTZ50"/>
    <mergeCell ref="CTC50:CTD50"/>
    <mergeCell ref="CTE50:CTF50"/>
    <mergeCell ref="CTG50:CTH50"/>
    <mergeCell ref="CTI50:CTJ50"/>
    <mergeCell ref="CTK50:CTL50"/>
    <mergeCell ref="CTM50:CTN50"/>
    <mergeCell ref="CYE50:CYF50"/>
    <mergeCell ref="CYG50:CYH50"/>
    <mergeCell ref="CYI50:CYJ50"/>
    <mergeCell ref="CYK50:CYL50"/>
    <mergeCell ref="CYM50:CYN50"/>
    <mergeCell ref="CYO50:CYP50"/>
    <mergeCell ref="CXS50:CXT50"/>
    <mergeCell ref="CXU50:CXV50"/>
    <mergeCell ref="CXW50:CXX50"/>
    <mergeCell ref="CXY50:CXZ50"/>
    <mergeCell ref="CYA50:CYB50"/>
    <mergeCell ref="CYC50:CYD50"/>
    <mergeCell ref="CXG50:CXH50"/>
    <mergeCell ref="CXI50:CXJ50"/>
    <mergeCell ref="CXK50:CXL50"/>
    <mergeCell ref="CXM50:CXN50"/>
    <mergeCell ref="CXO50:CXP50"/>
    <mergeCell ref="CXQ50:CXR50"/>
    <mergeCell ref="CWU50:CWV50"/>
    <mergeCell ref="CWW50:CWX50"/>
    <mergeCell ref="CWY50:CWZ50"/>
    <mergeCell ref="CXA50:CXB50"/>
    <mergeCell ref="CXC50:CXD50"/>
    <mergeCell ref="CXE50:CXF50"/>
    <mergeCell ref="CWI50:CWJ50"/>
    <mergeCell ref="CWK50:CWL50"/>
    <mergeCell ref="CWM50:CWN50"/>
    <mergeCell ref="CWO50:CWP50"/>
    <mergeCell ref="CWQ50:CWR50"/>
    <mergeCell ref="CWS50:CWT50"/>
    <mergeCell ref="CVW50:CVX50"/>
    <mergeCell ref="CVY50:CVZ50"/>
    <mergeCell ref="CWA50:CWB50"/>
    <mergeCell ref="CWC50:CWD50"/>
    <mergeCell ref="CWE50:CWF50"/>
    <mergeCell ref="CWG50:CWH50"/>
    <mergeCell ref="DAY50:DAZ50"/>
    <mergeCell ref="DBA50:DBB50"/>
    <mergeCell ref="DBC50:DBD50"/>
    <mergeCell ref="DBE50:DBF50"/>
    <mergeCell ref="DBG50:DBH50"/>
    <mergeCell ref="DBI50:DBJ50"/>
    <mergeCell ref="DAM50:DAN50"/>
    <mergeCell ref="DAO50:DAP50"/>
    <mergeCell ref="DAQ50:DAR50"/>
    <mergeCell ref="DAS50:DAT50"/>
    <mergeCell ref="DAU50:DAV50"/>
    <mergeCell ref="DAW50:DAX50"/>
    <mergeCell ref="DAA50:DAB50"/>
    <mergeCell ref="DAC50:DAD50"/>
    <mergeCell ref="DAE50:DAF50"/>
    <mergeCell ref="DAG50:DAH50"/>
    <mergeCell ref="DAI50:DAJ50"/>
    <mergeCell ref="DAK50:DAL50"/>
    <mergeCell ref="CZO50:CZP50"/>
    <mergeCell ref="CZQ50:CZR50"/>
    <mergeCell ref="CZS50:CZT50"/>
    <mergeCell ref="CZU50:CZV50"/>
    <mergeCell ref="CZW50:CZX50"/>
    <mergeCell ref="CZY50:CZZ50"/>
    <mergeCell ref="CZC50:CZD50"/>
    <mergeCell ref="CZE50:CZF50"/>
    <mergeCell ref="CZG50:CZH50"/>
    <mergeCell ref="CZI50:CZJ50"/>
    <mergeCell ref="CZK50:CZL50"/>
    <mergeCell ref="CZM50:CZN50"/>
    <mergeCell ref="CYQ50:CYR50"/>
    <mergeCell ref="CYS50:CYT50"/>
    <mergeCell ref="CYU50:CYV50"/>
    <mergeCell ref="CYW50:CYX50"/>
    <mergeCell ref="CYY50:CYZ50"/>
    <mergeCell ref="CZA50:CZB50"/>
    <mergeCell ref="DDS50:DDT50"/>
    <mergeCell ref="DDU50:DDV50"/>
    <mergeCell ref="DDW50:DDX50"/>
    <mergeCell ref="DDY50:DDZ50"/>
    <mergeCell ref="DEA50:DEB50"/>
    <mergeCell ref="DEC50:DED50"/>
    <mergeCell ref="DDG50:DDH50"/>
    <mergeCell ref="DDI50:DDJ50"/>
    <mergeCell ref="DDK50:DDL50"/>
    <mergeCell ref="DDM50:DDN50"/>
    <mergeCell ref="DDO50:DDP50"/>
    <mergeCell ref="DDQ50:DDR50"/>
    <mergeCell ref="DCU50:DCV50"/>
    <mergeCell ref="DCW50:DCX50"/>
    <mergeCell ref="DCY50:DCZ50"/>
    <mergeCell ref="DDA50:DDB50"/>
    <mergeCell ref="DDC50:DDD50"/>
    <mergeCell ref="DDE50:DDF50"/>
    <mergeCell ref="DCI50:DCJ50"/>
    <mergeCell ref="DCK50:DCL50"/>
    <mergeCell ref="DCM50:DCN50"/>
    <mergeCell ref="DCO50:DCP50"/>
    <mergeCell ref="DCQ50:DCR50"/>
    <mergeCell ref="DCS50:DCT50"/>
    <mergeCell ref="DBW50:DBX50"/>
    <mergeCell ref="DBY50:DBZ50"/>
    <mergeCell ref="DCA50:DCB50"/>
    <mergeCell ref="DCC50:DCD50"/>
    <mergeCell ref="DCE50:DCF50"/>
    <mergeCell ref="DCG50:DCH50"/>
    <mergeCell ref="DBK50:DBL50"/>
    <mergeCell ref="DBM50:DBN50"/>
    <mergeCell ref="DBO50:DBP50"/>
    <mergeCell ref="DBQ50:DBR50"/>
    <mergeCell ref="DBS50:DBT50"/>
    <mergeCell ref="DBU50:DBV50"/>
    <mergeCell ref="DGM50:DGN50"/>
    <mergeCell ref="DGO50:DGP50"/>
    <mergeCell ref="DGQ50:DGR50"/>
    <mergeCell ref="DGS50:DGT50"/>
    <mergeCell ref="DGU50:DGV50"/>
    <mergeCell ref="DGW50:DGX50"/>
    <mergeCell ref="DGA50:DGB50"/>
    <mergeCell ref="DGC50:DGD50"/>
    <mergeCell ref="DGE50:DGF50"/>
    <mergeCell ref="DGG50:DGH50"/>
    <mergeCell ref="DGI50:DGJ50"/>
    <mergeCell ref="DGK50:DGL50"/>
    <mergeCell ref="DFO50:DFP50"/>
    <mergeCell ref="DFQ50:DFR50"/>
    <mergeCell ref="DFS50:DFT50"/>
    <mergeCell ref="DFU50:DFV50"/>
    <mergeCell ref="DFW50:DFX50"/>
    <mergeCell ref="DFY50:DFZ50"/>
    <mergeCell ref="DFC50:DFD50"/>
    <mergeCell ref="DFE50:DFF50"/>
    <mergeCell ref="DFG50:DFH50"/>
    <mergeCell ref="DFI50:DFJ50"/>
    <mergeCell ref="DFK50:DFL50"/>
    <mergeCell ref="DFM50:DFN50"/>
    <mergeCell ref="DEQ50:DER50"/>
    <mergeCell ref="DES50:DET50"/>
    <mergeCell ref="DEU50:DEV50"/>
    <mergeCell ref="DEW50:DEX50"/>
    <mergeCell ref="DEY50:DEZ50"/>
    <mergeCell ref="DFA50:DFB50"/>
    <mergeCell ref="DEE50:DEF50"/>
    <mergeCell ref="DEG50:DEH50"/>
    <mergeCell ref="DEI50:DEJ50"/>
    <mergeCell ref="DEK50:DEL50"/>
    <mergeCell ref="DEM50:DEN50"/>
    <mergeCell ref="DEO50:DEP50"/>
    <mergeCell ref="DJG50:DJH50"/>
    <mergeCell ref="DJI50:DJJ50"/>
    <mergeCell ref="DJK50:DJL50"/>
    <mergeCell ref="DJM50:DJN50"/>
    <mergeCell ref="DJO50:DJP50"/>
    <mergeCell ref="DJQ50:DJR50"/>
    <mergeCell ref="DIU50:DIV50"/>
    <mergeCell ref="DIW50:DIX50"/>
    <mergeCell ref="DIY50:DIZ50"/>
    <mergeCell ref="DJA50:DJB50"/>
    <mergeCell ref="DJC50:DJD50"/>
    <mergeCell ref="DJE50:DJF50"/>
    <mergeCell ref="DII50:DIJ50"/>
    <mergeCell ref="DIK50:DIL50"/>
    <mergeCell ref="DIM50:DIN50"/>
    <mergeCell ref="DIO50:DIP50"/>
    <mergeCell ref="DIQ50:DIR50"/>
    <mergeCell ref="DIS50:DIT50"/>
    <mergeCell ref="DHW50:DHX50"/>
    <mergeCell ref="DHY50:DHZ50"/>
    <mergeCell ref="DIA50:DIB50"/>
    <mergeCell ref="DIC50:DID50"/>
    <mergeCell ref="DIE50:DIF50"/>
    <mergeCell ref="DIG50:DIH50"/>
    <mergeCell ref="DHK50:DHL50"/>
    <mergeCell ref="DHM50:DHN50"/>
    <mergeCell ref="DHO50:DHP50"/>
    <mergeCell ref="DHQ50:DHR50"/>
    <mergeCell ref="DHS50:DHT50"/>
    <mergeCell ref="DHU50:DHV50"/>
    <mergeCell ref="DGY50:DGZ50"/>
    <mergeCell ref="DHA50:DHB50"/>
    <mergeCell ref="DHC50:DHD50"/>
    <mergeCell ref="DHE50:DHF50"/>
    <mergeCell ref="DHG50:DHH50"/>
    <mergeCell ref="DHI50:DHJ50"/>
    <mergeCell ref="DMA50:DMB50"/>
    <mergeCell ref="DMC50:DMD50"/>
    <mergeCell ref="DME50:DMF50"/>
    <mergeCell ref="DMG50:DMH50"/>
    <mergeCell ref="DMI50:DMJ50"/>
    <mergeCell ref="DMK50:DML50"/>
    <mergeCell ref="DLO50:DLP50"/>
    <mergeCell ref="DLQ50:DLR50"/>
    <mergeCell ref="DLS50:DLT50"/>
    <mergeCell ref="DLU50:DLV50"/>
    <mergeCell ref="DLW50:DLX50"/>
    <mergeCell ref="DLY50:DLZ50"/>
    <mergeCell ref="DLC50:DLD50"/>
    <mergeCell ref="DLE50:DLF50"/>
    <mergeCell ref="DLG50:DLH50"/>
    <mergeCell ref="DLI50:DLJ50"/>
    <mergeCell ref="DLK50:DLL50"/>
    <mergeCell ref="DLM50:DLN50"/>
    <mergeCell ref="DKQ50:DKR50"/>
    <mergeCell ref="DKS50:DKT50"/>
    <mergeCell ref="DKU50:DKV50"/>
    <mergeCell ref="DKW50:DKX50"/>
    <mergeCell ref="DKY50:DKZ50"/>
    <mergeCell ref="DLA50:DLB50"/>
    <mergeCell ref="DKE50:DKF50"/>
    <mergeCell ref="DKG50:DKH50"/>
    <mergeCell ref="DKI50:DKJ50"/>
    <mergeCell ref="DKK50:DKL50"/>
    <mergeCell ref="DKM50:DKN50"/>
    <mergeCell ref="DKO50:DKP50"/>
    <mergeCell ref="DJS50:DJT50"/>
    <mergeCell ref="DJU50:DJV50"/>
    <mergeCell ref="DJW50:DJX50"/>
    <mergeCell ref="DJY50:DJZ50"/>
    <mergeCell ref="DKA50:DKB50"/>
    <mergeCell ref="DKC50:DKD50"/>
    <mergeCell ref="DOU50:DOV50"/>
    <mergeCell ref="DOW50:DOX50"/>
    <mergeCell ref="DOY50:DOZ50"/>
    <mergeCell ref="DPA50:DPB50"/>
    <mergeCell ref="DPC50:DPD50"/>
    <mergeCell ref="DPE50:DPF50"/>
    <mergeCell ref="DOI50:DOJ50"/>
    <mergeCell ref="DOK50:DOL50"/>
    <mergeCell ref="DOM50:DON50"/>
    <mergeCell ref="DOO50:DOP50"/>
    <mergeCell ref="DOQ50:DOR50"/>
    <mergeCell ref="DOS50:DOT50"/>
    <mergeCell ref="DNW50:DNX50"/>
    <mergeCell ref="DNY50:DNZ50"/>
    <mergeCell ref="DOA50:DOB50"/>
    <mergeCell ref="DOC50:DOD50"/>
    <mergeCell ref="DOE50:DOF50"/>
    <mergeCell ref="DOG50:DOH50"/>
    <mergeCell ref="DNK50:DNL50"/>
    <mergeCell ref="DNM50:DNN50"/>
    <mergeCell ref="DNO50:DNP50"/>
    <mergeCell ref="DNQ50:DNR50"/>
    <mergeCell ref="DNS50:DNT50"/>
    <mergeCell ref="DNU50:DNV50"/>
    <mergeCell ref="DMY50:DMZ50"/>
    <mergeCell ref="DNA50:DNB50"/>
    <mergeCell ref="DNC50:DND50"/>
    <mergeCell ref="DNE50:DNF50"/>
    <mergeCell ref="DNG50:DNH50"/>
    <mergeCell ref="DNI50:DNJ50"/>
    <mergeCell ref="DMM50:DMN50"/>
    <mergeCell ref="DMO50:DMP50"/>
    <mergeCell ref="DMQ50:DMR50"/>
    <mergeCell ref="DMS50:DMT50"/>
    <mergeCell ref="DMU50:DMV50"/>
    <mergeCell ref="DMW50:DMX50"/>
    <mergeCell ref="DRO50:DRP50"/>
    <mergeCell ref="DRQ50:DRR50"/>
    <mergeCell ref="DRS50:DRT50"/>
    <mergeCell ref="DRU50:DRV50"/>
    <mergeCell ref="DRW50:DRX50"/>
    <mergeCell ref="DRY50:DRZ50"/>
    <mergeCell ref="DRC50:DRD50"/>
    <mergeCell ref="DRE50:DRF50"/>
    <mergeCell ref="DRG50:DRH50"/>
    <mergeCell ref="DRI50:DRJ50"/>
    <mergeCell ref="DRK50:DRL50"/>
    <mergeCell ref="DRM50:DRN50"/>
    <mergeCell ref="DQQ50:DQR50"/>
    <mergeCell ref="DQS50:DQT50"/>
    <mergeCell ref="DQU50:DQV50"/>
    <mergeCell ref="DQW50:DQX50"/>
    <mergeCell ref="DQY50:DQZ50"/>
    <mergeCell ref="DRA50:DRB50"/>
    <mergeCell ref="DQE50:DQF50"/>
    <mergeCell ref="DQG50:DQH50"/>
    <mergeCell ref="DQI50:DQJ50"/>
    <mergeCell ref="DQK50:DQL50"/>
    <mergeCell ref="DQM50:DQN50"/>
    <mergeCell ref="DQO50:DQP50"/>
    <mergeCell ref="DPS50:DPT50"/>
    <mergeCell ref="DPU50:DPV50"/>
    <mergeCell ref="DPW50:DPX50"/>
    <mergeCell ref="DPY50:DPZ50"/>
    <mergeCell ref="DQA50:DQB50"/>
    <mergeCell ref="DQC50:DQD50"/>
    <mergeCell ref="DPG50:DPH50"/>
    <mergeCell ref="DPI50:DPJ50"/>
    <mergeCell ref="DPK50:DPL50"/>
    <mergeCell ref="DPM50:DPN50"/>
    <mergeCell ref="DPO50:DPP50"/>
    <mergeCell ref="DPQ50:DPR50"/>
    <mergeCell ref="DUI50:DUJ50"/>
    <mergeCell ref="DUK50:DUL50"/>
    <mergeCell ref="DUM50:DUN50"/>
    <mergeCell ref="DUO50:DUP50"/>
    <mergeCell ref="DUQ50:DUR50"/>
    <mergeCell ref="DUS50:DUT50"/>
    <mergeCell ref="DTW50:DTX50"/>
    <mergeCell ref="DTY50:DTZ50"/>
    <mergeCell ref="DUA50:DUB50"/>
    <mergeCell ref="DUC50:DUD50"/>
    <mergeCell ref="DUE50:DUF50"/>
    <mergeCell ref="DUG50:DUH50"/>
    <mergeCell ref="DTK50:DTL50"/>
    <mergeCell ref="DTM50:DTN50"/>
    <mergeCell ref="DTO50:DTP50"/>
    <mergeCell ref="DTQ50:DTR50"/>
    <mergeCell ref="DTS50:DTT50"/>
    <mergeCell ref="DTU50:DTV50"/>
    <mergeCell ref="DSY50:DSZ50"/>
    <mergeCell ref="DTA50:DTB50"/>
    <mergeCell ref="DTC50:DTD50"/>
    <mergeCell ref="DTE50:DTF50"/>
    <mergeCell ref="DTG50:DTH50"/>
    <mergeCell ref="DTI50:DTJ50"/>
    <mergeCell ref="DSM50:DSN50"/>
    <mergeCell ref="DSO50:DSP50"/>
    <mergeCell ref="DSQ50:DSR50"/>
    <mergeCell ref="DSS50:DST50"/>
    <mergeCell ref="DSU50:DSV50"/>
    <mergeCell ref="DSW50:DSX50"/>
    <mergeCell ref="DSA50:DSB50"/>
    <mergeCell ref="DSC50:DSD50"/>
    <mergeCell ref="DSE50:DSF50"/>
    <mergeCell ref="DSG50:DSH50"/>
    <mergeCell ref="DSI50:DSJ50"/>
    <mergeCell ref="DSK50:DSL50"/>
    <mergeCell ref="DXC50:DXD50"/>
    <mergeCell ref="DXE50:DXF50"/>
    <mergeCell ref="DXG50:DXH50"/>
    <mergeCell ref="DXI50:DXJ50"/>
    <mergeCell ref="DXK50:DXL50"/>
    <mergeCell ref="DXM50:DXN50"/>
    <mergeCell ref="DWQ50:DWR50"/>
    <mergeCell ref="DWS50:DWT50"/>
    <mergeCell ref="DWU50:DWV50"/>
    <mergeCell ref="DWW50:DWX50"/>
    <mergeCell ref="DWY50:DWZ50"/>
    <mergeCell ref="DXA50:DXB50"/>
    <mergeCell ref="DWE50:DWF50"/>
    <mergeCell ref="DWG50:DWH50"/>
    <mergeCell ref="DWI50:DWJ50"/>
    <mergeCell ref="DWK50:DWL50"/>
    <mergeCell ref="DWM50:DWN50"/>
    <mergeCell ref="DWO50:DWP50"/>
    <mergeCell ref="DVS50:DVT50"/>
    <mergeCell ref="DVU50:DVV50"/>
    <mergeCell ref="DVW50:DVX50"/>
    <mergeCell ref="DVY50:DVZ50"/>
    <mergeCell ref="DWA50:DWB50"/>
    <mergeCell ref="DWC50:DWD50"/>
    <mergeCell ref="DVG50:DVH50"/>
    <mergeCell ref="DVI50:DVJ50"/>
    <mergeCell ref="DVK50:DVL50"/>
    <mergeCell ref="DVM50:DVN50"/>
    <mergeCell ref="DVO50:DVP50"/>
    <mergeCell ref="DVQ50:DVR50"/>
    <mergeCell ref="DUU50:DUV50"/>
    <mergeCell ref="DUW50:DUX50"/>
    <mergeCell ref="DUY50:DUZ50"/>
    <mergeCell ref="DVA50:DVB50"/>
    <mergeCell ref="DVC50:DVD50"/>
    <mergeCell ref="DVE50:DVF50"/>
    <mergeCell ref="DZW50:DZX50"/>
    <mergeCell ref="DZY50:DZZ50"/>
    <mergeCell ref="EAA50:EAB50"/>
    <mergeCell ref="EAC50:EAD50"/>
    <mergeCell ref="EAE50:EAF50"/>
    <mergeCell ref="EAG50:EAH50"/>
    <mergeCell ref="DZK50:DZL50"/>
    <mergeCell ref="DZM50:DZN50"/>
    <mergeCell ref="DZO50:DZP50"/>
    <mergeCell ref="DZQ50:DZR50"/>
    <mergeCell ref="DZS50:DZT50"/>
    <mergeCell ref="DZU50:DZV50"/>
    <mergeCell ref="DYY50:DYZ50"/>
    <mergeCell ref="DZA50:DZB50"/>
    <mergeCell ref="DZC50:DZD50"/>
    <mergeCell ref="DZE50:DZF50"/>
    <mergeCell ref="DZG50:DZH50"/>
    <mergeCell ref="DZI50:DZJ50"/>
    <mergeCell ref="DYM50:DYN50"/>
    <mergeCell ref="DYO50:DYP50"/>
    <mergeCell ref="DYQ50:DYR50"/>
    <mergeCell ref="DYS50:DYT50"/>
    <mergeCell ref="DYU50:DYV50"/>
    <mergeCell ref="DYW50:DYX50"/>
    <mergeCell ref="DYA50:DYB50"/>
    <mergeCell ref="DYC50:DYD50"/>
    <mergeCell ref="DYE50:DYF50"/>
    <mergeCell ref="DYG50:DYH50"/>
    <mergeCell ref="DYI50:DYJ50"/>
    <mergeCell ref="DYK50:DYL50"/>
    <mergeCell ref="DXO50:DXP50"/>
    <mergeCell ref="DXQ50:DXR50"/>
    <mergeCell ref="DXS50:DXT50"/>
    <mergeCell ref="DXU50:DXV50"/>
    <mergeCell ref="DXW50:DXX50"/>
    <mergeCell ref="DXY50:DXZ50"/>
    <mergeCell ref="ECQ50:ECR50"/>
    <mergeCell ref="ECS50:ECT50"/>
    <mergeCell ref="ECU50:ECV50"/>
    <mergeCell ref="ECW50:ECX50"/>
    <mergeCell ref="ECY50:ECZ50"/>
    <mergeCell ref="EDA50:EDB50"/>
    <mergeCell ref="ECE50:ECF50"/>
    <mergeCell ref="ECG50:ECH50"/>
    <mergeCell ref="ECI50:ECJ50"/>
    <mergeCell ref="ECK50:ECL50"/>
    <mergeCell ref="ECM50:ECN50"/>
    <mergeCell ref="ECO50:ECP50"/>
    <mergeCell ref="EBS50:EBT50"/>
    <mergeCell ref="EBU50:EBV50"/>
    <mergeCell ref="EBW50:EBX50"/>
    <mergeCell ref="EBY50:EBZ50"/>
    <mergeCell ref="ECA50:ECB50"/>
    <mergeCell ref="ECC50:ECD50"/>
    <mergeCell ref="EBG50:EBH50"/>
    <mergeCell ref="EBI50:EBJ50"/>
    <mergeCell ref="EBK50:EBL50"/>
    <mergeCell ref="EBM50:EBN50"/>
    <mergeCell ref="EBO50:EBP50"/>
    <mergeCell ref="EBQ50:EBR50"/>
    <mergeCell ref="EAU50:EAV50"/>
    <mergeCell ref="EAW50:EAX50"/>
    <mergeCell ref="EAY50:EAZ50"/>
    <mergeCell ref="EBA50:EBB50"/>
    <mergeCell ref="EBC50:EBD50"/>
    <mergeCell ref="EBE50:EBF50"/>
    <mergeCell ref="EAI50:EAJ50"/>
    <mergeCell ref="EAK50:EAL50"/>
    <mergeCell ref="EAM50:EAN50"/>
    <mergeCell ref="EAO50:EAP50"/>
    <mergeCell ref="EAQ50:EAR50"/>
    <mergeCell ref="EAS50:EAT50"/>
    <mergeCell ref="EFK50:EFL50"/>
    <mergeCell ref="EFM50:EFN50"/>
    <mergeCell ref="EFO50:EFP50"/>
    <mergeCell ref="EFQ50:EFR50"/>
    <mergeCell ref="EFS50:EFT50"/>
    <mergeCell ref="EFU50:EFV50"/>
    <mergeCell ref="EEY50:EEZ50"/>
    <mergeCell ref="EFA50:EFB50"/>
    <mergeCell ref="EFC50:EFD50"/>
    <mergeCell ref="EFE50:EFF50"/>
    <mergeCell ref="EFG50:EFH50"/>
    <mergeCell ref="EFI50:EFJ50"/>
    <mergeCell ref="EEM50:EEN50"/>
    <mergeCell ref="EEO50:EEP50"/>
    <mergeCell ref="EEQ50:EER50"/>
    <mergeCell ref="EES50:EET50"/>
    <mergeCell ref="EEU50:EEV50"/>
    <mergeCell ref="EEW50:EEX50"/>
    <mergeCell ref="EEA50:EEB50"/>
    <mergeCell ref="EEC50:EED50"/>
    <mergeCell ref="EEE50:EEF50"/>
    <mergeCell ref="EEG50:EEH50"/>
    <mergeCell ref="EEI50:EEJ50"/>
    <mergeCell ref="EEK50:EEL50"/>
    <mergeCell ref="EDO50:EDP50"/>
    <mergeCell ref="EDQ50:EDR50"/>
    <mergeCell ref="EDS50:EDT50"/>
    <mergeCell ref="EDU50:EDV50"/>
    <mergeCell ref="EDW50:EDX50"/>
    <mergeCell ref="EDY50:EDZ50"/>
    <mergeCell ref="EDC50:EDD50"/>
    <mergeCell ref="EDE50:EDF50"/>
    <mergeCell ref="EDG50:EDH50"/>
    <mergeCell ref="EDI50:EDJ50"/>
    <mergeCell ref="EDK50:EDL50"/>
    <mergeCell ref="EDM50:EDN50"/>
    <mergeCell ref="EIE50:EIF50"/>
    <mergeCell ref="EIG50:EIH50"/>
    <mergeCell ref="EII50:EIJ50"/>
    <mergeCell ref="EIK50:EIL50"/>
    <mergeCell ref="EIM50:EIN50"/>
    <mergeCell ref="EIO50:EIP50"/>
    <mergeCell ref="EHS50:EHT50"/>
    <mergeCell ref="EHU50:EHV50"/>
    <mergeCell ref="EHW50:EHX50"/>
    <mergeCell ref="EHY50:EHZ50"/>
    <mergeCell ref="EIA50:EIB50"/>
    <mergeCell ref="EIC50:EID50"/>
    <mergeCell ref="EHG50:EHH50"/>
    <mergeCell ref="EHI50:EHJ50"/>
    <mergeCell ref="EHK50:EHL50"/>
    <mergeCell ref="EHM50:EHN50"/>
    <mergeCell ref="EHO50:EHP50"/>
    <mergeCell ref="EHQ50:EHR50"/>
    <mergeCell ref="EGU50:EGV50"/>
    <mergeCell ref="EGW50:EGX50"/>
    <mergeCell ref="EGY50:EGZ50"/>
    <mergeCell ref="EHA50:EHB50"/>
    <mergeCell ref="EHC50:EHD50"/>
    <mergeCell ref="EHE50:EHF50"/>
    <mergeCell ref="EGI50:EGJ50"/>
    <mergeCell ref="EGK50:EGL50"/>
    <mergeCell ref="EGM50:EGN50"/>
    <mergeCell ref="EGO50:EGP50"/>
    <mergeCell ref="EGQ50:EGR50"/>
    <mergeCell ref="EGS50:EGT50"/>
    <mergeCell ref="EFW50:EFX50"/>
    <mergeCell ref="EFY50:EFZ50"/>
    <mergeCell ref="EGA50:EGB50"/>
    <mergeCell ref="EGC50:EGD50"/>
    <mergeCell ref="EGE50:EGF50"/>
    <mergeCell ref="EGG50:EGH50"/>
    <mergeCell ref="EKY50:EKZ50"/>
    <mergeCell ref="ELA50:ELB50"/>
    <mergeCell ref="ELC50:ELD50"/>
    <mergeCell ref="ELE50:ELF50"/>
    <mergeCell ref="ELG50:ELH50"/>
    <mergeCell ref="ELI50:ELJ50"/>
    <mergeCell ref="EKM50:EKN50"/>
    <mergeCell ref="EKO50:EKP50"/>
    <mergeCell ref="EKQ50:EKR50"/>
    <mergeCell ref="EKS50:EKT50"/>
    <mergeCell ref="EKU50:EKV50"/>
    <mergeCell ref="EKW50:EKX50"/>
    <mergeCell ref="EKA50:EKB50"/>
    <mergeCell ref="EKC50:EKD50"/>
    <mergeCell ref="EKE50:EKF50"/>
    <mergeCell ref="EKG50:EKH50"/>
    <mergeCell ref="EKI50:EKJ50"/>
    <mergeCell ref="EKK50:EKL50"/>
    <mergeCell ref="EJO50:EJP50"/>
    <mergeCell ref="EJQ50:EJR50"/>
    <mergeCell ref="EJS50:EJT50"/>
    <mergeCell ref="EJU50:EJV50"/>
    <mergeCell ref="EJW50:EJX50"/>
    <mergeCell ref="EJY50:EJZ50"/>
    <mergeCell ref="EJC50:EJD50"/>
    <mergeCell ref="EJE50:EJF50"/>
    <mergeCell ref="EJG50:EJH50"/>
    <mergeCell ref="EJI50:EJJ50"/>
    <mergeCell ref="EJK50:EJL50"/>
    <mergeCell ref="EJM50:EJN50"/>
    <mergeCell ref="EIQ50:EIR50"/>
    <mergeCell ref="EIS50:EIT50"/>
    <mergeCell ref="EIU50:EIV50"/>
    <mergeCell ref="EIW50:EIX50"/>
    <mergeCell ref="EIY50:EIZ50"/>
    <mergeCell ref="EJA50:EJB50"/>
    <mergeCell ref="ENS50:ENT50"/>
    <mergeCell ref="ENU50:ENV50"/>
    <mergeCell ref="ENW50:ENX50"/>
    <mergeCell ref="ENY50:ENZ50"/>
    <mergeCell ref="EOA50:EOB50"/>
    <mergeCell ref="EOC50:EOD50"/>
    <mergeCell ref="ENG50:ENH50"/>
    <mergeCell ref="ENI50:ENJ50"/>
    <mergeCell ref="ENK50:ENL50"/>
    <mergeCell ref="ENM50:ENN50"/>
    <mergeCell ref="ENO50:ENP50"/>
    <mergeCell ref="ENQ50:ENR50"/>
    <mergeCell ref="EMU50:EMV50"/>
    <mergeCell ref="EMW50:EMX50"/>
    <mergeCell ref="EMY50:EMZ50"/>
    <mergeCell ref="ENA50:ENB50"/>
    <mergeCell ref="ENC50:END50"/>
    <mergeCell ref="ENE50:ENF50"/>
    <mergeCell ref="EMI50:EMJ50"/>
    <mergeCell ref="EMK50:EML50"/>
    <mergeCell ref="EMM50:EMN50"/>
    <mergeCell ref="EMO50:EMP50"/>
    <mergeCell ref="EMQ50:EMR50"/>
    <mergeCell ref="EMS50:EMT50"/>
    <mergeCell ref="ELW50:ELX50"/>
    <mergeCell ref="ELY50:ELZ50"/>
    <mergeCell ref="EMA50:EMB50"/>
    <mergeCell ref="EMC50:EMD50"/>
    <mergeCell ref="EME50:EMF50"/>
    <mergeCell ref="EMG50:EMH50"/>
    <mergeCell ref="ELK50:ELL50"/>
    <mergeCell ref="ELM50:ELN50"/>
    <mergeCell ref="ELO50:ELP50"/>
    <mergeCell ref="ELQ50:ELR50"/>
    <mergeCell ref="ELS50:ELT50"/>
    <mergeCell ref="ELU50:ELV50"/>
    <mergeCell ref="EQM50:EQN50"/>
    <mergeCell ref="EQO50:EQP50"/>
    <mergeCell ref="EQQ50:EQR50"/>
    <mergeCell ref="EQS50:EQT50"/>
    <mergeCell ref="EQU50:EQV50"/>
    <mergeCell ref="EQW50:EQX50"/>
    <mergeCell ref="EQA50:EQB50"/>
    <mergeCell ref="EQC50:EQD50"/>
    <mergeCell ref="EQE50:EQF50"/>
    <mergeCell ref="EQG50:EQH50"/>
    <mergeCell ref="EQI50:EQJ50"/>
    <mergeCell ref="EQK50:EQL50"/>
    <mergeCell ref="EPO50:EPP50"/>
    <mergeCell ref="EPQ50:EPR50"/>
    <mergeCell ref="EPS50:EPT50"/>
    <mergeCell ref="EPU50:EPV50"/>
    <mergeCell ref="EPW50:EPX50"/>
    <mergeCell ref="EPY50:EPZ50"/>
    <mergeCell ref="EPC50:EPD50"/>
    <mergeCell ref="EPE50:EPF50"/>
    <mergeCell ref="EPG50:EPH50"/>
    <mergeCell ref="EPI50:EPJ50"/>
    <mergeCell ref="EPK50:EPL50"/>
    <mergeCell ref="EPM50:EPN50"/>
    <mergeCell ref="EOQ50:EOR50"/>
    <mergeCell ref="EOS50:EOT50"/>
    <mergeCell ref="EOU50:EOV50"/>
    <mergeCell ref="EOW50:EOX50"/>
    <mergeCell ref="EOY50:EOZ50"/>
    <mergeCell ref="EPA50:EPB50"/>
    <mergeCell ref="EOE50:EOF50"/>
    <mergeCell ref="EOG50:EOH50"/>
    <mergeCell ref="EOI50:EOJ50"/>
    <mergeCell ref="EOK50:EOL50"/>
    <mergeCell ref="EOM50:EON50"/>
    <mergeCell ref="EOO50:EOP50"/>
    <mergeCell ref="ETG50:ETH50"/>
    <mergeCell ref="ETI50:ETJ50"/>
    <mergeCell ref="ETK50:ETL50"/>
    <mergeCell ref="ETM50:ETN50"/>
    <mergeCell ref="ETO50:ETP50"/>
    <mergeCell ref="ETQ50:ETR50"/>
    <mergeCell ref="ESU50:ESV50"/>
    <mergeCell ref="ESW50:ESX50"/>
    <mergeCell ref="ESY50:ESZ50"/>
    <mergeCell ref="ETA50:ETB50"/>
    <mergeCell ref="ETC50:ETD50"/>
    <mergeCell ref="ETE50:ETF50"/>
    <mergeCell ref="ESI50:ESJ50"/>
    <mergeCell ref="ESK50:ESL50"/>
    <mergeCell ref="ESM50:ESN50"/>
    <mergeCell ref="ESO50:ESP50"/>
    <mergeCell ref="ESQ50:ESR50"/>
    <mergeCell ref="ESS50:EST50"/>
    <mergeCell ref="ERW50:ERX50"/>
    <mergeCell ref="ERY50:ERZ50"/>
    <mergeCell ref="ESA50:ESB50"/>
    <mergeCell ref="ESC50:ESD50"/>
    <mergeCell ref="ESE50:ESF50"/>
    <mergeCell ref="ESG50:ESH50"/>
    <mergeCell ref="ERK50:ERL50"/>
    <mergeCell ref="ERM50:ERN50"/>
    <mergeCell ref="ERO50:ERP50"/>
    <mergeCell ref="ERQ50:ERR50"/>
    <mergeCell ref="ERS50:ERT50"/>
    <mergeCell ref="ERU50:ERV50"/>
    <mergeCell ref="EQY50:EQZ50"/>
    <mergeCell ref="ERA50:ERB50"/>
    <mergeCell ref="ERC50:ERD50"/>
    <mergeCell ref="ERE50:ERF50"/>
    <mergeCell ref="ERG50:ERH50"/>
    <mergeCell ref="ERI50:ERJ50"/>
    <mergeCell ref="EWA50:EWB50"/>
    <mergeCell ref="EWC50:EWD50"/>
    <mergeCell ref="EWE50:EWF50"/>
    <mergeCell ref="EWG50:EWH50"/>
    <mergeCell ref="EWI50:EWJ50"/>
    <mergeCell ref="EWK50:EWL50"/>
    <mergeCell ref="EVO50:EVP50"/>
    <mergeCell ref="EVQ50:EVR50"/>
    <mergeCell ref="EVS50:EVT50"/>
    <mergeCell ref="EVU50:EVV50"/>
    <mergeCell ref="EVW50:EVX50"/>
    <mergeCell ref="EVY50:EVZ50"/>
    <mergeCell ref="EVC50:EVD50"/>
    <mergeCell ref="EVE50:EVF50"/>
    <mergeCell ref="EVG50:EVH50"/>
    <mergeCell ref="EVI50:EVJ50"/>
    <mergeCell ref="EVK50:EVL50"/>
    <mergeCell ref="EVM50:EVN50"/>
    <mergeCell ref="EUQ50:EUR50"/>
    <mergeCell ref="EUS50:EUT50"/>
    <mergeCell ref="EUU50:EUV50"/>
    <mergeCell ref="EUW50:EUX50"/>
    <mergeCell ref="EUY50:EUZ50"/>
    <mergeCell ref="EVA50:EVB50"/>
    <mergeCell ref="EUE50:EUF50"/>
    <mergeCell ref="EUG50:EUH50"/>
    <mergeCell ref="EUI50:EUJ50"/>
    <mergeCell ref="EUK50:EUL50"/>
    <mergeCell ref="EUM50:EUN50"/>
    <mergeCell ref="EUO50:EUP50"/>
    <mergeCell ref="ETS50:ETT50"/>
    <mergeCell ref="ETU50:ETV50"/>
    <mergeCell ref="ETW50:ETX50"/>
    <mergeCell ref="ETY50:ETZ50"/>
    <mergeCell ref="EUA50:EUB50"/>
    <mergeCell ref="EUC50:EUD50"/>
    <mergeCell ref="EYU50:EYV50"/>
    <mergeCell ref="EYW50:EYX50"/>
    <mergeCell ref="EYY50:EYZ50"/>
    <mergeCell ref="EZA50:EZB50"/>
    <mergeCell ref="EZC50:EZD50"/>
    <mergeCell ref="EZE50:EZF50"/>
    <mergeCell ref="EYI50:EYJ50"/>
    <mergeCell ref="EYK50:EYL50"/>
    <mergeCell ref="EYM50:EYN50"/>
    <mergeCell ref="EYO50:EYP50"/>
    <mergeCell ref="EYQ50:EYR50"/>
    <mergeCell ref="EYS50:EYT50"/>
    <mergeCell ref="EXW50:EXX50"/>
    <mergeCell ref="EXY50:EXZ50"/>
    <mergeCell ref="EYA50:EYB50"/>
    <mergeCell ref="EYC50:EYD50"/>
    <mergeCell ref="EYE50:EYF50"/>
    <mergeCell ref="EYG50:EYH50"/>
    <mergeCell ref="EXK50:EXL50"/>
    <mergeCell ref="EXM50:EXN50"/>
    <mergeCell ref="EXO50:EXP50"/>
    <mergeCell ref="EXQ50:EXR50"/>
    <mergeCell ref="EXS50:EXT50"/>
    <mergeCell ref="EXU50:EXV50"/>
    <mergeCell ref="EWY50:EWZ50"/>
    <mergeCell ref="EXA50:EXB50"/>
    <mergeCell ref="EXC50:EXD50"/>
    <mergeCell ref="EXE50:EXF50"/>
    <mergeCell ref="EXG50:EXH50"/>
    <mergeCell ref="EXI50:EXJ50"/>
    <mergeCell ref="EWM50:EWN50"/>
    <mergeCell ref="EWO50:EWP50"/>
    <mergeCell ref="EWQ50:EWR50"/>
    <mergeCell ref="EWS50:EWT50"/>
    <mergeCell ref="EWU50:EWV50"/>
    <mergeCell ref="EWW50:EWX50"/>
    <mergeCell ref="FBO50:FBP50"/>
    <mergeCell ref="FBQ50:FBR50"/>
    <mergeCell ref="FBS50:FBT50"/>
    <mergeCell ref="FBU50:FBV50"/>
    <mergeCell ref="FBW50:FBX50"/>
    <mergeCell ref="FBY50:FBZ50"/>
    <mergeCell ref="FBC50:FBD50"/>
    <mergeCell ref="FBE50:FBF50"/>
    <mergeCell ref="FBG50:FBH50"/>
    <mergeCell ref="FBI50:FBJ50"/>
    <mergeCell ref="FBK50:FBL50"/>
    <mergeCell ref="FBM50:FBN50"/>
    <mergeCell ref="FAQ50:FAR50"/>
    <mergeCell ref="FAS50:FAT50"/>
    <mergeCell ref="FAU50:FAV50"/>
    <mergeCell ref="FAW50:FAX50"/>
    <mergeCell ref="FAY50:FAZ50"/>
    <mergeCell ref="FBA50:FBB50"/>
    <mergeCell ref="FAE50:FAF50"/>
    <mergeCell ref="FAG50:FAH50"/>
    <mergeCell ref="FAI50:FAJ50"/>
    <mergeCell ref="FAK50:FAL50"/>
    <mergeCell ref="FAM50:FAN50"/>
    <mergeCell ref="FAO50:FAP50"/>
    <mergeCell ref="EZS50:EZT50"/>
    <mergeCell ref="EZU50:EZV50"/>
    <mergeCell ref="EZW50:EZX50"/>
    <mergeCell ref="EZY50:EZZ50"/>
    <mergeCell ref="FAA50:FAB50"/>
    <mergeCell ref="FAC50:FAD50"/>
    <mergeCell ref="EZG50:EZH50"/>
    <mergeCell ref="EZI50:EZJ50"/>
    <mergeCell ref="EZK50:EZL50"/>
    <mergeCell ref="EZM50:EZN50"/>
    <mergeCell ref="EZO50:EZP50"/>
    <mergeCell ref="EZQ50:EZR50"/>
    <mergeCell ref="FEI50:FEJ50"/>
    <mergeCell ref="FEK50:FEL50"/>
    <mergeCell ref="FEM50:FEN50"/>
    <mergeCell ref="FEO50:FEP50"/>
    <mergeCell ref="FEQ50:FER50"/>
    <mergeCell ref="FES50:FET50"/>
    <mergeCell ref="FDW50:FDX50"/>
    <mergeCell ref="FDY50:FDZ50"/>
    <mergeCell ref="FEA50:FEB50"/>
    <mergeCell ref="FEC50:FED50"/>
    <mergeCell ref="FEE50:FEF50"/>
    <mergeCell ref="FEG50:FEH50"/>
    <mergeCell ref="FDK50:FDL50"/>
    <mergeCell ref="FDM50:FDN50"/>
    <mergeCell ref="FDO50:FDP50"/>
    <mergeCell ref="FDQ50:FDR50"/>
    <mergeCell ref="FDS50:FDT50"/>
    <mergeCell ref="FDU50:FDV50"/>
    <mergeCell ref="FCY50:FCZ50"/>
    <mergeCell ref="FDA50:FDB50"/>
    <mergeCell ref="FDC50:FDD50"/>
    <mergeCell ref="FDE50:FDF50"/>
    <mergeCell ref="FDG50:FDH50"/>
    <mergeCell ref="FDI50:FDJ50"/>
    <mergeCell ref="FCM50:FCN50"/>
    <mergeCell ref="FCO50:FCP50"/>
    <mergeCell ref="FCQ50:FCR50"/>
    <mergeCell ref="FCS50:FCT50"/>
    <mergeCell ref="FCU50:FCV50"/>
    <mergeCell ref="FCW50:FCX50"/>
    <mergeCell ref="FCA50:FCB50"/>
    <mergeCell ref="FCC50:FCD50"/>
    <mergeCell ref="FCE50:FCF50"/>
    <mergeCell ref="FCG50:FCH50"/>
    <mergeCell ref="FCI50:FCJ50"/>
    <mergeCell ref="FCK50:FCL50"/>
    <mergeCell ref="FHC50:FHD50"/>
    <mergeCell ref="FHE50:FHF50"/>
    <mergeCell ref="FHG50:FHH50"/>
    <mergeCell ref="FHI50:FHJ50"/>
    <mergeCell ref="FHK50:FHL50"/>
    <mergeCell ref="FHM50:FHN50"/>
    <mergeCell ref="FGQ50:FGR50"/>
    <mergeCell ref="FGS50:FGT50"/>
    <mergeCell ref="FGU50:FGV50"/>
    <mergeCell ref="FGW50:FGX50"/>
    <mergeCell ref="FGY50:FGZ50"/>
    <mergeCell ref="FHA50:FHB50"/>
    <mergeCell ref="FGE50:FGF50"/>
    <mergeCell ref="FGG50:FGH50"/>
    <mergeCell ref="FGI50:FGJ50"/>
    <mergeCell ref="FGK50:FGL50"/>
    <mergeCell ref="FGM50:FGN50"/>
    <mergeCell ref="FGO50:FGP50"/>
    <mergeCell ref="FFS50:FFT50"/>
    <mergeCell ref="FFU50:FFV50"/>
    <mergeCell ref="FFW50:FFX50"/>
    <mergeCell ref="FFY50:FFZ50"/>
    <mergeCell ref="FGA50:FGB50"/>
    <mergeCell ref="FGC50:FGD50"/>
    <mergeCell ref="FFG50:FFH50"/>
    <mergeCell ref="FFI50:FFJ50"/>
    <mergeCell ref="FFK50:FFL50"/>
    <mergeCell ref="FFM50:FFN50"/>
    <mergeCell ref="FFO50:FFP50"/>
    <mergeCell ref="FFQ50:FFR50"/>
    <mergeCell ref="FEU50:FEV50"/>
    <mergeCell ref="FEW50:FEX50"/>
    <mergeCell ref="FEY50:FEZ50"/>
    <mergeCell ref="FFA50:FFB50"/>
    <mergeCell ref="FFC50:FFD50"/>
    <mergeCell ref="FFE50:FFF50"/>
    <mergeCell ref="FJW50:FJX50"/>
    <mergeCell ref="FJY50:FJZ50"/>
    <mergeCell ref="FKA50:FKB50"/>
    <mergeCell ref="FKC50:FKD50"/>
    <mergeCell ref="FKE50:FKF50"/>
    <mergeCell ref="FKG50:FKH50"/>
    <mergeCell ref="FJK50:FJL50"/>
    <mergeCell ref="FJM50:FJN50"/>
    <mergeCell ref="FJO50:FJP50"/>
    <mergeCell ref="FJQ50:FJR50"/>
    <mergeCell ref="FJS50:FJT50"/>
    <mergeCell ref="FJU50:FJV50"/>
    <mergeCell ref="FIY50:FIZ50"/>
    <mergeCell ref="FJA50:FJB50"/>
    <mergeCell ref="FJC50:FJD50"/>
    <mergeCell ref="FJE50:FJF50"/>
    <mergeCell ref="FJG50:FJH50"/>
    <mergeCell ref="FJI50:FJJ50"/>
    <mergeCell ref="FIM50:FIN50"/>
    <mergeCell ref="FIO50:FIP50"/>
    <mergeCell ref="FIQ50:FIR50"/>
    <mergeCell ref="FIS50:FIT50"/>
    <mergeCell ref="FIU50:FIV50"/>
    <mergeCell ref="FIW50:FIX50"/>
    <mergeCell ref="FIA50:FIB50"/>
    <mergeCell ref="FIC50:FID50"/>
    <mergeCell ref="FIE50:FIF50"/>
    <mergeCell ref="FIG50:FIH50"/>
    <mergeCell ref="FII50:FIJ50"/>
    <mergeCell ref="FIK50:FIL50"/>
    <mergeCell ref="FHO50:FHP50"/>
    <mergeCell ref="FHQ50:FHR50"/>
    <mergeCell ref="FHS50:FHT50"/>
    <mergeCell ref="FHU50:FHV50"/>
    <mergeCell ref="FHW50:FHX50"/>
    <mergeCell ref="FHY50:FHZ50"/>
    <mergeCell ref="FMQ50:FMR50"/>
    <mergeCell ref="FMS50:FMT50"/>
    <mergeCell ref="FMU50:FMV50"/>
    <mergeCell ref="FMW50:FMX50"/>
    <mergeCell ref="FMY50:FMZ50"/>
    <mergeCell ref="FNA50:FNB50"/>
    <mergeCell ref="FME50:FMF50"/>
    <mergeCell ref="FMG50:FMH50"/>
    <mergeCell ref="FMI50:FMJ50"/>
    <mergeCell ref="FMK50:FML50"/>
    <mergeCell ref="FMM50:FMN50"/>
    <mergeCell ref="FMO50:FMP50"/>
    <mergeCell ref="FLS50:FLT50"/>
    <mergeCell ref="FLU50:FLV50"/>
    <mergeCell ref="FLW50:FLX50"/>
    <mergeCell ref="FLY50:FLZ50"/>
    <mergeCell ref="FMA50:FMB50"/>
    <mergeCell ref="FMC50:FMD50"/>
    <mergeCell ref="FLG50:FLH50"/>
    <mergeCell ref="FLI50:FLJ50"/>
    <mergeCell ref="FLK50:FLL50"/>
    <mergeCell ref="FLM50:FLN50"/>
    <mergeCell ref="FLO50:FLP50"/>
    <mergeCell ref="FLQ50:FLR50"/>
    <mergeCell ref="FKU50:FKV50"/>
    <mergeCell ref="FKW50:FKX50"/>
    <mergeCell ref="FKY50:FKZ50"/>
    <mergeCell ref="FLA50:FLB50"/>
    <mergeCell ref="FLC50:FLD50"/>
    <mergeCell ref="FLE50:FLF50"/>
    <mergeCell ref="FKI50:FKJ50"/>
    <mergeCell ref="FKK50:FKL50"/>
    <mergeCell ref="FKM50:FKN50"/>
    <mergeCell ref="FKO50:FKP50"/>
    <mergeCell ref="FKQ50:FKR50"/>
    <mergeCell ref="FKS50:FKT50"/>
    <mergeCell ref="FPK50:FPL50"/>
    <mergeCell ref="FPM50:FPN50"/>
    <mergeCell ref="FPO50:FPP50"/>
    <mergeCell ref="FPQ50:FPR50"/>
    <mergeCell ref="FPS50:FPT50"/>
    <mergeCell ref="FPU50:FPV50"/>
    <mergeCell ref="FOY50:FOZ50"/>
    <mergeCell ref="FPA50:FPB50"/>
    <mergeCell ref="FPC50:FPD50"/>
    <mergeCell ref="FPE50:FPF50"/>
    <mergeCell ref="FPG50:FPH50"/>
    <mergeCell ref="FPI50:FPJ50"/>
    <mergeCell ref="FOM50:FON50"/>
    <mergeCell ref="FOO50:FOP50"/>
    <mergeCell ref="FOQ50:FOR50"/>
    <mergeCell ref="FOS50:FOT50"/>
    <mergeCell ref="FOU50:FOV50"/>
    <mergeCell ref="FOW50:FOX50"/>
    <mergeCell ref="FOA50:FOB50"/>
    <mergeCell ref="FOC50:FOD50"/>
    <mergeCell ref="FOE50:FOF50"/>
    <mergeCell ref="FOG50:FOH50"/>
    <mergeCell ref="FOI50:FOJ50"/>
    <mergeCell ref="FOK50:FOL50"/>
    <mergeCell ref="FNO50:FNP50"/>
    <mergeCell ref="FNQ50:FNR50"/>
    <mergeCell ref="FNS50:FNT50"/>
    <mergeCell ref="FNU50:FNV50"/>
    <mergeCell ref="FNW50:FNX50"/>
    <mergeCell ref="FNY50:FNZ50"/>
    <mergeCell ref="FNC50:FND50"/>
    <mergeCell ref="FNE50:FNF50"/>
    <mergeCell ref="FNG50:FNH50"/>
    <mergeCell ref="FNI50:FNJ50"/>
    <mergeCell ref="FNK50:FNL50"/>
    <mergeCell ref="FNM50:FNN50"/>
    <mergeCell ref="FSE50:FSF50"/>
    <mergeCell ref="FSG50:FSH50"/>
    <mergeCell ref="FSI50:FSJ50"/>
    <mergeCell ref="FSK50:FSL50"/>
    <mergeCell ref="FSM50:FSN50"/>
    <mergeCell ref="FSO50:FSP50"/>
    <mergeCell ref="FRS50:FRT50"/>
    <mergeCell ref="FRU50:FRV50"/>
    <mergeCell ref="FRW50:FRX50"/>
    <mergeCell ref="FRY50:FRZ50"/>
    <mergeCell ref="FSA50:FSB50"/>
    <mergeCell ref="FSC50:FSD50"/>
    <mergeCell ref="FRG50:FRH50"/>
    <mergeCell ref="FRI50:FRJ50"/>
    <mergeCell ref="FRK50:FRL50"/>
    <mergeCell ref="FRM50:FRN50"/>
    <mergeCell ref="FRO50:FRP50"/>
    <mergeCell ref="FRQ50:FRR50"/>
    <mergeCell ref="FQU50:FQV50"/>
    <mergeCell ref="FQW50:FQX50"/>
    <mergeCell ref="FQY50:FQZ50"/>
    <mergeCell ref="FRA50:FRB50"/>
    <mergeCell ref="FRC50:FRD50"/>
    <mergeCell ref="FRE50:FRF50"/>
    <mergeCell ref="FQI50:FQJ50"/>
    <mergeCell ref="FQK50:FQL50"/>
    <mergeCell ref="FQM50:FQN50"/>
    <mergeCell ref="FQO50:FQP50"/>
    <mergeCell ref="FQQ50:FQR50"/>
    <mergeCell ref="FQS50:FQT50"/>
    <mergeCell ref="FPW50:FPX50"/>
    <mergeCell ref="FPY50:FPZ50"/>
    <mergeCell ref="FQA50:FQB50"/>
    <mergeCell ref="FQC50:FQD50"/>
    <mergeCell ref="FQE50:FQF50"/>
    <mergeCell ref="FQG50:FQH50"/>
    <mergeCell ref="FUY50:FUZ50"/>
    <mergeCell ref="FVA50:FVB50"/>
    <mergeCell ref="FVC50:FVD50"/>
    <mergeCell ref="FVE50:FVF50"/>
    <mergeCell ref="FVG50:FVH50"/>
    <mergeCell ref="FVI50:FVJ50"/>
    <mergeCell ref="FUM50:FUN50"/>
    <mergeCell ref="FUO50:FUP50"/>
    <mergeCell ref="FUQ50:FUR50"/>
    <mergeCell ref="FUS50:FUT50"/>
    <mergeCell ref="FUU50:FUV50"/>
    <mergeCell ref="FUW50:FUX50"/>
    <mergeCell ref="FUA50:FUB50"/>
    <mergeCell ref="FUC50:FUD50"/>
    <mergeCell ref="FUE50:FUF50"/>
    <mergeCell ref="FUG50:FUH50"/>
    <mergeCell ref="FUI50:FUJ50"/>
    <mergeCell ref="FUK50:FUL50"/>
    <mergeCell ref="FTO50:FTP50"/>
    <mergeCell ref="FTQ50:FTR50"/>
    <mergeCell ref="FTS50:FTT50"/>
    <mergeCell ref="FTU50:FTV50"/>
    <mergeCell ref="FTW50:FTX50"/>
    <mergeCell ref="FTY50:FTZ50"/>
    <mergeCell ref="FTC50:FTD50"/>
    <mergeCell ref="FTE50:FTF50"/>
    <mergeCell ref="FTG50:FTH50"/>
    <mergeCell ref="FTI50:FTJ50"/>
    <mergeCell ref="FTK50:FTL50"/>
    <mergeCell ref="FTM50:FTN50"/>
    <mergeCell ref="FSQ50:FSR50"/>
    <mergeCell ref="FSS50:FST50"/>
    <mergeCell ref="FSU50:FSV50"/>
    <mergeCell ref="FSW50:FSX50"/>
    <mergeCell ref="FSY50:FSZ50"/>
    <mergeCell ref="FTA50:FTB50"/>
    <mergeCell ref="FXS50:FXT50"/>
    <mergeCell ref="FXU50:FXV50"/>
    <mergeCell ref="FXW50:FXX50"/>
    <mergeCell ref="FXY50:FXZ50"/>
    <mergeCell ref="FYA50:FYB50"/>
    <mergeCell ref="FYC50:FYD50"/>
    <mergeCell ref="FXG50:FXH50"/>
    <mergeCell ref="FXI50:FXJ50"/>
    <mergeCell ref="FXK50:FXL50"/>
    <mergeCell ref="FXM50:FXN50"/>
    <mergeCell ref="FXO50:FXP50"/>
    <mergeCell ref="FXQ50:FXR50"/>
    <mergeCell ref="FWU50:FWV50"/>
    <mergeCell ref="FWW50:FWX50"/>
    <mergeCell ref="FWY50:FWZ50"/>
    <mergeCell ref="FXA50:FXB50"/>
    <mergeCell ref="FXC50:FXD50"/>
    <mergeCell ref="FXE50:FXF50"/>
    <mergeCell ref="FWI50:FWJ50"/>
    <mergeCell ref="FWK50:FWL50"/>
    <mergeCell ref="FWM50:FWN50"/>
    <mergeCell ref="FWO50:FWP50"/>
    <mergeCell ref="FWQ50:FWR50"/>
    <mergeCell ref="FWS50:FWT50"/>
    <mergeCell ref="FVW50:FVX50"/>
    <mergeCell ref="FVY50:FVZ50"/>
    <mergeCell ref="FWA50:FWB50"/>
    <mergeCell ref="FWC50:FWD50"/>
    <mergeCell ref="FWE50:FWF50"/>
    <mergeCell ref="FWG50:FWH50"/>
    <mergeCell ref="FVK50:FVL50"/>
    <mergeCell ref="FVM50:FVN50"/>
    <mergeCell ref="FVO50:FVP50"/>
    <mergeCell ref="FVQ50:FVR50"/>
    <mergeCell ref="FVS50:FVT50"/>
    <mergeCell ref="FVU50:FVV50"/>
    <mergeCell ref="GAM50:GAN50"/>
    <mergeCell ref="GAO50:GAP50"/>
    <mergeCell ref="GAQ50:GAR50"/>
    <mergeCell ref="GAS50:GAT50"/>
    <mergeCell ref="GAU50:GAV50"/>
    <mergeCell ref="GAW50:GAX50"/>
    <mergeCell ref="GAA50:GAB50"/>
    <mergeCell ref="GAC50:GAD50"/>
    <mergeCell ref="GAE50:GAF50"/>
    <mergeCell ref="GAG50:GAH50"/>
    <mergeCell ref="GAI50:GAJ50"/>
    <mergeCell ref="GAK50:GAL50"/>
    <mergeCell ref="FZO50:FZP50"/>
    <mergeCell ref="FZQ50:FZR50"/>
    <mergeCell ref="FZS50:FZT50"/>
    <mergeCell ref="FZU50:FZV50"/>
    <mergeCell ref="FZW50:FZX50"/>
    <mergeCell ref="FZY50:FZZ50"/>
    <mergeCell ref="FZC50:FZD50"/>
    <mergeCell ref="FZE50:FZF50"/>
    <mergeCell ref="FZG50:FZH50"/>
    <mergeCell ref="FZI50:FZJ50"/>
    <mergeCell ref="FZK50:FZL50"/>
    <mergeCell ref="FZM50:FZN50"/>
    <mergeCell ref="FYQ50:FYR50"/>
    <mergeCell ref="FYS50:FYT50"/>
    <mergeCell ref="FYU50:FYV50"/>
    <mergeCell ref="FYW50:FYX50"/>
    <mergeCell ref="FYY50:FYZ50"/>
    <mergeCell ref="FZA50:FZB50"/>
    <mergeCell ref="FYE50:FYF50"/>
    <mergeCell ref="FYG50:FYH50"/>
    <mergeCell ref="FYI50:FYJ50"/>
    <mergeCell ref="FYK50:FYL50"/>
    <mergeCell ref="FYM50:FYN50"/>
    <mergeCell ref="FYO50:FYP50"/>
    <mergeCell ref="GDG50:GDH50"/>
    <mergeCell ref="GDI50:GDJ50"/>
    <mergeCell ref="GDK50:GDL50"/>
    <mergeCell ref="GDM50:GDN50"/>
    <mergeCell ref="GDO50:GDP50"/>
    <mergeCell ref="GDQ50:GDR50"/>
    <mergeCell ref="GCU50:GCV50"/>
    <mergeCell ref="GCW50:GCX50"/>
    <mergeCell ref="GCY50:GCZ50"/>
    <mergeCell ref="GDA50:GDB50"/>
    <mergeCell ref="GDC50:GDD50"/>
    <mergeCell ref="GDE50:GDF50"/>
    <mergeCell ref="GCI50:GCJ50"/>
    <mergeCell ref="GCK50:GCL50"/>
    <mergeCell ref="GCM50:GCN50"/>
    <mergeCell ref="GCO50:GCP50"/>
    <mergeCell ref="GCQ50:GCR50"/>
    <mergeCell ref="GCS50:GCT50"/>
    <mergeCell ref="GBW50:GBX50"/>
    <mergeCell ref="GBY50:GBZ50"/>
    <mergeCell ref="GCA50:GCB50"/>
    <mergeCell ref="GCC50:GCD50"/>
    <mergeCell ref="GCE50:GCF50"/>
    <mergeCell ref="GCG50:GCH50"/>
    <mergeCell ref="GBK50:GBL50"/>
    <mergeCell ref="GBM50:GBN50"/>
    <mergeCell ref="GBO50:GBP50"/>
    <mergeCell ref="GBQ50:GBR50"/>
    <mergeCell ref="GBS50:GBT50"/>
    <mergeCell ref="GBU50:GBV50"/>
    <mergeCell ref="GAY50:GAZ50"/>
    <mergeCell ref="GBA50:GBB50"/>
    <mergeCell ref="GBC50:GBD50"/>
    <mergeCell ref="GBE50:GBF50"/>
    <mergeCell ref="GBG50:GBH50"/>
    <mergeCell ref="GBI50:GBJ50"/>
    <mergeCell ref="GGA50:GGB50"/>
    <mergeCell ref="GGC50:GGD50"/>
    <mergeCell ref="GGE50:GGF50"/>
    <mergeCell ref="GGG50:GGH50"/>
    <mergeCell ref="GGI50:GGJ50"/>
    <mergeCell ref="GGK50:GGL50"/>
    <mergeCell ref="GFO50:GFP50"/>
    <mergeCell ref="GFQ50:GFR50"/>
    <mergeCell ref="GFS50:GFT50"/>
    <mergeCell ref="GFU50:GFV50"/>
    <mergeCell ref="GFW50:GFX50"/>
    <mergeCell ref="GFY50:GFZ50"/>
    <mergeCell ref="GFC50:GFD50"/>
    <mergeCell ref="GFE50:GFF50"/>
    <mergeCell ref="GFG50:GFH50"/>
    <mergeCell ref="GFI50:GFJ50"/>
    <mergeCell ref="GFK50:GFL50"/>
    <mergeCell ref="GFM50:GFN50"/>
    <mergeCell ref="GEQ50:GER50"/>
    <mergeCell ref="GES50:GET50"/>
    <mergeCell ref="GEU50:GEV50"/>
    <mergeCell ref="GEW50:GEX50"/>
    <mergeCell ref="GEY50:GEZ50"/>
    <mergeCell ref="GFA50:GFB50"/>
    <mergeCell ref="GEE50:GEF50"/>
    <mergeCell ref="GEG50:GEH50"/>
    <mergeCell ref="GEI50:GEJ50"/>
    <mergeCell ref="GEK50:GEL50"/>
    <mergeCell ref="GEM50:GEN50"/>
    <mergeCell ref="GEO50:GEP50"/>
    <mergeCell ref="GDS50:GDT50"/>
    <mergeCell ref="GDU50:GDV50"/>
    <mergeCell ref="GDW50:GDX50"/>
    <mergeCell ref="GDY50:GDZ50"/>
    <mergeCell ref="GEA50:GEB50"/>
    <mergeCell ref="GEC50:GED50"/>
    <mergeCell ref="GIU50:GIV50"/>
    <mergeCell ref="GIW50:GIX50"/>
    <mergeCell ref="GIY50:GIZ50"/>
    <mergeCell ref="GJA50:GJB50"/>
    <mergeCell ref="GJC50:GJD50"/>
    <mergeCell ref="GJE50:GJF50"/>
    <mergeCell ref="GII50:GIJ50"/>
    <mergeCell ref="GIK50:GIL50"/>
    <mergeCell ref="GIM50:GIN50"/>
    <mergeCell ref="GIO50:GIP50"/>
    <mergeCell ref="GIQ50:GIR50"/>
    <mergeCell ref="GIS50:GIT50"/>
    <mergeCell ref="GHW50:GHX50"/>
    <mergeCell ref="GHY50:GHZ50"/>
    <mergeCell ref="GIA50:GIB50"/>
    <mergeCell ref="GIC50:GID50"/>
    <mergeCell ref="GIE50:GIF50"/>
    <mergeCell ref="GIG50:GIH50"/>
    <mergeCell ref="GHK50:GHL50"/>
    <mergeCell ref="GHM50:GHN50"/>
    <mergeCell ref="GHO50:GHP50"/>
    <mergeCell ref="GHQ50:GHR50"/>
    <mergeCell ref="GHS50:GHT50"/>
    <mergeCell ref="GHU50:GHV50"/>
    <mergeCell ref="GGY50:GGZ50"/>
    <mergeCell ref="GHA50:GHB50"/>
    <mergeCell ref="GHC50:GHD50"/>
    <mergeCell ref="GHE50:GHF50"/>
    <mergeCell ref="GHG50:GHH50"/>
    <mergeCell ref="GHI50:GHJ50"/>
    <mergeCell ref="GGM50:GGN50"/>
    <mergeCell ref="GGO50:GGP50"/>
    <mergeCell ref="GGQ50:GGR50"/>
    <mergeCell ref="GGS50:GGT50"/>
    <mergeCell ref="GGU50:GGV50"/>
    <mergeCell ref="GGW50:GGX50"/>
    <mergeCell ref="GLO50:GLP50"/>
    <mergeCell ref="GLQ50:GLR50"/>
    <mergeCell ref="GLS50:GLT50"/>
    <mergeCell ref="GLU50:GLV50"/>
    <mergeCell ref="GLW50:GLX50"/>
    <mergeCell ref="GLY50:GLZ50"/>
    <mergeCell ref="GLC50:GLD50"/>
    <mergeCell ref="GLE50:GLF50"/>
    <mergeCell ref="GLG50:GLH50"/>
    <mergeCell ref="GLI50:GLJ50"/>
    <mergeCell ref="GLK50:GLL50"/>
    <mergeCell ref="GLM50:GLN50"/>
    <mergeCell ref="GKQ50:GKR50"/>
    <mergeCell ref="GKS50:GKT50"/>
    <mergeCell ref="GKU50:GKV50"/>
    <mergeCell ref="GKW50:GKX50"/>
    <mergeCell ref="GKY50:GKZ50"/>
    <mergeCell ref="GLA50:GLB50"/>
    <mergeCell ref="GKE50:GKF50"/>
    <mergeCell ref="GKG50:GKH50"/>
    <mergeCell ref="GKI50:GKJ50"/>
    <mergeCell ref="GKK50:GKL50"/>
    <mergeCell ref="GKM50:GKN50"/>
    <mergeCell ref="GKO50:GKP50"/>
    <mergeCell ref="GJS50:GJT50"/>
    <mergeCell ref="GJU50:GJV50"/>
    <mergeCell ref="GJW50:GJX50"/>
    <mergeCell ref="GJY50:GJZ50"/>
    <mergeCell ref="GKA50:GKB50"/>
    <mergeCell ref="GKC50:GKD50"/>
    <mergeCell ref="GJG50:GJH50"/>
    <mergeCell ref="GJI50:GJJ50"/>
    <mergeCell ref="GJK50:GJL50"/>
    <mergeCell ref="GJM50:GJN50"/>
    <mergeCell ref="GJO50:GJP50"/>
    <mergeCell ref="GJQ50:GJR50"/>
    <mergeCell ref="GOI50:GOJ50"/>
    <mergeCell ref="GOK50:GOL50"/>
    <mergeCell ref="GOM50:GON50"/>
    <mergeCell ref="GOO50:GOP50"/>
    <mergeCell ref="GOQ50:GOR50"/>
    <mergeCell ref="GOS50:GOT50"/>
    <mergeCell ref="GNW50:GNX50"/>
    <mergeCell ref="GNY50:GNZ50"/>
    <mergeCell ref="GOA50:GOB50"/>
    <mergeCell ref="GOC50:GOD50"/>
    <mergeCell ref="GOE50:GOF50"/>
    <mergeCell ref="GOG50:GOH50"/>
    <mergeCell ref="GNK50:GNL50"/>
    <mergeCell ref="GNM50:GNN50"/>
    <mergeCell ref="GNO50:GNP50"/>
    <mergeCell ref="GNQ50:GNR50"/>
    <mergeCell ref="GNS50:GNT50"/>
    <mergeCell ref="GNU50:GNV50"/>
    <mergeCell ref="GMY50:GMZ50"/>
    <mergeCell ref="GNA50:GNB50"/>
    <mergeCell ref="GNC50:GND50"/>
    <mergeCell ref="GNE50:GNF50"/>
    <mergeCell ref="GNG50:GNH50"/>
    <mergeCell ref="GNI50:GNJ50"/>
    <mergeCell ref="GMM50:GMN50"/>
    <mergeCell ref="GMO50:GMP50"/>
    <mergeCell ref="GMQ50:GMR50"/>
    <mergeCell ref="GMS50:GMT50"/>
    <mergeCell ref="GMU50:GMV50"/>
    <mergeCell ref="GMW50:GMX50"/>
    <mergeCell ref="GMA50:GMB50"/>
    <mergeCell ref="GMC50:GMD50"/>
    <mergeCell ref="GME50:GMF50"/>
    <mergeCell ref="GMG50:GMH50"/>
    <mergeCell ref="GMI50:GMJ50"/>
    <mergeCell ref="GMK50:GML50"/>
    <mergeCell ref="GRC50:GRD50"/>
    <mergeCell ref="GRE50:GRF50"/>
    <mergeCell ref="GRG50:GRH50"/>
    <mergeCell ref="GRI50:GRJ50"/>
    <mergeCell ref="GRK50:GRL50"/>
    <mergeCell ref="GRM50:GRN50"/>
    <mergeCell ref="GQQ50:GQR50"/>
    <mergeCell ref="GQS50:GQT50"/>
    <mergeCell ref="GQU50:GQV50"/>
    <mergeCell ref="GQW50:GQX50"/>
    <mergeCell ref="GQY50:GQZ50"/>
    <mergeCell ref="GRA50:GRB50"/>
    <mergeCell ref="GQE50:GQF50"/>
    <mergeCell ref="GQG50:GQH50"/>
    <mergeCell ref="GQI50:GQJ50"/>
    <mergeCell ref="GQK50:GQL50"/>
    <mergeCell ref="GQM50:GQN50"/>
    <mergeCell ref="GQO50:GQP50"/>
    <mergeCell ref="GPS50:GPT50"/>
    <mergeCell ref="GPU50:GPV50"/>
    <mergeCell ref="GPW50:GPX50"/>
    <mergeCell ref="GPY50:GPZ50"/>
    <mergeCell ref="GQA50:GQB50"/>
    <mergeCell ref="GQC50:GQD50"/>
    <mergeCell ref="GPG50:GPH50"/>
    <mergeCell ref="GPI50:GPJ50"/>
    <mergeCell ref="GPK50:GPL50"/>
    <mergeCell ref="GPM50:GPN50"/>
    <mergeCell ref="GPO50:GPP50"/>
    <mergeCell ref="GPQ50:GPR50"/>
    <mergeCell ref="GOU50:GOV50"/>
    <mergeCell ref="GOW50:GOX50"/>
    <mergeCell ref="GOY50:GOZ50"/>
    <mergeCell ref="GPA50:GPB50"/>
    <mergeCell ref="GPC50:GPD50"/>
    <mergeCell ref="GPE50:GPF50"/>
    <mergeCell ref="GTW50:GTX50"/>
    <mergeCell ref="GTY50:GTZ50"/>
    <mergeCell ref="GUA50:GUB50"/>
    <mergeCell ref="GUC50:GUD50"/>
    <mergeCell ref="GUE50:GUF50"/>
    <mergeCell ref="GUG50:GUH50"/>
    <mergeCell ref="GTK50:GTL50"/>
    <mergeCell ref="GTM50:GTN50"/>
    <mergeCell ref="GTO50:GTP50"/>
    <mergeCell ref="GTQ50:GTR50"/>
    <mergeCell ref="GTS50:GTT50"/>
    <mergeCell ref="GTU50:GTV50"/>
    <mergeCell ref="GSY50:GSZ50"/>
    <mergeCell ref="GTA50:GTB50"/>
    <mergeCell ref="GTC50:GTD50"/>
    <mergeCell ref="GTE50:GTF50"/>
    <mergeCell ref="GTG50:GTH50"/>
    <mergeCell ref="GTI50:GTJ50"/>
    <mergeCell ref="GSM50:GSN50"/>
    <mergeCell ref="GSO50:GSP50"/>
    <mergeCell ref="GSQ50:GSR50"/>
    <mergeCell ref="GSS50:GST50"/>
    <mergeCell ref="GSU50:GSV50"/>
    <mergeCell ref="GSW50:GSX50"/>
    <mergeCell ref="GSA50:GSB50"/>
    <mergeCell ref="GSC50:GSD50"/>
    <mergeCell ref="GSE50:GSF50"/>
    <mergeCell ref="GSG50:GSH50"/>
    <mergeCell ref="GSI50:GSJ50"/>
    <mergeCell ref="GSK50:GSL50"/>
    <mergeCell ref="GRO50:GRP50"/>
    <mergeCell ref="GRQ50:GRR50"/>
    <mergeCell ref="GRS50:GRT50"/>
    <mergeCell ref="GRU50:GRV50"/>
    <mergeCell ref="GRW50:GRX50"/>
    <mergeCell ref="GRY50:GRZ50"/>
    <mergeCell ref="GWQ50:GWR50"/>
    <mergeCell ref="GWS50:GWT50"/>
    <mergeCell ref="GWU50:GWV50"/>
    <mergeCell ref="GWW50:GWX50"/>
    <mergeCell ref="GWY50:GWZ50"/>
    <mergeCell ref="GXA50:GXB50"/>
    <mergeCell ref="GWE50:GWF50"/>
    <mergeCell ref="GWG50:GWH50"/>
    <mergeCell ref="GWI50:GWJ50"/>
    <mergeCell ref="GWK50:GWL50"/>
    <mergeCell ref="GWM50:GWN50"/>
    <mergeCell ref="GWO50:GWP50"/>
    <mergeCell ref="GVS50:GVT50"/>
    <mergeCell ref="GVU50:GVV50"/>
    <mergeCell ref="GVW50:GVX50"/>
    <mergeCell ref="GVY50:GVZ50"/>
    <mergeCell ref="GWA50:GWB50"/>
    <mergeCell ref="GWC50:GWD50"/>
    <mergeCell ref="GVG50:GVH50"/>
    <mergeCell ref="GVI50:GVJ50"/>
    <mergeCell ref="GVK50:GVL50"/>
    <mergeCell ref="GVM50:GVN50"/>
    <mergeCell ref="GVO50:GVP50"/>
    <mergeCell ref="GVQ50:GVR50"/>
    <mergeCell ref="GUU50:GUV50"/>
    <mergeCell ref="GUW50:GUX50"/>
    <mergeCell ref="GUY50:GUZ50"/>
    <mergeCell ref="GVA50:GVB50"/>
    <mergeCell ref="GVC50:GVD50"/>
    <mergeCell ref="GVE50:GVF50"/>
    <mergeCell ref="GUI50:GUJ50"/>
    <mergeCell ref="GUK50:GUL50"/>
    <mergeCell ref="GUM50:GUN50"/>
    <mergeCell ref="GUO50:GUP50"/>
    <mergeCell ref="GUQ50:GUR50"/>
    <mergeCell ref="GUS50:GUT50"/>
    <mergeCell ref="GZK50:GZL50"/>
    <mergeCell ref="GZM50:GZN50"/>
    <mergeCell ref="GZO50:GZP50"/>
    <mergeCell ref="GZQ50:GZR50"/>
    <mergeCell ref="GZS50:GZT50"/>
    <mergeCell ref="GZU50:GZV50"/>
    <mergeCell ref="GYY50:GYZ50"/>
    <mergeCell ref="GZA50:GZB50"/>
    <mergeCell ref="GZC50:GZD50"/>
    <mergeCell ref="GZE50:GZF50"/>
    <mergeCell ref="GZG50:GZH50"/>
    <mergeCell ref="GZI50:GZJ50"/>
    <mergeCell ref="GYM50:GYN50"/>
    <mergeCell ref="GYO50:GYP50"/>
    <mergeCell ref="GYQ50:GYR50"/>
    <mergeCell ref="GYS50:GYT50"/>
    <mergeCell ref="GYU50:GYV50"/>
    <mergeCell ref="GYW50:GYX50"/>
    <mergeCell ref="GYA50:GYB50"/>
    <mergeCell ref="GYC50:GYD50"/>
    <mergeCell ref="GYE50:GYF50"/>
    <mergeCell ref="GYG50:GYH50"/>
    <mergeCell ref="GYI50:GYJ50"/>
    <mergeCell ref="GYK50:GYL50"/>
    <mergeCell ref="GXO50:GXP50"/>
    <mergeCell ref="GXQ50:GXR50"/>
    <mergeCell ref="GXS50:GXT50"/>
    <mergeCell ref="GXU50:GXV50"/>
    <mergeCell ref="GXW50:GXX50"/>
    <mergeCell ref="GXY50:GXZ50"/>
    <mergeCell ref="GXC50:GXD50"/>
    <mergeCell ref="GXE50:GXF50"/>
    <mergeCell ref="GXG50:GXH50"/>
    <mergeCell ref="GXI50:GXJ50"/>
    <mergeCell ref="GXK50:GXL50"/>
    <mergeCell ref="GXM50:GXN50"/>
    <mergeCell ref="HCE50:HCF50"/>
    <mergeCell ref="HCG50:HCH50"/>
    <mergeCell ref="HCI50:HCJ50"/>
    <mergeCell ref="HCK50:HCL50"/>
    <mergeCell ref="HCM50:HCN50"/>
    <mergeCell ref="HCO50:HCP50"/>
    <mergeCell ref="HBS50:HBT50"/>
    <mergeCell ref="HBU50:HBV50"/>
    <mergeCell ref="HBW50:HBX50"/>
    <mergeCell ref="HBY50:HBZ50"/>
    <mergeCell ref="HCA50:HCB50"/>
    <mergeCell ref="HCC50:HCD50"/>
    <mergeCell ref="HBG50:HBH50"/>
    <mergeCell ref="HBI50:HBJ50"/>
    <mergeCell ref="HBK50:HBL50"/>
    <mergeCell ref="HBM50:HBN50"/>
    <mergeCell ref="HBO50:HBP50"/>
    <mergeCell ref="HBQ50:HBR50"/>
    <mergeCell ref="HAU50:HAV50"/>
    <mergeCell ref="HAW50:HAX50"/>
    <mergeCell ref="HAY50:HAZ50"/>
    <mergeCell ref="HBA50:HBB50"/>
    <mergeCell ref="HBC50:HBD50"/>
    <mergeCell ref="HBE50:HBF50"/>
    <mergeCell ref="HAI50:HAJ50"/>
    <mergeCell ref="HAK50:HAL50"/>
    <mergeCell ref="HAM50:HAN50"/>
    <mergeCell ref="HAO50:HAP50"/>
    <mergeCell ref="HAQ50:HAR50"/>
    <mergeCell ref="HAS50:HAT50"/>
    <mergeCell ref="GZW50:GZX50"/>
    <mergeCell ref="GZY50:GZZ50"/>
    <mergeCell ref="HAA50:HAB50"/>
    <mergeCell ref="HAC50:HAD50"/>
    <mergeCell ref="HAE50:HAF50"/>
    <mergeCell ref="HAG50:HAH50"/>
    <mergeCell ref="HEY50:HEZ50"/>
    <mergeCell ref="HFA50:HFB50"/>
    <mergeCell ref="HFC50:HFD50"/>
    <mergeCell ref="HFE50:HFF50"/>
    <mergeCell ref="HFG50:HFH50"/>
    <mergeCell ref="HFI50:HFJ50"/>
    <mergeCell ref="HEM50:HEN50"/>
    <mergeCell ref="HEO50:HEP50"/>
    <mergeCell ref="HEQ50:HER50"/>
    <mergeCell ref="HES50:HET50"/>
    <mergeCell ref="HEU50:HEV50"/>
    <mergeCell ref="HEW50:HEX50"/>
    <mergeCell ref="HEA50:HEB50"/>
    <mergeCell ref="HEC50:HED50"/>
    <mergeCell ref="HEE50:HEF50"/>
    <mergeCell ref="HEG50:HEH50"/>
    <mergeCell ref="HEI50:HEJ50"/>
    <mergeCell ref="HEK50:HEL50"/>
    <mergeCell ref="HDO50:HDP50"/>
    <mergeCell ref="HDQ50:HDR50"/>
    <mergeCell ref="HDS50:HDT50"/>
    <mergeCell ref="HDU50:HDV50"/>
    <mergeCell ref="HDW50:HDX50"/>
    <mergeCell ref="HDY50:HDZ50"/>
    <mergeCell ref="HDC50:HDD50"/>
    <mergeCell ref="HDE50:HDF50"/>
    <mergeCell ref="HDG50:HDH50"/>
    <mergeCell ref="HDI50:HDJ50"/>
    <mergeCell ref="HDK50:HDL50"/>
    <mergeCell ref="HDM50:HDN50"/>
    <mergeCell ref="HCQ50:HCR50"/>
    <mergeCell ref="HCS50:HCT50"/>
    <mergeCell ref="HCU50:HCV50"/>
    <mergeCell ref="HCW50:HCX50"/>
    <mergeCell ref="HCY50:HCZ50"/>
    <mergeCell ref="HDA50:HDB50"/>
    <mergeCell ref="HHS50:HHT50"/>
    <mergeCell ref="HHU50:HHV50"/>
    <mergeCell ref="HHW50:HHX50"/>
    <mergeCell ref="HHY50:HHZ50"/>
    <mergeCell ref="HIA50:HIB50"/>
    <mergeCell ref="HIC50:HID50"/>
    <mergeCell ref="HHG50:HHH50"/>
    <mergeCell ref="HHI50:HHJ50"/>
    <mergeCell ref="HHK50:HHL50"/>
    <mergeCell ref="HHM50:HHN50"/>
    <mergeCell ref="HHO50:HHP50"/>
    <mergeCell ref="HHQ50:HHR50"/>
    <mergeCell ref="HGU50:HGV50"/>
    <mergeCell ref="HGW50:HGX50"/>
    <mergeCell ref="HGY50:HGZ50"/>
    <mergeCell ref="HHA50:HHB50"/>
    <mergeCell ref="HHC50:HHD50"/>
    <mergeCell ref="HHE50:HHF50"/>
    <mergeCell ref="HGI50:HGJ50"/>
    <mergeCell ref="HGK50:HGL50"/>
    <mergeCell ref="HGM50:HGN50"/>
    <mergeCell ref="HGO50:HGP50"/>
    <mergeCell ref="HGQ50:HGR50"/>
    <mergeCell ref="HGS50:HGT50"/>
    <mergeCell ref="HFW50:HFX50"/>
    <mergeCell ref="HFY50:HFZ50"/>
    <mergeCell ref="HGA50:HGB50"/>
    <mergeCell ref="HGC50:HGD50"/>
    <mergeCell ref="HGE50:HGF50"/>
    <mergeCell ref="HGG50:HGH50"/>
    <mergeCell ref="HFK50:HFL50"/>
    <mergeCell ref="HFM50:HFN50"/>
    <mergeCell ref="HFO50:HFP50"/>
    <mergeCell ref="HFQ50:HFR50"/>
    <mergeCell ref="HFS50:HFT50"/>
    <mergeCell ref="HFU50:HFV50"/>
    <mergeCell ref="HKM50:HKN50"/>
    <mergeCell ref="HKO50:HKP50"/>
    <mergeCell ref="HKQ50:HKR50"/>
    <mergeCell ref="HKS50:HKT50"/>
    <mergeCell ref="HKU50:HKV50"/>
    <mergeCell ref="HKW50:HKX50"/>
    <mergeCell ref="HKA50:HKB50"/>
    <mergeCell ref="HKC50:HKD50"/>
    <mergeCell ref="HKE50:HKF50"/>
    <mergeCell ref="HKG50:HKH50"/>
    <mergeCell ref="HKI50:HKJ50"/>
    <mergeCell ref="HKK50:HKL50"/>
    <mergeCell ref="HJO50:HJP50"/>
    <mergeCell ref="HJQ50:HJR50"/>
    <mergeCell ref="HJS50:HJT50"/>
    <mergeCell ref="HJU50:HJV50"/>
    <mergeCell ref="HJW50:HJX50"/>
    <mergeCell ref="HJY50:HJZ50"/>
    <mergeCell ref="HJC50:HJD50"/>
    <mergeCell ref="HJE50:HJF50"/>
    <mergeCell ref="HJG50:HJH50"/>
    <mergeCell ref="HJI50:HJJ50"/>
    <mergeCell ref="HJK50:HJL50"/>
    <mergeCell ref="HJM50:HJN50"/>
    <mergeCell ref="HIQ50:HIR50"/>
    <mergeCell ref="HIS50:HIT50"/>
    <mergeCell ref="HIU50:HIV50"/>
    <mergeCell ref="HIW50:HIX50"/>
    <mergeCell ref="HIY50:HIZ50"/>
    <mergeCell ref="HJA50:HJB50"/>
    <mergeCell ref="HIE50:HIF50"/>
    <mergeCell ref="HIG50:HIH50"/>
    <mergeCell ref="HII50:HIJ50"/>
    <mergeCell ref="HIK50:HIL50"/>
    <mergeCell ref="HIM50:HIN50"/>
    <mergeCell ref="HIO50:HIP50"/>
    <mergeCell ref="HNG50:HNH50"/>
    <mergeCell ref="HNI50:HNJ50"/>
    <mergeCell ref="HNK50:HNL50"/>
    <mergeCell ref="HNM50:HNN50"/>
    <mergeCell ref="HNO50:HNP50"/>
    <mergeCell ref="HNQ50:HNR50"/>
    <mergeCell ref="HMU50:HMV50"/>
    <mergeCell ref="HMW50:HMX50"/>
    <mergeCell ref="HMY50:HMZ50"/>
    <mergeCell ref="HNA50:HNB50"/>
    <mergeCell ref="HNC50:HND50"/>
    <mergeCell ref="HNE50:HNF50"/>
    <mergeCell ref="HMI50:HMJ50"/>
    <mergeCell ref="HMK50:HML50"/>
    <mergeCell ref="HMM50:HMN50"/>
    <mergeCell ref="HMO50:HMP50"/>
    <mergeCell ref="HMQ50:HMR50"/>
    <mergeCell ref="HMS50:HMT50"/>
    <mergeCell ref="HLW50:HLX50"/>
    <mergeCell ref="HLY50:HLZ50"/>
    <mergeCell ref="HMA50:HMB50"/>
    <mergeCell ref="HMC50:HMD50"/>
    <mergeCell ref="HME50:HMF50"/>
    <mergeCell ref="HMG50:HMH50"/>
    <mergeCell ref="HLK50:HLL50"/>
    <mergeCell ref="HLM50:HLN50"/>
    <mergeCell ref="HLO50:HLP50"/>
    <mergeCell ref="HLQ50:HLR50"/>
    <mergeCell ref="HLS50:HLT50"/>
    <mergeCell ref="HLU50:HLV50"/>
    <mergeCell ref="HKY50:HKZ50"/>
    <mergeCell ref="HLA50:HLB50"/>
    <mergeCell ref="HLC50:HLD50"/>
    <mergeCell ref="HLE50:HLF50"/>
    <mergeCell ref="HLG50:HLH50"/>
    <mergeCell ref="HLI50:HLJ50"/>
    <mergeCell ref="HQA50:HQB50"/>
    <mergeCell ref="HQC50:HQD50"/>
    <mergeCell ref="HQE50:HQF50"/>
    <mergeCell ref="HQG50:HQH50"/>
    <mergeCell ref="HQI50:HQJ50"/>
    <mergeCell ref="HQK50:HQL50"/>
    <mergeCell ref="HPO50:HPP50"/>
    <mergeCell ref="HPQ50:HPR50"/>
    <mergeCell ref="HPS50:HPT50"/>
    <mergeCell ref="HPU50:HPV50"/>
    <mergeCell ref="HPW50:HPX50"/>
    <mergeCell ref="HPY50:HPZ50"/>
    <mergeCell ref="HPC50:HPD50"/>
    <mergeCell ref="HPE50:HPF50"/>
    <mergeCell ref="HPG50:HPH50"/>
    <mergeCell ref="HPI50:HPJ50"/>
    <mergeCell ref="HPK50:HPL50"/>
    <mergeCell ref="HPM50:HPN50"/>
    <mergeCell ref="HOQ50:HOR50"/>
    <mergeCell ref="HOS50:HOT50"/>
    <mergeCell ref="HOU50:HOV50"/>
    <mergeCell ref="HOW50:HOX50"/>
    <mergeCell ref="HOY50:HOZ50"/>
    <mergeCell ref="HPA50:HPB50"/>
    <mergeCell ref="HOE50:HOF50"/>
    <mergeCell ref="HOG50:HOH50"/>
    <mergeCell ref="HOI50:HOJ50"/>
    <mergeCell ref="HOK50:HOL50"/>
    <mergeCell ref="HOM50:HON50"/>
    <mergeCell ref="HOO50:HOP50"/>
    <mergeCell ref="HNS50:HNT50"/>
    <mergeCell ref="HNU50:HNV50"/>
    <mergeCell ref="HNW50:HNX50"/>
    <mergeCell ref="HNY50:HNZ50"/>
    <mergeCell ref="HOA50:HOB50"/>
    <mergeCell ref="HOC50:HOD50"/>
    <mergeCell ref="HSU50:HSV50"/>
    <mergeCell ref="HSW50:HSX50"/>
    <mergeCell ref="HSY50:HSZ50"/>
    <mergeCell ref="HTA50:HTB50"/>
    <mergeCell ref="HTC50:HTD50"/>
    <mergeCell ref="HTE50:HTF50"/>
    <mergeCell ref="HSI50:HSJ50"/>
    <mergeCell ref="HSK50:HSL50"/>
    <mergeCell ref="HSM50:HSN50"/>
    <mergeCell ref="HSO50:HSP50"/>
    <mergeCell ref="HSQ50:HSR50"/>
    <mergeCell ref="HSS50:HST50"/>
    <mergeCell ref="HRW50:HRX50"/>
    <mergeCell ref="HRY50:HRZ50"/>
    <mergeCell ref="HSA50:HSB50"/>
    <mergeCell ref="HSC50:HSD50"/>
    <mergeCell ref="HSE50:HSF50"/>
    <mergeCell ref="HSG50:HSH50"/>
    <mergeCell ref="HRK50:HRL50"/>
    <mergeCell ref="HRM50:HRN50"/>
    <mergeCell ref="HRO50:HRP50"/>
    <mergeCell ref="HRQ50:HRR50"/>
    <mergeCell ref="HRS50:HRT50"/>
    <mergeCell ref="HRU50:HRV50"/>
    <mergeCell ref="HQY50:HQZ50"/>
    <mergeCell ref="HRA50:HRB50"/>
    <mergeCell ref="HRC50:HRD50"/>
    <mergeCell ref="HRE50:HRF50"/>
    <mergeCell ref="HRG50:HRH50"/>
    <mergeCell ref="HRI50:HRJ50"/>
    <mergeCell ref="HQM50:HQN50"/>
    <mergeCell ref="HQO50:HQP50"/>
    <mergeCell ref="HQQ50:HQR50"/>
    <mergeCell ref="HQS50:HQT50"/>
    <mergeCell ref="HQU50:HQV50"/>
    <mergeCell ref="HQW50:HQX50"/>
    <mergeCell ref="HVO50:HVP50"/>
    <mergeCell ref="HVQ50:HVR50"/>
    <mergeCell ref="HVS50:HVT50"/>
    <mergeCell ref="HVU50:HVV50"/>
    <mergeCell ref="HVW50:HVX50"/>
    <mergeCell ref="HVY50:HVZ50"/>
    <mergeCell ref="HVC50:HVD50"/>
    <mergeCell ref="HVE50:HVF50"/>
    <mergeCell ref="HVG50:HVH50"/>
    <mergeCell ref="HVI50:HVJ50"/>
    <mergeCell ref="HVK50:HVL50"/>
    <mergeCell ref="HVM50:HVN50"/>
    <mergeCell ref="HUQ50:HUR50"/>
    <mergeCell ref="HUS50:HUT50"/>
    <mergeCell ref="HUU50:HUV50"/>
    <mergeCell ref="HUW50:HUX50"/>
    <mergeCell ref="HUY50:HUZ50"/>
    <mergeCell ref="HVA50:HVB50"/>
    <mergeCell ref="HUE50:HUF50"/>
    <mergeCell ref="HUG50:HUH50"/>
    <mergeCell ref="HUI50:HUJ50"/>
    <mergeCell ref="HUK50:HUL50"/>
    <mergeCell ref="HUM50:HUN50"/>
    <mergeCell ref="HUO50:HUP50"/>
    <mergeCell ref="HTS50:HTT50"/>
    <mergeCell ref="HTU50:HTV50"/>
    <mergeCell ref="HTW50:HTX50"/>
    <mergeCell ref="HTY50:HTZ50"/>
    <mergeCell ref="HUA50:HUB50"/>
    <mergeCell ref="HUC50:HUD50"/>
    <mergeCell ref="HTG50:HTH50"/>
    <mergeCell ref="HTI50:HTJ50"/>
    <mergeCell ref="HTK50:HTL50"/>
    <mergeCell ref="HTM50:HTN50"/>
    <mergeCell ref="HTO50:HTP50"/>
    <mergeCell ref="HTQ50:HTR50"/>
    <mergeCell ref="HYI50:HYJ50"/>
    <mergeCell ref="HYK50:HYL50"/>
    <mergeCell ref="HYM50:HYN50"/>
    <mergeCell ref="HYO50:HYP50"/>
    <mergeCell ref="HYQ50:HYR50"/>
    <mergeCell ref="HYS50:HYT50"/>
    <mergeCell ref="HXW50:HXX50"/>
    <mergeCell ref="HXY50:HXZ50"/>
    <mergeCell ref="HYA50:HYB50"/>
    <mergeCell ref="HYC50:HYD50"/>
    <mergeCell ref="HYE50:HYF50"/>
    <mergeCell ref="HYG50:HYH50"/>
    <mergeCell ref="HXK50:HXL50"/>
    <mergeCell ref="HXM50:HXN50"/>
    <mergeCell ref="HXO50:HXP50"/>
    <mergeCell ref="HXQ50:HXR50"/>
    <mergeCell ref="HXS50:HXT50"/>
    <mergeCell ref="HXU50:HXV50"/>
    <mergeCell ref="HWY50:HWZ50"/>
    <mergeCell ref="HXA50:HXB50"/>
    <mergeCell ref="HXC50:HXD50"/>
    <mergeCell ref="HXE50:HXF50"/>
    <mergeCell ref="HXG50:HXH50"/>
    <mergeCell ref="HXI50:HXJ50"/>
    <mergeCell ref="HWM50:HWN50"/>
    <mergeCell ref="HWO50:HWP50"/>
    <mergeCell ref="HWQ50:HWR50"/>
    <mergeCell ref="HWS50:HWT50"/>
    <mergeCell ref="HWU50:HWV50"/>
    <mergeCell ref="HWW50:HWX50"/>
    <mergeCell ref="HWA50:HWB50"/>
    <mergeCell ref="HWC50:HWD50"/>
    <mergeCell ref="HWE50:HWF50"/>
    <mergeCell ref="HWG50:HWH50"/>
    <mergeCell ref="HWI50:HWJ50"/>
    <mergeCell ref="HWK50:HWL50"/>
    <mergeCell ref="IBC50:IBD50"/>
    <mergeCell ref="IBE50:IBF50"/>
    <mergeCell ref="IBG50:IBH50"/>
    <mergeCell ref="IBI50:IBJ50"/>
    <mergeCell ref="IBK50:IBL50"/>
    <mergeCell ref="IBM50:IBN50"/>
    <mergeCell ref="IAQ50:IAR50"/>
    <mergeCell ref="IAS50:IAT50"/>
    <mergeCell ref="IAU50:IAV50"/>
    <mergeCell ref="IAW50:IAX50"/>
    <mergeCell ref="IAY50:IAZ50"/>
    <mergeCell ref="IBA50:IBB50"/>
    <mergeCell ref="IAE50:IAF50"/>
    <mergeCell ref="IAG50:IAH50"/>
    <mergeCell ref="IAI50:IAJ50"/>
    <mergeCell ref="IAK50:IAL50"/>
    <mergeCell ref="IAM50:IAN50"/>
    <mergeCell ref="IAO50:IAP50"/>
    <mergeCell ref="HZS50:HZT50"/>
    <mergeCell ref="HZU50:HZV50"/>
    <mergeCell ref="HZW50:HZX50"/>
    <mergeCell ref="HZY50:HZZ50"/>
    <mergeCell ref="IAA50:IAB50"/>
    <mergeCell ref="IAC50:IAD50"/>
    <mergeCell ref="HZG50:HZH50"/>
    <mergeCell ref="HZI50:HZJ50"/>
    <mergeCell ref="HZK50:HZL50"/>
    <mergeCell ref="HZM50:HZN50"/>
    <mergeCell ref="HZO50:HZP50"/>
    <mergeCell ref="HZQ50:HZR50"/>
    <mergeCell ref="HYU50:HYV50"/>
    <mergeCell ref="HYW50:HYX50"/>
    <mergeCell ref="HYY50:HYZ50"/>
    <mergeCell ref="HZA50:HZB50"/>
    <mergeCell ref="HZC50:HZD50"/>
    <mergeCell ref="HZE50:HZF50"/>
    <mergeCell ref="IDW50:IDX50"/>
    <mergeCell ref="IDY50:IDZ50"/>
    <mergeCell ref="IEA50:IEB50"/>
    <mergeCell ref="IEC50:IED50"/>
    <mergeCell ref="IEE50:IEF50"/>
    <mergeCell ref="IEG50:IEH50"/>
    <mergeCell ref="IDK50:IDL50"/>
    <mergeCell ref="IDM50:IDN50"/>
    <mergeCell ref="IDO50:IDP50"/>
    <mergeCell ref="IDQ50:IDR50"/>
    <mergeCell ref="IDS50:IDT50"/>
    <mergeCell ref="IDU50:IDV50"/>
    <mergeCell ref="ICY50:ICZ50"/>
    <mergeCell ref="IDA50:IDB50"/>
    <mergeCell ref="IDC50:IDD50"/>
    <mergeCell ref="IDE50:IDF50"/>
    <mergeCell ref="IDG50:IDH50"/>
    <mergeCell ref="IDI50:IDJ50"/>
    <mergeCell ref="ICM50:ICN50"/>
    <mergeCell ref="ICO50:ICP50"/>
    <mergeCell ref="ICQ50:ICR50"/>
    <mergeCell ref="ICS50:ICT50"/>
    <mergeCell ref="ICU50:ICV50"/>
    <mergeCell ref="ICW50:ICX50"/>
    <mergeCell ref="ICA50:ICB50"/>
    <mergeCell ref="ICC50:ICD50"/>
    <mergeCell ref="ICE50:ICF50"/>
    <mergeCell ref="ICG50:ICH50"/>
    <mergeCell ref="ICI50:ICJ50"/>
    <mergeCell ref="ICK50:ICL50"/>
    <mergeCell ref="IBO50:IBP50"/>
    <mergeCell ref="IBQ50:IBR50"/>
    <mergeCell ref="IBS50:IBT50"/>
    <mergeCell ref="IBU50:IBV50"/>
    <mergeCell ref="IBW50:IBX50"/>
    <mergeCell ref="IBY50:IBZ50"/>
    <mergeCell ref="IGQ50:IGR50"/>
    <mergeCell ref="IGS50:IGT50"/>
    <mergeCell ref="IGU50:IGV50"/>
    <mergeCell ref="IGW50:IGX50"/>
    <mergeCell ref="IGY50:IGZ50"/>
    <mergeCell ref="IHA50:IHB50"/>
    <mergeCell ref="IGE50:IGF50"/>
    <mergeCell ref="IGG50:IGH50"/>
    <mergeCell ref="IGI50:IGJ50"/>
    <mergeCell ref="IGK50:IGL50"/>
    <mergeCell ref="IGM50:IGN50"/>
    <mergeCell ref="IGO50:IGP50"/>
    <mergeCell ref="IFS50:IFT50"/>
    <mergeCell ref="IFU50:IFV50"/>
    <mergeCell ref="IFW50:IFX50"/>
    <mergeCell ref="IFY50:IFZ50"/>
    <mergeCell ref="IGA50:IGB50"/>
    <mergeCell ref="IGC50:IGD50"/>
    <mergeCell ref="IFG50:IFH50"/>
    <mergeCell ref="IFI50:IFJ50"/>
    <mergeCell ref="IFK50:IFL50"/>
    <mergeCell ref="IFM50:IFN50"/>
    <mergeCell ref="IFO50:IFP50"/>
    <mergeCell ref="IFQ50:IFR50"/>
    <mergeCell ref="IEU50:IEV50"/>
    <mergeCell ref="IEW50:IEX50"/>
    <mergeCell ref="IEY50:IEZ50"/>
    <mergeCell ref="IFA50:IFB50"/>
    <mergeCell ref="IFC50:IFD50"/>
    <mergeCell ref="IFE50:IFF50"/>
    <mergeCell ref="IEI50:IEJ50"/>
    <mergeCell ref="IEK50:IEL50"/>
    <mergeCell ref="IEM50:IEN50"/>
    <mergeCell ref="IEO50:IEP50"/>
    <mergeCell ref="IEQ50:IER50"/>
    <mergeCell ref="IES50:IET50"/>
    <mergeCell ref="IJK50:IJL50"/>
    <mergeCell ref="IJM50:IJN50"/>
    <mergeCell ref="IJO50:IJP50"/>
    <mergeCell ref="IJQ50:IJR50"/>
    <mergeCell ref="IJS50:IJT50"/>
    <mergeCell ref="IJU50:IJV50"/>
    <mergeCell ref="IIY50:IIZ50"/>
    <mergeCell ref="IJA50:IJB50"/>
    <mergeCell ref="IJC50:IJD50"/>
    <mergeCell ref="IJE50:IJF50"/>
    <mergeCell ref="IJG50:IJH50"/>
    <mergeCell ref="IJI50:IJJ50"/>
    <mergeCell ref="IIM50:IIN50"/>
    <mergeCell ref="IIO50:IIP50"/>
    <mergeCell ref="IIQ50:IIR50"/>
    <mergeCell ref="IIS50:IIT50"/>
    <mergeCell ref="IIU50:IIV50"/>
    <mergeCell ref="IIW50:IIX50"/>
    <mergeCell ref="IIA50:IIB50"/>
    <mergeCell ref="IIC50:IID50"/>
    <mergeCell ref="IIE50:IIF50"/>
    <mergeCell ref="IIG50:IIH50"/>
    <mergeCell ref="III50:IIJ50"/>
    <mergeCell ref="IIK50:IIL50"/>
    <mergeCell ref="IHO50:IHP50"/>
    <mergeCell ref="IHQ50:IHR50"/>
    <mergeCell ref="IHS50:IHT50"/>
    <mergeCell ref="IHU50:IHV50"/>
    <mergeCell ref="IHW50:IHX50"/>
    <mergeCell ref="IHY50:IHZ50"/>
    <mergeCell ref="IHC50:IHD50"/>
    <mergeCell ref="IHE50:IHF50"/>
    <mergeCell ref="IHG50:IHH50"/>
    <mergeCell ref="IHI50:IHJ50"/>
    <mergeCell ref="IHK50:IHL50"/>
    <mergeCell ref="IHM50:IHN50"/>
    <mergeCell ref="IME50:IMF50"/>
    <mergeCell ref="IMG50:IMH50"/>
    <mergeCell ref="IMI50:IMJ50"/>
    <mergeCell ref="IMK50:IML50"/>
    <mergeCell ref="IMM50:IMN50"/>
    <mergeCell ref="IMO50:IMP50"/>
    <mergeCell ref="ILS50:ILT50"/>
    <mergeCell ref="ILU50:ILV50"/>
    <mergeCell ref="ILW50:ILX50"/>
    <mergeCell ref="ILY50:ILZ50"/>
    <mergeCell ref="IMA50:IMB50"/>
    <mergeCell ref="IMC50:IMD50"/>
    <mergeCell ref="ILG50:ILH50"/>
    <mergeCell ref="ILI50:ILJ50"/>
    <mergeCell ref="ILK50:ILL50"/>
    <mergeCell ref="ILM50:ILN50"/>
    <mergeCell ref="ILO50:ILP50"/>
    <mergeCell ref="ILQ50:ILR50"/>
    <mergeCell ref="IKU50:IKV50"/>
    <mergeCell ref="IKW50:IKX50"/>
    <mergeCell ref="IKY50:IKZ50"/>
    <mergeCell ref="ILA50:ILB50"/>
    <mergeCell ref="ILC50:ILD50"/>
    <mergeCell ref="ILE50:ILF50"/>
    <mergeCell ref="IKI50:IKJ50"/>
    <mergeCell ref="IKK50:IKL50"/>
    <mergeCell ref="IKM50:IKN50"/>
    <mergeCell ref="IKO50:IKP50"/>
    <mergeCell ref="IKQ50:IKR50"/>
    <mergeCell ref="IKS50:IKT50"/>
    <mergeCell ref="IJW50:IJX50"/>
    <mergeCell ref="IJY50:IJZ50"/>
    <mergeCell ref="IKA50:IKB50"/>
    <mergeCell ref="IKC50:IKD50"/>
    <mergeCell ref="IKE50:IKF50"/>
    <mergeCell ref="IKG50:IKH50"/>
    <mergeCell ref="IOY50:IOZ50"/>
    <mergeCell ref="IPA50:IPB50"/>
    <mergeCell ref="IPC50:IPD50"/>
    <mergeCell ref="IPE50:IPF50"/>
    <mergeCell ref="IPG50:IPH50"/>
    <mergeCell ref="IPI50:IPJ50"/>
    <mergeCell ref="IOM50:ION50"/>
    <mergeCell ref="IOO50:IOP50"/>
    <mergeCell ref="IOQ50:IOR50"/>
    <mergeCell ref="IOS50:IOT50"/>
    <mergeCell ref="IOU50:IOV50"/>
    <mergeCell ref="IOW50:IOX50"/>
    <mergeCell ref="IOA50:IOB50"/>
    <mergeCell ref="IOC50:IOD50"/>
    <mergeCell ref="IOE50:IOF50"/>
    <mergeCell ref="IOG50:IOH50"/>
    <mergeCell ref="IOI50:IOJ50"/>
    <mergeCell ref="IOK50:IOL50"/>
    <mergeCell ref="INO50:INP50"/>
    <mergeCell ref="INQ50:INR50"/>
    <mergeCell ref="INS50:INT50"/>
    <mergeCell ref="INU50:INV50"/>
    <mergeCell ref="INW50:INX50"/>
    <mergeCell ref="INY50:INZ50"/>
    <mergeCell ref="INC50:IND50"/>
    <mergeCell ref="INE50:INF50"/>
    <mergeCell ref="ING50:INH50"/>
    <mergeCell ref="INI50:INJ50"/>
    <mergeCell ref="INK50:INL50"/>
    <mergeCell ref="INM50:INN50"/>
    <mergeCell ref="IMQ50:IMR50"/>
    <mergeCell ref="IMS50:IMT50"/>
    <mergeCell ref="IMU50:IMV50"/>
    <mergeCell ref="IMW50:IMX50"/>
    <mergeCell ref="IMY50:IMZ50"/>
    <mergeCell ref="INA50:INB50"/>
    <mergeCell ref="IRS50:IRT50"/>
    <mergeCell ref="IRU50:IRV50"/>
    <mergeCell ref="IRW50:IRX50"/>
    <mergeCell ref="IRY50:IRZ50"/>
    <mergeCell ref="ISA50:ISB50"/>
    <mergeCell ref="ISC50:ISD50"/>
    <mergeCell ref="IRG50:IRH50"/>
    <mergeCell ref="IRI50:IRJ50"/>
    <mergeCell ref="IRK50:IRL50"/>
    <mergeCell ref="IRM50:IRN50"/>
    <mergeCell ref="IRO50:IRP50"/>
    <mergeCell ref="IRQ50:IRR50"/>
    <mergeCell ref="IQU50:IQV50"/>
    <mergeCell ref="IQW50:IQX50"/>
    <mergeCell ref="IQY50:IQZ50"/>
    <mergeCell ref="IRA50:IRB50"/>
    <mergeCell ref="IRC50:IRD50"/>
    <mergeCell ref="IRE50:IRF50"/>
    <mergeCell ref="IQI50:IQJ50"/>
    <mergeCell ref="IQK50:IQL50"/>
    <mergeCell ref="IQM50:IQN50"/>
    <mergeCell ref="IQO50:IQP50"/>
    <mergeCell ref="IQQ50:IQR50"/>
    <mergeCell ref="IQS50:IQT50"/>
    <mergeCell ref="IPW50:IPX50"/>
    <mergeCell ref="IPY50:IPZ50"/>
    <mergeCell ref="IQA50:IQB50"/>
    <mergeCell ref="IQC50:IQD50"/>
    <mergeCell ref="IQE50:IQF50"/>
    <mergeCell ref="IQG50:IQH50"/>
    <mergeCell ref="IPK50:IPL50"/>
    <mergeCell ref="IPM50:IPN50"/>
    <mergeCell ref="IPO50:IPP50"/>
    <mergeCell ref="IPQ50:IPR50"/>
    <mergeCell ref="IPS50:IPT50"/>
    <mergeCell ref="IPU50:IPV50"/>
    <mergeCell ref="IUM50:IUN50"/>
    <mergeCell ref="IUO50:IUP50"/>
    <mergeCell ref="IUQ50:IUR50"/>
    <mergeCell ref="IUS50:IUT50"/>
    <mergeCell ref="IUU50:IUV50"/>
    <mergeCell ref="IUW50:IUX50"/>
    <mergeCell ref="IUA50:IUB50"/>
    <mergeCell ref="IUC50:IUD50"/>
    <mergeCell ref="IUE50:IUF50"/>
    <mergeCell ref="IUG50:IUH50"/>
    <mergeCell ref="IUI50:IUJ50"/>
    <mergeCell ref="IUK50:IUL50"/>
    <mergeCell ref="ITO50:ITP50"/>
    <mergeCell ref="ITQ50:ITR50"/>
    <mergeCell ref="ITS50:ITT50"/>
    <mergeCell ref="ITU50:ITV50"/>
    <mergeCell ref="ITW50:ITX50"/>
    <mergeCell ref="ITY50:ITZ50"/>
    <mergeCell ref="ITC50:ITD50"/>
    <mergeCell ref="ITE50:ITF50"/>
    <mergeCell ref="ITG50:ITH50"/>
    <mergeCell ref="ITI50:ITJ50"/>
    <mergeCell ref="ITK50:ITL50"/>
    <mergeCell ref="ITM50:ITN50"/>
    <mergeCell ref="ISQ50:ISR50"/>
    <mergeCell ref="ISS50:IST50"/>
    <mergeCell ref="ISU50:ISV50"/>
    <mergeCell ref="ISW50:ISX50"/>
    <mergeCell ref="ISY50:ISZ50"/>
    <mergeCell ref="ITA50:ITB50"/>
    <mergeCell ref="ISE50:ISF50"/>
    <mergeCell ref="ISG50:ISH50"/>
    <mergeCell ref="ISI50:ISJ50"/>
    <mergeCell ref="ISK50:ISL50"/>
    <mergeCell ref="ISM50:ISN50"/>
    <mergeCell ref="ISO50:ISP50"/>
    <mergeCell ref="IXG50:IXH50"/>
    <mergeCell ref="IXI50:IXJ50"/>
    <mergeCell ref="IXK50:IXL50"/>
    <mergeCell ref="IXM50:IXN50"/>
    <mergeCell ref="IXO50:IXP50"/>
    <mergeCell ref="IXQ50:IXR50"/>
    <mergeCell ref="IWU50:IWV50"/>
    <mergeCell ref="IWW50:IWX50"/>
    <mergeCell ref="IWY50:IWZ50"/>
    <mergeCell ref="IXA50:IXB50"/>
    <mergeCell ref="IXC50:IXD50"/>
    <mergeCell ref="IXE50:IXF50"/>
    <mergeCell ref="IWI50:IWJ50"/>
    <mergeCell ref="IWK50:IWL50"/>
    <mergeCell ref="IWM50:IWN50"/>
    <mergeCell ref="IWO50:IWP50"/>
    <mergeCell ref="IWQ50:IWR50"/>
    <mergeCell ref="IWS50:IWT50"/>
    <mergeCell ref="IVW50:IVX50"/>
    <mergeCell ref="IVY50:IVZ50"/>
    <mergeCell ref="IWA50:IWB50"/>
    <mergeCell ref="IWC50:IWD50"/>
    <mergeCell ref="IWE50:IWF50"/>
    <mergeCell ref="IWG50:IWH50"/>
    <mergeCell ref="IVK50:IVL50"/>
    <mergeCell ref="IVM50:IVN50"/>
    <mergeCell ref="IVO50:IVP50"/>
    <mergeCell ref="IVQ50:IVR50"/>
    <mergeCell ref="IVS50:IVT50"/>
    <mergeCell ref="IVU50:IVV50"/>
    <mergeCell ref="IUY50:IUZ50"/>
    <mergeCell ref="IVA50:IVB50"/>
    <mergeCell ref="IVC50:IVD50"/>
    <mergeCell ref="IVE50:IVF50"/>
    <mergeCell ref="IVG50:IVH50"/>
    <mergeCell ref="IVI50:IVJ50"/>
    <mergeCell ref="JAA50:JAB50"/>
    <mergeCell ref="JAC50:JAD50"/>
    <mergeCell ref="JAE50:JAF50"/>
    <mergeCell ref="JAG50:JAH50"/>
    <mergeCell ref="JAI50:JAJ50"/>
    <mergeCell ref="JAK50:JAL50"/>
    <mergeCell ref="IZO50:IZP50"/>
    <mergeCell ref="IZQ50:IZR50"/>
    <mergeCell ref="IZS50:IZT50"/>
    <mergeCell ref="IZU50:IZV50"/>
    <mergeCell ref="IZW50:IZX50"/>
    <mergeCell ref="IZY50:IZZ50"/>
    <mergeCell ref="IZC50:IZD50"/>
    <mergeCell ref="IZE50:IZF50"/>
    <mergeCell ref="IZG50:IZH50"/>
    <mergeCell ref="IZI50:IZJ50"/>
    <mergeCell ref="IZK50:IZL50"/>
    <mergeCell ref="IZM50:IZN50"/>
    <mergeCell ref="IYQ50:IYR50"/>
    <mergeCell ref="IYS50:IYT50"/>
    <mergeCell ref="IYU50:IYV50"/>
    <mergeCell ref="IYW50:IYX50"/>
    <mergeCell ref="IYY50:IYZ50"/>
    <mergeCell ref="IZA50:IZB50"/>
    <mergeCell ref="IYE50:IYF50"/>
    <mergeCell ref="IYG50:IYH50"/>
    <mergeCell ref="IYI50:IYJ50"/>
    <mergeCell ref="IYK50:IYL50"/>
    <mergeCell ref="IYM50:IYN50"/>
    <mergeCell ref="IYO50:IYP50"/>
    <mergeCell ref="IXS50:IXT50"/>
    <mergeCell ref="IXU50:IXV50"/>
    <mergeCell ref="IXW50:IXX50"/>
    <mergeCell ref="IXY50:IXZ50"/>
    <mergeCell ref="IYA50:IYB50"/>
    <mergeCell ref="IYC50:IYD50"/>
    <mergeCell ref="JCU50:JCV50"/>
    <mergeCell ref="JCW50:JCX50"/>
    <mergeCell ref="JCY50:JCZ50"/>
    <mergeCell ref="JDA50:JDB50"/>
    <mergeCell ref="JDC50:JDD50"/>
    <mergeCell ref="JDE50:JDF50"/>
    <mergeCell ref="JCI50:JCJ50"/>
    <mergeCell ref="JCK50:JCL50"/>
    <mergeCell ref="JCM50:JCN50"/>
    <mergeCell ref="JCO50:JCP50"/>
    <mergeCell ref="JCQ50:JCR50"/>
    <mergeCell ref="JCS50:JCT50"/>
    <mergeCell ref="JBW50:JBX50"/>
    <mergeCell ref="JBY50:JBZ50"/>
    <mergeCell ref="JCA50:JCB50"/>
    <mergeCell ref="JCC50:JCD50"/>
    <mergeCell ref="JCE50:JCF50"/>
    <mergeCell ref="JCG50:JCH50"/>
    <mergeCell ref="JBK50:JBL50"/>
    <mergeCell ref="JBM50:JBN50"/>
    <mergeCell ref="JBO50:JBP50"/>
    <mergeCell ref="JBQ50:JBR50"/>
    <mergeCell ref="JBS50:JBT50"/>
    <mergeCell ref="JBU50:JBV50"/>
    <mergeCell ref="JAY50:JAZ50"/>
    <mergeCell ref="JBA50:JBB50"/>
    <mergeCell ref="JBC50:JBD50"/>
    <mergeCell ref="JBE50:JBF50"/>
    <mergeCell ref="JBG50:JBH50"/>
    <mergeCell ref="JBI50:JBJ50"/>
    <mergeCell ref="JAM50:JAN50"/>
    <mergeCell ref="JAO50:JAP50"/>
    <mergeCell ref="JAQ50:JAR50"/>
    <mergeCell ref="JAS50:JAT50"/>
    <mergeCell ref="JAU50:JAV50"/>
    <mergeCell ref="JAW50:JAX50"/>
    <mergeCell ref="JFO50:JFP50"/>
    <mergeCell ref="JFQ50:JFR50"/>
    <mergeCell ref="JFS50:JFT50"/>
    <mergeCell ref="JFU50:JFV50"/>
    <mergeCell ref="JFW50:JFX50"/>
    <mergeCell ref="JFY50:JFZ50"/>
    <mergeCell ref="JFC50:JFD50"/>
    <mergeCell ref="JFE50:JFF50"/>
    <mergeCell ref="JFG50:JFH50"/>
    <mergeCell ref="JFI50:JFJ50"/>
    <mergeCell ref="JFK50:JFL50"/>
    <mergeCell ref="JFM50:JFN50"/>
    <mergeCell ref="JEQ50:JER50"/>
    <mergeCell ref="JES50:JET50"/>
    <mergeCell ref="JEU50:JEV50"/>
    <mergeCell ref="JEW50:JEX50"/>
    <mergeCell ref="JEY50:JEZ50"/>
    <mergeCell ref="JFA50:JFB50"/>
    <mergeCell ref="JEE50:JEF50"/>
    <mergeCell ref="JEG50:JEH50"/>
    <mergeCell ref="JEI50:JEJ50"/>
    <mergeCell ref="JEK50:JEL50"/>
    <mergeCell ref="JEM50:JEN50"/>
    <mergeCell ref="JEO50:JEP50"/>
    <mergeCell ref="JDS50:JDT50"/>
    <mergeCell ref="JDU50:JDV50"/>
    <mergeCell ref="JDW50:JDX50"/>
    <mergeCell ref="JDY50:JDZ50"/>
    <mergeCell ref="JEA50:JEB50"/>
    <mergeCell ref="JEC50:JED50"/>
    <mergeCell ref="JDG50:JDH50"/>
    <mergeCell ref="JDI50:JDJ50"/>
    <mergeCell ref="JDK50:JDL50"/>
    <mergeCell ref="JDM50:JDN50"/>
    <mergeCell ref="JDO50:JDP50"/>
    <mergeCell ref="JDQ50:JDR50"/>
    <mergeCell ref="JII50:JIJ50"/>
    <mergeCell ref="JIK50:JIL50"/>
    <mergeCell ref="JIM50:JIN50"/>
    <mergeCell ref="JIO50:JIP50"/>
    <mergeCell ref="JIQ50:JIR50"/>
    <mergeCell ref="JIS50:JIT50"/>
    <mergeCell ref="JHW50:JHX50"/>
    <mergeCell ref="JHY50:JHZ50"/>
    <mergeCell ref="JIA50:JIB50"/>
    <mergeCell ref="JIC50:JID50"/>
    <mergeCell ref="JIE50:JIF50"/>
    <mergeCell ref="JIG50:JIH50"/>
    <mergeCell ref="JHK50:JHL50"/>
    <mergeCell ref="JHM50:JHN50"/>
    <mergeCell ref="JHO50:JHP50"/>
    <mergeCell ref="JHQ50:JHR50"/>
    <mergeCell ref="JHS50:JHT50"/>
    <mergeCell ref="JHU50:JHV50"/>
    <mergeCell ref="JGY50:JGZ50"/>
    <mergeCell ref="JHA50:JHB50"/>
    <mergeCell ref="JHC50:JHD50"/>
    <mergeCell ref="JHE50:JHF50"/>
    <mergeCell ref="JHG50:JHH50"/>
    <mergeCell ref="JHI50:JHJ50"/>
    <mergeCell ref="JGM50:JGN50"/>
    <mergeCell ref="JGO50:JGP50"/>
    <mergeCell ref="JGQ50:JGR50"/>
    <mergeCell ref="JGS50:JGT50"/>
    <mergeCell ref="JGU50:JGV50"/>
    <mergeCell ref="JGW50:JGX50"/>
    <mergeCell ref="JGA50:JGB50"/>
    <mergeCell ref="JGC50:JGD50"/>
    <mergeCell ref="JGE50:JGF50"/>
    <mergeCell ref="JGG50:JGH50"/>
    <mergeCell ref="JGI50:JGJ50"/>
    <mergeCell ref="JGK50:JGL50"/>
    <mergeCell ref="JLC50:JLD50"/>
    <mergeCell ref="JLE50:JLF50"/>
    <mergeCell ref="JLG50:JLH50"/>
    <mergeCell ref="JLI50:JLJ50"/>
    <mergeCell ref="JLK50:JLL50"/>
    <mergeCell ref="JLM50:JLN50"/>
    <mergeCell ref="JKQ50:JKR50"/>
    <mergeCell ref="JKS50:JKT50"/>
    <mergeCell ref="JKU50:JKV50"/>
    <mergeCell ref="JKW50:JKX50"/>
    <mergeCell ref="JKY50:JKZ50"/>
    <mergeCell ref="JLA50:JLB50"/>
    <mergeCell ref="JKE50:JKF50"/>
    <mergeCell ref="JKG50:JKH50"/>
    <mergeCell ref="JKI50:JKJ50"/>
    <mergeCell ref="JKK50:JKL50"/>
    <mergeCell ref="JKM50:JKN50"/>
    <mergeCell ref="JKO50:JKP50"/>
    <mergeCell ref="JJS50:JJT50"/>
    <mergeCell ref="JJU50:JJV50"/>
    <mergeCell ref="JJW50:JJX50"/>
    <mergeCell ref="JJY50:JJZ50"/>
    <mergeCell ref="JKA50:JKB50"/>
    <mergeCell ref="JKC50:JKD50"/>
    <mergeCell ref="JJG50:JJH50"/>
    <mergeCell ref="JJI50:JJJ50"/>
    <mergeCell ref="JJK50:JJL50"/>
    <mergeCell ref="JJM50:JJN50"/>
    <mergeCell ref="JJO50:JJP50"/>
    <mergeCell ref="JJQ50:JJR50"/>
    <mergeCell ref="JIU50:JIV50"/>
    <mergeCell ref="JIW50:JIX50"/>
    <mergeCell ref="JIY50:JIZ50"/>
    <mergeCell ref="JJA50:JJB50"/>
    <mergeCell ref="JJC50:JJD50"/>
    <mergeCell ref="JJE50:JJF50"/>
    <mergeCell ref="JNW50:JNX50"/>
    <mergeCell ref="JNY50:JNZ50"/>
    <mergeCell ref="JOA50:JOB50"/>
    <mergeCell ref="JOC50:JOD50"/>
    <mergeCell ref="JOE50:JOF50"/>
    <mergeCell ref="JOG50:JOH50"/>
    <mergeCell ref="JNK50:JNL50"/>
    <mergeCell ref="JNM50:JNN50"/>
    <mergeCell ref="JNO50:JNP50"/>
    <mergeCell ref="JNQ50:JNR50"/>
    <mergeCell ref="JNS50:JNT50"/>
    <mergeCell ref="JNU50:JNV50"/>
    <mergeCell ref="JMY50:JMZ50"/>
    <mergeCell ref="JNA50:JNB50"/>
    <mergeCell ref="JNC50:JND50"/>
    <mergeCell ref="JNE50:JNF50"/>
    <mergeCell ref="JNG50:JNH50"/>
    <mergeCell ref="JNI50:JNJ50"/>
    <mergeCell ref="JMM50:JMN50"/>
    <mergeCell ref="JMO50:JMP50"/>
    <mergeCell ref="JMQ50:JMR50"/>
    <mergeCell ref="JMS50:JMT50"/>
    <mergeCell ref="JMU50:JMV50"/>
    <mergeCell ref="JMW50:JMX50"/>
    <mergeCell ref="JMA50:JMB50"/>
    <mergeCell ref="JMC50:JMD50"/>
    <mergeCell ref="JME50:JMF50"/>
    <mergeCell ref="JMG50:JMH50"/>
    <mergeCell ref="JMI50:JMJ50"/>
    <mergeCell ref="JMK50:JML50"/>
    <mergeCell ref="JLO50:JLP50"/>
    <mergeCell ref="JLQ50:JLR50"/>
    <mergeCell ref="JLS50:JLT50"/>
    <mergeCell ref="JLU50:JLV50"/>
    <mergeCell ref="JLW50:JLX50"/>
    <mergeCell ref="JLY50:JLZ50"/>
    <mergeCell ref="JQQ50:JQR50"/>
    <mergeCell ref="JQS50:JQT50"/>
    <mergeCell ref="JQU50:JQV50"/>
    <mergeCell ref="JQW50:JQX50"/>
    <mergeCell ref="JQY50:JQZ50"/>
    <mergeCell ref="JRA50:JRB50"/>
    <mergeCell ref="JQE50:JQF50"/>
    <mergeCell ref="JQG50:JQH50"/>
    <mergeCell ref="JQI50:JQJ50"/>
    <mergeCell ref="JQK50:JQL50"/>
    <mergeCell ref="JQM50:JQN50"/>
    <mergeCell ref="JQO50:JQP50"/>
    <mergeCell ref="JPS50:JPT50"/>
    <mergeCell ref="JPU50:JPV50"/>
    <mergeCell ref="JPW50:JPX50"/>
    <mergeCell ref="JPY50:JPZ50"/>
    <mergeCell ref="JQA50:JQB50"/>
    <mergeCell ref="JQC50:JQD50"/>
    <mergeCell ref="JPG50:JPH50"/>
    <mergeCell ref="JPI50:JPJ50"/>
    <mergeCell ref="JPK50:JPL50"/>
    <mergeCell ref="JPM50:JPN50"/>
    <mergeCell ref="JPO50:JPP50"/>
    <mergeCell ref="JPQ50:JPR50"/>
    <mergeCell ref="JOU50:JOV50"/>
    <mergeCell ref="JOW50:JOX50"/>
    <mergeCell ref="JOY50:JOZ50"/>
    <mergeCell ref="JPA50:JPB50"/>
    <mergeCell ref="JPC50:JPD50"/>
    <mergeCell ref="JPE50:JPF50"/>
    <mergeCell ref="JOI50:JOJ50"/>
    <mergeCell ref="JOK50:JOL50"/>
    <mergeCell ref="JOM50:JON50"/>
    <mergeCell ref="JOO50:JOP50"/>
    <mergeCell ref="JOQ50:JOR50"/>
    <mergeCell ref="JOS50:JOT50"/>
    <mergeCell ref="JTK50:JTL50"/>
    <mergeCell ref="JTM50:JTN50"/>
    <mergeCell ref="JTO50:JTP50"/>
    <mergeCell ref="JTQ50:JTR50"/>
    <mergeCell ref="JTS50:JTT50"/>
    <mergeCell ref="JTU50:JTV50"/>
    <mergeCell ref="JSY50:JSZ50"/>
    <mergeCell ref="JTA50:JTB50"/>
    <mergeCell ref="JTC50:JTD50"/>
    <mergeCell ref="JTE50:JTF50"/>
    <mergeCell ref="JTG50:JTH50"/>
    <mergeCell ref="JTI50:JTJ50"/>
    <mergeCell ref="JSM50:JSN50"/>
    <mergeCell ref="JSO50:JSP50"/>
    <mergeCell ref="JSQ50:JSR50"/>
    <mergeCell ref="JSS50:JST50"/>
    <mergeCell ref="JSU50:JSV50"/>
    <mergeCell ref="JSW50:JSX50"/>
    <mergeCell ref="JSA50:JSB50"/>
    <mergeCell ref="JSC50:JSD50"/>
    <mergeCell ref="JSE50:JSF50"/>
    <mergeCell ref="JSG50:JSH50"/>
    <mergeCell ref="JSI50:JSJ50"/>
    <mergeCell ref="JSK50:JSL50"/>
    <mergeCell ref="JRO50:JRP50"/>
    <mergeCell ref="JRQ50:JRR50"/>
    <mergeCell ref="JRS50:JRT50"/>
    <mergeCell ref="JRU50:JRV50"/>
    <mergeCell ref="JRW50:JRX50"/>
    <mergeCell ref="JRY50:JRZ50"/>
    <mergeCell ref="JRC50:JRD50"/>
    <mergeCell ref="JRE50:JRF50"/>
    <mergeCell ref="JRG50:JRH50"/>
    <mergeCell ref="JRI50:JRJ50"/>
    <mergeCell ref="JRK50:JRL50"/>
    <mergeCell ref="JRM50:JRN50"/>
    <mergeCell ref="JWE50:JWF50"/>
    <mergeCell ref="JWG50:JWH50"/>
    <mergeCell ref="JWI50:JWJ50"/>
    <mergeCell ref="JWK50:JWL50"/>
    <mergeCell ref="JWM50:JWN50"/>
    <mergeCell ref="JWO50:JWP50"/>
    <mergeCell ref="JVS50:JVT50"/>
    <mergeCell ref="JVU50:JVV50"/>
    <mergeCell ref="JVW50:JVX50"/>
    <mergeCell ref="JVY50:JVZ50"/>
    <mergeCell ref="JWA50:JWB50"/>
    <mergeCell ref="JWC50:JWD50"/>
    <mergeCell ref="JVG50:JVH50"/>
    <mergeCell ref="JVI50:JVJ50"/>
    <mergeCell ref="JVK50:JVL50"/>
    <mergeCell ref="JVM50:JVN50"/>
    <mergeCell ref="JVO50:JVP50"/>
    <mergeCell ref="JVQ50:JVR50"/>
    <mergeCell ref="JUU50:JUV50"/>
    <mergeCell ref="JUW50:JUX50"/>
    <mergeCell ref="JUY50:JUZ50"/>
    <mergeCell ref="JVA50:JVB50"/>
    <mergeCell ref="JVC50:JVD50"/>
    <mergeCell ref="JVE50:JVF50"/>
    <mergeCell ref="JUI50:JUJ50"/>
    <mergeCell ref="JUK50:JUL50"/>
    <mergeCell ref="JUM50:JUN50"/>
    <mergeCell ref="JUO50:JUP50"/>
    <mergeCell ref="JUQ50:JUR50"/>
    <mergeCell ref="JUS50:JUT50"/>
    <mergeCell ref="JTW50:JTX50"/>
    <mergeCell ref="JTY50:JTZ50"/>
    <mergeCell ref="JUA50:JUB50"/>
    <mergeCell ref="JUC50:JUD50"/>
    <mergeCell ref="JUE50:JUF50"/>
    <mergeCell ref="JUG50:JUH50"/>
    <mergeCell ref="JYY50:JYZ50"/>
    <mergeCell ref="JZA50:JZB50"/>
    <mergeCell ref="JZC50:JZD50"/>
    <mergeCell ref="JZE50:JZF50"/>
    <mergeCell ref="JZG50:JZH50"/>
    <mergeCell ref="JZI50:JZJ50"/>
    <mergeCell ref="JYM50:JYN50"/>
    <mergeCell ref="JYO50:JYP50"/>
    <mergeCell ref="JYQ50:JYR50"/>
    <mergeCell ref="JYS50:JYT50"/>
    <mergeCell ref="JYU50:JYV50"/>
    <mergeCell ref="JYW50:JYX50"/>
    <mergeCell ref="JYA50:JYB50"/>
    <mergeCell ref="JYC50:JYD50"/>
    <mergeCell ref="JYE50:JYF50"/>
    <mergeCell ref="JYG50:JYH50"/>
    <mergeCell ref="JYI50:JYJ50"/>
    <mergeCell ref="JYK50:JYL50"/>
    <mergeCell ref="JXO50:JXP50"/>
    <mergeCell ref="JXQ50:JXR50"/>
    <mergeCell ref="JXS50:JXT50"/>
    <mergeCell ref="JXU50:JXV50"/>
    <mergeCell ref="JXW50:JXX50"/>
    <mergeCell ref="JXY50:JXZ50"/>
    <mergeCell ref="JXC50:JXD50"/>
    <mergeCell ref="JXE50:JXF50"/>
    <mergeCell ref="JXG50:JXH50"/>
    <mergeCell ref="JXI50:JXJ50"/>
    <mergeCell ref="JXK50:JXL50"/>
    <mergeCell ref="JXM50:JXN50"/>
    <mergeCell ref="JWQ50:JWR50"/>
    <mergeCell ref="JWS50:JWT50"/>
    <mergeCell ref="JWU50:JWV50"/>
    <mergeCell ref="JWW50:JWX50"/>
    <mergeCell ref="JWY50:JWZ50"/>
    <mergeCell ref="JXA50:JXB50"/>
    <mergeCell ref="KBS50:KBT50"/>
    <mergeCell ref="KBU50:KBV50"/>
    <mergeCell ref="KBW50:KBX50"/>
    <mergeCell ref="KBY50:KBZ50"/>
    <mergeCell ref="KCA50:KCB50"/>
    <mergeCell ref="KCC50:KCD50"/>
    <mergeCell ref="KBG50:KBH50"/>
    <mergeCell ref="KBI50:KBJ50"/>
    <mergeCell ref="KBK50:KBL50"/>
    <mergeCell ref="KBM50:KBN50"/>
    <mergeCell ref="KBO50:KBP50"/>
    <mergeCell ref="KBQ50:KBR50"/>
    <mergeCell ref="KAU50:KAV50"/>
    <mergeCell ref="KAW50:KAX50"/>
    <mergeCell ref="KAY50:KAZ50"/>
    <mergeCell ref="KBA50:KBB50"/>
    <mergeCell ref="KBC50:KBD50"/>
    <mergeCell ref="KBE50:KBF50"/>
    <mergeCell ref="KAI50:KAJ50"/>
    <mergeCell ref="KAK50:KAL50"/>
    <mergeCell ref="KAM50:KAN50"/>
    <mergeCell ref="KAO50:KAP50"/>
    <mergeCell ref="KAQ50:KAR50"/>
    <mergeCell ref="KAS50:KAT50"/>
    <mergeCell ref="JZW50:JZX50"/>
    <mergeCell ref="JZY50:JZZ50"/>
    <mergeCell ref="KAA50:KAB50"/>
    <mergeCell ref="KAC50:KAD50"/>
    <mergeCell ref="KAE50:KAF50"/>
    <mergeCell ref="KAG50:KAH50"/>
    <mergeCell ref="JZK50:JZL50"/>
    <mergeCell ref="JZM50:JZN50"/>
    <mergeCell ref="JZO50:JZP50"/>
    <mergeCell ref="JZQ50:JZR50"/>
    <mergeCell ref="JZS50:JZT50"/>
    <mergeCell ref="JZU50:JZV50"/>
    <mergeCell ref="KEM50:KEN50"/>
    <mergeCell ref="KEO50:KEP50"/>
    <mergeCell ref="KEQ50:KER50"/>
    <mergeCell ref="KES50:KET50"/>
    <mergeCell ref="KEU50:KEV50"/>
    <mergeCell ref="KEW50:KEX50"/>
    <mergeCell ref="KEA50:KEB50"/>
    <mergeCell ref="KEC50:KED50"/>
    <mergeCell ref="KEE50:KEF50"/>
    <mergeCell ref="KEG50:KEH50"/>
    <mergeCell ref="KEI50:KEJ50"/>
    <mergeCell ref="KEK50:KEL50"/>
    <mergeCell ref="KDO50:KDP50"/>
    <mergeCell ref="KDQ50:KDR50"/>
    <mergeCell ref="KDS50:KDT50"/>
    <mergeCell ref="KDU50:KDV50"/>
    <mergeCell ref="KDW50:KDX50"/>
    <mergeCell ref="KDY50:KDZ50"/>
    <mergeCell ref="KDC50:KDD50"/>
    <mergeCell ref="KDE50:KDF50"/>
    <mergeCell ref="KDG50:KDH50"/>
    <mergeCell ref="KDI50:KDJ50"/>
    <mergeCell ref="KDK50:KDL50"/>
    <mergeCell ref="KDM50:KDN50"/>
    <mergeCell ref="KCQ50:KCR50"/>
    <mergeCell ref="KCS50:KCT50"/>
    <mergeCell ref="KCU50:KCV50"/>
    <mergeCell ref="KCW50:KCX50"/>
    <mergeCell ref="KCY50:KCZ50"/>
    <mergeCell ref="KDA50:KDB50"/>
    <mergeCell ref="KCE50:KCF50"/>
    <mergeCell ref="KCG50:KCH50"/>
    <mergeCell ref="KCI50:KCJ50"/>
    <mergeCell ref="KCK50:KCL50"/>
    <mergeCell ref="KCM50:KCN50"/>
    <mergeCell ref="KCO50:KCP50"/>
    <mergeCell ref="KHG50:KHH50"/>
    <mergeCell ref="KHI50:KHJ50"/>
    <mergeCell ref="KHK50:KHL50"/>
    <mergeCell ref="KHM50:KHN50"/>
    <mergeCell ref="KHO50:KHP50"/>
    <mergeCell ref="KHQ50:KHR50"/>
    <mergeCell ref="KGU50:KGV50"/>
    <mergeCell ref="KGW50:KGX50"/>
    <mergeCell ref="KGY50:KGZ50"/>
    <mergeCell ref="KHA50:KHB50"/>
    <mergeCell ref="KHC50:KHD50"/>
    <mergeCell ref="KHE50:KHF50"/>
    <mergeCell ref="KGI50:KGJ50"/>
    <mergeCell ref="KGK50:KGL50"/>
    <mergeCell ref="KGM50:KGN50"/>
    <mergeCell ref="KGO50:KGP50"/>
    <mergeCell ref="KGQ50:KGR50"/>
    <mergeCell ref="KGS50:KGT50"/>
    <mergeCell ref="KFW50:KFX50"/>
    <mergeCell ref="KFY50:KFZ50"/>
    <mergeCell ref="KGA50:KGB50"/>
    <mergeCell ref="KGC50:KGD50"/>
    <mergeCell ref="KGE50:KGF50"/>
    <mergeCell ref="KGG50:KGH50"/>
    <mergeCell ref="KFK50:KFL50"/>
    <mergeCell ref="KFM50:KFN50"/>
    <mergeCell ref="KFO50:KFP50"/>
    <mergeCell ref="KFQ50:KFR50"/>
    <mergeCell ref="KFS50:KFT50"/>
    <mergeCell ref="KFU50:KFV50"/>
    <mergeCell ref="KEY50:KEZ50"/>
    <mergeCell ref="KFA50:KFB50"/>
    <mergeCell ref="KFC50:KFD50"/>
    <mergeCell ref="KFE50:KFF50"/>
    <mergeCell ref="KFG50:KFH50"/>
    <mergeCell ref="KFI50:KFJ50"/>
    <mergeCell ref="KKA50:KKB50"/>
    <mergeCell ref="KKC50:KKD50"/>
    <mergeCell ref="KKE50:KKF50"/>
    <mergeCell ref="KKG50:KKH50"/>
    <mergeCell ref="KKI50:KKJ50"/>
    <mergeCell ref="KKK50:KKL50"/>
    <mergeCell ref="KJO50:KJP50"/>
    <mergeCell ref="KJQ50:KJR50"/>
    <mergeCell ref="KJS50:KJT50"/>
    <mergeCell ref="KJU50:KJV50"/>
    <mergeCell ref="KJW50:KJX50"/>
    <mergeCell ref="KJY50:KJZ50"/>
    <mergeCell ref="KJC50:KJD50"/>
    <mergeCell ref="KJE50:KJF50"/>
    <mergeCell ref="KJG50:KJH50"/>
    <mergeCell ref="KJI50:KJJ50"/>
    <mergeCell ref="KJK50:KJL50"/>
    <mergeCell ref="KJM50:KJN50"/>
    <mergeCell ref="KIQ50:KIR50"/>
    <mergeCell ref="KIS50:KIT50"/>
    <mergeCell ref="KIU50:KIV50"/>
    <mergeCell ref="KIW50:KIX50"/>
    <mergeCell ref="KIY50:KIZ50"/>
    <mergeCell ref="KJA50:KJB50"/>
    <mergeCell ref="KIE50:KIF50"/>
    <mergeCell ref="KIG50:KIH50"/>
    <mergeCell ref="KII50:KIJ50"/>
    <mergeCell ref="KIK50:KIL50"/>
    <mergeCell ref="KIM50:KIN50"/>
    <mergeCell ref="KIO50:KIP50"/>
    <mergeCell ref="KHS50:KHT50"/>
    <mergeCell ref="KHU50:KHV50"/>
    <mergeCell ref="KHW50:KHX50"/>
    <mergeCell ref="KHY50:KHZ50"/>
    <mergeCell ref="KIA50:KIB50"/>
    <mergeCell ref="KIC50:KID50"/>
    <mergeCell ref="KMU50:KMV50"/>
    <mergeCell ref="KMW50:KMX50"/>
    <mergeCell ref="KMY50:KMZ50"/>
    <mergeCell ref="KNA50:KNB50"/>
    <mergeCell ref="KNC50:KND50"/>
    <mergeCell ref="KNE50:KNF50"/>
    <mergeCell ref="KMI50:KMJ50"/>
    <mergeCell ref="KMK50:KML50"/>
    <mergeCell ref="KMM50:KMN50"/>
    <mergeCell ref="KMO50:KMP50"/>
    <mergeCell ref="KMQ50:KMR50"/>
    <mergeCell ref="KMS50:KMT50"/>
    <mergeCell ref="KLW50:KLX50"/>
    <mergeCell ref="KLY50:KLZ50"/>
    <mergeCell ref="KMA50:KMB50"/>
    <mergeCell ref="KMC50:KMD50"/>
    <mergeCell ref="KME50:KMF50"/>
    <mergeCell ref="KMG50:KMH50"/>
    <mergeCell ref="KLK50:KLL50"/>
    <mergeCell ref="KLM50:KLN50"/>
    <mergeCell ref="KLO50:KLP50"/>
    <mergeCell ref="KLQ50:KLR50"/>
    <mergeCell ref="KLS50:KLT50"/>
    <mergeCell ref="KLU50:KLV50"/>
    <mergeCell ref="KKY50:KKZ50"/>
    <mergeCell ref="KLA50:KLB50"/>
    <mergeCell ref="KLC50:KLD50"/>
    <mergeCell ref="KLE50:KLF50"/>
    <mergeCell ref="KLG50:KLH50"/>
    <mergeCell ref="KLI50:KLJ50"/>
    <mergeCell ref="KKM50:KKN50"/>
    <mergeCell ref="KKO50:KKP50"/>
    <mergeCell ref="KKQ50:KKR50"/>
    <mergeCell ref="KKS50:KKT50"/>
    <mergeCell ref="KKU50:KKV50"/>
    <mergeCell ref="KKW50:KKX50"/>
    <mergeCell ref="KPO50:KPP50"/>
    <mergeCell ref="KPQ50:KPR50"/>
    <mergeCell ref="KPS50:KPT50"/>
    <mergeCell ref="KPU50:KPV50"/>
    <mergeCell ref="KPW50:KPX50"/>
    <mergeCell ref="KPY50:KPZ50"/>
    <mergeCell ref="KPC50:KPD50"/>
    <mergeCell ref="KPE50:KPF50"/>
    <mergeCell ref="KPG50:KPH50"/>
    <mergeCell ref="KPI50:KPJ50"/>
    <mergeCell ref="KPK50:KPL50"/>
    <mergeCell ref="KPM50:KPN50"/>
    <mergeCell ref="KOQ50:KOR50"/>
    <mergeCell ref="KOS50:KOT50"/>
    <mergeCell ref="KOU50:KOV50"/>
    <mergeCell ref="KOW50:KOX50"/>
    <mergeCell ref="KOY50:KOZ50"/>
    <mergeCell ref="KPA50:KPB50"/>
    <mergeCell ref="KOE50:KOF50"/>
    <mergeCell ref="KOG50:KOH50"/>
    <mergeCell ref="KOI50:KOJ50"/>
    <mergeCell ref="KOK50:KOL50"/>
    <mergeCell ref="KOM50:KON50"/>
    <mergeCell ref="KOO50:KOP50"/>
    <mergeCell ref="KNS50:KNT50"/>
    <mergeCell ref="KNU50:KNV50"/>
    <mergeCell ref="KNW50:KNX50"/>
    <mergeCell ref="KNY50:KNZ50"/>
    <mergeCell ref="KOA50:KOB50"/>
    <mergeCell ref="KOC50:KOD50"/>
    <mergeCell ref="KNG50:KNH50"/>
    <mergeCell ref="KNI50:KNJ50"/>
    <mergeCell ref="KNK50:KNL50"/>
    <mergeCell ref="KNM50:KNN50"/>
    <mergeCell ref="KNO50:KNP50"/>
    <mergeCell ref="KNQ50:KNR50"/>
    <mergeCell ref="KSI50:KSJ50"/>
    <mergeCell ref="KSK50:KSL50"/>
    <mergeCell ref="KSM50:KSN50"/>
    <mergeCell ref="KSO50:KSP50"/>
    <mergeCell ref="KSQ50:KSR50"/>
    <mergeCell ref="KSS50:KST50"/>
    <mergeCell ref="KRW50:KRX50"/>
    <mergeCell ref="KRY50:KRZ50"/>
    <mergeCell ref="KSA50:KSB50"/>
    <mergeCell ref="KSC50:KSD50"/>
    <mergeCell ref="KSE50:KSF50"/>
    <mergeCell ref="KSG50:KSH50"/>
    <mergeCell ref="KRK50:KRL50"/>
    <mergeCell ref="KRM50:KRN50"/>
    <mergeCell ref="KRO50:KRP50"/>
    <mergeCell ref="KRQ50:KRR50"/>
    <mergeCell ref="KRS50:KRT50"/>
    <mergeCell ref="KRU50:KRV50"/>
    <mergeCell ref="KQY50:KQZ50"/>
    <mergeCell ref="KRA50:KRB50"/>
    <mergeCell ref="KRC50:KRD50"/>
    <mergeCell ref="KRE50:KRF50"/>
    <mergeCell ref="KRG50:KRH50"/>
    <mergeCell ref="KRI50:KRJ50"/>
    <mergeCell ref="KQM50:KQN50"/>
    <mergeCell ref="KQO50:KQP50"/>
    <mergeCell ref="KQQ50:KQR50"/>
    <mergeCell ref="KQS50:KQT50"/>
    <mergeCell ref="KQU50:KQV50"/>
    <mergeCell ref="KQW50:KQX50"/>
    <mergeCell ref="KQA50:KQB50"/>
    <mergeCell ref="KQC50:KQD50"/>
    <mergeCell ref="KQE50:KQF50"/>
    <mergeCell ref="KQG50:KQH50"/>
    <mergeCell ref="KQI50:KQJ50"/>
    <mergeCell ref="KQK50:KQL50"/>
    <mergeCell ref="KVC50:KVD50"/>
    <mergeCell ref="KVE50:KVF50"/>
    <mergeCell ref="KVG50:KVH50"/>
    <mergeCell ref="KVI50:KVJ50"/>
    <mergeCell ref="KVK50:KVL50"/>
    <mergeCell ref="KVM50:KVN50"/>
    <mergeCell ref="KUQ50:KUR50"/>
    <mergeCell ref="KUS50:KUT50"/>
    <mergeCell ref="KUU50:KUV50"/>
    <mergeCell ref="KUW50:KUX50"/>
    <mergeCell ref="KUY50:KUZ50"/>
    <mergeCell ref="KVA50:KVB50"/>
    <mergeCell ref="KUE50:KUF50"/>
    <mergeCell ref="KUG50:KUH50"/>
    <mergeCell ref="KUI50:KUJ50"/>
    <mergeCell ref="KUK50:KUL50"/>
    <mergeCell ref="KUM50:KUN50"/>
    <mergeCell ref="KUO50:KUP50"/>
    <mergeCell ref="KTS50:KTT50"/>
    <mergeCell ref="KTU50:KTV50"/>
    <mergeCell ref="KTW50:KTX50"/>
    <mergeCell ref="KTY50:KTZ50"/>
    <mergeCell ref="KUA50:KUB50"/>
    <mergeCell ref="KUC50:KUD50"/>
    <mergeCell ref="KTG50:KTH50"/>
    <mergeCell ref="KTI50:KTJ50"/>
    <mergeCell ref="KTK50:KTL50"/>
    <mergeCell ref="KTM50:KTN50"/>
    <mergeCell ref="KTO50:KTP50"/>
    <mergeCell ref="KTQ50:KTR50"/>
    <mergeCell ref="KSU50:KSV50"/>
    <mergeCell ref="KSW50:KSX50"/>
    <mergeCell ref="KSY50:KSZ50"/>
    <mergeCell ref="KTA50:KTB50"/>
    <mergeCell ref="KTC50:KTD50"/>
    <mergeCell ref="KTE50:KTF50"/>
    <mergeCell ref="KXW50:KXX50"/>
    <mergeCell ref="KXY50:KXZ50"/>
    <mergeCell ref="KYA50:KYB50"/>
    <mergeCell ref="KYC50:KYD50"/>
    <mergeCell ref="KYE50:KYF50"/>
    <mergeCell ref="KYG50:KYH50"/>
    <mergeCell ref="KXK50:KXL50"/>
    <mergeCell ref="KXM50:KXN50"/>
    <mergeCell ref="KXO50:KXP50"/>
    <mergeCell ref="KXQ50:KXR50"/>
    <mergeCell ref="KXS50:KXT50"/>
    <mergeCell ref="KXU50:KXV50"/>
    <mergeCell ref="KWY50:KWZ50"/>
    <mergeCell ref="KXA50:KXB50"/>
    <mergeCell ref="KXC50:KXD50"/>
    <mergeCell ref="KXE50:KXF50"/>
    <mergeCell ref="KXG50:KXH50"/>
    <mergeCell ref="KXI50:KXJ50"/>
    <mergeCell ref="KWM50:KWN50"/>
    <mergeCell ref="KWO50:KWP50"/>
    <mergeCell ref="KWQ50:KWR50"/>
    <mergeCell ref="KWS50:KWT50"/>
    <mergeCell ref="KWU50:KWV50"/>
    <mergeCell ref="KWW50:KWX50"/>
    <mergeCell ref="KWA50:KWB50"/>
    <mergeCell ref="KWC50:KWD50"/>
    <mergeCell ref="KWE50:KWF50"/>
    <mergeCell ref="KWG50:KWH50"/>
    <mergeCell ref="KWI50:KWJ50"/>
    <mergeCell ref="KWK50:KWL50"/>
    <mergeCell ref="KVO50:KVP50"/>
    <mergeCell ref="KVQ50:KVR50"/>
    <mergeCell ref="KVS50:KVT50"/>
    <mergeCell ref="KVU50:KVV50"/>
    <mergeCell ref="KVW50:KVX50"/>
    <mergeCell ref="KVY50:KVZ50"/>
    <mergeCell ref="LAQ50:LAR50"/>
    <mergeCell ref="LAS50:LAT50"/>
    <mergeCell ref="LAU50:LAV50"/>
    <mergeCell ref="LAW50:LAX50"/>
    <mergeCell ref="LAY50:LAZ50"/>
    <mergeCell ref="LBA50:LBB50"/>
    <mergeCell ref="LAE50:LAF50"/>
    <mergeCell ref="LAG50:LAH50"/>
    <mergeCell ref="LAI50:LAJ50"/>
    <mergeCell ref="LAK50:LAL50"/>
    <mergeCell ref="LAM50:LAN50"/>
    <mergeCell ref="LAO50:LAP50"/>
    <mergeCell ref="KZS50:KZT50"/>
    <mergeCell ref="KZU50:KZV50"/>
    <mergeCell ref="KZW50:KZX50"/>
    <mergeCell ref="KZY50:KZZ50"/>
    <mergeCell ref="LAA50:LAB50"/>
    <mergeCell ref="LAC50:LAD50"/>
    <mergeCell ref="KZG50:KZH50"/>
    <mergeCell ref="KZI50:KZJ50"/>
    <mergeCell ref="KZK50:KZL50"/>
    <mergeCell ref="KZM50:KZN50"/>
    <mergeCell ref="KZO50:KZP50"/>
    <mergeCell ref="KZQ50:KZR50"/>
    <mergeCell ref="KYU50:KYV50"/>
    <mergeCell ref="KYW50:KYX50"/>
    <mergeCell ref="KYY50:KYZ50"/>
    <mergeCell ref="KZA50:KZB50"/>
    <mergeCell ref="KZC50:KZD50"/>
    <mergeCell ref="KZE50:KZF50"/>
    <mergeCell ref="KYI50:KYJ50"/>
    <mergeCell ref="KYK50:KYL50"/>
    <mergeCell ref="KYM50:KYN50"/>
    <mergeCell ref="KYO50:KYP50"/>
    <mergeCell ref="KYQ50:KYR50"/>
    <mergeCell ref="KYS50:KYT50"/>
    <mergeCell ref="LDK50:LDL50"/>
    <mergeCell ref="LDM50:LDN50"/>
    <mergeCell ref="LDO50:LDP50"/>
    <mergeCell ref="LDQ50:LDR50"/>
    <mergeCell ref="LDS50:LDT50"/>
    <mergeCell ref="LDU50:LDV50"/>
    <mergeCell ref="LCY50:LCZ50"/>
    <mergeCell ref="LDA50:LDB50"/>
    <mergeCell ref="LDC50:LDD50"/>
    <mergeCell ref="LDE50:LDF50"/>
    <mergeCell ref="LDG50:LDH50"/>
    <mergeCell ref="LDI50:LDJ50"/>
    <mergeCell ref="LCM50:LCN50"/>
    <mergeCell ref="LCO50:LCP50"/>
    <mergeCell ref="LCQ50:LCR50"/>
    <mergeCell ref="LCS50:LCT50"/>
    <mergeCell ref="LCU50:LCV50"/>
    <mergeCell ref="LCW50:LCX50"/>
    <mergeCell ref="LCA50:LCB50"/>
    <mergeCell ref="LCC50:LCD50"/>
    <mergeCell ref="LCE50:LCF50"/>
    <mergeCell ref="LCG50:LCH50"/>
    <mergeCell ref="LCI50:LCJ50"/>
    <mergeCell ref="LCK50:LCL50"/>
    <mergeCell ref="LBO50:LBP50"/>
    <mergeCell ref="LBQ50:LBR50"/>
    <mergeCell ref="LBS50:LBT50"/>
    <mergeCell ref="LBU50:LBV50"/>
    <mergeCell ref="LBW50:LBX50"/>
    <mergeCell ref="LBY50:LBZ50"/>
    <mergeCell ref="LBC50:LBD50"/>
    <mergeCell ref="LBE50:LBF50"/>
    <mergeCell ref="LBG50:LBH50"/>
    <mergeCell ref="LBI50:LBJ50"/>
    <mergeCell ref="LBK50:LBL50"/>
    <mergeCell ref="LBM50:LBN50"/>
    <mergeCell ref="LGE50:LGF50"/>
    <mergeCell ref="LGG50:LGH50"/>
    <mergeCell ref="LGI50:LGJ50"/>
    <mergeCell ref="LGK50:LGL50"/>
    <mergeCell ref="LGM50:LGN50"/>
    <mergeCell ref="LGO50:LGP50"/>
    <mergeCell ref="LFS50:LFT50"/>
    <mergeCell ref="LFU50:LFV50"/>
    <mergeCell ref="LFW50:LFX50"/>
    <mergeCell ref="LFY50:LFZ50"/>
    <mergeCell ref="LGA50:LGB50"/>
    <mergeCell ref="LGC50:LGD50"/>
    <mergeCell ref="LFG50:LFH50"/>
    <mergeCell ref="LFI50:LFJ50"/>
    <mergeCell ref="LFK50:LFL50"/>
    <mergeCell ref="LFM50:LFN50"/>
    <mergeCell ref="LFO50:LFP50"/>
    <mergeCell ref="LFQ50:LFR50"/>
    <mergeCell ref="LEU50:LEV50"/>
    <mergeCell ref="LEW50:LEX50"/>
    <mergeCell ref="LEY50:LEZ50"/>
    <mergeCell ref="LFA50:LFB50"/>
    <mergeCell ref="LFC50:LFD50"/>
    <mergeCell ref="LFE50:LFF50"/>
    <mergeCell ref="LEI50:LEJ50"/>
    <mergeCell ref="LEK50:LEL50"/>
    <mergeCell ref="LEM50:LEN50"/>
    <mergeCell ref="LEO50:LEP50"/>
    <mergeCell ref="LEQ50:LER50"/>
    <mergeCell ref="LES50:LET50"/>
    <mergeCell ref="LDW50:LDX50"/>
    <mergeCell ref="LDY50:LDZ50"/>
    <mergeCell ref="LEA50:LEB50"/>
    <mergeCell ref="LEC50:LED50"/>
    <mergeCell ref="LEE50:LEF50"/>
    <mergeCell ref="LEG50:LEH50"/>
    <mergeCell ref="LIY50:LIZ50"/>
    <mergeCell ref="LJA50:LJB50"/>
    <mergeCell ref="LJC50:LJD50"/>
    <mergeCell ref="LJE50:LJF50"/>
    <mergeCell ref="LJG50:LJH50"/>
    <mergeCell ref="LJI50:LJJ50"/>
    <mergeCell ref="LIM50:LIN50"/>
    <mergeCell ref="LIO50:LIP50"/>
    <mergeCell ref="LIQ50:LIR50"/>
    <mergeCell ref="LIS50:LIT50"/>
    <mergeCell ref="LIU50:LIV50"/>
    <mergeCell ref="LIW50:LIX50"/>
    <mergeCell ref="LIA50:LIB50"/>
    <mergeCell ref="LIC50:LID50"/>
    <mergeCell ref="LIE50:LIF50"/>
    <mergeCell ref="LIG50:LIH50"/>
    <mergeCell ref="LII50:LIJ50"/>
    <mergeCell ref="LIK50:LIL50"/>
    <mergeCell ref="LHO50:LHP50"/>
    <mergeCell ref="LHQ50:LHR50"/>
    <mergeCell ref="LHS50:LHT50"/>
    <mergeCell ref="LHU50:LHV50"/>
    <mergeCell ref="LHW50:LHX50"/>
    <mergeCell ref="LHY50:LHZ50"/>
    <mergeCell ref="LHC50:LHD50"/>
    <mergeCell ref="LHE50:LHF50"/>
    <mergeCell ref="LHG50:LHH50"/>
    <mergeCell ref="LHI50:LHJ50"/>
    <mergeCell ref="LHK50:LHL50"/>
    <mergeCell ref="LHM50:LHN50"/>
    <mergeCell ref="LGQ50:LGR50"/>
    <mergeCell ref="LGS50:LGT50"/>
    <mergeCell ref="LGU50:LGV50"/>
    <mergeCell ref="LGW50:LGX50"/>
    <mergeCell ref="LGY50:LGZ50"/>
    <mergeCell ref="LHA50:LHB50"/>
    <mergeCell ref="LLS50:LLT50"/>
    <mergeCell ref="LLU50:LLV50"/>
    <mergeCell ref="LLW50:LLX50"/>
    <mergeCell ref="LLY50:LLZ50"/>
    <mergeCell ref="LMA50:LMB50"/>
    <mergeCell ref="LMC50:LMD50"/>
    <mergeCell ref="LLG50:LLH50"/>
    <mergeCell ref="LLI50:LLJ50"/>
    <mergeCell ref="LLK50:LLL50"/>
    <mergeCell ref="LLM50:LLN50"/>
    <mergeCell ref="LLO50:LLP50"/>
    <mergeCell ref="LLQ50:LLR50"/>
    <mergeCell ref="LKU50:LKV50"/>
    <mergeCell ref="LKW50:LKX50"/>
    <mergeCell ref="LKY50:LKZ50"/>
    <mergeCell ref="LLA50:LLB50"/>
    <mergeCell ref="LLC50:LLD50"/>
    <mergeCell ref="LLE50:LLF50"/>
    <mergeCell ref="LKI50:LKJ50"/>
    <mergeCell ref="LKK50:LKL50"/>
    <mergeCell ref="LKM50:LKN50"/>
    <mergeCell ref="LKO50:LKP50"/>
    <mergeCell ref="LKQ50:LKR50"/>
    <mergeCell ref="LKS50:LKT50"/>
    <mergeCell ref="LJW50:LJX50"/>
    <mergeCell ref="LJY50:LJZ50"/>
    <mergeCell ref="LKA50:LKB50"/>
    <mergeCell ref="LKC50:LKD50"/>
    <mergeCell ref="LKE50:LKF50"/>
    <mergeCell ref="LKG50:LKH50"/>
    <mergeCell ref="LJK50:LJL50"/>
    <mergeCell ref="LJM50:LJN50"/>
    <mergeCell ref="LJO50:LJP50"/>
    <mergeCell ref="LJQ50:LJR50"/>
    <mergeCell ref="LJS50:LJT50"/>
    <mergeCell ref="LJU50:LJV50"/>
    <mergeCell ref="LOM50:LON50"/>
    <mergeCell ref="LOO50:LOP50"/>
    <mergeCell ref="LOQ50:LOR50"/>
    <mergeCell ref="LOS50:LOT50"/>
    <mergeCell ref="LOU50:LOV50"/>
    <mergeCell ref="LOW50:LOX50"/>
    <mergeCell ref="LOA50:LOB50"/>
    <mergeCell ref="LOC50:LOD50"/>
    <mergeCell ref="LOE50:LOF50"/>
    <mergeCell ref="LOG50:LOH50"/>
    <mergeCell ref="LOI50:LOJ50"/>
    <mergeCell ref="LOK50:LOL50"/>
    <mergeCell ref="LNO50:LNP50"/>
    <mergeCell ref="LNQ50:LNR50"/>
    <mergeCell ref="LNS50:LNT50"/>
    <mergeCell ref="LNU50:LNV50"/>
    <mergeCell ref="LNW50:LNX50"/>
    <mergeCell ref="LNY50:LNZ50"/>
    <mergeCell ref="LNC50:LND50"/>
    <mergeCell ref="LNE50:LNF50"/>
    <mergeCell ref="LNG50:LNH50"/>
    <mergeCell ref="LNI50:LNJ50"/>
    <mergeCell ref="LNK50:LNL50"/>
    <mergeCell ref="LNM50:LNN50"/>
    <mergeCell ref="LMQ50:LMR50"/>
    <mergeCell ref="LMS50:LMT50"/>
    <mergeCell ref="LMU50:LMV50"/>
    <mergeCell ref="LMW50:LMX50"/>
    <mergeCell ref="LMY50:LMZ50"/>
    <mergeCell ref="LNA50:LNB50"/>
    <mergeCell ref="LME50:LMF50"/>
    <mergeCell ref="LMG50:LMH50"/>
    <mergeCell ref="LMI50:LMJ50"/>
    <mergeCell ref="LMK50:LML50"/>
    <mergeCell ref="LMM50:LMN50"/>
    <mergeCell ref="LMO50:LMP50"/>
    <mergeCell ref="LRG50:LRH50"/>
    <mergeCell ref="LRI50:LRJ50"/>
    <mergeCell ref="LRK50:LRL50"/>
    <mergeCell ref="LRM50:LRN50"/>
    <mergeCell ref="LRO50:LRP50"/>
    <mergeCell ref="LRQ50:LRR50"/>
    <mergeCell ref="LQU50:LQV50"/>
    <mergeCell ref="LQW50:LQX50"/>
    <mergeCell ref="LQY50:LQZ50"/>
    <mergeCell ref="LRA50:LRB50"/>
    <mergeCell ref="LRC50:LRD50"/>
    <mergeCell ref="LRE50:LRF50"/>
    <mergeCell ref="LQI50:LQJ50"/>
    <mergeCell ref="LQK50:LQL50"/>
    <mergeCell ref="LQM50:LQN50"/>
    <mergeCell ref="LQO50:LQP50"/>
    <mergeCell ref="LQQ50:LQR50"/>
    <mergeCell ref="LQS50:LQT50"/>
    <mergeCell ref="LPW50:LPX50"/>
    <mergeCell ref="LPY50:LPZ50"/>
    <mergeCell ref="LQA50:LQB50"/>
    <mergeCell ref="LQC50:LQD50"/>
    <mergeCell ref="LQE50:LQF50"/>
    <mergeCell ref="LQG50:LQH50"/>
    <mergeCell ref="LPK50:LPL50"/>
    <mergeCell ref="LPM50:LPN50"/>
    <mergeCell ref="LPO50:LPP50"/>
    <mergeCell ref="LPQ50:LPR50"/>
    <mergeCell ref="LPS50:LPT50"/>
    <mergeCell ref="LPU50:LPV50"/>
    <mergeCell ref="LOY50:LOZ50"/>
    <mergeCell ref="LPA50:LPB50"/>
    <mergeCell ref="LPC50:LPD50"/>
    <mergeCell ref="LPE50:LPF50"/>
    <mergeCell ref="LPG50:LPH50"/>
    <mergeCell ref="LPI50:LPJ50"/>
    <mergeCell ref="LUA50:LUB50"/>
    <mergeCell ref="LUC50:LUD50"/>
    <mergeCell ref="LUE50:LUF50"/>
    <mergeCell ref="LUG50:LUH50"/>
    <mergeCell ref="LUI50:LUJ50"/>
    <mergeCell ref="LUK50:LUL50"/>
    <mergeCell ref="LTO50:LTP50"/>
    <mergeCell ref="LTQ50:LTR50"/>
    <mergeCell ref="LTS50:LTT50"/>
    <mergeCell ref="LTU50:LTV50"/>
    <mergeCell ref="LTW50:LTX50"/>
    <mergeCell ref="LTY50:LTZ50"/>
    <mergeCell ref="LTC50:LTD50"/>
    <mergeCell ref="LTE50:LTF50"/>
    <mergeCell ref="LTG50:LTH50"/>
    <mergeCell ref="LTI50:LTJ50"/>
    <mergeCell ref="LTK50:LTL50"/>
    <mergeCell ref="LTM50:LTN50"/>
    <mergeCell ref="LSQ50:LSR50"/>
    <mergeCell ref="LSS50:LST50"/>
    <mergeCell ref="LSU50:LSV50"/>
    <mergeCell ref="LSW50:LSX50"/>
    <mergeCell ref="LSY50:LSZ50"/>
    <mergeCell ref="LTA50:LTB50"/>
    <mergeCell ref="LSE50:LSF50"/>
    <mergeCell ref="LSG50:LSH50"/>
    <mergeCell ref="LSI50:LSJ50"/>
    <mergeCell ref="LSK50:LSL50"/>
    <mergeCell ref="LSM50:LSN50"/>
    <mergeCell ref="LSO50:LSP50"/>
    <mergeCell ref="LRS50:LRT50"/>
    <mergeCell ref="LRU50:LRV50"/>
    <mergeCell ref="LRW50:LRX50"/>
    <mergeCell ref="LRY50:LRZ50"/>
    <mergeCell ref="LSA50:LSB50"/>
    <mergeCell ref="LSC50:LSD50"/>
    <mergeCell ref="LWU50:LWV50"/>
    <mergeCell ref="LWW50:LWX50"/>
    <mergeCell ref="LWY50:LWZ50"/>
    <mergeCell ref="LXA50:LXB50"/>
    <mergeCell ref="LXC50:LXD50"/>
    <mergeCell ref="LXE50:LXF50"/>
    <mergeCell ref="LWI50:LWJ50"/>
    <mergeCell ref="LWK50:LWL50"/>
    <mergeCell ref="LWM50:LWN50"/>
    <mergeCell ref="LWO50:LWP50"/>
    <mergeCell ref="LWQ50:LWR50"/>
    <mergeCell ref="LWS50:LWT50"/>
    <mergeCell ref="LVW50:LVX50"/>
    <mergeCell ref="LVY50:LVZ50"/>
    <mergeCell ref="LWA50:LWB50"/>
    <mergeCell ref="LWC50:LWD50"/>
    <mergeCell ref="LWE50:LWF50"/>
    <mergeCell ref="LWG50:LWH50"/>
    <mergeCell ref="LVK50:LVL50"/>
    <mergeCell ref="LVM50:LVN50"/>
    <mergeCell ref="LVO50:LVP50"/>
    <mergeCell ref="LVQ50:LVR50"/>
    <mergeCell ref="LVS50:LVT50"/>
    <mergeCell ref="LVU50:LVV50"/>
    <mergeCell ref="LUY50:LUZ50"/>
    <mergeCell ref="LVA50:LVB50"/>
    <mergeCell ref="LVC50:LVD50"/>
    <mergeCell ref="LVE50:LVF50"/>
    <mergeCell ref="LVG50:LVH50"/>
    <mergeCell ref="LVI50:LVJ50"/>
    <mergeCell ref="LUM50:LUN50"/>
    <mergeCell ref="LUO50:LUP50"/>
    <mergeCell ref="LUQ50:LUR50"/>
    <mergeCell ref="LUS50:LUT50"/>
    <mergeCell ref="LUU50:LUV50"/>
    <mergeCell ref="LUW50:LUX50"/>
    <mergeCell ref="LZO50:LZP50"/>
    <mergeCell ref="LZQ50:LZR50"/>
    <mergeCell ref="LZS50:LZT50"/>
    <mergeCell ref="LZU50:LZV50"/>
    <mergeCell ref="LZW50:LZX50"/>
    <mergeCell ref="LZY50:LZZ50"/>
    <mergeCell ref="LZC50:LZD50"/>
    <mergeCell ref="LZE50:LZF50"/>
    <mergeCell ref="LZG50:LZH50"/>
    <mergeCell ref="LZI50:LZJ50"/>
    <mergeCell ref="LZK50:LZL50"/>
    <mergeCell ref="LZM50:LZN50"/>
    <mergeCell ref="LYQ50:LYR50"/>
    <mergeCell ref="LYS50:LYT50"/>
    <mergeCell ref="LYU50:LYV50"/>
    <mergeCell ref="LYW50:LYX50"/>
    <mergeCell ref="LYY50:LYZ50"/>
    <mergeCell ref="LZA50:LZB50"/>
    <mergeCell ref="LYE50:LYF50"/>
    <mergeCell ref="LYG50:LYH50"/>
    <mergeCell ref="LYI50:LYJ50"/>
    <mergeCell ref="LYK50:LYL50"/>
    <mergeCell ref="LYM50:LYN50"/>
    <mergeCell ref="LYO50:LYP50"/>
    <mergeCell ref="LXS50:LXT50"/>
    <mergeCell ref="LXU50:LXV50"/>
    <mergeCell ref="LXW50:LXX50"/>
    <mergeCell ref="LXY50:LXZ50"/>
    <mergeCell ref="LYA50:LYB50"/>
    <mergeCell ref="LYC50:LYD50"/>
    <mergeCell ref="LXG50:LXH50"/>
    <mergeCell ref="LXI50:LXJ50"/>
    <mergeCell ref="LXK50:LXL50"/>
    <mergeCell ref="LXM50:LXN50"/>
    <mergeCell ref="LXO50:LXP50"/>
    <mergeCell ref="LXQ50:LXR50"/>
    <mergeCell ref="MCI50:MCJ50"/>
    <mergeCell ref="MCK50:MCL50"/>
    <mergeCell ref="MCM50:MCN50"/>
    <mergeCell ref="MCO50:MCP50"/>
    <mergeCell ref="MCQ50:MCR50"/>
    <mergeCell ref="MCS50:MCT50"/>
    <mergeCell ref="MBW50:MBX50"/>
    <mergeCell ref="MBY50:MBZ50"/>
    <mergeCell ref="MCA50:MCB50"/>
    <mergeCell ref="MCC50:MCD50"/>
    <mergeCell ref="MCE50:MCF50"/>
    <mergeCell ref="MCG50:MCH50"/>
    <mergeCell ref="MBK50:MBL50"/>
    <mergeCell ref="MBM50:MBN50"/>
    <mergeCell ref="MBO50:MBP50"/>
    <mergeCell ref="MBQ50:MBR50"/>
    <mergeCell ref="MBS50:MBT50"/>
    <mergeCell ref="MBU50:MBV50"/>
    <mergeCell ref="MAY50:MAZ50"/>
    <mergeCell ref="MBA50:MBB50"/>
    <mergeCell ref="MBC50:MBD50"/>
    <mergeCell ref="MBE50:MBF50"/>
    <mergeCell ref="MBG50:MBH50"/>
    <mergeCell ref="MBI50:MBJ50"/>
    <mergeCell ref="MAM50:MAN50"/>
    <mergeCell ref="MAO50:MAP50"/>
    <mergeCell ref="MAQ50:MAR50"/>
    <mergeCell ref="MAS50:MAT50"/>
    <mergeCell ref="MAU50:MAV50"/>
    <mergeCell ref="MAW50:MAX50"/>
    <mergeCell ref="MAA50:MAB50"/>
    <mergeCell ref="MAC50:MAD50"/>
    <mergeCell ref="MAE50:MAF50"/>
    <mergeCell ref="MAG50:MAH50"/>
    <mergeCell ref="MAI50:MAJ50"/>
    <mergeCell ref="MAK50:MAL50"/>
    <mergeCell ref="MFC50:MFD50"/>
    <mergeCell ref="MFE50:MFF50"/>
    <mergeCell ref="MFG50:MFH50"/>
    <mergeCell ref="MFI50:MFJ50"/>
    <mergeCell ref="MFK50:MFL50"/>
    <mergeCell ref="MFM50:MFN50"/>
    <mergeCell ref="MEQ50:MER50"/>
    <mergeCell ref="MES50:MET50"/>
    <mergeCell ref="MEU50:MEV50"/>
    <mergeCell ref="MEW50:MEX50"/>
    <mergeCell ref="MEY50:MEZ50"/>
    <mergeCell ref="MFA50:MFB50"/>
    <mergeCell ref="MEE50:MEF50"/>
    <mergeCell ref="MEG50:MEH50"/>
    <mergeCell ref="MEI50:MEJ50"/>
    <mergeCell ref="MEK50:MEL50"/>
    <mergeCell ref="MEM50:MEN50"/>
    <mergeCell ref="MEO50:MEP50"/>
    <mergeCell ref="MDS50:MDT50"/>
    <mergeCell ref="MDU50:MDV50"/>
    <mergeCell ref="MDW50:MDX50"/>
    <mergeCell ref="MDY50:MDZ50"/>
    <mergeCell ref="MEA50:MEB50"/>
    <mergeCell ref="MEC50:MED50"/>
    <mergeCell ref="MDG50:MDH50"/>
    <mergeCell ref="MDI50:MDJ50"/>
    <mergeCell ref="MDK50:MDL50"/>
    <mergeCell ref="MDM50:MDN50"/>
    <mergeCell ref="MDO50:MDP50"/>
    <mergeCell ref="MDQ50:MDR50"/>
    <mergeCell ref="MCU50:MCV50"/>
    <mergeCell ref="MCW50:MCX50"/>
    <mergeCell ref="MCY50:MCZ50"/>
    <mergeCell ref="MDA50:MDB50"/>
    <mergeCell ref="MDC50:MDD50"/>
    <mergeCell ref="MDE50:MDF50"/>
    <mergeCell ref="MHW50:MHX50"/>
    <mergeCell ref="MHY50:MHZ50"/>
    <mergeCell ref="MIA50:MIB50"/>
    <mergeCell ref="MIC50:MID50"/>
    <mergeCell ref="MIE50:MIF50"/>
    <mergeCell ref="MIG50:MIH50"/>
    <mergeCell ref="MHK50:MHL50"/>
    <mergeCell ref="MHM50:MHN50"/>
    <mergeCell ref="MHO50:MHP50"/>
    <mergeCell ref="MHQ50:MHR50"/>
    <mergeCell ref="MHS50:MHT50"/>
    <mergeCell ref="MHU50:MHV50"/>
    <mergeCell ref="MGY50:MGZ50"/>
    <mergeCell ref="MHA50:MHB50"/>
    <mergeCell ref="MHC50:MHD50"/>
    <mergeCell ref="MHE50:MHF50"/>
    <mergeCell ref="MHG50:MHH50"/>
    <mergeCell ref="MHI50:MHJ50"/>
    <mergeCell ref="MGM50:MGN50"/>
    <mergeCell ref="MGO50:MGP50"/>
    <mergeCell ref="MGQ50:MGR50"/>
    <mergeCell ref="MGS50:MGT50"/>
    <mergeCell ref="MGU50:MGV50"/>
    <mergeCell ref="MGW50:MGX50"/>
    <mergeCell ref="MGA50:MGB50"/>
    <mergeCell ref="MGC50:MGD50"/>
    <mergeCell ref="MGE50:MGF50"/>
    <mergeCell ref="MGG50:MGH50"/>
    <mergeCell ref="MGI50:MGJ50"/>
    <mergeCell ref="MGK50:MGL50"/>
    <mergeCell ref="MFO50:MFP50"/>
    <mergeCell ref="MFQ50:MFR50"/>
    <mergeCell ref="MFS50:MFT50"/>
    <mergeCell ref="MFU50:MFV50"/>
    <mergeCell ref="MFW50:MFX50"/>
    <mergeCell ref="MFY50:MFZ50"/>
    <mergeCell ref="MKQ50:MKR50"/>
    <mergeCell ref="MKS50:MKT50"/>
    <mergeCell ref="MKU50:MKV50"/>
    <mergeCell ref="MKW50:MKX50"/>
    <mergeCell ref="MKY50:MKZ50"/>
    <mergeCell ref="MLA50:MLB50"/>
    <mergeCell ref="MKE50:MKF50"/>
    <mergeCell ref="MKG50:MKH50"/>
    <mergeCell ref="MKI50:MKJ50"/>
    <mergeCell ref="MKK50:MKL50"/>
    <mergeCell ref="MKM50:MKN50"/>
    <mergeCell ref="MKO50:MKP50"/>
    <mergeCell ref="MJS50:MJT50"/>
    <mergeCell ref="MJU50:MJV50"/>
    <mergeCell ref="MJW50:MJX50"/>
    <mergeCell ref="MJY50:MJZ50"/>
    <mergeCell ref="MKA50:MKB50"/>
    <mergeCell ref="MKC50:MKD50"/>
    <mergeCell ref="MJG50:MJH50"/>
    <mergeCell ref="MJI50:MJJ50"/>
    <mergeCell ref="MJK50:MJL50"/>
    <mergeCell ref="MJM50:MJN50"/>
    <mergeCell ref="MJO50:MJP50"/>
    <mergeCell ref="MJQ50:MJR50"/>
    <mergeCell ref="MIU50:MIV50"/>
    <mergeCell ref="MIW50:MIX50"/>
    <mergeCell ref="MIY50:MIZ50"/>
    <mergeCell ref="MJA50:MJB50"/>
    <mergeCell ref="MJC50:MJD50"/>
    <mergeCell ref="MJE50:MJF50"/>
    <mergeCell ref="MII50:MIJ50"/>
    <mergeCell ref="MIK50:MIL50"/>
    <mergeCell ref="MIM50:MIN50"/>
    <mergeCell ref="MIO50:MIP50"/>
    <mergeCell ref="MIQ50:MIR50"/>
    <mergeCell ref="MIS50:MIT50"/>
    <mergeCell ref="MNK50:MNL50"/>
    <mergeCell ref="MNM50:MNN50"/>
    <mergeCell ref="MNO50:MNP50"/>
    <mergeCell ref="MNQ50:MNR50"/>
    <mergeCell ref="MNS50:MNT50"/>
    <mergeCell ref="MNU50:MNV50"/>
    <mergeCell ref="MMY50:MMZ50"/>
    <mergeCell ref="MNA50:MNB50"/>
    <mergeCell ref="MNC50:MND50"/>
    <mergeCell ref="MNE50:MNF50"/>
    <mergeCell ref="MNG50:MNH50"/>
    <mergeCell ref="MNI50:MNJ50"/>
    <mergeCell ref="MMM50:MMN50"/>
    <mergeCell ref="MMO50:MMP50"/>
    <mergeCell ref="MMQ50:MMR50"/>
    <mergeCell ref="MMS50:MMT50"/>
    <mergeCell ref="MMU50:MMV50"/>
    <mergeCell ref="MMW50:MMX50"/>
    <mergeCell ref="MMA50:MMB50"/>
    <mergeCell ref="MMC50:MMD50"/>
    <mergeCell ref="MME50:MMF50"/>
    <mergeCell ref="MMG50:MMH50"/>
    <mergeCell ref="MMI50:MMJ50"/>
    <mergeCell ref="MMK50:MML50"/>
    <mergeCell ref="MLO50:MLP50"/>
    <mergeCell ref="MLQ50:MLR50"/>
    <mergeCell ref="MLS50:MLT50"/>
    <mergeCell ref="MLU50:MLV50"/>
    <mergeCell ref="MLW50:MLX50"/>
    <mergeCell ref="MLY50:MLZ50"/>
    <mergeCell ref="MLC50:MLD50"/>
    <mergeCell ref="MLE50:MLF50"/>
    <mergeCell ref="MLG50:MLH50"/>
    <mergeCell ref="MLI50:MLJ50"/>
    <mergeCell ref="MLK50:MLL50"/>
    <mergeCell ref="MLM50:MLN50"/>
    <mergeCell ref="MQE50:MQF50"/>
    <mergeCell ref="MQG50:MQH50"/>
    <mergeCell ref="MQI50:MQJ50"/>
    <mergeCell ref="MQK50:MQL50"/>
    <mergeCell ref="MQM50:MQN50"/>
    <mergeCell ref="MQO50:MQP50"/>
    <mergeCell ref="MPS50:MPT50"/>
    <mergeCell ref="MPU50:MPV50"/>
    <mergeCell ref="MPW50:MPX50"/>
    <mergeCell ref="MPY50:MPZ50"/>
    <mergeCell ref="MQA50:MQB50"/>
    <mergeCell ref="MQC50:MQD50"/>
    <mergeCell ref="MPG50:MPH50"/>
    <mergeCell ref="MPI50:MPJ50"/>
    <mergeCell ref="MPK50:MPL50"/>
    <mergeCell ref="MPM50:MPN50"/>
    <mergeCell ref="MPO50:MPP50"/>
    <mergeCell ref="MPQ50:MPR50"/>
    <mergeCell ref="MOU50:MOV50"/>
    <mergeCell ref="MOW50:MOX50"/>
    <mergeCell ref="MOY50:MOZ50"/>
    <mergeCell ref="MPA50:MPB50"/>
    <mergeCell ref="MPC50:MPD50"/>
    <mergeCell ref="MPE50:MPF50"/>
    <mergeCell ref="MOI50:MOJ50"/>
    <mergeCell ref="MOK50:MOL50"/>
    <mergeCell ref="MOM50:MON50"/>
    <mergeCell ref="MOO50:MOP50"/>
    <mergeCell ref="MOQ50:MOR50"/>
    <mergeCell ref="MOS50:MOT50"/>
    <mergeCell ref="MNW50:MNX50"/>
    <mergeCell ref="MNY50:MNZ50"/>
    <mergeCell ref="MOA50:MOB50"/>
    <mergeCell ref="MOC50:MOD50"/>
    <mergeCell ref="MOE50:MOF50"/>
    <mergeCell ref="MOG50:MOH50"/>
    <mergeCell ref="MSY50:MSZ50"/>
    <mergeCell ref="MTA50:MTB50"/>
    <mergeCell ref="MTC50:MTD50"/>
    <mergeCell ref="MTE50:MTF50"/>
    <mergeCell ref="MTG50:MTH50"/>
    <mergeCell ref="MTI50:MTJ50"/>
    <mergeCell ref="MSM50:MSN50"/>
    <mergeCell ref="MSO50:MSP50"/>
    <mergeCell ref="MSQ50:MSR50"/>
    <mergeCell ref="MSS50:MST50"/>
    <mergeCell ref="MSU50:MSV50"/>
    <mergeCell ref="MSW50:MSX50"/>
    <mergeCell ref="MSA50:MSB50"/>
    <mergeCell ref="MSC50:MSD50"/>
    <mergeCell ref="MSE50:MSF50"/>
    <mergeCell ref="MSG50:MSH50"/>
    <mergeCell ref="MSI50:MSJ50"/>
    <mergeCell ref="MSK50:MSL50"/>
    <mergeCell ref="MRO50:MRP50"/>
    <mergeCell ref="MRQ50:MRR50"/>
    <mergeCell ref="MRS50:MRT50"/>
    <mergeCell ref="MRU50:MRV50"/>
    <mergeCell ref="MRW50:MRX50"/>
    <mergeCell ref="MRY50:MRZ50"/>
    <mergeCell ref="MRC50:MRD50"/>
    <mergeCell ref="MRE50:MRF50"/>
    <mergeCell ref="MRG50:MRH50"/>
    <mergeCell ref="MRI50:MRJ50"/>
    <mergeCell ref="MRK50:MRL50"/>
    <mergeCell ref="MRM50:MRN50"/>
    <mergeCell ref="MQQ50:MQR50"/>
    <mergeCell ref="MQS50:MQT50"/>
    <mergeCell ref="MQU50:MQV50"/>
    <mergeCell ref="MQW50:MQX50"/>
    <mergeCell ref="MQY50:MQZ50"/>
    <mergeCell ref="MRA50:MRB50"/>
    <mergeCell ref="MVS50:MVT50"/>
    <mergeCell ref="MVU50:MVV50"/>
    <mergeCell ref="MVW50:MVX50"/>
    <mergeCell ref="MVY50:MVZ50"/>
    <mergeCell ref="MWA50:MWB50"/>
    <mergeCell ref="MWC50:MWD50"/>
    <mergeCell ref="MVG50:MVH50"/>
    <mergeCell ref="MVI50:MVJ50"/>
    <mergeCell ref="MVK50:MVL50"/>
    <mergeCell ref="MVM50:MVN50"/>
    <mergeCell ref="MVO50:MVP50"/>
    <mergeCell ref="MVQ50:MVR50"/>
    <mergeCell ref="MUU50:MUV50"/>
    <mergeCell ref="MUW50:MUX50"/>
    <mergeCell ref="MUY50:MUZ50"/>
    <mergeCell ref="MVA50:MVB50"/>
    <mergeCell ref="MVC50:MVD50"/>
    <mergeCell ref="MVE50:MVF50"/>
    <mergeCell ref="MUI50:MUJ50"/>
    <mergeCell ref="MUK50:MUL50"/>
    <mergeCell ref="MUM50:MUN50"/>
    <mergeCell ref="MUO50:MUP50"/>
    <mergeCell ref="MUQ50:MUR50"/>
    <mergeCell ref="MUS50:MUT50"/>
    <mergeCell ref="MTW50:MTX50"/>
    <mergeCell ref="MTY50:MTZ50"/>
    <mergeCell ref="MUA50:MUB50"/>
    <mergeCell ref="MUC50:MUD50"/>
    <mergeCell ref="MUE50:MUF50"/>
    <mergeCell ref="MUG50:MUH50"/>
    <mergeCell ref="MTK50:MTL50"/>
    <mergeCell ref="MTM50:MTN50"/>
    <mergeCell ref="MTO50:MTP50"/>
    <mergeCell ref="MTQ50:MTR50"/>
    <mergeCell ref="MTS50:MTT50"/>
    <mergeCell ref="MTU50:MTV50"/>
    <mergeCell ref="MYM50:MYN50"/>
    <mergeCell ref="MYO50:MYP50"/>
    <mergeCell ref="MYQ50:MYR50"/>
    <mergeCell ref="MYS50:MYT50"/>
    <mergeCell ref="MYU50:MYV50"/>
    <mergeCell ref="MYW50:MYX50"/>
    <mergeCell ref="MYA50:MYB50"/>
    <mergeCell ref="MYC50:MYD50"/>
    <mergeCell ref="MYE50:MYF50"/>
    <mergeCell ref="MYG50:MYH50"/>
    <mergeCell ref="MYI50:MYJ50"/>
    <mergeCell ref="MYK50:MYL50"/>
    <mergeCell ref="MXO50:MXP50"/>
    <mergeCell ref="MXQ50:MXR50"/>
    <mergeCell ref="MXS50:MXT50"/>
    <mergeCell ref="MXU50:MXV50"/>
    <mergeCell ref="MXW50:MXX50"/>
    <mergeCell ref="MXY50:MXZ50"/>
    <mergeCell ref="MXC50:MXD50"/>
    <mergeCell ref="MXE50:MXF50"/>
    <mergeCell ref="MXG50:MXH50"/>
    <mergeCell ref="MXI50:MXJ50"/>
    <mergeCell ref="MXK50:MXL50"/>
    <mergeCell ref="MXM50:MXN50"/>
    <mergeCell ref="MWQ50:MWR50"/>
    <mergeCell ref="MWS50:MWT50"/>
    <mergeCell ref="MWU50:MWV50"/>
    <mergeCell ref="MWW50:MWX50"/>
    <mergeCell ref="MWY50:MWZ50"/>
    <mergeCell ref="MXA50:MXB50"/>
    <mergeCell ref="MWE50:MWF50"/>
    <mergeCell ref="MWG50:MWH50"/>
    <mergeCell ref="MWI50:MWJ50"/>
    <mergeCell ref="MWK50:MWL50"/>
    <mergeCell ref="MWM50:MWN50"/>
    <mergeCell ref="MWO50:MWP50"/>
    <mergeCell ref="NBG50:NBH50"/>
    <mergeCell ref="NBI50:NBJ50"/>
    <mergeCell ref="NBK50:NBL50"/>
    <mergeCell ref="NBM50:NBN50"/>
    <mergeCell ref="NBO50:NBP50"/>
    <mergeCell ref="NBQ50:NBR50"/>
    <mergeCell ref="NAU50:NAV50"/>
    <mergeCell ref="NAW50:NAX50"/>
    <mergeCell ref="NAY50:NAZ50"/>
    <mergeCell ref="NBA50:NBB50"/>
    <mergeCell ref="NBC50:NBD50"/>
    <mergeCell ref="NBE50:NBF50"/>
    <mergeCell ref="NAI50:NAJ50"/>
    <mergeCell ref="NAK50:NAL50"/>
    <mergeCell ref="NAM50:NAN50"/>
    <mergeCell ref="NAO50:NAP50"/>
    <mergeCell ref="NAQ50:NAR50"/>
    <mergeCell ref="NAS50:NAT50"/>
    <mergeCell ref="MZW50:MZX50"/>
    <mergeCell ref="MZY50:MZZ50"/>
    <mergeCell ref="NAA50:NAB50"/>
    <mergeCell ref="NAC50:NAD50"/>
    <mergeCell ref="NAE50:NAF50"/>
    <mergeCell ref="NAG50:NAH50"/>
    <mergeCell ref="MZK50:MZL50"/>
    <mergeCell ref="MZM50:MZN50"/>
    <mergeCell ref="MZO50:MZP50"/>
    <mergeCell ref="MZQ50:MZR50"/>
    <mergeCell ref="MZS50:MZT50"/>
    <mergeCell ref="MZU50:MZV50"/>
    <mergeCell ref="MYY50:MYZ50"/>
    <mergeCell ref="MZA50:MZB50"/>
    <mergeCell ref="MZC50:MZD50"/>
    <mergeCell ref="MZE50:MZF50"/>
    <mergeCell ref="MZG50:MZH50"/>
    <mergeCell ref="MZI50:MZJ50"/>
    <mergeCell ref="NEA50:NEB50"/>
    <mergeCell ref="NEC50:NED50"/>
    <mergeCell ref="NEE50:NEF50"/>
    <mergeCell ref="NEG50:NEH50"/>
    <mergeCell ref="NEI50:NEJ50"/>
    <mergeCell ref="NEK50:NEL50"/>
    <mergeCell ref="NDO50:NDP50"/>
    <mergeCell ref="NDQ50:NDR50"/>
    <mergeCell ref="NDS50:NDT50"/>
    <mergeCell ref="NDU50:NDV50"/>
    <mergeCell ref="NDW50:NDX50"/>
    <mergeCell ref="NDY50:NDZ50"/>
    <mergeCell ref="NDC50:NDD50"/>
    <mergeCell ref="NDE50:NDF50"/>
    <mergeCell ref="NDG50:NDH50"/>
    <mergeCell ref="NDI50:NDJ50"/>
    <mergeCell ref="NDK50:NDL50"/>
    <mergeCell ref="NDM50:NDN50"/>
    <mergeCell ref="NCQ50:NCR50"/>
    <mergeCell ref="NCS50:NCT50"/>
    <mergeCell ref="NCU50:NCV50"/>
    <mergeCell ref="NCW50:NCX50"/>
    <mergeCell ref="NCY50:NCZ50"/>
    <mergeCell ref="NDA50:NDB50"/>
    <mergeCell ref="NCE50:NCF50"/>
    <mergeCell ref="NCG50:NCH50"/>
    <mergeCell ref="NCI50:NCJ50"/>
    <mergeCell ref="NCK50:NCL50"/>
    <mergeCell ref="NCM50:NCN50"/>
    <mergeCell ref="NCO50:NCP50"/>
    <mergeCell ref="NBS50:NBT50"/>
    <mergeCell ref="NBU50:NBV50"/>
    <mergeCell ref="NBW50:NBX50"/>
    <mergeCell ref="NBY50:NBZ50"/>
    <mergeCell ref="NCA50:NCB50"/>
    <mergeCell ref="NCC50:NCD50"/>
    <mergeCell ref="NGU50:NGV50"/>
    <mergeCell ref="NGW50:NGX50"/>
    <mergeCell ref="NGY50:NGZ50"/>
    <mergeCell ref="NHA50:NHB50"/>
    <mergeCell ref="NHC50:NHD50"/>
    <mergeCell ref="NHE50:NHF50"/>
    <mergeCell ref="NGI50:NGJ50"/>
    <mergeCell ref="NGK50:NGL50"/>
    <mergeCell ref="NGM50:NGN50"/>
    <mergeCell ref="NGO50:NGP50"/>
    <mergeCell ref="NGQ50:NGR50"/>
    <mergeCell ref="NGS50:NGT50"/>
    <mergeCell ref="NFW50:NFX50"/>
    <mergeCell ref="NFY50:NFZ50"/>
    <mergeCell ref="NGA50:NGB50"/>
    <mergeCell ref="NGC50:NGD50"/>
    <mergeCell ref="NGE50:NGF50"/>
    <mergeCell ref="NGG50:NGH50"/>
    <mergeCell ref="NFK50:NFL50"/>
    <mergeCell ref="NFM50:NFN50"/>
    <mergeCell ref="NFO50:NFP50"/>
    <mergeCell ref="NFQ50:NFR50"/>
    <mergeCell ref="NFS50:NFT50"/>
    <mergeCell ref="NFU50:NFV50"/>
    <mergeCell ref="NEY50:NEZ50"/>
    <mergeCell ref="NFA50:NFB50"/>
    <mergeCell ref="NFC50:NFD50"/>
    <mergeCell ref="NFE50:NFF50"/>
    <mergeCell ref="NFG50:NFH50"/>
    <mergeCell ref="NFI50:NFJ50"/>
    <mergeCell ref="NEM50:NEN50"/>
    <mergeCell ref="NEO50:NEP50"/>
    <mergeCell ref="NEQ50:NER50"/>
    <mergeCell ref="NES50:NET50"/>
    <mergeCell ref="NEU50:NEV50"/>
    <mergeCell ref="NEW50:NEX50"/>
    <mergeCell ref="NJO50:NJP50"/>
    <mergeCell ref="NJQ50:NJR50"/>
    <mergeCell ref="NJS50:NJT50"/>
    <mergeCell ref="NJU50:NJV50"/>
    <mergeCell ref="NJW50:NJX50"/>
    <mergeCell ref="NJY50:NJZ50"/>
    <mergeCell ref="NJC50:NJD50"/>
    <mergeCell ref="NJE50:NJF50"/>
    <mergeCell ref="NJG50:NJH50"/>
    <mergeCell ref="NJI50:NJJ50"/>
    <mergeCell ref="NJK50:NJL50"/>
    <mergeCell ref="NJM50:NJN50"/>
    <mergeCell ref="NIQ50:NIR50"/>
    <mergeCell ref="NIS50:NIT50"/>
    <mergeCell ref="NIU50:NIV50"/>
    <mergeCell ref="NIW50:NIX50"/>
    <mergeCell ref="NIY50:NIZ50"/>
    <mergeCell ref="NJA50:NJB50"/>
    <mergeCell ref="NIE50:NIF50"/>
    <mergeCell ref="NIG50:NIH50"/>
    <mergeCell ref="NII50:NIJ50"/>
    <mergeCell ref="NIK50:NIL50"/>
    <mergeCell ref="NIM50:NIN50"/>
    <mergeCell ref="NIO50:NIP50"/>
    <mergeCell ref="NHS50:NHT50"/>
    <mergeCell ref="NHU50:NHV50"/>
    <mergeCell ref="NHW50:NHX50"/>
    <mergeCell ref="NHY50:NHZ50"/>
    <mergeCell ref="NIA50:NIB50"/>
    <mergeCell ref="NIC50:NID50"/>
    <mergeCell ref="NHG50:NHH50"/>
    <mergeCell ref="NHI50:NHJ50"/>
    <mergeCell ref="NHK50:NHL50"/>
    <mergeCell ref="NHM50:NHN50"/>
    <mergeCell ref="NHO50:NHP50"/>
    <mergeCell ref="NHQ50:NHR50"/>
    <mergeCell ref="NMI50:NMJ50"/>
    <mergeCell ref="NMK50:NML50"/>
    <mergeCell ref="NMM50:NMN50"/>
    <mergeCell ref="NMO50:NMP50"/>
    <mergeCell ref="NMQ50:NMR50"/>
    <mergeCell ref="NMS50:NMT50"/>
    <mergeCell ref="NLW50:NLX50"/>
    <mergeCell ref="NLY50:NLZ50"/>
    <mergeCell ref="NMA50:NMB50"/>
    <mergeCell ref="NMC50:NMD50"/>
    <mergeCell ref="NME50:NMF50"/>
    <mergeCell ref="NMG50:NMH50"/>
    <mergeCell ref="NLK50:NLL50"/>
    <mergeCell ref="NLM50:NLN50"/>
    <mergeCell ref="NLO50:NLP50"/>
    <mergeCell ref="NLQ50:NLR50"/>
    <mergeCell ref="NLS50:NLT50"/>
    <mergeCell ref="NLU50:NLV50"/>
    <mergeCell ref="NKY50:NKZ50"/>
    <mergeCell ref="NLA50:NLB50"/>
    <mergeCell ref="NLC50:NLD50"/>
    <mergeCell ref="NLE50:NLF50"/>
    <mergeCell ref="NLG50:NLH50"/>
    <mergeCell ref="NLI50:NLJ50"/>
    <mergeCell ref="NKM50:NKN50"/>
    <mergeCell ref="NKO50:NKP50"/>
    <mergeCell ref="NKQ50:NKR50"/>
    <mergeCell ref="NKS50:NKT50"/>
    <mergeCell ref="NKU50:NKV50"/>
    <mergeCell ref="NKW50:NKX50"/>
    <mergeCell ref="NKA50:NKB50"/>
    <mergeCell ref="NKC50:NKD50"/>
    <mergeCell ref="NKE50:NKF50"/>
    <mergeCell ref="NKG50:NKH50"/>
    <mergeCell ref="NKI50:NKJ50"/>
    <mergeCell ref="NKK50:NKL50"/>
    <mergeCell ref="NPC50:NPD50"/>
    <mergeCell ref="NPE50:NPF50"/>
    <mergeCell ref="NPG50:NPH50"/>
    <mergeCell ref="NPI50:NPJ50"/>
    <mergeCell ref="NPK50:NPL50"/>
    <mergeCell ref="NPM50:NPN50"/>
    <mergeCell ref="NOQ50:NOR50"/>
    <mergeCell ref="NOS50:NOT50"/>
    <mergeCell ref="NOU50:NOV50"/>
    <mergeCell ref="NOW50:NOX50"/>
    <mergeCell ref="NOY50:NOZ50"/>
    <mergeCell ref="NPA50:NPB50"/>
    <mergeCell ref="NOE50:NOF50"/>
    <mergeCell ref="NOG50:NOH50"/>
    <mergeCell ref="NOI50:NOJ50"/>
    <mergeCell ref="NOK50:NOL50"/>
    <mergeCell ref="NOM50:NON50"/>
    <mergeCell ref="NOO50:NOP50"/>
    <mergeCell ref="NNS50:NNT50"/>
    <mergeCell ref="NNU50:NNV50"/>
    <mergeCell ref="NNW50:NNX50"/>
    <mergeCell ref="NNY50:NNZ50"/>
    <mergeCell ref="NOA50:NOB50"/>
    <mergeCell ref="NOC50:NOD50"/>
    <mergeCell ref="NNG50:NNH50"/>
    <mergeCell ref="NNI50:NNJ50"/>
    <mergeCell ref="NNK50:NNL50"/>
    <mergeCell ref="NNM50:NNN50"/>
    <mergeCell ref="NNO50:NNP50"/>
    <mergeCell ref="NNQ50:NNR50"/>
    <mergeCell ref="NMU50:NMV50"/>
    <mergeCell ref="NMW50:NMX50"/>
    <mergeCell ref="NMY50:NMZ50"/>
    <mergeCell ref="NNA50:NNB50"/>
    <mergeCell ref="NNC50:NND50"/>
    <mergeCell ref="NNE50:NNF50"/>
    <mergeCell ref="NRW50:NRX50"/>
    <mergeCell ref="NRY50:NRZ50"/>
    <mergeCell ref="NSA50:NSB50"/>
    <mergeCell ref="NSC50:NSD50"/>
    <mergeCell ref="NSE50:NSF50"/>
    <mergeCell ref="NSG50:NSH50"/>
    <mergeCell ref="NRK50:NRL50"/>
    <mergeCell ref="NRM50:NRN50"/>
    <mergeCell ref="NRO50:NRP50"/>
    <mergeCell ref="NRQ50:NRR50"/>
    <mergeCell ref="NRS50:NRT50"/>
    <mergeCell ref="NRU50:NRV50"/>
    <mergeCell ref="NQY50:NQZ50"/>
    <mergeCell ref="NRA50:NRB50"/>
    <mergeCell ref="NRC50:NRD50"/>
    <mergeCell ref="NRE50:NRF50"/>
    <mergeCell ref="NRG50:NRH50"/>
    <mergeCell ref="NRI50:NRJ50"/>
    <mergeCell ref="NQM50:NQN50"/>
    <mergeCell ref="NQO50:NQP50"/>
    <mergeCell ref="NQQ50:NQR50"/>
    <mergeCell ref="NQS50:NQT50"/>
    <mergeCell ref="NQU50:NQV50"/>
    <mergeCell ref="NQW50:NQX50"/>
    <mergeCell ref="NQA50:NQB50"/>
    <mergeCell ref="NQC50:NQD50"/>
    <mergeCell ref="NQE50:NQF50"/>
    <mergeCell ref="NQG50:NQH50"/>
    <mergeCell ref="NQI50:NQJ50"/>
    <mergeCell ref="NQK50:NQL50"/>
    <mergeCell ref="NPO50:NPP50"/>
    <mergeCell ref="NPQ50:NPR50"/>
    <mergeCell ref="NPS50:NPT50"/>
    <mergeCell ref="NPU50:NPV50"/>
    <mergeCell ref="NPW50:NPX50"/>
    <mergeCell ref="NPY50:NPZ50"/>
    <mergeCell ref="NUQ50:NUR50"/>
    <mergeCell ref="NUS50:NUT50"/>
    <mergeCell ref="NUU50:NUV50"/>
    <mergeCell ref="NUW50:NUX50"/>
    <mergeCell ref="NUY50:NUZ50"/>
    <mergeCell ref="NVA50:NVB50"/>
    <mergeCell ref="NUE50:NUF50"/>
    <mergeCell ref="NUG50:NUH50"/>
    <mergeCell ref="NUI50:NUJ50"/>
    <mergeCell ref="NUK50:NUL50"/>
    <mergeCell ref="NUM50:NUN50"/>
    <mergeCell ref="NUO50:NUP50"/>
    <mergeCell ref="NTS50:NTT50"/>
    <mergeCell ref="NTU50:NTV50"/>
    <mergeCell ref="NTW50:NTX50"/>
    <mergeCell ref="NTY50:NTZ50"/>
    <mergeCell ref="NUA50:NUB50"/>
    <mergeCell ref="NUC50:NUD50"/>
    <mergeCell ref="NTG50:NTH50"/>
    <mergeCell ref="NTI50:NTJ50"/>
    <mergeCell ref="NTK50:NTL50"/>
    <mergeCell ref="NTM50:NTN50"/>
    <mergeCell ref="NTO50:NTP50"/>
    <mergeCell ref="NTQ50:NTR50"/>
    <mergeCell ref="NSU50:NSV50"/>
    <mergeCell ref="NSW50:NSX50"/>
    <mergeCell ref="NSY50:NSZ50"/>
    <mergeCell ref="NTA50:NTB50"/>
    <mergeCell ref="NTC50:NTD50"/>
    <mergeCell ref="NTE50:NTF50"/>
    <mergeCell ref="NSI50:NSJ50"/>
    <mergeCell ref="NSK50:NSL50"/>
    <mergeCell ref="NSM50:NSN50"/>
    <mergeCell ref="NSO50:NSP50"/>
    <mergeCell ref="NSQ50:NSR50"/>
    <mergeCell ref="NSS50:NST50"/>
    <mergeCell ref="NXK50:NXL50"/>
    <mergeCell ref="NXM50:NXN50"/>
    <mergeCell ref="NXO50:NXP50"/>
    <mergeCell ref="NXQ50:NXR50"/>
    <mergeCell ref="NXS50:NXT50"/>
    <mergeCell ref="NXU50:NXV50"/>
    <mergeCell ref="NWY50:NWZ50"/>
    <mergeCell ref="NXA50:NXB50"/>
    <mergeCell ref="NXC50:NXD50"/>
    <mergeCell ref="NXE50:NXF50"/>
    <mergeCell ref="NXG50:NXH50"/>
    <mergeCell ref="NXI50:NXJ50"/>
    <mergeCell ref="NWM50:NWN50"/>
    <mergeCell ref="NWO50:NWP50"/>
    <mergeCell ref="NWQ50:NWR50"/>
    <mergeCell ref="NWS50:NWT50"/>
    <mergeCell ref="NWU50:NWV50"/>
    <mergeCell ref="NWW50:NWX50"/>
    <mergeCell ref="NWA50:NWB50"/>
    <mergeCell ref="NWC50:NWD50"/>
    <mergeCell ref="NWE50:NWF50"/>
    <mergeCell ref="NWG50:NWH50"/>
    <mergeCell ref="NWI50:NWJ50"/>
    <mergeCell ref="NWK50:NWL50"/>
    <mergeCell ref="NVO50:NVP50"/>
    <mergeCell ref="NVQ50:NVR50"/>
    <mergeCell ref="NVS50:NVT50"/>
    <mergeCell ref="NVU50:NVV50"/>
    <mergeCell ref="NVW50:NVX50"/>
    <mergeCell ref="NVY50:NVZ50"/>
    <mergeCell ref="NVC50:NVD50"/>
    <mergeCell ref="NVE50:NVF50"/>
    <mergeCell ref="NVG50:NVH50"/>
    <mergeCell ref="NVI50:NVJ50"/>
    <mergeCell ref="NVK50:NVL50"/>
    <mergeCell ref="NVM50:NVN50"/>
    <mergeCell ref="OAE50:OAF50"/>
    <mergeCell ref="OAG50:OAH50"/>
    <mergeCell ref="OAI50:OAJ50"/>
    <mergeCell ref="OAK50:OAL50"/>
    <mergeCell ref="OAM50:OAN50"/>
    <mergeCell ref="OAO50:OAP50"/>
    <mergeCell ref="NZS50:NZT50"/>
    <mergeCell ref="NZU50:NZV50"/>
    <mergeCell ref="NZW50:NZX50"/>
    <mergeCell ref="NZY50:NZZ50"/>
    <mergeCell ref="OAA50:OAB50"/>
    <mergeCell ref="OAC50:OAD50"/>
    <mergeCell ref="NZG50:NZH50"/>
    <mergeCell ref="NZI50:NZJ50"/>
    <mergeCell ref="NZK50:NZL50"/>
    <mergeCell ref="NZM50:NZN50"/>
    <mergeCell ref="NZO50:NZP50"/>
    <mergeCell ref="NZQ50:NZR50"/>
    <mergeCell ref="NYU50:NYV50"/>
    <mergeCell ref="NYW50:NYX50"/>
    <mergeCell ref="NYY50:NYZ50"/>
    <mergeCell ref="NZA50:NZB50"/>
    <mergeCell ref="NZC50:NZD50"/>
    <mergeCell ref="NZE50:NZF50"/>
    <mergeCell ref="NYI50:NYJ50"/>
    <mergeCell ref="NYK50:NYL50"/>
    <mergeCell ref="NYM50:NYN50"/>
    <mergeCell ref="NYO50:NYP50"/>
    <mergeCell ref="NYQ50:NYR50"/>
    <mergeCell ref="NYS50:NYT50"/>
    <mergeCell ref="NXW50:NXX50"/>
    <mergeCell ref="NXY50:NXZ50"/>
    <mergeCell ref="NYA50:NYB50"/>
    <mergeCell ref="NYC50:NYD50"/>
    <mergeCell ref="NYE50:NYF50"/>
    <mergeCell ref="NYG50:NYH50"/>
    <mergeCell ref="OCY50:OCZ50"/>
    <mergeCell ref="ODA50:ODB50"/>
    <mergeCell ref="ODC50:ODD50"/>
    <mergeCell ref="ODE50:ODF50"/>
    <mergeCell ref="ODG50:ODH50"/>
    <mergeCell ref="ODI50:ODJ50"/>
    <mergeCell ref="OCM50:OCN50"/>
    <mergeCell ref="OCO50:OCP50"/>
    <mergeCell ref="OCQ50:OCR50"/>
    <mergeCell ref="OCS50:OCT50"/>
    <mergeCell ref="OCU50:OCV50"/>
    <mergeCell ref="OCW50:OCX50"/>
    <mergeCell ref="OCA50:OCB50"/>
    <mergeCell ref="OCC50:OCD50"/>
    <mergeCell ref="OCE50:OCF50"/>
    <mergeCell ref="OCG50:OCH50"/>
    <mergeCell ref="OCI50:OCJ50"/>
    <mergeCell ref="OCK50:OCL50"/>
    <mergeCell ref="OBO50:OBP50"/>
    <mergeCell ref="OBQ50:OBR50"/>
    <mergeCell ref="OBS50:OBT50"/>
    <mergeCell ref="OBU50:OBV50"/>
    <mergeCell ref="OBW50:OBX50"/>
    <mergeCell ref="OBY50:OBZ50"/>
    <mergeCell ref="OBC50:OBD50"/>
    <mergeCell ref="OBE50:OBF50"/>
    <mergeCell ref="OBG50:OBH50"/>
    <mergeCell ref="OBI50:OBJ50"/>
    <mergeCell ref="OBK50:OBL50"/>
    <mergeCell ref="OBM50:OBN50"/>
    <mergeCell ref="OAQ50:OAR50"/>
    <mergeCell ref="OAS50:OAT50"/>
    <mergeCell ref="OAU50:OAV50"/>
    <mergeCell ref="OAW50:OAX50"/>
    <mergeCell ref="OAY50:OAZ50"/>
    <mergeCell ref="OBA50:OBB50"/>
    <mergeCell ref="OFS50:OFT50"/>
    <mergeCell ref="OFU50:OFV50"/>
    <mergeCell ref="OFW50:OFX50"/>
    <mergeCell ref="OFY50:OFZ50"/>
    <mergeCell ref="OGA50:OGB50"/>
    <mergeCell ref="OGC50:OGD50"/>
    <mergeCell ref="OFG50:OFH50"/>
    <mergeCell ref="OFI50:OFJ50"/>
    <mergeCell ref="OFK50:OFL50"/>
    <mergeCell ref="OFM50:OFN50"/>
    <mergeCell ref="OFO50:OFP50"/>
    <mergeCell ref="OFQ50:OFR50"/>
    <mergeCell ref="OEU50:OEV50"/>
    <mergeCell ref="OEW50:OEX50"/>
    <mergeCell ref="OEY50:OEZ50"/>
    <mergeCell ref="OFA50:OFB50"/>
    <mergeCell ref="OFC50:OFD50"/>
    <mergeCell ref="OFE50:OFF50"/>
    <mergeCell ref="OEI50:OEJ50"/>
    <mergeCell ref="OEK50:OEL50"/>
    <mergeCell ref="OEM50:OEN50"/>
    <mergeCell ref="OEO50:OEP50"/>
    <mergeCell ref="OEQ50:OER50"/>
    <mergeCell ref="OES50:OET50"/>
    <mergeCell ref="ODW50:ODX50"/>
    <mergeCell ref="ODY50:ODZ50"/>
    <mergeCell ref="OEA50:OEB50"/>
    <mergeCell ref="OEC50:OED50"/>
    <mergeCell ref="OEE50:OEF50"/>
    <mergeCell ref="OEG50:OEH50"/>
    <mergeCell ref="ODK50:ODL50"/>
    <mergeCell ref="ODM50:ODN50"/>
    <mergeCell ref="ODO50:ODP50"/>
    <mergeCell ref="ODQ50:ODR50"/>
    <mergeCell ref="ODS50:ODT50"/>
    <mergeCell ref="ODU50:ODV50"/>
    <mergeCell ref="OIM50:OIN50"/>
    <mergeCell ref="OIO50:OIP50"/>
    <mergeCell ref="OIQ50:OIR50"/>
    <mergeCell ref="OIS50:OIT50"/>
    <mergeCell ref="OIU50:OIV50"/>
    <mergeCell ref="OIW50:OIX50"/>
    <mergeCell ref="OIA50:OIB50"/>
    <mergeCell ref="OIC50:OID50"/>
    <mergeCell ref="OIE50:OIF50"/>
    <mergeCell ref="OIG50:OIH50"/>
    <mergeCell ref="OII50:OIJ50"/>
    <mergeCell ref="OIK50:OIL50"/>
    <mergeCell ref="OHO50:OHP50"/>
    <mergeCell ref="OHQ50:OHR50"/>
    <mergeCell ref="OHS50:OHT50"/>
    <mergeCell ref="OHU50:OHV50"/>
    <mergeCell ref="OHW50:OHX50"/>
    <mergeCell ref="OHY50:OHZ50"/>
    <mergeCell ref="OHC50:OHD50"/>
    <mergeCell ref="OHE50:OHF50"/>
    <mergeCell ref="OHG50:OHH50"/>
    <mergeCell ref="OHI50:OHJ50"/>
    <mergeCell ref="OHK50:OHL50"/>
    <mergeCell ref="OHM50:OHN50"/>
    <mergeCell ref="OGQ50:OGR50"/>
    <mergeCell ref="OGS50:OGT50"/>
    <mergeCell ref="OGU50:OGV50"/>
    <mergeCell ref="OGW50:OGX50"/>
    <mergeCell ref="OGY50:OGZ50"/>
    <mergeCell ref="OHA50:OHB50"/>
    <mergeCell ref="OGE50:OGF50"/>
    <mergeCell ref="OGG50:OGH50"/>
    <mergeCell ref="OGI50:OGJ50"/>
    <mergeCell ref="OGK50:OGL50"/>
    <mergeCell ref="OGM50:OGN50"/>
    <mergeCell ref="OGO50:OGP50"/>
    <mergeCell ref="OLG50:OLH50"/>
    <mergeCell ref="OLI50:OLJ50"/>
    <mergeCell ref="OLK50:OLL50"/>
    <mergeCell ref="OLM50:OLN50"/>
    <mergeCell ref="OLO50:OLP50"/>
    <mergeCell ref="OLQ50:OLR50"/>
    <mergeCell ref="OKU50:OKV50"/>
    <mergeCell ref="OKW50:OKX50"/>
    <mergeCell ref="OKY50:OKZ50"/>
    <mergeCell ref="OLA50:OLB50"/>
    <mergeCell ref="OLC50:OLD50"/>
    <mergeCell ref="OLE50:OLF50"/>
    <mergeCell ref="OKI50:OKJ50"/>
    <mergeCell ref="OKK50:OKL50"/>
    <mergeCell ref="OKM50:OKN50"/>
    <mergeCell ref="OKO50:OKP50"/>
    <mergeCell ref="OKQ50:OKR50"/>
    <mergeCell ref="OKS50:OKT50"/>
    <mergeCell ref="OJW50:OJX50"/>
    <mergeCell ref="OJY50:OJZ50"/>
    <mergeCell ref="OKA50:OKB50"/>
    <mergeCell ref="OKC50:OKD50"/>
    <mergeCell ref="OKE50:OKF50"/>
    <mergeCell ref="OKG50:OKH50"/>
    <mergeCell ref="OJK50:OJL50"/>
    <mergeCell ref="OJM50:OJN50"/>
    <mergeCell ref="OJO50:OJP50"/>
    <mergeCell ref="OJQ50:OJR50"/>
    <mergeCell ref="OJS50:OJT50"/>
    <mergeCell ref="OJU50:OJV50"/>
    <mergeCell ref="OIY50:OIZ50"/>
    <mergeCell ref="OJA50:OJB50"/>
    <mergeCell ref="OJC50:OJD50"/>
    <mergeCell ref="OJE50:OJF50"/>
    <mergeCell ref="OJG50:OJH50"/>
    <mergeCell ref="OJI50:OJJ50"/>
    <mergeCell ref="OOA50:OOB50"/>
    <mergeCell ref="OOC50:OOD50"/>
    <mergeCell ref="OOE50:OOF50"/>
    <mergeCell ref="OOG50:OOH50"/>
    <mergeCell ref="OOI50:OOJ50"/>
    <mergeCell ref="OOK50:OOL50"/>
    <mergeCell ref="ONO50:ONP50"/>
    <mergeCell ref="ONQ50:ONR50"/>
    <mergeCell ref="ONS50:ONT50"/>
    <mergeCell ref="ONU50:ONV50"/>
    <mergeCell ref="ONW50:ONX50"/>
    <mergeCell ref="ONY50:ONZ50"/>
    <mergeCell ref="ONC50:OND50"/>
    <mergeCell ref="ONE50:ONF50"/>
    <mergeCell ref="ONG50:ONH50"/>
    <mergeCell ref="ONI50:ONJ50"/>
    <mergeCell ref="ONK50:ONL50"/>
    <mergeCell ref="ONM50:ONN50"/>
    <mergeCell ref="OMQ50:OMR50"/>
    <mergeCell ref="OMS50:OMT50"/>
    <mergeCell ref="OMU50:OMV50"/>
    <mergeCell ref="OMW50:OMX50"/>
    <mergeCell ref="OMY50:OMZ50"/>
    <mergeCell ref="ONA50:ONB50"/>
    <mergeCell ref="OME50:OMF50"/>
    <mergeCell ref="OMG50:OMH50"/>
    <mergeCell ref="OMI50:OMJ50"/>
    <mergeCell ref="OMK50:OML50"/>
    <mergeCell ref="OMM50:OMN50"/>
    <mergeCell ref="OMO50:OMP50"/>
    <mergeCell ref="OLS50:OLT50"/>
    <mergeCell ref="OLU50:OLV50"/>
    <mergeCell ref="OLW50:OLX50"/>
    <mergeCell ref="OLY50:OLZ50"/>
    <mergeCell ref="OMA50:OMB50"/>
    <mergeCell ref="OMC50:OMD50"/>
    <mergeCell ref="OQU50:OQV50"/>
    <mergeCell ref="OQW50:OQX50"/>
    <mergeCell ref="OQY50:OQZ50"/>
    <mergeCell ref="ORA50:ORB50"/>
    <mergeCell ref="ORC50:ORD50"/>
    <mergeCell ref="ORE50:ORF50"/>
    <mergeCell ref="OQI50:OQJ50"/>
    <mergeCell ref="OQK50:OQL50"/>
    <mergeCell ref="OQM50:OQN50"/>
    <mergeCell ref="OQO50:OQP50"/>
    <mergeCell ref="OQQ50:OQR50"/>
    <mergeCell ref="OQS50:OQT50"/>
    <mergeCell ref="OPW50:OPX50"/>
    <mergeCell ref="OPY50:OPZ50"/>
    <mergeCell ref="OQA50:OQB50"/>
    <mergeCell ref="OQC50:OQD50"/>
    <mergeCell ref="OQE50:OQF50"/>
    <mergeCell ref="OQG50:OQH50"/>
    <mergeCell ref="OPK50:OPL50"/>
    <mergeCell ref="OPM50:OPN50"/>
    <mergeCell ref="OPO50:OPP50"/>
    <mergeCell ref="OPQ50:OPR50"/>
    <mergeCell ref="OPS50:OPT50"/>
    <mergeCell ref="OPU50:OPV50"/>
    <mergeCell ref="OOY50:OOZ50"/>
    <mergeCell ref="OPA50:OPB50"/>
    <mergeCell ref="OPC50:OPD50"/>
    <mergeCell ref="OPE50:OPF50"/>
    <mergeCell ref="OPG50:OPH50"/>
    <mergeCell ref="OPI50:OPJ50"/>
    <mergeCell ref="OOM50:OON50"/>
    <mergeCell ref="OOO50:OOP50"/>
    <mergeCell ref="OOQ50:OOR50"/>
    <mergeCell ref="OOS50:OOT50"/>
    <mergeCell ref="OOU50:OOV50"/>
    <mergeCell ref="OOW50:OOX50"/>
    <mergeCell ref="OTO50:OTP50"/>
    <mergeCell ref="OTQ50:OTR50"/>
    <mergeCell ref="OTS50:OTT50"/>
    <mergeCell ref="OTU50:OTV50"/>
    <mergeCell ref="OTW50:OTX50"/>
    <mergeCell ref="OTY50:OTZ50"/>
    <mergeCell ref="OTC50:OTD50"/>
    <mergeCell ref="OTE50:OTF50"/>
    <mergeCell ref="OTG50:OTH50"/>
    <mergeCell ref="OTI50:OTJ50"/>
    <mergeCell ref="OTK50:OTL50"/>
    <mergeCell ref="OTM50:OTN50"/>
    <mergeCell ref="OSQ50:OSR50"/>
    <mergeCell ref="OSS50:OST50"/>
    <mergeCell ref="OSU50:OSV50"/>
    <mergeCell ref="OSW50:OSX50"/>
    <mergeCell ref="OSY50:OSZ50"/>
    <mergeCell ref="OTA50:OTB50"/>
    <mergeCell ref="OSE50:OSF50"/>
    <mergeCell ref="OSG50:OSH50"/>
    <mergeCell ref="OSI50:OSJ50"/>
    <mergeCell ref="OSK50:OSL50"/>
    <mergeCell ref="OSM50:OSN50"/>
    <mergeCell ref="OSO50:OSP50"/>
    <mergeCell ref="ORS50:ORT50"/>
    <mergeCell ref="ORU50:ORV50"/>
    <mergeCell ref="ORW50:ORX50"/>
    <mergeCell ref="ORY50:ORZ50"/>
    <mergeCell ref="OSA50:OSB50"/>
    <mergeCell ref="OSC50:OSD50"/>
    <mergeCell ref="ORG50:ORH50"/>
    <mergeCell ref="ORI50:ORJ50"/>
    <mergeCell ref="ORK50:ORL50"/>
    <mergeCell ref="ORM50:ORN50"/>
    <mergeCell ref="ORO50:ORP50"/>
    <mergeCell ref="ORQ50:ORR50"/>
    <mergeCell ref="OWI50:OWJ50"/>
    <mergeCell ref="OWK50:OWL50"/>
    <mergeCell ref="OWM50:OWN50"/>
    <mergeCell ref="OWO50:OWP50"/>
    <mergeCell ref="OWQ50:OWR50"/>
    <mergeCell ref="OWS50:OWT50"/>
    <mergeCell ref="OVW50:OVX50"/>
    <mergeCell ref="OVY50:OVZ50"/>
    <mergeCell ref="OWA50:OWB50"/>
    <mergeCell ref="OWC50:OWD50"/>
    <mergeCell ref="OWE50:OWF50"/>
    <mergeCell ref="OWG50:OWH50"/>
    <mergeCell ref="OVK50:OVL50"/>
    <mergeCell ref="OVM50:OVN50"/>
    <mergeCell ref="OVO50:OVP50"/>
    <mergeCell ref="OVQ50:OVR50"/>
    <mergeCell ref="OVS50:OVT50"/>
    <mergeCell ref="OVU50:OVV50"/>
    <mergeCell ref="OUY50:OUZ50"/>
    <mergeCell ref="OVA50:OVB50"/>
    <mergeCell ref="OVC50:OVD50"/>
    <mergeCell ref="OVE50:OVF50"/>
    <mergeCell ref="OVG50:OVH50"/>
    <mergeCell ref="OVI50:OVJ50"/>
    <mergeCell ref="OUM50:OUN50"/>
    <mergeCell ref="OUO50:OUP50"/>
    <mergeCell ref="OUQ50:OUR50"/>
    <mergeCell ref="OUS50:OUT50"/>
    <mergeCell ref="OUU50:OUV50"/>
    <mergeCell ref="OUW50:OUX50"/>
    <mergeCell ref="OUA50:OUB50"/>
    <mergeCell ref="OUC50:OUD50"/>
    <mergeCell ref="OUE50:OUF50"/>
    <mergeCell ref="OUG50:OUH50"/>
    <mergeCell ref="OUI50:OUJ50"/>
    <mergeCell ref="OUK50:OUL50"/>
    <mergeCell ref="OZC50:OZD50"/>
    <mergeCell ref="OZE50:OZF50"/>
    <mergeCell ref="OZG50:OZH50"/>
    <mergeCell ref="OZI50:OZJ50"/>
    <mergeCell ref="OZK50:OZL50"/>
    <mergeCell ref="OZM50:OZN50"/>
    <mergeCell ref="OYQ50:OYR50"/>
    <mergeCell ref="OYS50:OYT50"/>
    <mergeCell ref="OYU50:OYV50"/>
    <mergeCell ref="OYW50:OYX50"/>
    <mergeCell ref="OYY50:OYZ50"/>
    <mergeCell ref="OZA50:OZB50"/>
    <mergeCell ref="OYE50:OYF50"/>
    <mergeCell ref="OYG50:OYH50"/>
    <mergeCell ref="OYI50:OYJ50"/>
    <mergeCell ref="OYK50:OYL50"/>
    <mergeCell ref="OYM50:OYN50"/>
    <mergeCell ref="OYO50:OYP50"/>
    <mergeCell ref="OXS50:OXT50"/>
    <mergeCell ref="OXU50:OXV50"/>
    <mergeCell ref="OXW50:OXX50"/>
    <mergeCell ref="OXY50:OXZ50"/>
    <mergeCell ref="OYA50:OYB50"/>
    <mergeCell ref="OYC50:OYD50"/>
    <mergeCell ref="OXG50:OXH50"/>
    <mergeCell ref="OXI50:OXJ50"/>
    <mergeCell ref="OXK50:OXL50"/>
    <mergeCell ref="OXM50:OXN50"/>
    <mergeCell ref="OXO50:OXP50"/>
    <mergeCell ref="OXQ50:OXR50"/>
    <mergeCell ref="OWU50:OWV50"/>
    <mergeCell ref="OWW50:OWX50"/>
    <mergeCell ref="OWY50:OWZ50"/>
    <mergeCell ref="OXA50:OXB50"/>
    <mergeCell ref="OXC50:OXD50"/>
    <mergeCell ref="OXE50:OXF50"/>
    <mergeCell ref="PBW50:PBX50"/>
    <mergeCell ref="PBY50:PBZ50"/>
    <mergeCell ref="PCA50:PCB50"/>
    <mergeCell ref="PCC50:PCD50"/>
    <mergeCell ref="PCE50:PCF50"/>
    <mergeCell ref="PCG50:PCH50"/>
    <mergeCell ref="PBK50:PBL50"/>
    <mergeCell ref="PBM50:PBN50"/>
    <mergeCell ref="PBO50:PBP50"/>
    <mergeCell ref="PBQ50:PBR50"/>
    <mergeCell ref="PBS50:PBT50"/>
    <mergeCell ref="PBU50:PBV50"/>
    <mergeCell ref="PAY50:PAZ50"/>
    <mergeCell ref="PBA50:PBB50"/>
    <mergeCell ref="PBC50:PBD50"/>
    <mergeCell ref="PBE50:PBF50"/>
    <mergeCell ref="PBG50:PBH50"/>
    <mergeCell ref="PBI50:PBJ50"/>
    <mergeCell ref="PAM50:PAN50"/>
    <mergeCell ref="PAO50:PAP50"/>
    <mergeCell ref="PAQ50:PAR50"/>
    <mergeCell ref="PAS50:PAT50"/>
    <mergeCell ref="PAU50:PAV50"/>
    <mergeCell ref="PAW50:PAX50"/>
    <mergeCell ref="PAA50:PAB50"/>
    <mergeCell ref="PAC50:PAD50"/>
    <mergeCell ref="PAE50:PAF50"/>
    <mergeCell ref="PAG50:PAH50"/>
    <mergeCell ref="PAI50:PAJ50"/>
    <mergeCell ref="PAK50:PAL50"/>
    <mergeCell ref="OZO50:OZP50"/>
    <mergeCell ref="OZQ50:OZR50"/>
    <mergeCell ref="OZS50:OZT50"/>
    <mergeCell ref="OZU50:OZV50"/>
    <mergeCell ref="OZW50:OZX50"/>
    <mergeCell ref="OZY50:OZZ50"/>
    <mergeCell ref="PEQ50:PER50"/>
    <mergeCell ref="PES50:PET50"/>
    <mergeCell ref="PEU50:PEV50"/>
    <mergeCell ref="PEW50:PEX50"/>
    <mergeCell ref="PEY50:PEZ50"/>
    <mergeCell ref="PFA50:PFB50"/>
    <mergeCell ref="PEE50:PEF50"/>
    <mergeCell ref="PEG50:PEH50"/>
    <mergeCell ref="PEI50:PEJ50"/>
    <mergeCell ref="PEK50:PEL50"/>
    <mergeCell ref="PEM50:PEN50"/>
    <mergeCell ref="PEO50:PEP50"/>
    <mergeCell ref="PDS50:PDT50"/>
    <mergeCell ref="PDU50:PDV50"/>
    <mergeCell ref="PDW50:PDX50"/>
    <mergeCell ref="PDY50:PDZ50"/>
    <mergeCell ref="PEA50:PEB50"/>
    <mergeCell ref="PEC50:PED50"/>
    <mergeCell ref="PDG50:PDH50"/>
    <mergeCell ref="PDI50:PDJ50"/>
    <mergeCell ref="PDK50:PDL50"/>
    <mergeCell ref="PDM50:PDN50"/>
    <mergeCell ref="PDO50:PDP50"/>
    <mergeCell ref="PDQ50:PDR50"/>
    <mergeCell ref="PCU50:PCV50"/>
    <mergeCell ref="PCW50:PCX50"/>
    <mergeCell ref="PCY50:PCZ50"/>
    <mergeCell ref="PDA50:PDB50"/>
    <mergeCell ref="PDC50:PDD50"/>
    <mergeCell ref="PDE50:PDF50"/>
    <mergeCell ref="PCI50:PCJ50"/>
    <mergeCell ref="PCK50:PCL50"/>
    <mergeCell ref="PCM50:PCN50"/>
    <mergeCell ref="PCO50:PCP50"/>
    <mergeCell ref="PCQ50:PCR50"/>
    <mergeCell ref="PCS50:PCT50"/>
    <mergeCell ref="PHK50:PHL50"/>
    <mergeCell ref="PHM50:PHN50"/>
    <mergeCell ref="PHO50:PHP50"/>
    <mergeCell ref="PHQ50:PHR50"/>
    <mergeCell ref="PHS50:PHT50"/>
    <mergeCell ref="PHU50:PHV50"/>
    <mergeCell ref="PGY50:PGZ50"/>
    <mergeCell ref="PHA50:PHB50"/>
    <mergeCell ref="PHC50:PHD50"/>
    <mergeCell ref="PHE50:PHF50"/>
    <mergeCell ref="PHG50:PHH50"/>
    <mergeCell ref="PHI50:PHJ50"/>
    <mergeCell ref="PGM50:PGN50"/>
    <mergeCell ref="PGO50:PGP50"/>
    <mergeCell ref="PGQ50:PGR50"/>
    <mergeCell ref="PGS50:PGT50"/>
    <mergeCell ref="PGU50:PGV50"/>
    <mergeCell ref="PGW50:PGX50"/>
    <mergeCell ref="PGA50:PGB50"/>
    <mergeCell ref="PGC50:PGD50"/>
    <mergeCell ref="PGE50:PGF50"/>
    <mergeCell ref="PGG50:PGH50"/>
    <mergeCell ref="PGI50:PGJ50"/>
    <mergeCell ref="PGK50:PGL50"/>
    <mergeCell ref="PFO50:PFP50"/>
    <mergeCell ref="PFQ50:PFR50"/>
    <mergeCell ref="PFS50:PFT50"/>
    <mergeCell ref="PFU50:PFV50"/>
    <mergeCell ref="PFW50:PFX50"/>
    <mergeCell ref="PFY50:PFZ50"/>
    <mergeCell ref="PFC50:PFD50"/>
    <mergeCell ref="PFE50:PFF50"/>
    <mergeCell ref="PFG50:PFH50"/>
    <mergeCell ref="PFI50:PFJ50"/>
    <mergeCell ref="PFK50:PFL50"/>
    <mergeCell ref="PFM50:PFN50"/>
    <mergeCell ref="PKE50:PKF50"/>
    <mergeCell ref="PKG50:PKH50"/>
    <mergeCell ref="PKI50:PKJ50"/>
    <mergeCell ref="PKK50:PKL50"/>
    <mergeCell ref="PKM50:PKN50"/>
    <mergeCell ref="PKO50:PKP50"/>
    <mergeCell ref="PJS50:PJT50"/>
    <mergeCell ref="PJU50:PJV50"/>
    <mergeCell ref="PJW50:PJX50"/>
    <mergeCell ref="PJY50:PJZ50"/>
    <mergeCell ref="PKA50:PKB50"/>
    <mergeCell ref="PKC50:PKD50"/>
    <mergeCell ref="PJG50:PJH50"/>
    <mergeCell ref="PJI50:PJJ50"/>
    <mergeCell ref="PJK50:PJL50"/>
    <mergeCell ref="PJM50:PJN50"/>
    <mergeCell ref="PJO50:PJP50"/>
    <mergeCell ref="PJQ50:PJR50"/>
    <mergeCell ref="PIU50:PIV50"/>
    <mergeCell ref="PIW50:PIX50"/>
    <mergeCell ref="PIY50:PIZ50"/>
    <mergeCell ref="PJA50:PJB50"/>
    <mergeCell ref="PJC50:PJD50"/>
    <mergeCell ref="PJE50:PJF50"/>
    <mergeCell ref="PII50:PIJ50"/>
    <mergeCell ref="PIK50:PIL50"/>
    <mergeCell ref="PIM50:PIN50"/>
    <mergeCell ref="PIO50:PIP50"/>
    <mergeCell ref="PIQ50:PIR50"/>
    <mergeCell ref="PIS50:PIT50"/>
    <mergeCell ref="PHW50:PHX50"/>
    <mergeCell ref="PHY50:PHZ50"/>
    <mergeCell ref="PIA50:PIB50"/>
    <mergeCell ref="PIC50:PID50"/>
    <mergeCell ref="PIE50:PIF50"/>
    <mergeCell ref="PIG50:PIH50"/>
    <mergeCell ref="PMY50:PMZ50"/>
    <mergeCell ref="PNA50:PNB50"/>
    <mergeCell ref="PNC50:PND50"/>
    <mergeCell ref="PNE50:PNF50"/>
    <mergeCell ref="PNG50:PNH50"/>
    <mergeCell ref="PNI50:PNJ50"/>
    <mergeCell ref="PMM50:PMN50"/>
    <mergeCell ref="PMO50:PMP50"/>
    <mergeCell ref="PMQ50:PMR50"/>
    <mergeCell ref="PMS50:PMT50"/>
    <mergeCell ref="PMU50:PMV50"/>
    <mergeCell ref="PMW50:PMX50"/>
    <mergeCell ref="PMA50:PMB50"/>
    <mergeCell ref="PMC50:PMD50"/>
    <mergeCell ref="PME50:PMF50"/>
    <mergeCell ref="PMG50:PMH50"/>
    <mergeCell ref="PMI50:PMJ50"/>
    <mergeCell ref="PMK50:PML50"/>
    <mergeCell ref="PLO50:PLP50"/>
    <mergeCell ref="PLQ50:PLR50"/>
    <mergeCell ref="PLS50:PLT50"/>
    <mergeCell ref="PLU50:PLV50"/>
    <mergeCell ref="PLW50:PLX50"/>
    <mergeCell ref="PLY50:PLZ50"/>
    <mergeCell ref="PLC50:PLD50"/>
    <mergeCell ref="PLE50:PLF50"/>
    <mergeCell ref="PLG50:PLH50"/>
    <mergeCell ref="PLI50:PLJ50"/>
    <mergeCell ref="PLK50:PLL50"/>
    <mergeCell ref="PLM50:PLN50"/>
    <mergeCell ref="PKQ50:PKR50"/>
    <mergeCell ref="PKS50:PKT50"/>
    <mergeCell ref="PKU50:PKV50"/>
    <mergeCell ref="PKW50:PKX50"/>
    <mergeCell ref="PKY50:PKZ50"/>
    <mergeCell ref="PLA50:PLB50"/>
    <mergeCell ref="PPS50:PPT50"/>
    <mergeCell ref="PPU50:PPV50"/>
    <mergeCell ref="PPW50:PPX50"/>
    <mergeCell ref="PPY50:PPZ50"/>
    <mergeCell ref="PQA50:PQB50"/>
    <mergeCell ref="PQC50:PQD50"/>
    <mergeCell ref="PPG50:PPH50"/>
    <mergeCell ref="PPI50:PPJ50"/>
    <mergeCell ref="PPK50:PPL50"/>
    <mergeCell ref="PPM50:PPN50"/>
    <mergeCell ref="PPO50:PPP50"/>
    <mergeCell ref="PPQ50:PPR50"/>
    <mergeCell ref="POU50:POV50"/>
    <mergeCell ref="POW50:POX50"/>
    <mergeCell ref="POY50:POZ50"/>
    <mergeCell ref="PPA50:PPB50"/>
    <mergeCell ref="PPC50:PPD50"/>
    <mergeCell ref="PPE50:PPF50"/>
    <mergeCell ref="POI50:POJ50"/>
    <mergeCell ref="POK50:POL50"/>
    <mergeCell ref="POM50:PON50"/>
    <mergeCell ref="POO50:POP50"/>
    <mergeCell ref="POQ50:POR50"/>
    <mergeCell ref="POS50:POT50"/>
    <mergeCell ref="PNW50:PNX50"/>
    <mergeCell ref="PNY50:PNZ50"/>
    <mergeCell ref="POA50:POB50"/>
    <mergeCell ref="POC50:POD50"/>
    <mergeCell ref="POE50:POF50"/>
    <mergeCell ref="POG50:POH50"/>
    <mergeCell ref="PNK50:PNL50"/>
    <mergeCell ref="PNM50:PNN50"/>
    <mergeCell ref="PNO50:PNP50"/>
    <mergeCell ref="PNQ50:PNR50"/>
    <mergeCell ref="PNS50:PNT50"/>
    <mergeCell ref="PNU50:PNV50"/>
    <mergeCell ref="PSM50:PSN50"/>
    <mergeCell ref="PSO50:PSP50"/>
    <mergeCell ref="PSQ50:PSR50"/>
    <mergeCell ref="PSS50:PST50"/>
    <mergeCell ref="PSU50:PSV50"/>
    <mergeCell ref="PSW50:PSX50"/>
    <mergeCell ref="PSA50:PSB50"/>
    <mergeCell ref="PSC50:PSD50"/>
    <mergeCell ref="PSE50:PSF50"/>
    <mergeCell ref="PSG50:PSH50"/>
    <mergeCell ref="PSI50:PSJ50"/>
    <mergeCell ref="PSK50:PSL50"/>
    <mergeCell ref="PRO50:PRP50"/>
    <mergeCell ref="PRQ50:PRR50"/>
    <mergeCell ref="PRS50:PRT50"/>
    <mergeCell ref="PRU50:PRV50"/>
    <mergeCell ref="PRW50:PRX50"/>
    <mergeCell ref="PRY50:PRZ50"/>
    <mergeCell ref="PRC50:PRD50"/>
    <mergeCell ref="PRE50:PRF50"/>
    <mergeCell ref="PRG50:PRH50"/>
    <mergeCell ref="PRI50:PRJ50"/>
    <mergeCell ref="PRK50:PRL50"/>
    <mergeCell ref="PRM50:PRN50"/>
    <mergeCell ref="PQQ50:PQR50"/>
    <mergeCell ref="PQS50:PQT50"/>
    <mergeCell ref="PQU50:PQV50"/>
    <mergeCell ref="PQW50:PQX50"/>
    <mergeCell ref="PQY50:PQZ50"/>
    <mergeCell ref="PRA50:PRB50"/>
    <mergeCell ref="PQE50:PQF50"/>
    <mergeCell ref="PQG50:PQH50"/>
    <mergeCell ref="PQI50:PQJ50"/>
    <mergeCell ref="PQK50:PQL50"/>
    <mergeCell ref="PQM50:PQN50"/>
    <mergeCell ref="PQO50:PQP50"/>
    <mergeCell ref="PVG50:PVH50"/>
    <mergeCell ref="PVI50:PVJ50"/>
    <mergeCell ref="PVK50:PVL50"/>
    <mergeCell ref="PVM50:PVN50"/>
    <mergeCell ref="PVO50:PVP50"/>
    <mergeCell ref="PVQ50:PVR50"/>
    <mergeCell ref="PUU50:PUV50"/>
    <mergeCell ref="PUW50:PUX50"/>
    <mergeCell ref="PUY50:PUZ50"/>
    <mergeCell ref="PVA50:PVB50"/>
    <mergeCell ref="PVC50:PVD50"/>
    <mergeCell ref="PVE50:PVF50"/>
    <mergeCell ref="PUI50:PUJ50"/>
    <mergeCell ref="PUK50:PUL50"/>
    <mergeCell ref="PUM50:PUN50"/>
    <mergeCell ref="PUO50:PUP50"/>
    <mergeCell ref="PUQ50:PUR50"/>
    <mergeCell ref="PUS50:PUT50"/>
    <mergeCell ref="PTW50:PTX50"/>
    <mergeCell ref="PTY50:PTZ50"/>
    <mergeCell ref="PUA50:PUB50"/>
    <mergeCell ref="PUC50:PUD50"/>
    <mergeCell ref="PUE50:PUF50"/>
    <mergeCell ref="PUG50:PUH50"/>
    <mergeCell ref="PTK50:PTL50"/>
    <mergeCell ref="PTM50:PTN50"/>
    <mergeCell ref="PTO50:PTP50"/>
    <mergeCell ref="PTQ50:PTR50"/>
    <mergeCell ref="PTS50:PTT50"/>
    <mergeCell ref="PTU50:PTV50"/>
    <mergeCell ref="PSY50:PSZ50"/>
    <mergeCell ref="PTA50:PTB50"/>
    <mergeCell ref="PTC50:PTD50"/>
    <mergeCell ref="PTE50:PTF50"/>
    <mergeCell ref="PTG50:PTH50"/>
    <mergeCell ref="PTI50:PTJ50"/>
    <mergeCell ref="PYA50:PYB50"/>
    <mergeCell ref="PYC50:PYD50"/>
    <mergeCell ref="PYE50:PYF50"/>
    <mergeCell ref="PYG50:PYH50"/>
    <mergeCell ref="PYI50:PYJ50"/>
    <mergeCell ref="PYK50:PYL50"/>
    <mergeCell ref="PXO50:PXP50"/>
    <mergeCell ref="PXQ50:PXR50"/>
    <mergeCell ref="PXS50:PXT50"/>
    <mergeCell ref="PXU50:PXV50"/>
    <mergeCell ref="PXW50:PXX50"/>
    <mergeCell ref="PXY50:PXZ50"/>
    <mergeCell ref="PXC50:PXD50"/>
    <mergeCell ref="PXE50:PXF50"/>
    <mergeCell ref="PXG50:PXH50"/>
    <mergeCell ref="PXI50:PXJ50"/>
    <mergeCell ref="PXK50:PXL50"/>
    <mergeCell ref="PXM50:PXN50"/>
    <mergeCell ref="PWQ50:PWR50"/>
    <mergeCell ref="PWS50:PWT50"/>
    <mergeCell ref="PWU50:PWV50"/>
    <mergeCell ref="PWW50:PWX50"/>
    <mergeCell ref="PWY50:PWZ50"/>
    <mergeCell ref="PXA50:PXB50"/>
    <mergeCell ref="PWE50:PWF50"/>
    <mergeCell ref="PWG50:PWH50"/>
    <mergeCell ref="PWI50:PWJ50"/>
    <mergeCell ref="PWK50:PWL50"/>
    <mergeCell ref="PWM50:PWN50"/>
    <mergeCell ref="PWO50:PWP50"/>
    <mergeCell ref="PVS50:PVT50"/>
    <mergeCell ref="PVU50:PVV50"/>
    <mergeCell ref="PVW50:PVX50"/>
    <mergeCell ref="PVY50:PVZ50"/>
    <mergeCell ref="PWA50:PWB50"/>
    <mergeCell ref="PWC50:PWD50"/>
    <mergeCell ref="QAU50:QAV50"/>
    <mergeCell ref="QAW50:QAX50"/>
    <mergeCell ref="QAY50:QAZ50"/>
    <mergeCell ref="QBA50:QBB50"/>
    <mergeCell ref="QBC50:QBD50"/>
    <mergeCell ref="QBE50:QBF50"/>
    <mergeCell ref="QAI50:QAJ50"/>
    <mergeCell ref="QAK50:QAL50"/>
    <mergeCell ref="QAM50:QAN50"/>
    <mergeCell ref="QAO50:QAP50"/>
    <mergeCell ref="QAQ50:QAR50"/>
    <mergeCell ref="QAS50:QAT50"/>
    <mergeCell ref="PZW50:PZX50"/>
    <mergeCell ref="PZY50:PZZ50"/>
    <mergeCell ref="QAA50:QAB50"/>
    <mergeCell ref="QAC50:QAD50"/>
    <mergeCell ref="QAE50:QAF50"/>
    <mergeCell ref="QAG50:QAH50"/>
    <mergeCell ref="PZK50:PZL50"/>
    <mergeCell ref="PZM50:PZN50"/>
    <mergeCell ref="PZO50:PZP50"/>
    <mergeCell ref="PZQ50:PZR50"/>
    <mergeCell ref="PZS50:PZT50"/>
    <mergeCell ref="PZU50:PZV50"/>
    <mergeCell ref="PYY50:PYZ50"/>
    <mergeCell ref="PZA50:PZB50"/>
    <mergeCell ref="PZC50:PZD50"/>
    <mergeCell ref="PZE50:PZF50"/>
    <mergeCell ref="PZG50:PZH50"/>
    <mergeCell ref="PZI50:PZJ50"/>
    <mergeCell ref="PYM50:PYN50"/>
    <mergeCell ref="PYO50:PYP50"/>
    <mergeCell ref="PYQ50:PYR50"/>
    <mergeCell ref="PYS50:PYT50"/>
    <mergeCell ref="PYU50:PYV50"/>
    <mergeCell ref="PYW50:PYX50"/>
    <mergeCell ref="QDO50:QDP50"/>
    <mergeCell ref="QDQ50:QDR50"/>
    <mergeCell ref="QDS50:QDT50"/>
    <mergeCell ref="QDU50:QDV50"/>
    <mergeCell ref="QDW50:QDX50"/>
    <mergeCell ref="QDY50:QDZ50"/>
    <mergeCell ref="QDC50:QDD50"/>
    <mergeCell ref="QDE50:QDF50"/>
    <mergeCell ref="QDG50:QDH50"/>
    <mergeCell ref="QDI50:QDJ50"/>
    <mergeCell ref="QDK50:QDL50"/>
    <mergeCell ref="QDM50:QDN50"/>
    <mergeCell ref="QCQ50:QCR50"/>
    <mergeCell ref="QCS50:QCT50"/>
    <mergeCell ref="QCU50:QCV50"/>
    <mergeCell ref="QCW50:QCX50"/>
    <mergeCell ref="QCY50:QCZ50"/>
    <mergeCell ref="QDA50:QDB50"/>
    <mergeCell ref="QCE50:QCF50"/>
    <mergeCell ref="QCG50:QCH50"/>
    <mergeCell ref="QCI50:QCJ50"/>
    <mergeCell ref="QCK50:QCL50"/>
    <mergeCell ref="QCM50:QCN50"/>
    <mergeCell ref="QCO50:QCP50"/>
    <mergeCell ref="QBS50:QBT50"/>
    <mergeCell ref="QBU50:QBV50"/>
    <mergeCell ref="QBW50:QBX50"/>
    <mergeCell ref="QBY50:QBZ50"/>
    <mergeCell ref="QCA50:QCB50"/>
    <mergeCell ref="QCC50:QCD50"/>
    <mergeCell ref="QBG50:QBH50"/>
    <mergeCell ref="QBI50:QBJ50"/>
    <mergeCell ref="QBK50:QBL50"/>
    <mergeCell ref="QBM50:QBN50"/>
    <mergeCell ref="QBO50:QBP50"/>
    <mergeCell ref="QBQ50:QBR50"/>
    <mergeCell ref="QGI50:QGJ50"/>
    <mergeCell ref="QGK50:QGL50"/>
    <mergeCell ref="QGM50:QGN50"/>
    <mergeCell ref="QGO50:QGP50"/>
    <mergeCell ref="QGQ50:QGR50"/>
    <mergeCell ref="QGS50:QGT50"/>
    <mergeCell ref="QFW50:QFX50"/>
    <mergeCell ref="QFY50:QFZ50"/>
    <mergeCell ref="QGA50:QGB50"/>
    <mergeCell ref="QGC50:QGD50"/>
    <mergeCell ref="QGE50:QGF50"/>
    <mergeCell ref="QGG50:QGH50"/>
    <mergeCell ref="QFK50:QFL50"/>
    <mergeCell ref="QFM50:QFN50"/>
    <mergeCell ref="QFO50:QFP50"/>
    <mergeCell ref="QFQ50:QFR50"/>
    <mergeCell ref="QFS50:QFT50"/>
    <mergeCell ref="QFU50:QFV50"/>
    <mergeCell ref="QEY50:QEZ50"/>
    <mergeCell ref="QFA50:QFB50"/>
    <mergeCell ref="QFC50:QFD50"/>
    <mergeCell ref="QFE50:QFF50"/>
    <mergeCell ref="QFG50:QFH50"/>
    <mergeCell ref="QFI50:QFJ50"/>
    <mergeCell ref="QEM50:QEN50"/>
    <mergeCell ref="QEO50:QEP50"/>
    <mergeCell ref="QEQ50:QER50"/>
    <mergeCell ref="QES50:QET50"/>
    <mergeCell ref="QEU50:QEV50"/>
    <mergeCell ref="QEW50:QEX50"/>
    <mergeCell ref="QEA50:QEB50"/>
    <mergeCell ref="QEC50:QED50"/>
    <mergeCell ref="QEE50:QEF50"/>
    <mergeCell ref="QEG50:QEH50"/>
    <mergeCell ref="QEI50:QEJ50"/>
    <mergeCell ref="QEK50:QEL50"/>
    <mergeCell ref="QJC50:QJD50"/>
    <mergeCell ref="QJE50:QJF50"/>
    <mergeCell ref="QJG50:QJH50"/>
    <mergeCell ref="QJI50:QJJ50"/>
    <mergeCell ref="QJK50:QJL50"/>
    <mergeCell ref="QJM50:QJN50"/>
    <mergeCell ref="QIQ50:QIR50"/>
    <mergeCell ref="QIS50:QIT50"/>
    <mergeCell ref="QIU50:QIV50"/>
    <mergeCell ref="QIW50:QIX50"/>
    <mergeCell ref="QIY50:QIZ50"/>
    <mergeCell ref="QJA50:QJB50"/>
    <mergeCell ref="QIE50:QIF50"/>
    <mergeCell ref="QIG50:QIH50"/>
    <mergeCell ref="QII50:QIJ50"/>
    <mergeCell ref="QIK50:QIL50"/>
    <mergeCell ref="QIM50:QIN50"/>
    <mergeCell ref="QIO50:QIP50"/>
    <mergeCell ref="QHS50:QHT50"/>
    <mergeCell ref="QHU50:QHV50"/>
    <mergeCell ref="QHW50:QHX50"/>
    <mergeCell ref="QHY50:QHZ50"/>
    <mergeCell ref="QIA50:QIB50"/>
    <mergeCell ref="QIC50:QID50"/>
    <mergeCell ref="QHG50:QHH50"/>
    <mergeCell ref="QHI50:QHJ50"/>
    <mergeCell ref="QHK50:QHL50"/>
    <mergeCell ref="QHM50:QHN50"/>
    <mergeCell ref="QHO50:QHP50"/>
    <mergeCell ref="QHQ50:QHR50"/>
    <mergeCell ref="QGU50:QGV50"/>
    <mergeCell ref="QGW50:QGX50"/>
    <mergeCell ref="QGY50:QGZ50"/>
    <mergeCell ref="QHA50:QHB50"/>
    <mergeCell ref="QHC50:QHD50"/>
    <mergeCell ref="QHE50:QHF50"/>
    <mergeCell ref="QLW50:QLX50"/>
    <mergeCell ref="QLY50:QLZ50"/>
    <mergeCell ref="QMA50:QMB50"/>
    <mergeCell ref="QMC50:QMD50"/>
    <mergeCell ref="QME50:QMF50"/>
    <mergeCell ref="QMG50:QMH50"/>
    <mergeCell ref="QLK50:QLL50"/>
    <mergeCell ref="QLM50:QLN50"/>
    <mergeCell ref="QLO50:QLP50"/>
    <mergeCell ref="QLQ50:QLR50"/>
    <mergeCell ref="QLS50:QLT50"/>
    <mergeCell ref="QLU50:QLV50"/>
    <mergeCell ref="QKY50:QKZ50"/>
    <mergeCell ref="QLA50:QLB50"/>
    <mergeCell ref="QLC50:QLD50"/>
    <mergeCell ref="QLE50:QLF50"/>
    <mergeCell ref="QLG50:QLH50"/>
    <mergeCell ref="QLI50:QLJ50"/>
    <mergeCell ref="QKM50:QKN50"/>
    <mergeCell ref="QKO50:QKP50"/>
    <mergeCell ref="QKQ50:QKR50"/>
    <mergeCell ref="QKS50:QKT50"/>
    <mergeCell ref="QKU50:QKV50"/>
    <mergeCell ref="QKW50:QKX50"/>
    <mergeCell ref="QKA50:QKB50"/>
    <mergeCell ref="QKC50:QKD50"/>
    <mergeCell ref="QKE50:QKF50"/>
    <mergeCell ref="QKG50:QKH50"/>
    <mergeCell ref="QKI50:QKJ50"/>
    <mergeCell ref="QKK50:QKL50"/>
    <mergeCell ref="QJO50:QJP50"/>
    <mergeCell ref="QJQ50:QJR50"/>
    <mergeCell ref="QJS50:QJT50"/>
    <mergeCell ref="QJU50:QJV50"/>
    <mergeCell ref="QJW50:QJX50"/>
    <mergeCell ref="QJY50:QJZ50"/>
    <mergeCell ref="QOQ50:QOR50"/>
    <mergeCell ref="QOS50:QOT50"/>
    <mergeCell ref="QOU50:QOV50"/>
    <mergeCell ref="QOW50:QOX50"/>
    <mergeCell ref="QOY50:QOZ50"/>
    <mergeCell ref="QPA50:QPB50"/>
    <mergeCell ref="QOE50:QOF50"/>
    <mergeCell ref="QOG50:QOH50"/>
    <mergeCell ref="QOI50:QOJ50"/>
    <mergeCell ref="QOK50:QOL50"/>
    <mergeCell ref="QOM50:QON50"/>
    <mergeCell ref="QOO50:QOP50"/>
    <mergeCell ref="QNS50:QNT50"/>
    <mergeCell ref="QNU50:QNV50"/>
    <mergeCell ref="QNW50:QNX50"/>
    <mergeCell ref="QNY50:QNZ50"/>
    <mergeCell ref="QOA50:QOB50"/>
    <mergeCell ref="QOC50:QOD50"/>
    <mergeCell ref="QNG50:QNH50"/>
    <mergeCell ref="QNI50:QNJ50"/>
    <mergeCell ref="QNK50:QNL50"/>
    <mergeCell ref="QNM50:QNN50"/>
    <mergeCell ref="QNO50:QNP50"/>
    <mergeCell ref="QNQ50:QNR50"/>
    <mergeCell ref="QMU50:QMV50"/>
    <mergeCell ref="QMW50:QMX50"/>
    <mergeCell ref="QMY50:QMZ50"/>
    <mergeCell ref="QNA50:QNB50"/>
    <mergeCell ref="QNC50:QND50"/>
    <mergeCell ref="QNE50:QNF50"/>
    <mergeCell ref="QMI50:QMJ50"/>
    <mergeCell ref="QMK50:QML50"/>
    <mergeCell ref="QMM50:QMN50"/>
    <mergeCell ref="QMO50:QMP50"/>
    <mergeCell ref="QMQ50:QMR50"/>
    <mergeCell ref="QMS50:QMT50"/>
    <mergeCell ref="QRK50:QRL50"/>
    <mergeCell ref="QRM50:QRN50"/>
    <mergeCell ref="QRO50:QRP50"/>
    <mergeCell ref="QRQ50:QRR50"/>
    <mergeCell ref="QRS50:QRT50"/>
    <mergeCell ref="QRU50:QRV50"/>
    <mergeCell ref="QQY50:QQZ50"/>
    <mergeCell ref="QRA50:QRB50"/>
    <mergeCell ref="QRC50:QRD50"/>
    <mergeCell ref="QRE50:QRF50"/>
    <mergeCell ref="QRG50:QRH50"/>
    <mergeCell ref="QRI50:QRJ50"/>
    <mergeCell ref="QQM50:QQN50"/>
    <mergeCell ref="QQO50:QQP50"/>
    <mergeCell ref="QQQ50:QQR50"/>
    <mergeCell ref="QQS50:QQT50"/>
    <mergeCell ref="QQU50:QQV50"/>
    <mergeCell ref="QQW50:QQX50"/>
    <mergeCell ref="QQA50:QQB50"/>
    <mergeCell ref="QQC50:QQD50"/>
    <mergeCell ref="QQE50:QQF50"/>
    <mergeCell ref="QQG50:QQH50"/>
    <mergeCell ref="QQI50:QQJ50"/>
    <mergeCell ref="QQK50:QQL50"/>
    <mergeCell ref="QPO50:QPP50"/>
    <mergeCell ref="QPQ50:QPR50"/>
    <mergeCell ref="QPS50:QPT50"/>
    <mergeCell ref="QPU50:QPV50"/>
    <mergeCell ref="QPW50:QPX50"/>
    <mergeCell ref="QPY50:QPZ50"/>
    <mergeCell ref="QPC50:QPD50"/>
    <mergeCell ref="QPE50:QPF50"/>
    <mergeCell ref="QPG50:QPH50"/>
    <mergeCell ref="QPI50:QPJ50"/>
    <mergeCell ref="QPK50:QPL50"/>
    <mergeCell ref="QPM50:QPN50"/>
    <mergeCell ref="QUE50:QUF50"/>
    <mergeCell ref="QUG50:QUH50"/>
    <mergeCell ref="QUI50:QUJ50"/>
    <mergeCell ref="QUK50:QUL50"/>
    <mergeCell ref="QUM50:QUN50"/>
    <mergeCell ref="QUO50:QUP50"/>
    <mergeCell ref="QTS50:QTT50"/>
    <mergeCell ref="QTU50:QTV50"/>
    <mergeCell ref="QTW50:QTX50"/>
    <mergeCell ref="QTY50:QTZ50"/>
    <mergeCell ref="QUA50:QUB50"/>
    <mergeCell ref="QUC50:QUD50"/>
    <mergeCell ref="QTG50:QTH50"/>
    <mergeCell ref="QTI50:QTJ50"/>
    <mergeCell ref="QTK50:QTL50"/>
    <mergeCell ref="QTM50:QTN50"/>
    <mergeCell ref="QTO50:QTP50"/>
    <mergeCell ref="QTQ50:QTR50"/>
    <mergeCell ref="QSU50:QSV50"/>
    <mergeCell ref="QSW50:QSX50"/>
    <mergeCell ref="QSY50:QSZ50"/>
    <mergeCell ref="QTA50:QTB50"/>
    <mergeCell ref="QTC50:QTD50"/>
    <mergeCell ref="QTE50:QTF50"/>
    <mergeCell ref="QSI50:QSJ50"/>
    <mergeCell ref="QSK50:QSL50"/>
    <mergeCell ref="QSM50:QSN50"/>
    <mergeCell ref="QSO50:QSP50"/>
    <mergeCell ref="QSQ50:QSR50"/>
    <mergeCell ref="QSS50:QST50"/>
    <mergeCell ref="QRW50:QRX50"/>
    <mergeCell ref="QRY50:QRZ50"/>
    <mergeCell ref="QSA50:QSB50"/>
    <mergeCell ref="QSC50:QSD50"/>
    <mergeCell ref="QSE50:QSF50"/>
    <mergeCell ref="QSG50:QSH50"/>
    <mergeCell ref="QWY50:QWZ50"/>
    <mergeCell ref="QXA50:QXB50"/>
    <mergeCell ref="QXC50:QXD50"/>
    <mergeCell ref="QXE50:QXF50"/>
    <mergeCell ref="QXG50:QXH50"/>
    <mergeCell ref="QXI50:QXJ50"/>
    <mergeCell ref="QWM50:QWN50"/>
    <mergeCell ref="QWO50:QWP50"/>
    <mergeCell ref="QWQ50:QWR50"/>
    <mergeCell ref="QWS50:QWT50"/>
    <mergeCell ref="QWU50:QWV50"/>
    <mergeCell ref="QWW50:QWX50"/>
    <mergeCell ref="QWA50:QWB50"/>
    <mergeCell ref="QWC50:QWD50"/>
    <mergeCell ref="QWE50:QWF50"/>
    <mergeCell ref="QWG50:QWH50"/>
    <mergeCell ref="QWI50:QWJ50"/>
    <mergeCell ref="QWK50:QWL50"/>
    <mergeCell ref="QVO50:QVP50"/>
    <mergeCell ref="QVQ50:QVR50"/>
    <mergeCell ref="QVS50:QVT50"/>
    <mergeCell ref="QVU50:QVV50"/>
    <mergeCell ref="QVW50:QVX50"/>
    <mergeCell ref="QVY50:QVZ50"/>
    <mergeCell ref="QVC50:QVD50"/>
    <mergeCell ref="QVE50:QVF50"/>
    <mergeCell ref="QVG50:QVH50"/>
    <mergeCell ref="QVI50:QVJ50"/>
    <mergeCell ref="QVK50:QVL50"/>
    <mergeCell ref="QVM50:QVN50"/>
    <mergeCell ref="QUQ50:QUR50"/>
    <mergeCell ref="QUS50:QUT50"/>
    <mergeCell ref="QUU50:QUV50"/>
    <mergeCell ref="QUW50:QUX50"/>
    <mergeCell ref="QUY50:QUZ50"/>
    <mergeCell ref="QVA50:QVB50"/>
    <mergeCell ref="QZS50:QZT50"/>
    <mergeCell ref="QZU50:QZV50"/>
    <mergeCell ref="QZW50:QZX50"/>
    <mergeCell ref="QZY50:QZZ50"/>
    <mergeCell ref="RAA50:RAB50"/>
    <mergeCell ref="RAC50:RAD50"/>
    <mergeCell ref="QZG50:QZH50"/>
    <mergeCell ref="QZI50:QZJ50"/>
    <mergeCell ref="QZK50:QZL50"/>
    <mergeCell ref="QZM50:QZN50"/>
    <mergeCell ref="QZO50:QZP50"/>
    <mergeCell ref="QZQ50:QZR50"/>
    <mergeCell ref="QYU50:QYV50"/>
    <mergeCell ref="QYW50:QYX50"/>
    <mergeCell ref="QYY50:QYZ50"/>
    <mergeCell ref="QZA50:QZB50"/>
    <mergeCell ref="QZC50:QZD50"/>
    <mergeCell ref="QZE50:QZF50"/>
    <mergeCell ref="QYI50:QYJ50"/>
    <mergeCell ref="QYK50:QYL50"/>
    <mergeCell ref="QYM50:QYN50"/>
    <mergeCell ref="QYO50:QYP50"/>
    <mergeCell ref="QYQ50:QYR50"/>
    <mergeCell ref="QYS50:QYT50"/>
    <mergeCell ref="QXW50:QXX50"/>
    <mergeCell ref="QXY50:QXZ50"/>
    <mergeCell ref="QYA50:QYB50"/>
    <mergeCell ref="QYC50:QYD50"/>
    <mergeCell ref="QYE50:QYF50"/>
    <mergeCell ref="QYG50:QYH50"/>
    <mergeCell ref="QXK50:QXL50"/>
    <mergeCell ref="QXM50:QXN50"/>
    <mergeCell ref="QXO50:QXP50"/>
    <mergeCell ref="QXQ50:QXR50"/>
    <mergeCell ref="QXS50:QXT50"/>
    <mergeCell ref="QXU50:QXV50"/>
    <mergeCell ref="RCM50:RCN50"/>
    <mergeCell ref="RCO50:RCP50"/>
    <mergeCell ref="RCQ50:RCR50"/>
    <mergeCell ref="RCS50:RCT50"/>
    <mergeCell ref="RCU50:RCV50"/>
    <mergeCell ref="RCW50:RCX50"/>
    <mergeCell ref="RCA50:RCB50"/>
    <mergeCell ref="RCC50:RCD50"/>
    <mergeCell ref="RCE50:RCF50"/>
    <mergeCell ref="RCG50:RCH50"/>
    <mergeCell ref="RCI50:RCJ50"/>
    <mergeCell ref="RCK50:RCL50"/>
    <mergeCell ref="RBO50:RBP50"/>
    <mergeCell ref="RBQ50:RBR50"/>
    <mergeCell ref="RBS50:RBT50"/>
    <mergeCell ref="RBU50:RBV50"/>
    <mergeCell ref="RBW50:RBX50"/>
    <mergeCell ref="RBY50:RBZ50"/>
    <mergeCell ref="RBC50:RBD50"/>
    <mergeCell ref="RBE50:RBF50"/>
    <mergeCell ref="RBG50:RBH50"/>
    <mergeCell ref="RBI50:RBJ50"/>
    <mergeCell ref="RBK50:RBL50"/>
    <mergeCell ref="RBM50:RBN50"/>
    <mergeCell ref="RAQ50:RAR50"/>
    <mergeCell ref="RAS50:RAT50"/>
    <mergeCell ref="RAU50:RAV50"/>
    <mergeCell ref="RAW50:RAX50"/>
    <mergeCell ref="RAY50:RAZ50"/>
    <mergeCell ref="RBA50:RBB50"/>
    <mergeCell ref="RAE50:RAF50"/>
    <mergeCell ref="RAG50:RAH50"/>
    <mergeCell ref="RAI50:RAJ50"/>
    <mergeCell ref="RAK50:RAL50"/>
    <mergeCell ref="RAM50:RAN50"/>
    <mergeCell ref="RAO50:RAP50"/>
    <mergeCell ref="RFG50:RFH50"/>
    <mergeCell ref="RFI50:RFJ50"/>
    <mergeCell ref="RFK50:RFL50"/>
    <mergeCell ref="RFM50:RFN50"/>
    <mergeCell ref="RFO50:RFP50"/>
    <mergeCell ref="RFQ50:RFR50"/>
    <mergeCell ref="REU50:REV50"/>
    <mergeCell ref="REW50:REX50"/>
    <mergeCell ref="REY50:REZ50"/>
    <mergeCell ref="RFA50:RFB50"/>
    <mergeCell ref="RFC50:RFD50"/>
    <mergeCell ref="RFE50:RFF50"/>
    <mergeCell ref="REI50:REJ50"/>
    <mergeCell ref="REK50:REL50"/>
    <mergeCell ref="REM50:REN50"/>
    <mergeCell ref="REO50:REP50"/>
    <mergeCell ref="REQ50:RER50"/>
    <mergeCell ref="RES50:RET50"/>
    <mergeCell ref="RDW50:RDX50"/>
    <mergeCell ref="RDY50:RDZ50"/>
    <mergeCell ref="REA50:REB50"/>
    <mergeCell ref="REC50:RED50"/>
    <mergeCell ref="REE50:REF50"/>
    <mergeCell ref="REG50:REH50"/>
    <mergeCell ref="RDK50:RDL50"/>
    <mergeCell ref="RDM50:RDN50"/>
    <mergeCell ref="RDO50:RDP50"/>
    <mergeCell ref="RDQ50:RDR50"/>
    <mergeCell ref="RDS50:RDT50"/>
    <mergeCell ref="RDU50:RDV50"/>
    <mergeCell ref="RCY50:RCZ50"/>
    <mergeCell ref="RDA50:RDB50"/>
    <mergeCell ref="RDC50:RDD50"/>
    <mergeCell ref="RDE50:RDF50"/>
    <mergeCell ref="RDG50:RDH50"/>
    <mergeCell ref="RDI50:RDJ50"/>
    <mergeCell ref="RIA50:RIB50"/>
    <mergeCell ref="RIC50:RID50"/>
    <mergeCell ref="RIE50:RIF50"/>
    <mergeCell ref="RIG50:RIH50"/>
    <mergeCell ref="RII50:RIJ50"/>
    <mergeCell ref="RIK50:RIL50"/>
    <mergeCell ref="RHO50:RHP50"/>
    <mergeCell ref="RHQ50:RHR50"/>
    <mergeCell ref="RHS50:RHT50"/>
    <mergeCell ref="RHU50:RHV50"/>
    <mergeCell ref="RHW50:RHX50"/>
    <mergeCell ref="RHY50:RHZ50"/>
    <mergeCell ref="RHC50:RHD50"/>
    <mergeCell ref="RHE50:RHF50"/>
    <mergeCell ref="RHG50:RHH50"/>
    <mergeCell ref="RHI50:RHJ50"/>
    <mergeCell ref="RHK50:RHL50"/>
    <mergeCell ref="RHM50:RHN50"/>
    <mergeCell ref="RGQ50:RGR50"/>
    <mergeCell ref="RGS50:RGT50"/>
    <mergeCell ref="RGU50:RGV50"/>
    <mergeCell ref="RGW50:RGX50"/>
    <mergeCell ref="RGY50:RGZ50"/>
    <mergeCell ref="RHA50:RHB50"/>
    <mergeCell ref="RGE50:RGF50"/>
    <mergeCell ref="RGG50:RGH50"/>
    <mergeCell ref="RGI50:RGJ50"/>
    <mergeCell ref="RGK50:RGL50"/>
    <mergeCell ref="RGM50:RGN50"/>
    <mergeCell ref="RGO50:RGP50"/>
    <mergeCell ref="RFS50:RFT50"/>
    <mergeCell ref="RFU50:RFV50"/>
    <mergeCell ref="RFW50:RFX50"/>
    <mergeCell ref="RFY50:RFZ50"/>
    <mergeCell ref="RGA50:RGB50"/>
    <mergeCell ref="RGC50:RGD50"/>
    <mergeCell ref="RKU50:RKV50"/>
    <mergeCell ref="RKW50:RKX50"/>
    <mergeCell ref="RKY50:RKZ50"/>
    <mergeCell ref="RLA50:RLB50"/>
    <mergeCell ref="RLC50:RLD50"/>
    <mergeCell ref="RLE50:RLF50"/>
    <mergeCell ref="RKI50:RKJ50"/>
    <mergeCell ref="RKK50:RKL50"/>
    <mergeCell ref="RKM50:RKN50"/>
    <mergeCell ref="RKO50:RKP50"/>
    <mergeCell ref="RKQ50:RKR50"/>
    <mergeCell ref="RKS50:RKT50"/>
    <mergeCell ref="RJW50:RJX50"/>
    <mergeCell ref="RJY50:RJZ50"/>
    <mergeCell ref="RKA50:RKB50"/>
    <mergeCell ref="RKC50:RKD50"/>
    <mergeCell ref="RKE50:RKF50"/>
    <mergeCell ref="RKG50:RKH50"/>
    <mergeCell ref="RJK50:RJL50"/>
    <mergeCell ref="RJM50:RJN50"/>
    <mergeCell ref="RJO50:RJP50"/>
    <mergeCell ref="RJQ50:RJR50"/>
    <mergeCell ref="RJS50:RJT50"/>
    <mergeCell ref="RJU50:RJV50"/>
    <mergeCell ref="RIY50:RIZ50"/>
    <mergeCell ref="RJA50:RJB50"/>
    <mergeCell ref="RJC50:RJD50"/>
    <mergeCell ref="RJE50:RJF50"/>
    <mergeCell ref="RJG50:RJH50"/>
    <mergeCell ref="RJI50:RJJ50"/>
    <mergeCell ref="RIM50:RIN50"/>
    <mergeCell ref="RIO50:RIP50"/>
    <mergeCell ref="RIQ50:RIR50"/>
    <mergeCell ref="RIS50:RIT50"/>
    <mergeCell ref="RIU50:RIV50"/>
    <mergeCell ref="RIW50:RIX50"/>
    <mergeCell ref="RNO50:RNP50"/>
    <mergeCell ref="RNQ50:RNR50"/>
    <mergeCell ref="RNS50:RNT50"/>
    <mergeCell ref="RNU50:RNV50"/>
    <mergeCell ref="RNW50:RNX50"/>
    <mergeCell ref="RNY50:RNZ50"/>
    <mergeCell ref="RNC50:RND50"/>
    <mergeCell ref="RNE50:RNF50"/>
    <mergeCell ref="RNG50:RNH50"/>
    <mergeCell ref="RNI50:RNJ50"/>
    <mergeCell ref="RNK50:RNL50"/>
    <mergeCell ref="RNM50:RNN50"/>
    <mergeCell ref="RMQ50:RMR50"/>
    <mergeCell ref="RMS50:RMT50"/>
    <mergeCell ref="RMU50:RMV50"/>
    <mergeCell ref="RMW50:RMX50"/>
    <mergeCell ref="RMY50:RMZ50"/>
    <mergeCell ref="RNA50:RNB50"/>
    <mergeCell ref="RME50:RMF50"/>
    <mergeCell ref="RMG50:RMH50"/>
    <mergeCell ref="RMI50:RMJ50"/>
    <mergeCell ref="RMK50:RML50"/>
    <mergeCell ref="RMM50:RMN50"/>
    <mergeCell ref="RMO50:RMP50"/>
    <mergeCell ref="RLS50:RLT50"/>
    <mergeCell ref="RLU50:RLV50"/>
    <mergeCell ref="RLW50:RLX50"/>
    <mergeCell ref="RLY50:RLZ50"/>
    <mergeCell ref="RMA50:RMB50"/>
    <mergeCell ref="RMC50:RMD50"/>
    <mergeCell ref="RLG50:RLH50"/>
    <mergeCell ref="RLI50:RLJ50"/>
    <mergeCell ref="RLK50:RLL50"/>
    <mergeCell ref="RLM50:RLN50"/>
    <mergeCell ref="RLO50:RLP50"/>
    <mergeCell ref="RLQ50:RLR50"/>
    <mergeCell ref="RQI50:RQJ50"/>
    <mergeCell ref="RQK50:RQL50"/>
    <mergeCell ref="RQM50:RQN50"/>
    <mergeCell ref="RQO50:RQP50"/>
    <mergeCell ref="RQQ50:RQR50"/>
    <mergeCell ref="RQS50:RQT50"/>
    <mergeCell ref="RPW50:RPX50"/>
    <mergeCell ref="RPY50:RPZ50"/>
    <mergeCell ref="RQA50:RQB50"/>
    <mergeCell ref="RQC50:RQD50"/>
    <mergeCell ref="RQE50:RQF50"/>
    <mergeCell ref="RQG50:RQH50"/>
    <mergeCell ref="RPK50:RPL50"/>
    <mergeCell ref="RPM50:RPN50"/>
    <mergeCell ref="RPO50:RPP50"/>
    <mergeCell ref="RPQ50:RPR50"/>
    <mergeCell ref="RPS50:RPT50"/>
    <mergeCell ref="RPU50:RPV50"/>
    <mergeCell ref="ROY50:ROZ50"/>
    <mergeCell ref="RPA50:RPB50"/>
    <mergeCell ref="RPC50:RPD50"/>
    <mergeCell ref="RPE50:RPF50"/>
    <mergeCell ref="RPG50:RPH50"/>
    <mergeCell ref="RPI50:RPJ50"/>
    <mergeCell ref="ROM50:RON50"/>
    <mergeCell ref="ROO50:ROP50"/>
    <mergeCell ref="ROQ50:ROR50"/>
    <mergeCell ref="ROS50:ROT50"/>
    <mergeCell ref="ROU50:ROV50"/>
    <mergeCell ref="ROW50:ROX50"/>
    <mergeCell ref="ROA50:ROB50"/>
    <mergeCell ref="ROC50:ROD50"/>
    <mergeCell ref="ROE50:ROF50"/>
    <mergeCell ref="ROG50:ROH50"/>
    <mergeCell ref="ROI50:ROJ50"/>
    <mergeCell ref="ROK50:ROL50"/>
    <mergeCell ref="RTC50:RTD50"/>
    <mergeCell ref="RTE50:RTF50"/>
    <mergeCell ref="RTG50:RTH50"/>
    <mergeCell ref="RTI50:RTJ50"/>
    <mergeCell ref="RTK50:RTL50"/>
    <mergeCell ref="RTM50:RTN50"/>
    <mergeCell ref="RSQ50:RSR50"/>
    <mergeCell ref="RSS50:RST50"/>
    <mergeCell ref="RSU50:RSV50"/>
    <mergeCell ref="RSW50:RSX50"/>
    <mergeCell ref="RSY50:RSZ50"/>
    <mergeCell ref="RTA50:RTB50"/>
    <mergeCell ref="RSE50:RSF50"/>
    <mergeCell ref="RSG50:RSH50"/>
    <mergeCell ref="RSI50:RSJ50"/>
    <mergeCell ref="RSK50:RSL50"/>
    <mergeCell ref="RSM50:RSN50"/>
    <mergeCell ref="RSO50:RSP50"/>
    <mergeCell ref="RRS50:RRT50"/>
    <mergeCell ref="RRU50:RRV50"/>
    <mergeCell ref="RRW50:RRX50"/>
    <mergeCell ref="RRY50:RRZ50"/>
    <mergeCell ref="RSA50:RSB50"/>
    <mergeCell ref="RSC50:RSD50"/>
    <mergeCell ref="RRG50:RRH50"/>
    <mergeCell ref="RRI50:RRJ50"/>
    <mergeCell ref="RRK50:RRL50"/>
    <mergeCell ref="RRM50:RRN50"/>
    <mergeCell ref="RRO50:RRP50"/>
    <mergeCell ref="RRQ50:RRR50"/>
    <mergeCell ref="RQU50:RQV50"/>
    <mergeCell ref="RQW50:RQX50"/>
    <mergeCell ref="RQY50:RQZ50"/>
    <mergeCell ref="RRA50:RRB50"/>
    <mergeCell ref="RRC50:RRD50"/>
    <mergeCell ref="RRE50:RRF50"/>
    <mergeCell ref="RVW50:RVX50"/>
    <mergeCell ref="RVY50:RVZ50"/>
    <mergeCell ref="RWA50:RWB50"/>
    <mergeCell ref="RWC50:RWD50"/>
    <mergeCell ref="RWE50:RWF50"/>
    <mergeCell ref="RWG50:RWH50"/>
    <mergeCell ref="RVK50:RVL50"/>
    <mergeCell ref="RVM50:RVN50"/>
    <mergeCell ref="RVO50:RVP50"/>
    <mergeCell ref="RVQ50:RVR50"/>
    <mergeCell ref="RVS50:RVT50"/>
    <mergeCell ref="RVU50:RVV50"/>
    <mergeCell ref="RUY50:RUZ50"/>
    <mergeCell ref="RVA50:RVB50"/>
    <mergeCell ref="RVC50:RVD50"/>
    <mergeCell ref="RVE50:RVF50"/>
    <mergeCell ref="RVG50:RVH50"/>
    <mergeCell ref="RVI50:RVJ50"/>
    <mergeCell ref="RUM50:RUN50"/>
    <mergeCell ref="RUO50:RUP50"/>
    <mergeCell ref="RUQ50:RUR50"/>
    <mergeCell ref="RUS50:RUT50"/>
    <mergeCell ref="RUU50:RUV50"/>
    <mergeCell ref="RUW50:RUX50"/>
    <mergeCell ref="RUA50:RUB50"/>
    <mergeCell ref="RUC50:RUD50"/>
    <mergeCell ref="RUE50:RUF50"/>
    <mergeCell ref="RUG50:RUH50"/>
    <mergeCell ref="RUI50:RUJ50"/>
    <mergeCell ref="RUK50:RUL50"/>
    <mergeCell ref="RTO50:RTP50"/>
    <mergeCell ref="RTQ50:RTR50"/>
    <mergeCell ref="RTS50:RTT50"/>
    <mergeCell ref="RTU50:RTV50"/>
    <mergeCell ref="RTW50:RTX50"/>
    <mergeCell ref="RTY50:RTZ50"/>
    <mergeCell ref="RYQ50:RYR50"/>
    <mergeCell ref="RYS50:RYT50"/>
    <mergeCell ref="RYU50:RYV50"/>
    <mergeCell ref="RYW50:RYX50"/>
    <mergeCell ref="RYY50:RYZ50"/>
    <mergeCell ref="RZA50:RZB50"/>
    <mergeCell ref="RYE50:RYF50"/>
    <mergeCell ref="RYG50:RYH50"/>
    <mergeCell ref="RYI50:RYJ50"/>
    <mergeCell ref="RYK50:RYL50"/>
    <mergeCell ref="RYM50:RYN50"/>
    <mergeCell ref="RYO50:RYP50"/>
    <mergeCell ref="RXS50:RXT50"/>
    <mergeCell ref="RXU50:RXV50"/>
    <mergeCell ref="RXW50:RXX50"/>
    <mergeCell ref="RXY50:RXZ50"/>
    <mergeCell ref="RYA50:RYB50"/>
    <mergeCell ref="RYC50:RYD50"/>
    <mergeCell ref="RXG50:RXH50"/>
    <mergeCell ref="RXI50:RXJ50"/>
    <mergeCell ref="RXK50:RXL50"/>
    <mergeCell ref="RXM50:RXN50"/>
    <mergeCell ref="RXO50:RXP50"/>
    <mergeCell ref="RXQ50:RXR50"/>
    <mergeCell ref="RWU50:RWV50"/>
    <mergeCell ref="RWW50:RWX50"/>
    <mergeCell ref="RWY50:RWZ50"/>
    <mergeCell ref="RXA50:RXB50"/>
    <mergeCell ref="RXC50:RXD50"/>
    <mergeCell ref="RXE50:RXF50"/>
    <mergeCell ref="RWI50:RWJ50"/>
    <mergeCell ref="RWK50:RWL50"/>
    <mergeCell ref="RWM50:RWN50"/>
    <mergeCell ref="RWO50:RWP50"/>
    <mergeCell ref="RWQ50:RWR50"/>
    <mergeCell ref="RWS50:RWT50"/>
    <mergeCell ref="SBK50:SBL50"/>
    <mergeCell ref="SBM50:SBN50"/>
    <mergeCell ref="SBO50:SBP50"/>
    <mergeCell ref="SBQ50:SBR50"/>
    <mergeCell ref="SBS50:SBT50"/>
    <mergeCell ref="SBU50:SBV50"/>
    <mergeCell ref="SAY50:SAZ50"/>
    <mergeCell ref="SBA50:SBB50"/>
    <mergeCell ref="SBC50:SBD50"/>
    <mergeCell ref="SBE50:SBF50"/>
    <mergeCell ref="SBG50:SBH50"/>
    <mergeCell ref="SBI50:SBJ50"/>
    <mergeCell ref="SAM50:SAN50"/>
    <mergeCell ref="SAO50:SAP50"/>
    <mergeCell ref="SAQ50:SAR50"/>
    <mergeCell ref="SAS50:SAT50"/>
    <mergeCell ref="SAU50:SAV50"/>
    <mergeCell ref="SAW50:SAX50"/>
    <mergeCell ref="SAA50:SAB50"/>
    <mergeCell ref="SAC50:SAD50"/>
    <mergeCell ref="SAE50:SAF50"/>
    <mergeCell ref="SAG50:SAH50"/>
    <mergeCell ref="SAI50:SAJ50"/>
    <mergeCell ref="SAK50:SAL50"/>
    <mergeCell ref="RZO50:RZP50"/>
    <mergeCell ref="RZQ50:RZR50"/>
    <mergeCell ref="RZS50:RZT50"/>
    <mergeCell ref="RZU50:RZV50"/>
    <mergeCell ref="RZW50:RZX50"/>
    <mergeCell ref="RZY50:RZZ50"/>
    <mergeCell ref="RZC50:RZD50"/>
    <mergeCell ref="RZE50:RZF50"/>
    <mergeCell ref="RZG50:RZH50"/>
    <mergeCell ref="RZI50:RZJ50"/>
    <mergeCell ref="RZK50:RZL50"/>
    <mergeCell ref="RZM50:RZN50"/>
    <mergeCell ref="SEE50:SEF50"/>
    <mergeCell ref="SEG50:SEH50"/>
    <mergeCell ref="SEI50:SEJ50"/>
    <mergeCell ref="SEK50:SEL50"/>
    <mergeCell ref="SEM50:SEN50"/>
    <mergeCell ref="SEO50:SEP50"/>
    <mergeCell ref="SDS50:SDT50"/>
    <mergeCell ref="SDU50:SDV50"/>
    <mergeCell ref="SDW50:SDX50"/>
    <mergeCell ref="SDY50:SDZ50"/>
    <mergeCell ref="SEA50:SEB50"/>
    <mergeCell ref="SEC50:SED50"/>
    <mergeCell ref="SDG50:SDH50"/>
    <mergeCell ref="SDI50:SDJ50"/>
    <mergeCell ref="SDK50:SDL50"/>
    <mergeCell ref="SDM50:SDN50"/>
    <mergeCell ref="SDO50:SDP50"/>
    <mergeCell ref="SDQ50:SDR50"/>
    <mergeCell ref="SCU50:SCV50"/>
    <mergeCell ref="SCW50:SCX50"/>
    <mergeCell ref="SCY50:SCZ50"/>
    <mergeCell ref="SDA50:SDB50"/>
    <mergeCell ref="SDC50:SDD50"/>
    <mergeCell ref="SDE50:SDF50"/>
    <mergeCell ref="SCI50:SCJ50"/>
    <mergeCell ref="SCK50:SCL50"/>
    <mergeCell ref="SCM50:SCN50"/>
    <mergeCell ref="SCO50:SCP50"/>
    <mergeCell ref="SCQ50:SCR50"/>
    <mergeCell ref="SCS50:SCT50"/>
    <mergeCell ref="SBW50:SBX50"/>
    <mergeCell ref="SBY50:SBZ50"/>
    <mergeCell ref="SCA50:SCB50"/>
    <mergeCell ref="SCC50:SCD50"/>
    <mergeCell ref="SCE50:SCF50"/>
    <mergeCell ref="SCG50:SCH50"/>
    <mergeCell ref="SGY50:SGZ50"/>
    <mergeCell ref="SHA50:SHB50"/>
    <mergeCell ref="SHC50:SHD50"/>
    <mergeCell ref="SHE50:SHF50"/>
    <mergeCell ref="SHG50:SHH50"/>
    <mergeCell ref="SHI50:SHJ50"/>
    <mergeCell ref="SGM50:SGN50"/>
    <mergeCell ref="SGO50:SGP50"/>
    <mergeCell ref="SGQ50:SGR50"/>
    <mergeCell ref="SGS50:SGT50"/>
    <mergeCell ref="SGU50:SGV50"/>
    <mergeCell ref="SGW50:SGX50"/>
    <mergeCell ref="SGA50:SGB50"/>
    <mergeCell ref="SGC50:SGD50"/>
    <mergeCell ref="SGE50:SGF50"/>
    <mergeCell ref="SGG50:SGH50"/>
    <mergeCell ref="SGI50:SGJ50"/>
    <mergeCell ref="SGK50:SGL50"/>
    <mergeCell ref="SFO50:SFP50"/>
    <mergeCell ref="SFQ50:SFR50"/>
    <mergeCell ref="SFS50:SFT50"/>
    <mergeCell ref="SFU50:SFV50"/>
    <mergeCell ref="SFW50:SFX50"/>
    <mergeCell ref="SFY50:SFZ50"/>
    <mergeCell ref="SFC50:SFD50"/>
    <mergeCell ref="SFE50:SFF50"/>
    <mergeCell ref="SFG50:SFH50"/>
    <mergeCell ref="SFI50:SFJ50"/>
    <mergeCell ref="SFK50:SFL50"/>
    <mergeCell ref="SFM50:SFN50"/>
    <mergeCell ref="SEQ50:SER50"/>
    <mergeCell ref="SES50:SET50"/>
    <mergeCell ref="SEU50:SEV50"/>
    <mergeCell ref="SEW50:SEX50"/>
    <mergeCell ref="SEY50:SEZ50"/>
    <mergeCell ref="SFA50:SFB50"/>
    <mergeCell ref="SJS50:SJT50"/>
    <mergeCell ref="SJU50:SJV50"/>
    <mergeCell ref="SJW50:SJX50"/>
    <mergeCell ref="SJY50:SJZ50"/>
    <mergeCell ref="SKA50:SKB50"/>
    <mergeCell ref="SKC50:SKD50"/>
    <mergeCell ref="SJG50:SJH50"/>
    <mergeCell ref="SJI50:SJJ50"/>
    <mergeCell ref="SJK50:SJL50"/>
    <mergeCell ref="SJM50:SJN50"/>
    <mergeCell ref="SJO50:SJP50"/>
    <mergeCell ref="SJQ50:SJR50"/>
    <mergeCell ref="SIU50:SIV50"/>
    <mergeCell ref="SIW50:SIX50"/>
    <mergeCell ref="SIY50:SIZ50"/>
    <mergeCell ref="SJA50:SJB50"/>
    <mergeCell ref="SJC50:SJD50"/>
    <mergeCell ref="SJE50:SJF50"/>
    <mergeCell ref="SII50:SIJ50"/>
    <mergeCell ref="SIK50:SIL50"/>
    <mergeCell ref="SIM50:SIN50"/>
    <mergeCell ref="SIO50:SIP50"/>
    <mergeCell ref="SIQ50:SIR50"/>
    <mergeCell ref="SIS50:SIT50"/>
    <mergeCell ref="SHW50:SHX50"/>
    <mergeCell ref="SHY50:SHZ50"/>
    <mergeCell ref="SIA50:SIB50"/>
    <mergeCell ref="SIC50:SID50"/>
    <mergeCell ref="SIE50:SIF50"/>
    <mergeCell ref="SIG50:SIH50"/>
    <mergeCell ref="SHK50:SHL50"/>
    <mergeCell ref="SHM50:SHN50"/>
    <mergeCell ref="SHO50:SHP50"/>
    <mergeCell ref="SHQ50:SHR50"/>
    <mergeCell ref="SHS50:SHT50"/>
    <mergeCell ref="SHU50:SHV50"/>
    <mergeCell ref="SMM50:SMN50"/>
    <mergeCell ref="SMO50:SMP50"/>
    <mergeCell ref="SMQ50:SMR50"/>
    <mergeCell ref="SMS50:SMT50"/>
    <mergeCell ref="SMU50:SMV50"/>
    <mergeCell ref="SMW50:SMX50"/>
    <mergeCell ref="SMA50:SMB50"/>
    <mergeCell ref="SMC50:SMD50"/>
    <mergeCell ref="SME50:SMF50"/>
    <mergeCell ref="SMG50:SMH50"/>
    <mergeCell ref="SMI50:SMJ50"/>
    <mergeCell ref="SMK50:SML50"/>
    <mergeCell ref="SLO50:SLP50"/>
    <mergeCell ref="SLQ50:SLR50"/>
    <mergeCell ref="SLS50:SLT50"/>
    <mergeCell ref="SLU50:SLV50"/>
    <mergeCell ref="SLW50:SLX50"/>
    <mergeCell ref="SLY50:SLZ50"/>
    <mergeCell ref="SLC50:SLD50"/>
    <mergeCell ref="SLE50:SLF50"/>
    <mergeCell ref="SLG50:SLH50"/>
    <mergeCell ref="SLI50:SLJ50"/>
    <mergeCell ref="SLK50:SLL50"/>
    <mergeCell ref="SLM50:SLN50"/>
    <mergeCell ref="SKQ50:SKR50"/>
    <mergeCell ref="SKS50:SKT50"/>
    <mergeCell ref="SKU50:SKV50"/>
    <mergeCell ref="SKW50:SKX50"/>
    <mergeCell ref="SKY50:SKZ50"/>
    <mergeCell ref="SLA50:SLB50"/>
    <mergeCell ref="SKE50:SKF50"/>
    <mergeCell ref="SKG50:SKH50"/>
    <mergeCell ref="SKI50:SKJ50"/>
    <mergeCell ref="SKK50:SKL50"/>
    <mergeCell ref="SKM50:SKN50"/>
    <mergeCell ref="SKO50:SKP50"/>
    <mergeCell ref="SPG50:SPH50"/>
    <mergeCell ref="SPI50:SPJ50"/>
    <mergeCell ref="SPK50:SPL50"/>
    <mergeCell ref="SPM50:SPN50"/>
    <mergeCell ref="SPO50:SPP50"/>
    <mergeCell ref="SPQ50:SPR50"/>
    <mergeCell ref="SOU50:SOV50"/>
    <mergeCell ref="SOW50:SOX50"/>
    <mergeCell ref="SOY50:SOZ50"/>
    <mergeCell ref="SPA50:SPB50"/>
    <mergeCell ref="SPC50:SPD50"/>
    <mergeCell ref="SPE50:SPF50"/>
    <mergeCell ref="SOI50:SOJ50"/>
    <mergeCell ref="SOK50:SOL50"/>
    <mergeCell ref="SOM50:SON50"/>
    <mergeCell ref="SOO50:SOP50"/>
    <mergeCell ref="SOQ50:SOR50"/>
    <mergeCell ref="SOS50:SOT50"/>
    <mergeCell ref="SNW50:SNX50"/>
    <mergeCell ref="SNY50:SNZ50"/>
    <mergeCell ref="SOA50:SOB50"/>
    <mergeCell ref="SOC50:SOD50"/>
    <mergeCell ref="SOE50:SOF50"/>
    <mergeCell ref="SOG50:SOH50"/>
    <mergeCell ref="SNK50:SNL50"/>
    <mergeCell ref="SNM50:SNN50"/>
    <mergeCell ref="SNO50:SNP50"/>
    <mergeCell ref="SNQ50:SNR50"/>
    <mergeCell ref="SNS50:SNT50"/>
    <mergeCell ref="SNU50:SNV50"/>
    <mergeCell ref="SMY50:SMZ50"/>
    <mergeCell ref="SNA50:SNB50"/>
    <mergeCell ref="SNC50:SND50"/>
    <mergeCell ref="SNE50:SNF50"/>
    <mergeCell ref="SNG50:SNH50"/>
    <mergeCell ref="SNI50:SNJ50"/>
    <mergeCell ref="SSA50:SSB50"/>
    <mergeCell ref="SSC50:SSD50"/>
    <mergeCell ref="SSE50:SSF50"/>
    <mergeCell ref="SSG50:SSH50"/>
    <mergeCell ref="SSI50:SSJ50"/>
    <mergeCell ref="SSK50:SSL50"/>
    <mergeCell ref="SRO50:SRP50"/>
    <mergeCell ref="SRQ50:SRR50"/>
    <mergeCell ref="SRS50:SRT50"/>
    <mergeCell ref="SRU50:SRV50"/>
    <mergeCell ref="SRW50:SRX50"/>
    <mergeCell ref="SRY50:SRZ50"/>
    <mergeCell ref="SRC50:SRD50"/>
    <mergeCell ref="SRE50:SRF50"/>
    <mergeCell ref="SRG50:SRH50"/>
    <mergeCell ref="SRI50:SRJ50"/>
    <mergeCell ref="SRK50:SRL50"/>
    <mergeCell ref="SRM50:SRN50"/>
    <mergeCell ref="SQQ50:SQR50"/>
    <mergeCell ref="SQS50:SQT50"/>
    <mergeCell ref="SQU50:SQV50"/>
    <mergeCell ref="SQW50:SQX50"/>
    <mergeCell ref="SQY50:SQZ50"/>
    <mergeCell ref="SRA50:SRB50"/>
    <mergeCell ref="SQE50:SQF50"/>
    <mergeCell ref="SQG50:SQH50"/>
    <mergeCell ref="SQI50:SQJ50"/>
    <mergeCell ref="SQK50:SQL50"/>
    <mergeCell ref="SQM50:SQN50"/>
    <mergeCell ref="SQO50:SQP50"/>
    <mergeCell ref="SPS50:SPT50"/>
    <mergeCell ref="SPU50:SPV50"/>
    <mergeCell ref="SPW50:SPX50"/>
    <mergeCell ref="SPY50:SPZ50"/>
    <mergeCell ref="SQA50:SQB50"/>
    <mergeCell ref="SQC50:SQD50"/>
    <mergeCell ref="SUU50:SUV50"/>
    <mergeCell ref="SUW50:SUX50"/>
    <mergeCell ref="SUY50:SUZ50"/>
    <mergeCell ref="SVA50:SVB50"/>
    <mergeCell ref="SVC50:SVD50"/>
    <mergeCell ref="SVE50:SVF50"/>
    <mergeCell ref="SUI50:SUJ50"/>
    <mergeCell ref="SUK50:SUL50"/>
    <mergeCell ref="SUM50:SUN50"/>
    <mergeCell ref="SUO50:SUP50"/>
    <mergeCell ref="SUQ50:SUR50"/>
    <mergeCell ref="SUS50:SUT50"/>
    <mergeCell ref="STW50:STX50"/>
    <mergeCell ref="STY50:STZ50"/>
    <mergeCell ref="SUA50:SUB50"/>
    <mergeCell ref="SUC50:SUD50"/>
    <mergeCell ref="SUE50:SUF50"/>
    <mergeCell ref="SUG50:SUH50"/>
    <mergeCell ref="STK50:STL50"/>
    <mergeCell ref="STM50:STN50"/>
    <mergeCell ref="STO50:STP50"/>
    <mergeCell ref="STQ50:STR50"/>
    <mergeCell ref="STS50:STT50"/>
    <mergeCell ref="STU50:STV50"/>
    <mergeCell ref="SSY50:SSZ50"/>
    <mergeCell ref="STA50:STB50"/>
    <mergeCell ref="STC50:STD50"/>
    <mergeCell ref="STE50:STF50"/>
    <mergeCell ref="STG50:STH50"/>
    <mergeCell ref="STI50:STJ50"/>
    <mergeCell ref="SSM50:SSN50"/>
    <mergeCell ref="SSO50:SSP50"/>
    <mergeCell ref="SSQ50:SSR50"/>
    <mergeCell ref="SSS50:SST50"/>
    <mergeCell ref="SSU50:SSV50"/>
    <mergeCell ref="SSW50:SSX50"/>
    <mergeCell ref="SXO50:SXP50"/>
    <mergeCell ref="SXQ50:SXR50"/>
    <mergeCell ref="SXS50:SXT50"/>
    <mergeCell ref="SXU50:SXV50"/>
    <mergeCell ref="SXW50:SXX50"/>
    <mergeCell ref="SXY50:SXZ50"/>
    <mergeCell ref="SXC50:SXD50"/>
    <mergeCell ref="SXE50:SXF50"/>
    <mergeCell ref="SXG50:SXH50"/>
    <mergeCell ref="SXI50:SXJ50"/>
    <mergeCell ref="SXK50:SXL50"/>
    <mergeCell ref="SXM50:SXN50"/>
    <mergeCell ref="SWQ50:SWR50"/>
    <mergeCell ref="SWS50:SWT50"/>
    <mergeCell ref="SWU50:SWV50"/>
    <mergeCell ref="SWW50:SWX50"/>
    <mergeCell ref="SWY50:SWZ50"/>
    <mergeCell ref="SXA50:SXB50"/>
    <mergeCell ref="SWE50:SWF50"/>
    <mergeCell ref="SWG50:SWH50"/>
    <mergeCell ref="SWI50:SWJ50"/>
    <mergeCell ref="SWK50:SWL50"/>
    <mergeCell ref="SWM50:SWN50"/>
    <mergeCell ref="SWO50:SWP50"/>
    <mergeCell ref="SVS50:SVT50"/>
    <mergeCell ref="SVU50:SVV50"/>
    <mergeCell ref="SVW50:SVX50"/>
    <mergeCell ref="SVY50:SVZ50"/>
    <mergeCell ref="SWA50:SWB50"/>
    <mergeCell ref="SWC50:SWD50"/>
    <mergeCell ref="SVG50:SVH50"/>
    <mergeCell ref="SVI50:SVJ50"/>
    <mergeCell ref="SVK50:SVL50"/>
    <mergeCell ref="SVM50:SVN50"/>
    <mergeCell ref="SVO50:SVP50"/>
    <mergeCell ref="SVQ50:SVR50"/>
    <mergeCell ref="TAI50:TAJ50"/>
    <mergeCell ref="TAK50:TAL50"/>
    <mergeCell ref="TAM50:TAN50"/>
    <mergeCell ref="TAO50:TAP50"/>
    <mergeCell ref="TAQ50:TAR50"/>
    <mergeCell ref="TAS50:TAT50"/>
    <mergeCell ref="SZW50:SZX50"/>
    <mergeCell ref="SZY50:SZZ50"/>
    <mergeCell ref="TAA50:TAB50"/>
    <mergeCell ref="TAC50:TAD50"/>
    <mergeCell ref="TAE50:TAF50"/>
    <mergeCell ref="TAG50:TAH50"/>
    <mergeCell ref="SZK50:SZL50"/>
    <mergeCell ref="SZM50:SZN50"/>
    <mergeCell ref="SZO50:SZP50"/>
    <mergeCell ref="SZQ50:SZR50"/>
    <mergeCell ref="SZS50:SZT50"/>
    <mergeCell ref="SZU50:SZV50"/>
    <mergeCell ref="SYY50:SYZ50"/>
    <mergeCell ref="SZA50:SZB50"/>
    <mergeCell ref="SZC50:SZD50"/>
    <mergeCell ref="SZE50:SZF50"/>
    <mergeCell ref="SZG50:SZH50"/>
    <mergeCell ref="SZI50:SZJ50"/>
    <mergeCell ref="SYM50:SYN50"/>
    <mergeCell ref="SYO50:SYP50"/>
    <mergeCell ref="SYQ50:SYR50"/>
    <mergeCell ref="SYS50:SYT50"/>
    <mergeCell ref="SYU50:SYV50"/>
    <mergeCell ref="SYW50:SYX50"/>
    <mergeCell ref="SYA50:SYB50"/>
    <mergeCell ref="SYC50:SYD50"/>
    <mergeCell ref="SYE50:SYF50"/>
    <mergeCell ref="SYG50:SYH50"/>
    <mergeCell ref="SYI50:SYJ50"/>
    <mergeCell ref="SYK50:SYL50"/>
    <mergeCell ref="TDC50:TDD50"/>
    <mergeCell ref="TDE50:TDF50"/>
    <mergeCell ref="TDG50:TDH50"/>
    <mergeCell ref="TDI50:TDJ50"/>
    <mergeCell ref="TDK50:TDL50"/>
    <mergeCell ref="TDM50:TDN50"/>
    <mergeCell ref="TCQ50:TCR50"/>
    <mergeCell ref="TCS50:TCT50"/>
    <mergeCell ref="TCU50:TCV50"/>
    <mergeCell ref="TCW50:TCX50"/>
    <mergeCell ref="TCY50:TCZ50"/>
    <mergeCell ref="TDA50:TDB50"/>
    <mergeCell ref="TCE50:TCF50"/>
    <mergeCell ref="TCG50:TCH50"/>
    <mergeCell ref="TCI50:TCJ50"/>
    <mergeCell ref="TCK50:TCL50"/>
    <mergeCell ref="TCM50:TCN50"/>
    <mergeCell ref="TCO50:TCP50"/>
    <mergeCell ref="TBS50:TBT50"/>
    <mergeCell ref="TBU50:TBV50"/>
    <mergeCell ref="TBW50:TBX50"/>
    <mergeCell ref="TBY50:TBZ50"/>
    <mergeCell ref="TCA50:TCB50"/>
    <mergeCell ref="TCC50:TCD50"/>
    <mergeCell ref="TBG50:TBH50"/>
    <mergeCell ref="TBI50:TBJ50"/>
    <mergeCell ref="TBK50:TBL50"/>
    <mergeCell ref="TBM50:TBN50"/>
    <mergeCell ref="TBO50:TBP50"/>
    <mergeCell ref="TBQ50:TBR50"/>
    <mergeCell ref="TAU50:TAV50"/>
    <mergeCell ref="TAW50:TAX50"/>
    <mergeCell ref="TAY50:TAZ50"/>
    <mergeCell ref="TBA50:TBB50"/>
    <mergeCell ref="TBC50:TBD50"/>
    <mergeCell ref="TBE50:TBF50"/>
    <mergeCell ref="TFW50:TFX50"/>
    <mergeCell ref="TFY50:TFZ50"/>
    <mergeCell ref="TGA50:TGB50"/>
    <mergeCell ref="TGC50:TGD50"/>
    <mergeCell ref="TGE50:TGF50"/>
    <mergeCell ref="TGG50:TGH50"/>
    <mergeCell ref="TFK50:TFL50"/>
    <mergeCell ref="TFM50:TFN50"/>
    <mergeCell ref="TFO50:TFP50"/>
    <mergeCell ref="TFQ50:TFR50"/>
    <mergeCell ref="TFS50:TFT50"/>
    <mergeCell ref="TFU50:TFV50"/>
    <mergeCell ref="TEY50:TEZ50"/>
    <mergeCell ref="TFA50:TFB50"/>
    <mergeCell ref="TFC50:TFD50"/>
    <mergeCell ref="TFE50:TFF50"/>
    <mergeCell ref="TFG50:TFH50"/>
    <mergeCell ref="TFI50:TFJ50"/>
    <mergeCell ref="TEM50:TEN50"/>
    <mergeCell ref="TEO50:TEP50"/>
    <mergeCell ref="TEQ50:TER50"/>
    <mergeCell ref="TES50:TET50"/>
    <mergeCell ref="TEU50:TEV50"/>
    <mergeCell ref="TEW50:TEX50"/>
    <mergeCell ref="TEA50:TEB50"/>
    <mergeCell ref="TEC50:TED50"/>
    <mergeCell ref="TEE50:TEF50"/>
    <mergeCell ref="TEG50:TEH50"/>
    <mergeCell ref="TEI50:TEJ50"/>
    <mergeCell ref="TEK50:TEL50"/>
    <mergeCell ref="TDO50:TDP50"/>
    <mergeCell ref="TDQ50:TDR50"/>
    <mergeCell ref="TDS50:TDT50"/>
    <mergeCell ref="TDU50:TDV50"/>
    <mergeCell ref="TDW50:TDX50"/>
    <mergeCell ref="TDY50:TDZ50"/>
    <mergeCell ref="TIQ50:TIR50"/>
    <mergeCell ref="TIS50:TIT50"/>
    <mergeCell ref="TIU50:TIV50"/>
    <mergeCell ref="TIW50:TIX50"/>
    <mergeCell ref="TIY50:TIZ50"/>
    <mergeCell ref="TJA50:TJB50"/>
    <mergeCell ref="TIE50:TIF50"/>
    <mergeCell ref="TIG50:TIH50"/>
    <mergeCell ref="TII50:TIJ50"/>
    <mergeCell ref="TIK50:TIL50"/>
    <mergeCell ref="TIM50:TIN50"/>
    <mergeCell ref="TIO50:TIP50"/>
    <mergeCell ref="THS50:THT50"/>
    <mergeCell ref="THU50:THV50"/>
    <mergeCell ref="THW50:THX50"/>
    <mergeCell ref="THY50:THZ50"/>
    <mergeCell ref="TIA50:TIB50"/>
    <mergeCell ref="TIC50:TID50"/>
    <mergeCell ref="THG50:THH50"/>
    <mergeCell ref="THI50:THJ50"/>
    <mergeCell ref="THK50:THL50"/>
    <mergeCell ref="THM50:THN50"/>
    <mergeCell ref="THO50:THP50"/>
    <mergeCell ref="THQ50:THR50"/>
    <mergeCell ref="TGU50:TGV50"/>
    <mergeCell ref="TGW50:TGX50"/>
    <mergeCell ref="TGY50:TGZ50"/>
    <mergeCell ref="THA50:THB50"/>
    <mergeCell ref="THC50:THD50"/>
    <mergeCell ref="THE50:THF50"/>
    <mergeCell ref="TGI50:TGJ50"/>
    <mergeCell ref="TGK50:TGL50"/>
    <mergeCell ref="TGM50:TGN50"/>
    <mergeCell ref="TGO50:TGP50"/>
    <mergeCell ref="TGQ50:TGR50"/>
    <mergeCell ref="TGS50:TGT50"/>
    <mergeCell ref="TLK50:TLL50"/>
    <mergeCell ref="TLM50:TLN50"/>
    <mergeCell ref="TLO50:TLP50"/>
    <mergeCell ref="TLQ50:TLR50"/>
    <mergeCell ref="TLS50:TLT50"/>
    <mergeCell ref="TLU50:TLV50"/>
    <mergeCell ref="TKY50:TKZ50"/>
    <mergeCell ref="TLA50:TLB50"/>
    <mergeCell ref="TLC50:TLD50"/>
    <mergeCell ref="TLE50:TLF50"/>
    <mergeCell ref="TLG50:TLH50"/>
    <mergeCell ref="TLI50:TLJ50"/>
    <mergeCell ref="TKM50:TKN50"/>
    <mergeCell ref="TKO50:TKP50"/>
    <mergeCell ref="TKQ50:TKR50"/>
    <mergeCell ref="TKS50:TKT50"/>
    <mergeCell ref="TKU50:TKV50"/>
    <mergeCell ref="TKW50:TKX50"/>
    <mergeCell ref="TKA50:TKB50"/>
    <mergeCell ref="TKC50:TKD50"/>
    <mergeCell ref="TKE50:TKF50"/>
    <mergeCell ref="TKG50:TKH50"/>
    <mergeCell ref="TKI50:TKJ50"/>
    <mergeCell ref="TKK50:TKL50"/>
    <mergeCell ref="TJO50:TJP50"/>
    <mergeCell ref="TJQ50:TJR50"/>
    <mergeCell ref="TJS50:TJT50"/>
    <mergeCell ref="TJU50:TJV50"/>
    <mergeCell ref="TJW50:TJX50"/>
    <mergeCell ref="TJY50:TJZ50"/>
    <mergeCell ref="TJC50:TJD50"/>
    <mergeCell ref="TJE50:TJF50"/>
    <mergeCell ref="TJG50:TJH50"/>
    <mergeCell ref="TJI50:TJJ50"/>
    <mergeCell ref="TJK50:TJL50"/>
    <mergeCell ref="TJM50:TJN50"/>
    <mergeCell ref="TOE50:TOF50"/>
    <mergeCell ref="TOG50:TOH50"/>
    <mergeCell ref="TOI50:TOJ50"/>
    <mergeCell ref="TOK50:TOL50"/>
    <mergeCell ref="TOM50:TON50"/>
    <mergeCell ref="TOO50:TOP50"/>
    <mergeCell ref="TNS50:TNT50"/>
    <mergeCell ref="TNU50:TNV50"/>
    <mergeCell ref="TNW50:TNX50"/>
    <mergeCell ref="TNY50:TNZ50"/>
    <mergeCell ref="TOA50:TOB50"/>
    <mergeCell ref="TOC50:TOD50"/>
    <mergeCell ref="TNG50:TNH50"/>
    <mergeCell ref="TNI50:TNJ50"/>
    <mergeCell ref="TNK50:TNL50"/>
    <mergeCell ref="TNM50:TNN50"/>
    <mergeCell ref="TNO50:TNP50"/>
    <mergeCell ref="TNQ50:TNR50"/>
    <mergeCell ref="TMU50:TMV50"/>
    <mergeCell ref="TMW50:TMX50"/>
    <mergeCell ref="TMY50:TMZ50"/>
    <mergeCell ref="TNA50:TNB50"/>
    <mergeCell ref="TNC50:TND50"/>
    <mergeCell ref="TNE50:TNF50"/>
    <mergeCell ref="TMI50:TMJ50"/>
    <mergeCell ref="TMK50:TML50"/>
    <mergeCell ref="TMM50:TMN50"/>
    <mergeCell ref="TMO50:TMP50"/>
    <mergeCell ref="TMQ50:TMR50"/>
    <mergeCell ref="TMS50:TMT50"/>
    <mergeCell ref="TLW50:TLX50"/>
    <mergeCell ref="TLY50:TLZ50"/>
    <mergeCell ref="TMA50:TMB50"/>
    <mergeCell ref="TMC50:TMD50"/>
    <mergeCell ref="TME50:TMF50"/>
    <mergeCell ref="TMG50:TMH50"/>
    <mergeCell ref="TQY50:TQZ50"/>
    <mergeCell ref="TRA50:TRB50"/>
    <mergeCell ref="TRC50:TRD50"/>
    <mergeCell ref="TRE50:TRF50"/>
    <mergeCell ref="TRG50:TRH50"/>
    <mergeCell ref="TRI50:TRJ50"/>
    <mergeCell ref="TQM50:TQN50"/>
    <mergeCell ref="TQO50:TQP50"/>
    <mergeCell ref="TQQ50:TQR50"/>
    <mergeCell ref="TQS50:TQT50"/>
    <mergeCell ref="TQU50:TQV50"/>
    <mergeCell ref="TQW50:TQX50"/>
    <mergeCell ref="TQA50:TQB50"/>
    <mergeCell ref="TQC50:TQD50"/>
    <mergeCell ref="TQE50:TQF50"/>
    <mergeCell ref="TQG50:TQH50"/>
    <mergeCell ref="TQI50:TQJ50"/>
    <mergeCell ref="TQK50:TQL50"/>
    <mergeCell ref="TPO50:TPP50"/>
    <mergeCell ref="TPQ50:TPR50"/>
    <mergeCell ref="TPS50:TPT50"/>
    <mergeCell ref="TPU50:TPV50"/>
    <mergeCell ref="TPW50:TPX50"/>
    <mergeCell ref="TPY50:TPZ50"/>
    <mergeCell ref="TPC50:TPD50"/>
    <mergeCell ref="TPE50:TPF50"/>
    <mergeCell ref="TPG50:TPH50"/>
    <mergeCell ref="TPI50:TPJ50"/>
    <mergeCell ref="TPK50:TPL50"/>
    <mergeCell ref="TPM50:TPN50"/>
    <mergeCell ref="TOQ50:TOR50"/>
    <mergeCell ref="TOS50:TOT50"/>
    <mergeCell ref="TOU50:TOV50"/>
    <mergeCell ref="TOW50:TOX50"/>
    <mergeCell ref="TOY50:TOZ50"/>
    <mergeCell ref="TPA50:TPB50"/>
    <mergeCell ref="TTS50:TTT50"/>
    <mergeCell ref="TTU50:TTV50"/>
    <mergeCell ref="TTW50:TTX50"/>
    <mergeCell ref="TTY50:TTZ50"/>
    <mergeCell ref="TUA50:TUB50"/>
    <mergeCell ref="TUC50:TUD50"/>
    <mergeCell ref="TTG50:TTH50"/>
    <mergeCell ref="TTI50:TTJ50"/>
    <mergeCell ref="TTK50:TTL50"/>
    <mergeCell ref="TTM50:TTN50"/>
    <mergeCell ref="TTO50:TTP50"/>
    <mergeCell ref="TTQ50:TTR50"/>
    <mergeCell ref="TSU50:TSV50"/>
    <mergeCell ref="TSW50:TSX50"/>
    <mergeCell ref="TSY50:TSZ50"/>
    <mergeCell ref="TTA50:TTB50"/>
    <mergeCell ref="TTC50:TTD50"/>
    <mergeCell ref="TTE50:TTF50"/>
    <mergeCell ref="TSI50:TSJ50"/>
    <mergeCell ref="TSK50:TSL50"/>
    <mergeCell ref="TSM50:TSN50"/>
    <mergeCell ref="TSO50:TSP50"/>
    <mergeCell ref="TSQ50:TSR50"/>
    <mergeCell ref="TSS50:TST50"/>
    <mergeCell ref="TRW50:TRX50"/>
    <mergeCell ref="TRY50:TRZ50"/>
    <mergeCell ref="TSA50:TSB50"/>
    <mergeCell ref="TSC50:TSD50"/>
    <mergeCell ref="TSE50:TSF50"/>
    <mergeCell ref="TSG50:TSH50"/>
    <mergeCell ref="TRK50:TRL50"/>
    <mergeCell ref="TRM50:TRN50"/>
    <mergeCell ref="TRO50:TRP50"/>
    <mergeCell ref="TRQ50:TRR50"/>
    <mergeCell ref="TRS50:TRT50"/>
    <mergeCell ref="TRU50:TRV50"/>
    <mergeCell ref="TWM50:TWN50"/>
    <mergeCell ref="TWO50:TWP50"/>
    <mergeCell ref="TWQ50:TWR50"/>
    <mergeCell ref="TWS50:TWT50"/>
    <mergeCell ref="TWU50:TWV50"/>
    <mergeCell ref="TWW50:TWX50"/>
    <mergeCell ref="TWA50:TWB50"/>
    <mergeCell ref="TWC50:TWD50"/>
    <mergeCell ref="TWE50:TWF50"/>
    <mergeCell ref="TWG50:TWH50"/>
    <mergeCell ref="TWI50:TWJ50"/>
    <mergeCell ref="TWK50:TWL50"/>
    <mergeCell ref="TVO50:TVP50"/>
    <mergeCell ref="TVQ50:TVR50"/>
    <mergeCell ref="TVS50:TVT50"/>
    <mergeCell ref="TVU50:TVV50"/>
    <mergeCell ref="TVW50:TVX50"/>
    <mergeCell ref="TVY50:TVZ50"/>
    <mergeCell ref="TVC50:TVD50"/>
    <mergeCell ref="TVE50:TVF50"/>
    <mergeCell ref="TVG50:TVH50"/>
    <mergeCell ref="TVI50:TVJ50"/>
    <mergeCell ref="TVK50:TVL50"/>
    <mergeCell ref="TVM50:TVN50"/>
    <mergeCell ref="TUQ50:TUR50"/>
    <mergeCell ref="TUS50:TUT50"/>
    <mergeCell ref="TUU50:TUV50"/>
    <mergeCell ref="TUW50:TUX50"/>
    <mergeCell ref="TUY50:TUZ50"/>
    <mergeCell ref="TVA50:TVB50"/>
    <mergeCell ref="TUE50:TUF50"/>
    <mergeCell ref="TUG50:TUH50"/>
    <mergeCell ref="TUI50:TUJ50"/>
    <mergeCell ref="TUK50:TUL50"/>
    <mergeCell ref="TUM50:TUN50"/>
    <mergeCell ref="TUO50:TUP50"/>
    <mergeCell ref="TZG50:TZH50"/>
    <mergeCell ref="TZI50:TZJ50"/>
    <mergeCell ref="TZK50:TZL50"/>
    <mergeCell ref="TZM50:TZN50"/>
    <mergeCell ref="TZO50:TZP50"/>
    <mergeCell ref="TZQ50:TZR50"/>
    <mergeCell ref="TYU50:TYV50"/>
    <mergeCell ref="TYW50:TYX50"/>
    <mergeCell ref="TYY50:TYZ50"/>
    <mergeCell ref="TZA50:TZB50"/>
    <mergeCell ref="TZC50:TZD50"/>
    <mergeCell ref="TZE50:TZF50"/>
    <mergeCell ref="TYI50:TYJ50"/>
    <mergeCell ref="TYK50:TYL50"/>
    <mergeCell ref="TYM50:TYN50"/>
    <mergeCell ref="TYO50:TYP50"/>
    <mergeCell ref="TYQ50:TYR50"/>
    <mergeCell ref="TYS50:TYT50"/>
    <mergeCell ref="TXW50:TXX50"/>
    <mergeCell ref="TXY50:TXZ50"/>
    <mergeCell ref="TYA50:TYB50"/>
    <mergeCell ref="TYC50:TYD50"/>
    <mergeCell ref="TYE50:TYF50"/>
    <mergeCell ref="TYG50:TYH50"/>
    <mergeCell ref="TXK50:TXL50"/>
    <mergeCell ref="TXM50:TXN50"/>
    <mergeCell ref="TXO50:TXP50"/>
    <mergeCell ref="TXQ50:TXR50"/>
    <mergeCell ref="TXS50:TXT50"/>
    <mergeCell ref="TXU50:TXV50"/>
    <mergeCell ref="TWY50:TWZ50"/>
    <mergeCell ref="TXA50:TXB50"/>
    <mergeCell ref="TXC50:TXD50"/>
    <mergeCell ref="TXE50:TXF50"/>
    <mergeCell ref="TXG50:TXH50"/>
    <mergeCell ref="TXI50:TXJ50"/>
    <mergeCell ref="UCA50:UCB50"/>
    <mergeCell ref="UCC50:UCD50"/>
    <mergeCell ref="UCE50:UCF50"/>
    <mergeCell ref="UCG50:UCH50"/>
    <mergeCell ref="UCI50:UCJ50"/>
    <mergeCell ref="UCK50:UCL50"/>
    <mergeCell ref="UBO50:UBP50"/>
    <mergeCell ref="UBQ50:UBR50"/>
    <mergeCell ref="UBS50:UBT50"/>
    <mergeCell ref="UBU50:UBV50"/>
    <mergeCell ref="UBW50:UBX50"/>
    <mergeCell ref="UBY50:UBZ50"/>
    <mergeCell ref="UBC50:UBD50"/>
    <mergeCell ref="UBE50:UBF50"/>
    <mergeCell ref="UBG50:UBH50"/>
    <mergeCell ref="UBI50:UBJ50"/>
    <mergeCell ref="UBK50:UBL50"/>
    <mergeCell ref="UBM50:UBN50"/>
    <mergeCell ref="UAQ50:UAR50"/>
    <mergeCell ref="UAS50:UAT50"/>
    <mergeCell ref="UAU50:UAV50"/>
    <mergeCell ref="UAW50:UAX50"/>
    <mergeCell ref="UAY50:UAZ50"/>
    <mergeCell ref="UBA50:UBB50"/>
    <mergeCell ref="UAE50:UAF50"/>
    <mergeCell ref="UAG50:UAH50"/>
    <mergeCell ref="UAI50:UAJ50"/>
    <mergeCell ref="UAK50:UAL50"/>
    <mergeCell ref="UAM50:UAN50"/>
    <mergeCell ref="UAO50:UAP50"/>
    <mergeCell ref="TZS50:TZT50"/>
    <mergeCell ref="TZU50:TZV50"/>
    <mergeCell ref="TZW50:TZX50"/>
    <mergeCell ref="TZY50:TZZ50"/>
    <mergeCell ref="UAA50:UAB50"/>
    <mergeCell ref="UAC50:UAD50"/>
    <mergeCell ref="UEU50:UEV50"/>
    <mergeCell ref="UEW50:UEX50"/>
    <mergeCell ref="UEY50:UEZ50"/>
    <mergeCell ref="UFA50:UFB50"/>
    <mergeCell ref="UFC50:UFD50"/>
    <mergeCell ref="UFE50:UFF50"/>
    <mergeCell ref="UEI50:UEJ50"/>
    <mergeCell ref="UEK50:UEL50"/>
    <mergeCell ref="UEM50:UEN50"/>
    <mergeCell ref="UEO50:UEP50"/>
    <mergeCell ref="UEQ50:UER50"/>
    <mergeCell ref="UES50:UET50"/>
    <mergeCell ref="UDW50:UDX50"/>
    <mergeCell ref="UDY50:UDZ50"/>
    <mergeCell ref="UEA50:UEB50"/>
    <mergeCell ref="UEC50:UED50"/>
    <mergeCell ref="UEE50:UEF50"/>
    <mergeCell ref="UEG50:UEH50"/>
    <mergeCell ref="UDK50:UDL50"/>
    <mergeCell ref="UDM50:UDN50"/>
    <mergeCell ref="UDO50:UDP50"/>
    <mergeCell ref="UDQ50:UDR50"/>
    <mergeCell ref="UDS50:UDT50"/>
    <mergeCell ref="UDU50:UDV50"/>
    <mergeCell ref="UCY50:UCZ50"/>
    <mergeCell ref="UDA50:UDB50"/>
    <mergeCell ref="UDC50:UDD50"/>
    <mergeCell ref="UDE50:UDF50"/>
    <mergeCell ref="UDG50:UDH50"/>
    <mergeCell ref="UDI50:UDJ50"/>
    <mergeCell ref="UCM50:UCN50"/>
    <mergeCell ref="UCO50:UCP50"/>
    <mergeCell ref="UCQ50:UCR50"/>
    <mergeCell ref="UCS50:UCT50"/>
    <mergeCell ref="UCU50:UCV50"/>
    <mergeCell ref="UCW50:UCX50"/>
    <mergeCell ref="UHO50:UHP50"/>
    <mergeCell ref="UHQ50:UHR50"/>
    <mergeCell ref="UHS50:UHT50"/>
    <mergeCell ref="UHU50:UHV50"/>
    <mergeCell ref="UHW50:UHX50"/>
    <mergeCell ref="UHY50:UHZ50"/>
    <mergeCell ref="UHC50:UHD50"/>
    <mergeCell ref="UHE50:UHF50"/>
    <mergeCell ref="UHG50:UHH50"/>
    <mergeCell ref="UHI50:UHJ50"/>
    <mergeCell ref="UHK50:UHL50"/>
    <mergeCell ref="UHM50:UHN50"/>
    <mergeCell ref="UGQ50:UGR50"/>
    <mergeCell ref="UGS50:UGT50"/>
    <mergeCell ref="UGU50:UGV50"/>
    <mergeCell ref="UGW50:UGX50"/>
    <mergeCell ref="UGY50:UGZ50"/>
    <mergeCell ref="UHA50:UHB50"/>
    <mergeCell ref="UGE50:UGF50"/>
    <mergeCell ref="UGG50:UGH50"/>
    <mergeCell ref="UGI50:UGJ50"/>
    <mergeCell ref="UGK50:UGL50"/>
    <mergeCell ref="UGM50:UGN50"/>
    <mergeCell ref="UGO50:UGP50"/>
    <mergeCell ref="UFS50:UFT50"/>
    <mergeCell ref="UFU50:UFV50"/>
    <mergeCell ref="UFW50:UFX50"/>
    <mergeCell ref="UFY50:UFZ50"/>
    <mergeCell ref="UGA50:UGB50"/>
    <mergeCell ref="UGC50:UGD50"/>
    <mergeCell ref="UFG50:UFH50"/>
    <mergeCell ref="UFI50:UFJ50"/>
    <mergeCell ref="UFK50:UFL50"/>
    <mergeCell ref="UFM50:UFN50"/>
    <mergeCell ref="UFO50:UFP50"/>
    <mergeCell ref="UFQ50:UFR50"/>
    <mergeCell ref="UKI50:UKJ50"/>
    <mergeCell ref="UKK50:UKL50"/>
    <mergeCell ref="UKM50:UKN50"/>
    <mergeCell ref="UKO50:UKP50"/>
    <mergeCell ref="UKQ50:UKR50"/>
    <mergeCell ref="UKS50:UKT50"/>
    <mergeCell ref="UJW50:UJX50"/>
    <mergeCell ref="UJY50:UJZ50"/>
    <mergeCell ref="UKA50:UKB50"/>
    <mergeCell ref="UKC50:UKD50"/>
    <mergeCell ref="UKE50:UKF50"/>
    <mergeCell ref="UKG50:UKH50"/>
    <mergeCell ref="UJK50:UJL50"/>
    <mergeCell ref="UJM50:UJN50"/>
    <mergeCell ref="UJO50:UJP50"/>
    <mergeCell ref="UJQ50:UJR50"/>
    <mergeCell ref="UJS50:UJT50"/>
    <mergeCell ref="UJU50:UJV50"/>
    <mergeCell ref="UIY50:UIZ50"/>
    <mergeCell ref="UJA50:UJB50"/>
    <mergeCell ref="UJC50:UJD50"/>
    <mergeCell ref="UJE50:UJF50"/>
    <mergeCell ref="UJG50:UJH50"/>
    <mergeCell ref="UJI50:UJJ50"/>
    <mergeCell ref="UIM50:UIN50"/>
    <mergeCell ref="UIO50:UIP50"/>
    <mergeCell ref="UIQ50:UIR50"/>
    <mergeCell ref="UIS50:UIT50"/>
    <mergeCell ref="UIU50:UIV50"/>
    <mergeCell ref="UIW50:UIX50"/>
    <mergeCell ref="UIA50:UIB50"/>
    <mergeCell ref="UIC50:UID50"/>
    <mergeCell ref="UIE50:UIF50"/>
    <mergeCell ref="UIG50:UIH50"/>
    <mergeCell ref="UII50:UIJ50"/>
    <mergeCell ref="UIK50:UIL50"/>
    <mergeCell ref="UNC50:UND50"/>
    <mergeCell ref="UNE50:UNF50"/>
    <mergeCell ref="UNG50:UNH50"/>
    <mergeCell ref="UNI50:UNJ50"/>
    <mergeCell ref="UNK50:UNL50"/>
    <mergeCell ref="UNM50:UNN50"/>
    <mergeCell ref="UMQ50:UMR50"/>
    <mergeCell ref="UMS50:UMT50"/>
    <mergeCell ref="UMU50:UMV50"/>
    <mergeCell ref="UMW50:UMX50"/>
    <mergeCell ref="UMY50:UMZ50"/>
    <mergeCell ref="UNA50:UNB50"/>
    <mergeCell ref="UME50:UMF50"/>
    <mergeCell ref="UMG50:UMH50"/>
    <mergeCell ref="UMI50:UMJ50"/>
    <mergeCell ref="UMK50:UML50"/>
    <mergeCell ref="UMM50:UMN50"/>
    <mergeCell ref="UMO50:UMP50"/>
    <mergeCell ref="ULS50:ULT50"/>
    <mergeCell ref="ULU50:ULV50"/>
    <mergeCell ref="ULW50:ULX50"/>
    <mergeCell ref="ULY50:ULZ50"/>
    <mergeCell ref="UMA50:UMB50"/>
    <mergeCell ref="UMC50:UMD50"/>
    <mergeCell ref="ULG50:ULH50"/>
    <mergeCell ref="ULI50:ULJ50"/>
    <mergeCell ref="ULK50:ULL50"/>
    <mergeCell ref="ULM50:ULN50"/>
    <mergeCell ref="ULO50:ULP50"/>
    <mergeCell ref="ULQ50:ULR50"/>
    <mergeCell ref="UKU50:UKV50"/>
    <mergeCell ref="UKW50:UKX50"/>
    <mergeCell ref="UKY50:UKZ50"/>
    <mergeCell ref="ULA50:ULB50"/>
    <mergeCell ref="ULC50:ULD50"/>
    <mergeCell ref="ULE50:ULF50"/>
    <mergeCell ref="UPW50:UPX50"/>
    <mergeCell ref="UPY50:UPZ50"/>
    <mergeCell ref="UQA50:UQB50"/>
    <mergeCell ref="UQC50:UQD50"/>
    <mergeCell ref="UQE50:UQF50"/>
    <mergeCell ref="UQG50:UQH50"/>
    <mergeCell ref="UPK50:UPL50"/>
    <mergeCell ref="UPM50:UPN50"/>
    <mergeCell ref="UPO50:UPP50"/>
    <mergeCell ref="UPQ50:UPR50"/>
    <mergeCell ref="UPS50:UPT50"/>
    <mergeCell ref="UPU50:UPV50"/>
    <mergeCell ref="UOY50:UOZ50"/>
    <mergeCell ref="UPA50:UPB50"/>
    <mergeCell ref="UPC50:UPD50"/>
    <mergeCell ref="UPE50:UPF50"/>
    <mergeCell ref="UPG50:UPH50"/>
    <mergeCell ref="UPI50:UPJ50"/>
    <mergeCell ref="UOM50:UON50"/>
    <mergeCell ref="UOO50:UOP50"/>
    <mergeCell ref="UOQ50:UOR50"/>
    <mergeCell ref="UOS50:UOT50"/>
    <mergeCell ref="UOU50:UOV50"/>
    <mergeCell ref="UOW50:UOX50"/>
    <mergeCell ref="UOA50:UOB50"/>
    <mergeCell ref="UOC50:UOD50"/>
    <mergeCell ref="UOE50:UOF50"/>
    <mergeCell ref="UOG50:UOH50"/>
    <mergeCell ref="UOI50:UOJ50"/>
    <mergeCell ref="UOK50:UOL50"/>
    <mergeCell ref="UNO50:UNP50"/>
    <mergeCell ref="UNQ50:UNR50"/>
    <mergeCell ref="UNS50:UNT50"/>
    <mergeCell ref="UNU50:UNV50"/>
    <mergeCell ref="UNW50:UNX50"/>
    <mergeCell ref="UNY50:UNZ50"/>
    <mergeCell ref="USQ50:USR50"/>
    <mergeCell ref="USS50:UST50"/>
    <mergeCell ref="USU50:USV50"/>
    <mergeCell ref="USW50:USX50"/>
    <mergeCell ref="USY50:USZ50"/>
    <mergeCell ref="UTA50:UTB50"/>
    <mergeCell ref="USE50:USF50"/>
    <mergeCell ref="USG50:USH50"/>
    <mergeCell ref="USI50:USJ50"/>
    <mergeCell ref="USK50:USL50"/>
    <mergeCell ref="USM50:USN50"/>
    <mergeCell ref="USO50:USP50"/>
    <mergeCell ref="URS50:URT50"/>
    <mergeCell ref="URU50:URV50"/>
    <mergeCell ref="URW50:URX50"/>
    <mergeCell ref="URY50:URZ50"/>
    <mergeCell ref="USA50:USB50"/>
    <mergeCell ref="USC50:USD50"/>
    <mergeCell ref="URG50:URH50"/>
    <mergeCell ref="URI50:URJ50"/>
    <mergeCell ref="URK50:URL50"/>
    <mergeCell ref="URM50:URN50"/>
    <mergeCell ref="URO50:URP50"/>
    <mergeCell ref="URQ50:URR50"/>
    <mergeCell ref="UQU50:UQV50"/>
    <mergeCell ref="UQW50:UQX50"/>
    <mergeCell ref="UQY50:UQZ50"/>
    <mergeCell ref="URA50:URB50"/>
    <mergeCell ref="URC50:URD50"/>
    <mergeCell ref="URE50:URF50"/>
    <mergeCell ref="UQI50:UQJ50"/>
    <mergeCell ref="UQK50:UQL50"/>
    <mergeCell ref="UQM50:UQN50"/>
    <mergeCell ref="UQO50:UQP50"/>
    <mergeCell ref="UQQ50:UQR50"/>
    <mergeCell ref="UQS50:UQT50"/>
    <mergeCell ref="UVK50:UVL50"/>
    <mergeCell ref="UVM50:UVN50"/>
    <mergeCell ref="UVO50:UVP50"/>
    <mergeCell ref="UVQ50:UVR50"/>
    <mergeCell ref="UVS50:UVT50"/>
    <mergeCell ref="UVU50:UVV50"/>
    <mergeCell ref="UUY50:UUZ50"/>
    <mergeCell ref="UVA50:UVB50"/>
    <mergeCell ref="UVC50:UVD50"/>
    <mergeCell ref="UVE50:UVF50"/>
    <mergeCell ref="UVG50:UVH50"/>
    <mergeCell ref="UVI50:UVJ50"/>
    <mergeCell ref="UUM50:UUN50"/>
    <mergeCell ref="UUO50:UUP50"/>
    <mergeCell ref="UUQ50:UUR50"/>
    <mergeCell ref="UUS50:UUT50"/>
    <mergeCell ref="UUU50:UUV50"/>
    <mergeCell ref="UUW50:UUX50"/>
    <mergeCell ref="UUA50:UUB50"/>
    <mergeCell ref="UUC50:UUD50"/>
    <mergeCell ref="UUE50:UUF50"/>
    <mergeCell ref="UUG50:UUH50"/>
    <mergeCell ref="UUI50:UUJ50"/>
    <mergeCell ref="UUK50:UUL50"/>
    <mergeCell ref="UTO50:UTP50"/>
    <mergeCell ref="UTQ50:UTR50"/>
    <mergeCell ref="UTS50:UTT50"/>
    <mergeCell ref="UTU50:UTV50"/>
    <mergeCell ref="UTW50:UTX50"/>
    <mergeCell ref="UTY50:UTZ50"/>
    <mergeCell ref="UTC50:UTD50"/>
    <mergeCell ref="UTE50:UTF50"/>
    <mergeCell ref="UTG50:UTH50"/>
    <mergeCell ref="UTI50:UTJ50"/>
    <mergeCell ref="UTK50:UTL50"/>
    <mergeCell ref="UTM50:UTN50"/>
    <mergeCell ref="UYE50:UYF50"/>
    <mergeCell ref="UYG50:UYH50"/>
    <mergeCell ref="UYI50:UYJ50"/>
    <mergeCell ref="UYK50:UYL50"/>
    <mergeCell ref="UYM50:UYN50"/>
    <mergeCell ref="UYO50:UYP50"/>
    <mergeCell ref="UXS50:UXT50"/>
    <mergeCell ref="UXU50:UXV50"/>
    <mergeCell ref="UXW50:UXX50"/>
    <mergeCell ref="UXY50:UXZ50"/>
    <mergeCell ref="UYA50:UYB50"/>
    <mergeCell ref="UYC50:UYD50"/>
    <mergeCell ref="UXG50:UXH50"/>
    <mergeCell ref="UXI50:UXJ50"/>
    <mergeCell ref="UXK50:UXL50"/>
    <mergeCell ref="UXM50:UXN50"/>
    <mergeCell ref="UXO50:UXP50"/>
    <mergeCell ref="UXQ50:UXR50"/>
    <mergeCell ref="UWU50:UWV50"/>
    <mergeCell ref="UWW50:UWX50"/>
    <mergeCell ref="UWY50:UWZ50"/>
    <mergeCell ref="UXA50:UXB50"/>
    <mergeCell ref="UXC50:UXD50"/>
    <mergeCell ref="UXE50:UXF50"/>
    <mergeCell ref="UWI50:UWJ50"/>
    <mergeCell ref="UWK50:UWL50"/>
    <mergeCell ref="UWM50:UWN50"/>
    <mergeCell ref="UWO50:UWP50"/>
    <mergeCell ref="UWQ50:UWR50"/>
    <mergeCell ref="UWS50:UWT50"/>
    <mergeCell ref="UVW50:UVX50"/>
    <mergeCell ref="UVY50:UVZ50"/>
    <mergeCell ref="UWA50:UWB50"/>
    <mergeCell ref="UWC50:UWD50"/>
    <mergeCell ref="UWE50:UWF50"/>
    <mergeCell ref="UWG50:UWH50"/>
    <mergeCell ref="VAY50:VAZ50"/>
    <mergeCell ref="VBA50:VBB50"/>
    <mergeCell ref="VBC50:VBD50"/>
    <mergeCell ref="VBE50:VBF50"/>
    <mergeCell ref="VBG50:VBH50"/>
    <mergeCell ref="VBI50:VBJ50"/>
    <mergeCell ref="VAM50:VAN50"/>
    <mergeCell ref="VAO50:VAP50"/>
    <mergeCell ref="VAQ50:VAR50"/>
    <mergeCell ref="VAS50:VAT50"/>
    <mergeCell ref="VAU50:VAV50"/>
    <mergeCell ref="VAW50:VAX50"/>
    <mergeCell ref="VAA50:VAB50"/>
    <mergeCell ref="VAC50:VAD50"/>
    <mergeCell ref="VAE50:VAF50"/>
    <mergeCell ref="VAG50:VAH50"/>
    <mergeCell ref="VAI50:VAJ50"/>
    <mergeCell ref="VAK50:VAL50"/>
    <mergeCell ref="UZO50:UZP50"/>
    <mergeCell ref="UZQ50:UZR50"/>
    <mergeCell ref="UZS50:UZT50"/>
    <mergeCell ref="UZU50:UZV50"/>
    <mergeCell ref="UZW50:UZX50"/>
    <mergeCell ref="UZY50:UZZ50"/>
    <mergeCell ref="UZC50:UZD50"/>
    <mergeCell ref="UZE50:UZF50"/>
    <mergeCell ref="UZG50:UZH50"/>
    <mergeCell ref="UZI50:UZJ50"/>
    <mergeCell ref="UZK50:UZL50"/>
    <mergeCell ref="UZM50:UZN50"/>
    <mergeCell ref="UYQ50:UYR50"/>
    <mergeCell ref="UYS50:UYT50"/>
    <mergeCell ref="UYU50:UYV50"/>
    <mergeCell ref="UYW50:UYX50"/>
    <mergeCell ref="UYY50:UYZ50"/>
    <mergeCell ref="UZA50:UZB50"/>
    <mergeCell ref="VDS50:VDT50"/>
    <mergeCell ref="VDU50:VDV50"/>
    <mergeCell ref="VDW50:VDX50"/>
    <mergeCell ref="VDY50:VDZ50"/>
    <mergeCell ref="VEA50:VEB50"/>
    <mergeCell ref="VEC50:VED50"/>
    <mergeCell ref="VDG50:VDH50"/>
    <mergeCell ref="VDI50:VDJ50"/>
    <mergeCell ref="VDK50:VDL50"/>
    <mergeCell ref="VDM50:VDN50"/>
    <mergeCell ref="VDO50:VDP50"/>
    <mergeCell ref="VDQ50:VDR50"/>
    <mergeCell ref="VCU50:VCV50"/>
    <mergeCell ref="VCW50:VCX50"/>
    <mergeCell ref="VCY50:VCZ50"/>
    <mergeCell ref="VDA50:VDB50"/>
    <mergeCell ref="VDC50:VDD50"/>
    <mergeCell ref="VDE50:VDF50"/>
    <mergeCell ref="VCI50:VCJ50"/>
    <mergeCell ref="VCK50:VCL50"/>
    <mergeCell ref="VCM50:VCN50"/>
    <mergeCell ref="VCO50:VCP50"/>
    <mergeCell ref="VCQ50:VCR50"/>
    <mergeCell ref="VCS50:VCT50"/>
    <mergeCell ref="VBW50:VBX50"/>
    <mergeCell ref="VBY50:VBZ50"/>
    <mergeCell ref="VCA50:VCB50"/>
    <mergeCell ref="VCC50:VCD50"/>
    <mergeCell ref="VCE50:VCF50"/>
    <mergeCell ref="VCG50:VCH50"/>
    <mergeCell ref="VBK50:VBL50"/>
    <mergeCell ref="VBM50:VBN50"/>
    <mergeCell ref="VBO50:VBP50"/>
    <mergeCell ref="VBQ50:VBR50"/>
    <mergeCell ref="VBS50:VBT50"/>
    <mergeCell ref="VBU50:VBV50"/>
    <mergeCell ref="VGM50:VGN50"/>
    <mergeCell ref="VGO50:VGP50"/>
    <mergeCell ref="VGQ50:VGR50"/>
    <mergeCell ref="VGS50:VGT50"/>
    <mergeCell ref="VGU50:VGV50"/>
    <mergeCell ref="VGW50:VGX50"/>
    <mergeCell ref="VGA50:VGB50"/>
    <mergeCell ref="VGC50:VGD50"/>
    <mergeCell ref="VGE50:VGF50"/>
    <mergeCell ref="VGG50:VGH50"/>
    <mergeCell ref="VGI50:VGJ50"/>
    <mergeCell ref="VGK50:VGL50"/>
    <mergeCell ref="VFO50:VFP50"/>
    <mergeCell ref="VFQ50:VFR50"/>
    <mergeCell ref="VFS50:VFT50"/>
    <mergeCell ref="VFU50:VFV50"/>
    <mergeCell ref="VFW50:VFX50"/>
    <mergeCell ref="VFY50:VFZ50"/>
    <mergeCell ref="VFC50:VFD50"/>
    <mergeCell ref="VFE50:VFF50"/>
    <mergeCell ref="VFG50:VFH50"/>
    <mergeCell ref="VFI50:VFJ50"/>
    <mergeCell ref="VFK50:VFL50"/>
    <mergeCell ref="VFM50:VFN50"/>
    <mergeCell ref="VEQ50:VER50"/>
    <mergeCell ref="VES50:VET50"/>
    <mergeCell ref="VEU50:VEV50"/>
    <mergeCell ref="VEW50:VEX50"/>
    <mergeCell ref="VEY50:VEZ50"/>
    <mergeCell ref="VFA50:VFB50"/>
    <mergeCell ref="VEE50:VEF50"/>
    <mergeCell ref="VEG50:VEH50"/>
    <mergeCell ref="VEI50:VEJ50"/>
    <mergeCell ref="VEK50:VEL50"/>
    <mergeCell ref="VEM50:VEN50"/>
    <mergeCell ref="VEO50:VEP50"/>
    <mergeCell ref="VJG50:VJH50"/>
    <mergeCell ref="VJI50:VJJ50"/>
    <mergeCell ref="VJK50:VJL50"/>
    <mergeCell ref="VJM50:VJN50"/>
    <mergeCell ref="VJO50:VJP50"/>
    <mergeCell ref="VJQ50:VJR50"/>
    <mergeCell ref="VIU50:VIV50"/>
    <mergeCell ref="VIW50:VIX50"/>
    <mergeCell ref="VIY50:VIZ50"/>
    <mergeCell ref="VJA50:VJB50"/>
    <mergeCell ref="VJC50:VJD50"/>
    <mergeCell ref="VJE50:VJF50"/>
    <mergeCell ref="VII50:VIJ50"/>
    <mergeCell ref="VIK50:VIL50"/>
    <mergeCell ref="VIM50:VIN50"/>
    <mergeCell ref="VIO50:VIP50"/>
    <mergeCell ref="VIQ50:VIR50"/>
    <mergeCell ref="VIS50:VIT50"/>
    <mergeCell ref="VHW50:VHX50"/>
    <mergeCell ref="VHY50:VHZ50"/>
    <mergeCell ref="VIA50:VIB50"/>
    <mergeCell ref="VIC50:VID50"/>
    <mergeCell ref="VIE50:VIF50"/>
    <mergeCell ref="VIG50:VIH50"/>
    <mergeCell ref="VHK50:VHL50"/>
    <mergeCell ref="VHM50:VHN50"/>
    <mergeCell ref="VHO50:VHP50"/>
    <mergeCell ref="VHQ50:VHR50"/>
    <mergeCell ref="VHS50:VHT50"/>
    <mergeCell ref="VHU50:VHV50"/>
    <mergeCell ref="VGY50:VGZ50"/>
    <mergeCell ref="VHA50:VHB50"/>
    <mergeCell ref="VHC50:VHD50"/>
    <mergeCell ref="VHE50:VHF50"/>
    <mergeCell ref="VHG50:VHH50"/>
    <mergeCell ref="VHI50:VHJ50"/>
    <mergeCell ref="VMA50:VMB50"/>
    <mergeCell ref="VMC50:VMD50"/>
    <mergeCell ref="VME50:VMF50"/>
    <mergeCell ref="VMG50:VMH50"/>
    <mergeCell ref="VMI50:VMJ50"/>
    <mergeCell ref="VMK50:VML50"/>
    <mergeCell ref="VLO50:VLP50"/>
    <mergeCell ref="VLQ50:VLR50"/>
    <mergeCell ref="VLS50:VLT50"/>
    <mergeCell ref="VLU50:VLV50"/>
    <mergeCell ref="VLW50:VLX50"/>
    <mergeCell ref="VLY50:VLZ50"/>
    <mergeCell ref="VLC50:VLD50"/>
    <mergeCell ref="VLE50:VLF50"/>
    <mergeCell ref="VLG50:VLH50"/>
    <mergeCell ref="VLI50:VLJ50"/>
    <mergeCell ref="VLK50:VLL50"/>
    <mergeCell ref="VLM50:VLN50"/>
    <mergeCell ref="VKQ50:VKR50"/>
    <mergeCell ref="VKS50:VKT50"/>
    <mergeCell ref="VKU50:VKV50"/>
    <mergeCell ref="VKW50:VKX50"/>
    <mergeCell ref="VKY50:VKZ50"/>
    <mergeCell ref="VLA50:VLB50"/>
    <mergeCell ref="VKE50:VKF50"/>
    <mergeCell ref="VKG50:VKH50"/>
    <mergeCell ref="VKI50:VKJ50"/>
    <mergeCell ref="VKK50:VKL50"/>
    <mergeCell ref="VKM50:VKN50"/>
    <mergeCell ref="VKO50:VKP50"/>
    <mergeCell ref="VJS50:VJT50"/>
    <mergeCell ref="VJU50:VJV50"/>
    <mergeCell ref="VJW50:VJX50"/>
    <mergeCell ref="VJY50:VJZ50"/>
    <mergeCell ref="VKA50:VKB50"/>
    <mergeCell ref="VKC50:VKD50"/>
    <mergeCell ref="VOU50:VOV50"/>
    <mergeCell ref="VOW50:VOX50"/>
    <mergeCell ref="VOY50:VOZ50"/>
    <mergeCell ref="VPA50:VPB50"/>
    <mergeCell ref="VPC50:VPD50"/>
    <mergeCell ref="VPE50:VPF50"/>
    <mergeCell ref="VOI50:VOJ50"/>
    <mergeCell ref="VOK50:VOL50"/>
    <mergeCell ref="VOM50:VON50"/>
    <mergeCell ref="VOO50:VOP50"/>
    <mergeCell ref="VOQ50:VOR50"/>
    <mergeCell ref="VOS50:VOT50"/>
    <mergeCell ref="VNW50:VNX50"/>
    <mergeCell ref="VNY50:VNZ50"/>
    <mergeCell ref="VOA50:VOB50"/>
    <mergeCell ref="VOC50:VOD50"/>
    <mergeCell ref="VOE50:VOF50"/>
    <mergeCell ref="VOG50:VOH50"/>
    <mergeCell ref="VNK50:VNL50"/>
    <mergeCell ref="VNM50:VNN50"/>
    <mergeCell ref="VNO50:VNP50"/>
    <mergeCell ref="VNQ50:VNR50"/>
    <mergeCell ref="VNS50:VNT50"/>
    <mergeCell ref="VNU50:VNV50"/>
    <mergeCell ref="VMY50:VMZ50"/>
    <mergeCell ref="VNA50:VNB50"/>
    <mergeCell ref="VNC50:VND50"/>
    <mergeCell ref="VNE50:VNF50"/>
    <mergeCell ref="VNG50:VNH50"/>
    <mergeCell ref="VNI50:VNJ50"/>
    <mergeCell ref="VMM50:VMN50"/>
    <mergeCell ref="VMO50:VMP50"/>
    <mergeCell ref="VMQ50:VMR50"/>
    <mergeCell ref="VMS50:VMT50"/>
    <mergeCell ref="VMU50:VMV50"/>
    <mergeCell ref="VMW50:VMX50"/>
    <mergeCell ref="VRO50:VRP50"/>
    <mergeCell ref="VRQ50:VRR50"/>
    <mergeCell ref="VRS50:VRT50"/>
    <mergeCell ref="VRU50:VRV50"/>
    <mergeCell ref="VRW50:VRX50"/>
    <mergeCell ref="VRY50:VRZ50"/>
    <mergeCell ref="VRC50:VRD50"/>
    <mergeCell ref="VRE50:VRF50"/>
    <mergeCell ref="VRG50:VRH50"/>
    <mergeCell ref="VRI50:VRJ50"/>
    <mergeCell ref="VRK50:VRL50"/>
    <mergeCell ref="VRM50:VRN50"/>
    <mergeCell ref="VQQ50:VQR50"/>
    <mergeCell ref="VQS50:VQT50"/>
    <mergeCell ref="VQU50:VQV50"/>
    <mergeCell ref="VQW50:VQX50"/>
    <mergeCell ref="VQY50:VQZ50"/>
    <mergeCell ref="VRA50:VRB50"/>
    <mergeCell ref="VQE50:VQF50"/>
    <mergeCell ref="VQG50:VQH50"/>
    <mergeCell ref="VQI50:VQJ50"/>
    <mergeCell ref="VQK50:VQL50"/>
    <mergeCell ref="VQM50:VQN50"/>
    <mergeCell ref="VQO50:VQP50"/>
    <mergeCell ref="VPS50:VPT50"/>
    <mergeCell ref="VPU50:VPV50"/>
    <mergeCell ref="VPW50:VPX50"/>
    <mergeCell ref="VPY50:VPZ50"/>
    <mergeCell ref="VQA50:VQB50"/>
    <mergeCell ref="VQC50:VQD50"/>
    <mergeCell ref="VPG50:VPH50"/>
    <mergeCell ref="VPI50:VPJ50"/>
    <mergeCell ref="VPK50:VPL50"/>
    <mergeCell ref="VPM50:VPN50"/>
    <mergeCell ref="VPO50:VPP50"/>
    <mergeCell ref="VPQ50:VPR50"/>
    <mergeCell ref="VUI50:VUJ50"/>
    <mergeCell ref="VUK50:VUL50"/>
    <mergeCell ref="VUM50:VUN50"/>
    <mergeCell ref="VUO50:VUP50"/>
    <mergeCell ref="VUQ50:VUR50"/>
    <mergeCell ref="VUS50:VUT50"/>
    <mergeCell ref="VTW50:VTX50"/>
    <mergeCell ref="VTY50:VTZ50"/>
    <mergeCell ref="VUA50:VUB50"/>
    <mergeCell ref="VUC50:VUD50"/>
    <mergeCell ref="VUE50:VUF50"/>
    <mergeCell ref="VUG50:VUH50"/>
    <mergeCell ref="VTK50:VTL50"/>
    <mergeCell ref="VTM50:VTN50"/>
    <mergeCell ref="VTO50:VTP50"/>
    <mergeCell ref="VTQ50:VTR50"/>
    <mergeCell ref="VTS50:VTT50"/>
    <mergeCell ref="VTU50:VTV50"/>
    <mergeCell ref="VSY50:VSZ50"/>
    <mergeCell ref="VTA50:VTB50"/>
    <mergeCell ref="VTC50:VTD50"/>
    <mergeCell ref="VTE50:VTF50"/>
    <mergeCell ref="VTG50:VTH50"/>
    <mergeCell ref="VTI50:VTJ50"/>
    <mergeCell ref="VSM50:VSN50"/>
    <mergeCell ref="VSO50:VSP50"/>
    <mergeCell ref="VSQ50:VSR50"/>
    <mergeCell ref="VSS50:VST50"/>
    <mergeCell ref="VSU50:VSV50"/>
    <mergeCell ref="VSW50:VSX50"/>
    <mergeCell ref="VSA50:VSB50"/>
    <mergeCell ref="VSC50:VSD50"/>
    <mergeCell ref="VSE50:VSF50"/>
    <mergeCell ref="VSG50:VSH50"/>
    <mergeCell ref="VSI50:VSJ50"/>
    <mergeCell ref="VSK50:VSL50"/>
    <mergeCell ref="VXC50:VXD50"/>
    <mergeCell ref="VXE50:VXF50"/>
    <mergeCell ref="VXG50:VXH50"/>
    <mergeCell ref="VXI50:VXJ50"/>
    <mergeCell ref="VXK50:VXL50"/>
    <mergeCell ref="VXM50:VXN50"/>
    <mergeCell ref="VWQ50:VWR50"/>
    <mergeCell ref="VWS50:VWT50"/>
    <mergeCell ref="VWU50:VWV50"/>
    <mergeCell ref="VWW50:VWX50"/>
    <mergeCell ref="VWY50:VWZ50"/>
    <mergeCell ref="VXA50:VXB50"/>
    <mergeCell ref="VWE50:VWF50"/>
    <mergeCell ref="VWG50:VWH50"/>
    <mergeCell ref="VWI50:VWJ50"/>
    <mergeCell ref="VWK50:VWL50"/>
    <mergeCell ref="VWM50:VWN50"/>
    <mergeCell ref="VWO50:VWP50"/>
    <mergeCell ref="VVS50:VVT50"/>
    <mergeCell ref="VVU50:VVV50"/>
    <mergeCell ref="VVW50:VVX50"/>
    <mergeCell ref="VVY50:VVZ50"/>
    <mergeCell ref="VWA50:VWB50"/>
    <mergeCell ref="VWC50:VWD50"/>
    <mergeCell ref="VVG50:VVH50"/>
    <mergeCell ref="VVI50:VVJ50"/>
    <mergeCell ref="VVK50:VVL50"/>
    <mergeCell ref="VVM50:VVN50"/>
    <mergeCell ref="VVO50:VVP50"/>
    <mergeCell ref="VVQ50:VVR50"/>
    <mergeCell ref="VUU50:VUV50"/>
    <mergeCell ref="VUW50:VUX50"/>
    <mergeCell ref="VUY50:VUZ50"/>
    <mergeCell ref="VVA50:VVB50"/>
    <mergeCell ref="VVC50:VVD50"/>
    <mergeCell ref="VVE50:VVF50"/>
    <mergeCell ref="VZW50:VZX50"/>
    <mergeCell ref="VZY50:VZZ50"/>
    <mergeCell ref="WAA50:WAB50"/>
    <mergeCell ref="WAC50:WAD50"/>
    <mergeCell ref="WAE50:WAF50"/>
    <mergeCell ref="WAG50:WAH50"/>
    <mergeCell ref="VZK50:VZL50"/>
    <mergeCell ref="VZM50:VZN50"/>
    <mergeCell ref="VZO50:VZP50"/>
    <mergeCell ref="VZQ50:VZR50"/>
    <mergeCell ref="VZS50:VZT50"/>
    <mergeCell ref="VZU50:VZV50"/>
    <mergeCell ref="VYY50:VYZ50"/>
    <mergeCell ref="VZA50:VZB50"/>
    <mergeCell ref="VZC50:VZD50"/>
    <mergeCell ref="VZE50:VZF50"/>
    <mergeCell ref="VZG50:VZH50"/>
    <mergeCell ref="VZI50:VZJ50"/>
    <mergeCell ref="VYM50:VYN50"/>
    <mergeCell ref="VYO50:VYP50"/>
    <mergeCell ref="VYQ50:VYR50"/>
    <mergeCell ref="VYS50:VYT50"/>
    <mergeCell ref="VYU50:VYV50"/>
    <mergeCell ref="VYW50:VYX50"/>
    <mergeCell ref="VYA50:VYB50"/>
    <mergeCell ref="VYC50:VYD50"/>
    <mergeCell ref="VYE50:VYF50"/>
    <mergeCell ref="VYG50:VYH50"/>
    <mergeCell ref="VYI50:VYJ50"/>
    <mergeCell ref="VYK50:VYL50"/>
    <mergeCell ref="VXO50:VXP50"/>
    <mergeCell ref="VXQ50:VXR50"/>
    <mergeCell ref="VXS50:VXT50"/>
    <mergeCell ref="VXU50:VXV50"/>
    <mergeCell ref="VXW50:VXX50"/>
    <mergeCell ref="VXY50:VXZ50"/>
    <mergeCell ref="WCQ50:WCR50"/>
    <mergeCell ref="WCS50:WCT50"/>
    <mergeCell ref="WCU50:WCV50"/>
    <mergeCell ref="WCW50:WCX50"/>
    <mergeCell ref="WCY50:WCZ50"/>
    <mergeCell ref="WDA50:WDB50"/>
    <mergeCell ref="WCE50:WCF50"/>
    <mergeCell ref="WCG50:WCH50"/>
    <mergeCell ref="WCI50:WCJ50"/>
    <mergeCell ref="WCK50:WCL50"/>
    <mergeCell ref="WCM50:WCN50"/>
    <mergeCell ref="WCO50:WCP50"/>
    <mergeCell ref="WBS50:WBT50"/>
    <mergeCell ref="WBU50:WBV50"/>
    <mergeCell ref="WBW50:WBX50"/>
    <mergeCell ref="WBY50:WBZ50"/>
    <mergeCell ref="WCA50:WCB50"/>
    <mergeCell ref="WCC50:WCD50"/>
    <mergeCell ref="WBG50:WBH50"/>
    <mergeCell ref="WBI50:WBJ50"/>
    <mergeCell ref="WBK50:WBL50"/>
    <mergeCell ref="WBM50:WBN50"/>
    <mergeCell ref="WBO50:WBP50"/>
    <mergeCell ref="WBQ50:WBR50"/>
    <mergeCell ref="WAU50:WAV50"/>
    <mergeCell ref="WAW50:WAX50"/>
    <mergeCell ref="WAY50:WAZ50"/>
    <mergeCell ref="WBA50:WBB50"/>
    <mergeCell ref="WBC50:WBD50"/>
    <mergeCell ref="WBE50:WBF50"/>
    <mergeCell ref="WAI50:WAJ50"/>
    <mergeCell ref="WAK50:WAL50"/>
    <mergeCell ref="WAM50:WAN50"/>
    <mergeCell ref="WAO50:WAP50"/>
    <mergeCell ref="WAQ50:WAR50"/>
    <mergeCell ref="WAS50:WAT50"/>
    <mergeCell ref="WFK50:WFL50"/>
    <mergeCell ref="WFM50:WFN50"/>
    <mergeCell ref="WFO50:WFP50"/>
    <mergeCell ref="WFQ50:WFR50"/>
    <mergeCell ref="WFS50:WFT50"/>
    <mergeCell ref="WFU50:WFV50"/>
    <mergeCell ref="WEY50:WEZ50"/>
    <mergeCell ref="WFA50:WFB50"/>
    <mergeCell ref="WFC50:WFD50"/>
    <mergeCell ref="WFE50:WFF50"/>
    <mergeCell ref="WFG50:WFH50"/>
    <mergeCell ref="WFI50:WFJ50"/>
    <mergeCell ref="WEM50:WEN50"/>
    <mergeCell ref="WEO50:WEP50"/>
    <mergeCell ref="WEQ50:WER50"/>
    <mergeCell ref="WES50:WET50"/>
    <mergeCell ref="WEU50:WEV50"/>
    <mergeCell ref="WEW50:WEX50"/>
    <mergeCell ref="WEA50:WEB50"/>
    <mergeCell ref="WEC50:WED50"/>
    <mergeCell ref="WEE50:WEF50"/>
    <mergeCell ref="WEG50:WEH50"/>
    <mergeCell ref="WEI50:WEJ50"/>
    <mergeCell ref="WEK50:WEL50"/>
    <mergeCell ref="WDO50:WDP50"/>
    <mergeCell ref="WDQ50:WDR50"/>
    <mergeCell ref="WDS50:WDT50"/>
    <mergeCell ref="WDU50:WDV50"/>
    <mergeCell ref="WDW50:WDX50"/>
    <mergeCell ref="WDY50:WDZ50"/>
    <mergeCell ref="WDC50:WDD50"/>
    <mergeCell ref="WDE50:WDF50"/>
    <mergeCell ref="WDG50:WDH50"/>
    <mergeCell ref="WDI50:WDJ50"/>
    <mergeCell ref="WDK50:WDL50"/>
    <mergeCell ref="WDM50:WDN50"/>
    <mergeCell ref="WIE50:WIF50"/>
    <mergeCell ref="WIG50:WIH50"/>
    <mergeCell ref="WII50:WIJ50"/>
    <mergeCell ref="WIK50:WIL50"/>
    <mergeCell ref="WIM50:WIN50"/>
    <mergeCell ref="WIO50:WIP50"/>
    <mergeCell ref="WHS50:WHT50"/>
    <mergeCell ref="WHU50:WHV50"/>
    <mergeCell ref="WHW50:WHX50"/>
    <mergeCell ref="WHY50:WHZ50"/>
    <mergeCell ref="WIA50:WIB50"/>
    <mergeCell ref="WIC50:WID50"/>
    <mergeCell ref="WHG50:WHH50"/>
    <mergeCell ref="WHI50:WHJ50"/>
    <mergeCell ref="WHK50:WHL50"/>
    <mergeCell ref="WHM50:WHN50"/>
    <mergeCell ref="WHO50:WHP50"/>
    <mergeCell ref="WHQ50:WHR50"/>
    <mergeCell ref="WGU50:WGV50"/>
    <mergeCell ref="WGW50:WGX50"/>
    <mergeCell ref="WGY50:WGZ50"/>
    <mergeCell ref="WHA50:WHB50"/>
    <mergeCell ref="WHC50:WHD50"/>
    <mergeCell ref="WHE50:WHF50"/>
    <mergeCell ref="WGI50:WGJ50"/>
    <mergeCell ref="WGK50:WGL50"/>
    <mergeCell ref="WGM50:WGN50"/>
    <mergeCell ref="WGO50:WGP50"/>
    <mergeCell ref="WGQ50:WGR50"/>
    <mergeCell ref="WGS50:WGT50"/>
    <mergeCell ref="WFW50:WFX50"/>
    <mergeCell ref="WFY50:WFZ50"/>
    <mergeCell ref="WGA50:WGB50"/>
    <mergeCell ref="WGC50:WGD50"/>
    <mergeCell ref="WGE50:WGF50"/>
    <mergeCell ref="WGG50:WGH50"/>
    <mergeCell ref="WKY50:WKZ50"/>
    <mergeCell ref="WLA50:WLB50"/>
    <mergeCell ref="WLC50:WLD50"/>
    <mergeCell ref="WLE50:WLF50"/>
    <mergeCell ref="WLG50:WLH50"/>
    <mergeCell ref="WLI50:WLJ50"/>
    <mergeCell ref="WKM50:WKN50"/>
    <mergeCell ref="WKO50:WKP50"/>
    <mergeCell ref="WKQ50:WKR50"/>
    <mergeCell ref="WKS50:WKT50"/>
    <mergeCell ref="WKU50:WKV50"/>
    <mergeCell ref="WKW50:WKX50"/>
    <mergeCell ref="WKA50:WKB50"/>
    <mergeCell ref="WKC50:WKD50"/>
    <mergeCell ref="WKE50:WKF50"/>
    <mergeCell ref="WKG50:WKH50"/>
    <mergeCell ref="WKI50:WKJ50"/>
    <mergeCell ref="WKK50:WKL50"/>
    <mergeCell ref="WJO50:WJP50"/>
    <mergeCell ref="WJQ50:WJR50"/>
    <mergeCell ref="WJS50:WJT50"/>
    <mergeCell ref="WJU50:WJV50"/>
    <mergeCell ref="WJW50:WJX50"/>
    <mergeCell ref="WJY50:WJZ50"/>
    <mergeCell ref="WJC50:WJD50"/>
    <mergeCell ref="WJE50:WJF50"/>
    <mergeCell ref="WJG50:WJH50"/>
    <mergeCell ref="WJI50:WJJ50"/>
    <mergeCell ref="WJK50:WJL50"/>
    <mergeCell ref="WJM50:WJN50"/>
    <mergeCell ref="WIQ50:WIR50"/>
    <mergeCell ref="WIS50:WIT50"/>
    <mergeCell ref="WIU50:WIV50"/>
    <mergeCell ref="WIW50:WIX50"/>
    <mergeCell ref="WIY50:WIZ50"/>
    <mergeCell ref="WJA50:WJB50"/>
    <mergeCell ref="WNS50:WNT50"/>
    <mergeCell ref="WNU50:WNV50"/>
    <mergeCell ref="WNW50:WNX50"/>
    <mergeCell ref="WNY50:WNZ50"/>
    <mergeCell ref="WOA50:WOB50"/>
    <mergeCell ref="WOC50:WOD50"/>
    <mergeCell ref="WNG50:WNH50"/>
    <mergeCell ref="WNI50:WNJ50"/>
    <mergeCell ref="WNK50:WNL50"/>
    <mergeCell ref="WNM50:WNN50"/>
    <mergeCell ref="WNO50:WNP50"/>
    <mergeCell ref="WNQ50:WNR50"/>
    <mergeCell ref="WMU50:WMV50"/>
    <mergeCell ref="WMW50:WMX50"/>
    <mergeCell ref="WMY50:WMZ50"/>
    <mergeCell ref="WNA50:WNB50"/>
    <mergeCell ref="WNC50:WND50"/>
    <mergeCell ref="WNE50:WNF50"/>
    <mergeCell ref="WMI50:WMJ50"/>
    <mergeCell ref="WMK50:WML50"/>
    <mergeCell ref="WMM50:WMN50"/>
    <mergeCell ref="WMO50:WMP50"/>
    <mergeCell ref="WMQ50:WMR50"/>
    <mergeCell ref="WMS50:WMT50"/>
    <mergeCell ref="WLW50:WLX50"/>
    <mergeCell ref="WLY50:WLZ50"/>
    <mergeCell ref="WMA50:WMB50"/>
    <mergeCell ref="WMC50:WMD50"/>
    <mergeCell ref="WME50:WMF50"/>
    <mergeCell ref="WMG50:WMH50"/>
    <mergeCell ref="WLK50:WLL50"/>
    <mergeCell ref="WLM50:WLN50"/>
    <mergeCell ref="WLO50:WLP50"/>
    <mergeCell ref="WLQ50:WLR50"/>
    <mergeCell ref="WLS50:WLT50"/>
    <mergeCell ref="WLU50:WLV50"/>
    <mergeCell ref="WQM50:WQN50"/>
    <mergeCell ref="WQO50:WQP50"/>
    <mergeCell ref="WQQ50:WQR50"/>
    <mergeCell ref="WQS50:WQT50"/>
    <mergeCell ref="WQU50:WQV50"/>
    <mergeCell ref="WQW50:WQX50"/>
    <mergeCell ref="WQA50:WQB50"/>
    <mergeCell ref="WQC50:WQD50"/>
    <mergeCell ref="WQE50:WQF50"/>
    <mergeCell ref="WQG50:WQH50"/>
    <mergeCell ref="WQI50:WQJ50"/>
    <mergeCell ref="WQK50:WQL50"/>
    <mergeCell ref="WPO50:WPP50"/>
    <mergeCell ref="WPQ50:WPR50"/>
    <mergeCell ref="WPS50:WPT50"/>
    <mergeCell ref="WPU50:WPV50"/>
    <mergeCell ref="WPW50:WPX50"/>
    <mergeCell ref="WPY50:WPZ50"/>
    <mergeCell ref="WPC50:WPD50"/>
    <mergeCell ref="WPE50:WPF50"/>
    <mergeCell ref="WPG50:WPH50"/>
    <mergeCell ref="WPI50:WPJ50"/>
    <mergeCell ref="WPK50:WPL50"/>
    <mergeCell ref="WPM50:WPN50"/>
    <mergeCell ref="WOQ50:WOR50"/>
    <mergeCell ref="WOS50:WOT50"/>
    <mergeCell ref="WOU50:WOV50"/>
    <mergeCell ref="WOW50:WOX50"/>
    <mergeCell ref="WOY50:WOZ50"/>
    <mergeCell ref="WPA50:WPB50"/>
    <mergeCell ref="WOE50:WOF50"/>
    <mergeCell ref="WOG50:WOH50"/>
    <mergeCell ref="WOI50:WOJ50"/>
    <mergeCell ref="WOK50:WOL50"/>
    <mergeCell ref="WOM50:WON50"/>
    <mergeCell ref="WOO50:WOP50"/>
    <mergeCell ref="WTG50:WTH50"/>
    <mergeCell ref="WTI50:WTJ50"/>
    <mergeCell ref="WTK50:WTL50"/>
    <mergeCell ref="WTM50:WTN50"/>
    <mergeCell ref="WTO50:WTP50"/>
    <mergeCell ref="WTQ50:WTR50"/>
    <mergeCell ref="WSU50:WSV50"/>
    <mergeCell ref="WSW50:WSX50"/>
    <mergeCell ref="WSY50:WSZ50"/>
    <mergeCell ref="WTA50:WTB50"/>
    <mergeCell ref="WTC50:WTD50"/>
    <mergeCell ref="WTE50:WTF50"/>
    <mergeCell ref="WSI50:WSJ50"/>
    <mergeCell ref="WSK50:WSL50"/>
    <mergeCell ref="WSM50:WSN50"/>
    <mergeCell ref="WSO50:WSP50"/>
    <mergeCell ref="WSQ50:WSR50"/>
    <mergeCell ref="WSS50:WST50"/>
    <mergeCell ref="WRW50:WRX50"/>
    <mergeCell ref="WRY50:WRZ50"/>
    <mergeCell ref="WSA50:WSB50"/>
    <mergeCell ref="WSC50:WSD50"/>
    <mergeCell ref="WSE50:WSF50"/>
    <mergeCell ref="WSG50:WSH50"/>
    <mergeCell ref="WRK50:WRL50"/>
    <mergeCell ref="WRM50:WRN50"/>
    <mergeCell ref="WRO50:WRP50"/>
    <mergeCell ref="WRQ50:WRR50"/>
    <mergeCell ref="WRS50:WRT50"/>
    <mergeCell ref="WRU50:WRV50"/>
    <mergeCell ref="WQY50:WQZ50"/>
    <mergeCell ref="WRA50:WRB50"/>
    <mergeCell ref="WRC50:WRD50"/>
    <mergeCell ref="WRE50:WRF50"/>
    <mergeCell ref="WRG50:WRH50"/>
    <mergeCell ref="WRI50:WRJ50"/>
    <mergeCell ref="WWA50:WWB50"/>
    <mergeCell ref="WWC50:WWD50"/>
    <mergeCell ref="WWE50:WWF50"/>
    <mergeCell ref="WWG50:WWH50"/>
    <mergeCell ref="WWI50:WWJ50"/>
    <mergeCell ref="WWK50:WWL50"/>
    <mergeCell ref="WVO50:WVP50"/>
    <mergeCell ref="WVQ50:WVR50"/>
    <mergeCell ref="WVS50:WVT50"/>
    <mergeCell ref="WVU50:WVV50"/>
    <mergeCell ref="WVW50:WVX50"/>
    <mergeCell ref="WVY50:WVZ50"/>
    <mergeCell ref="WVC50:WVD50"/>
    <mergeCell ref="WVE50:WVF50"/>
    <mergeCell ref="WVG50:WVH50"/>
    <mergeCell ref="WVI50:WVJ50"/>
    <mergeCell ref="WVK50:WVL50"/>
    <mergeCell ref="WVM50:WVN50"/>
    <mergeCell ref="WUQ50:WUR50"/>
    <mergeCell ref="WUS50:WUT50"/>
    <mergeCell ref="WUU50:WUV50"/>
    <mergeCell ref="WUW50:WUX50"/>
    <mergeCell ref="WUY50:WUZ50"/>
    <mergeCell ref="WVA50:WVB50"/>
    <mergeCell ref="WUE50:WUF50"/>
    <mergeCell ref="WUG50:WUH50"/>
    <mergeCell ref="WUI50:WUJ50"/>
    <mergeCell ref="WUK50:WUL50"/>
    <mergeCell ref="WUM50:WUN50"/>
    <mergeCell ref="WUO50:WUP50"/>
    <mergeCell ref="WTS50:WTT50"/>
    <mergeCell ref="WTU50:WTV50"/>
    <mergeCell ref="WTW50:WTX50"/>
    <mergeCell ref="WTY50:WTZ50"/>
    <mergeCell ref="WUA50:WUB50"/>
    <mergeCell ref="WUC50:WUD50"/>
    <mergeCell ref="XBK50:XBL50"/>
    <mergeCell ref="XBM50:XBN50"/>
    <mergeCell ref="XAQ50:XAR50"/>
    <mergeCell ref="XAS50:XAT50"/>
    <mergeCell ref="CY61:CZ61"/>
    <mergeCell ref="DA61:DB61"/>
    <mergeCell ref="XAU50:XAV50"/>
    <mergeCell ref="XAW50:XAX50"/>
    <mergeCell ref="XAY50:XAZ50"/>
    <mergeCell ref="XBA50:XBB50"/>
    <mergeCell ref="XAE50:XAF50"/>
    <mergeCell ref="XAG50:XAH50"/>
    <mergeCell ref="XAI50:XAJ50"/>
    <mergeCell ref="XAK50:XAL50"/>
    <mergeCell ref="XAM50:XAN50"/>
    <mergeCell ref="XAO50:XAP50"/>
    <mergeCell ref="WZS50:WZT50"/>
    <mergeCell ref="WZU50:WZV50"/>
    <mergeCell ref="WZW50:WZX50"/>
    <mergeCell ref="WZY50:WZZ50"/>
    <mergeCell ref="XAA50:XAB50"/>
    <mergeCell ref="XAC50:XAD50"/>
    <mergeCell ref="WZG50:WZH50"/>
    <mergeCell ref="WZI50:WZJ50"/>
    <mergeCell ref="WZK50:WZL50"/>
    <mergeCell ref="WZM50:WZN50"/>
    <mergeCell ref="WZO50:WZP50"/>
    <mergeCell ref="WZQ50:WZR50"/>
    <mergeCell ref="WYU50:WYV50"/>
    <mergeCell ref="WYW50:WYX50"/>
    <mergeCell ref="WYY50:WYZ50"/>
    <mergeCell ref="WZA50:WZB50"/>
    <mergeCell ref="WZC50:WZD50"/>
    <mergeCell ref="WZE50:WZF50"/>
    <mergeCell ref="WYI50:WYJ50"/>
    <mergeCell ref="WYK50:WYL50"/>
    <mergeCell ref="WYM50:WYN50"/>
    <mergeCell ref="WYO50:WYP50"/>
    <mergeCell ref="WYQ50:WYR50"/>
    <mergeCell ref="WYS50:WYT50"/>
    <mergeCell ref="WXW50:WXX50"/>
    <mergeCell ref="WXY50:WXZ50"/>
    <mergeCell ref="WYA50:WYB50"/>
    <mergeCell ref="WYC50:WYD50"/>
    <mergeCell ref="WYE50:WYF50"/>
    <mergeCell ref="WYG50:WYH50"/>
    <mergeCell ref="WXK50:WXL50"/>
    <mergeCell ref="WXM50:WXN50"/>
    <mergeCell ref="WXO50:WXP50"/>
    <mergeCell ref="WXQ50:WXR50"/>
    <mergeCell ref="WXS50:WXT50"/>
    <mergeCell ref="WXU50:WXV50"/>
    <mergeCell ref="WWY50:WWZ50"/>
    <mergeCell ref="WXA50:WXB50"/>
    <mergeCell ref="WXC50:WXD50"/>
    <mergeCell ref="WXE50:WXF50"/>
    <mergeCell ref="WXG50:WXH50"/>
    <mergeCell ref="WXI50:WXJ50"/>
    <mergeCell ref="WWM50:WWN50"/>
    <mergeCell ref="WWO50:WWP50"/>
    <mergeCell ref="WWQ50:WWR50"/>
    <mergeCell ref="WWS50:WWT50"/>
    <mergeCell ref="WWU50:WWV50"/>
    <mergeCell ref="WWW50:WWX50"/>
    <mergeCell ref="AQ61:AR61"/>
    <mergeCell ref="AS61:AT61"/>
    <mergeCell ref="AU61:AV61"/>
    <mergeCell ref="AW61:AX61"/>
    <mergeCell ref="AY61:AZ61"/>
    <mergeCell ref="BA61:BB61"/>
    <mergeCell ref="AE61:AF61"/>
    <mergeCell ref="AG61:AH61"/>
    <mergeCell ref="AI61:AJ61"/>
    <mergeCell ref="AK61:AL61"/>
    <mergeCell ref="AM61:AN61"/>
    <mergeCell ref="AO61:AP61"/>
    <mergeCell ref="O61:R61"/>
    <mergeCell ref="S61:V61"/>
    <mergeCell ref="AA61:AB61"/>
    <mergeCell ref="AC61:AD61"/>
    <mergeCell ref="XEI50:XEJ50"/>
    <mergeCell ref="XEK50:XEL50"/>
    <mergeCell ref="XEM50:XEN50"/>
    <mergeCell ref="A61:B61"/>
    <mergeCell ref="C61:F61"/>
    <mergeCell ref="G61:J61"/>
    <mergeCell ref="K61:N61"/>
    <mergeCell ref="XDW50:XDX50"/>
    <mergeCell ref="XDY50:XDZ50"/>
    <mergeCell ref="XEA50:XEB50"/>
    <mergeCell ref="XEC50:XED50"/>
    <mergeCell ref="XEE50:XEF50"/>
    <mergeCell ref="XEG50:XEH50"/>
    <mergeCell ref="XDK50:XDL50"/>
    <mergeCell ref="XDM50:XDN50"/>
    <mergeCell ref="XDO50:XDP50"/>
    <mergeCell ref="XDQ50:XDR50"/>
    <mergeCell ref="XDS50:XDT50"/>
    <mergeCell ref="XDU50:XDV50"/>
    <mergeCell ref="XCY50:XCZ50"/>
    <mergeCell ref="XDA50:XDB50"/>
    <mergeCell ref="XDC50:XDD50"/>
    <mergeCell ref="XDE50:XDF50"/>
    <mergeCell ref="XDG50:XDH50"/>
    <mergeCell ref="XDI50:XDJ50"/>
    <mergeCell ref="XCM50:XCN50"/>
    <mergeCell ref="XCO50:XCP50"/>
    <mergeCell ref="XCQ50:XCR50"/>
    <mergeCell ref="XCS50:XCT50"/>
    <mergeCell ref="XCU50:XCV50"/>
    <mergeCell ref="XCW50:XCX50"/>
    <mergeCell ref="XCA50:XCB50"/>
    <mergeCell ref="XCC50:XCD50"/>
    <mergeCell ref="XCE50:XCF50"/>
    <mergeCell ref="XCG50:XCH50"/>
    <mergeCell ref="XCI50:XCJ50"/>
    <mergeCell ref="XCK50:XCL50"/>
    <mergeCell ref="XBO50:XBP50"/>
    <mergeCell ref="XBQ50:XBR50"/>
    <mergeCell ref="XBS50:XBT50"/>
    <mergeCell ref="XBU50:XBV50"/>
    <mergeCell ref="XBW50:XBX50"/>
    <mergeCell ref="XBY50:XBZ50"/>
    <mergeCell ref="XBC50:XBD50"/>
    <mergeCell ref="XBE50:XBF50"/>
    <mergeCell ref="XBG50:XBH50"/>
    <mergeCell ref="XBI50:XBJ50"/>
    <mergeCell ref="DK61:DL61"/>
    <mergeCell ref="DM61:DN61"/>
    <mergeCell ref="DO61:DP61"/>
    <mergeCell ref="DQ61:DR61"/>
    <mergeCell ref="DS61:DT61"/>
    <mergeCell ref="DU61:DV61"/>
    <mergeCell ref="DC61:DD61"/>
    <mergeCell ref="DE61:DF61"/>
    <mergeCell ref="DG61:DH61"/>
    <mergeCell ref="DI61:DJ61"/>
    <mergeCell ref="CM61:CN61"/>
    <mergeCell ref="CO61:CP61"/>
    <mergeCell ref="CQ61:CR61"/>
    <mergeCell ref="CS61:CT61"/>
    <mergeCell ref="CU61:CV61"/>
    <mergeCell ref="CW61:CX61"/>
    <mergeCell ref="CA61:CB61"/>
    <mergeCell ref="CC61:CD61"/>
    <mergeCell ref="CE61:CF61"/>
    <mergeCell ref="CG61:CH61"/>
    <mergeCell ref="CI61:CJ61"/>
    <mergeCell ref="CK61:CL61"/>
    <mergeCell ref="BO61:BP61"/>
    <mergeCell ref="BQ61:BR61"/>
    <mergeCell ref="BS61:BT61"/>
    <mergeCell ref="BU61:BV61"/>
    <mergeCell ref="BW61:BX61"/>
    <mergeCell ref="BY61:BZ61"/>
    <mergeCell ref="BC61:BD61"/>
    <mergeCell ref="BE61:BF61"/>
    <mergeCell ref="BG61:BH61"/>
    <mergeCell ref="BI61:BJ61"/>
    <mergeCell ref="BK61:BL61"/>
    <mergeCell ref="BM61:BN61"/>
    <mergeCell ref="GE61:GF61"/>
    <mergeCell ref="GG61:GH61"/>
    <mergeCell ref="GI61:GJ61"/>
    <mergeCell ref="GK61:GL61"/>
    <mergeCell ref="GM61:GN61"/>
    <mergeCell ref="GO61:GP61"/>
    <mergeCell ref="FS61:FT61"/>
    <mergeCell ref="FU61:FV61"/>
    <mergeCell ref="FW61:FX61"/>
    <mergeCell ref="FY61:FZ61"/>
    <mergeCell ref="GA61:GB61"/>
    <mergeCell ref="GC61:GD61"/>
    <mergeCell ref="FG61:FH61"/>
    <mergeCell ref="FI61:FJ61"/>
    <mergeCell ref="FK61:FL61"/>
    <mergeCell ref="FM61:FN61"/>
    <mergeCell ref="FO61:FP61"/>
    <mergeCell ref="FQ61:FR61"/>
    <mergeCell ref="EU61:EV61"/>
    <mergeCell ref="EW61:EX61"/>
    <mergeCell ref="EY61:EZ61"/>
    <mergeCell ref="FA61:FB61"/>
    <mergeCell ref="FC61:FD61"/>
    <mergeCell ref="FE61:FF61"/>
    <mergeCell ref="EI61:EJ61"/>
    <mergeCell ref="EK61:EL61"/>
    <mergeCell ref="EM61:EN61"/>
    <mergeCell ref="EO61:EP61"/>
    <mergeCell ref="EQ61:ER61"/>
    <mergeCell ref="ES61:ET61"/>
    <mergeCell ref="DW61:DX61"/>
    <mergeCell ref="DY61:DZ61"/>
    <mergeCell ref="EA61:EB61"/>
    <mergeCell ref="EC61:ED61"/>
    <mergeCell ref="EE61:EF61"/>
    <mergeCell ref="EG61:EH61"/>
    <mergeCell ref="IY61:IZ61"/>
    <mergeCell ref="JA61:JB61"/>
    <mergeCell ref="JC61:JD61"/>
    <mergeCell ref="JE61:JF61"/>
    <mergeCell ref="JG61:JH61"/>
    <mergeCell ref="JI61:JJ61"/>
    <mergeCell ref="IM61:IN61"/>
    <mergeCell ref="IO61:IP61"/>
    <mergeCell ref="IQ61:IR61"/>
    <mergeCell ref="IS61:IT61"/>
    <mergeCell ref="IU61:IV61"/>
    <mergeCell ref="IW61:IX61"/>
    <mergeCell ref="IA61:IB61"/>
    <mergeCell ref="IC61:ID61"/>
    <mergeCell ref="IE61:IF61"/>
    <mergeCell ref="IG61:IH61"/>
    <mergeCell ref="II61:IJ61"/>
    <mergeCell ref="IK61:IL61"/>
    <mergeCell ref="HO61:HP61"/>
    <mergeCell ref="HQ61:HR61"/>
    <mergeCell ref="HS61:HT61"/>
    <mergeCell ref="HU61:HV61"/>
    <mergeCell ref="HW61:HX61"/>
    <mergeCell ref="HY61:HZ61"/>
    <mergeCell ref="HC61:HD61"/>
    <mergeCell ref="HE61:HF61"/>
    <mergeCell ref="HG61:HH61"/>
    <mergeCell ref="HI61:HJ61"/>
    <mergeCell ref="HK61:HL61"/>
    <mergeCell ref="HM61:HN61"/>
    <mergeCell ref="GQ61:GR61"/>
    <mergeCell ref="GS61:GT61"/>
    <mergeCell ref="GU61:GV61"/>
    <mergeCell ref="GW61:GX61"/>
    <mergeCell ref="GY61:GZ61"/>
    <mergeCell ref="HA61:HB61"/>
    <mergeCell ref="LS61:LT61"/>
    <mergeCell ref="LU61:LV61"/>
    <mergeCell ref="LW61:LX61"/>
    <mergeCell ref="LY61:LZ61"/>
    <mergeCell ref="MA61:MB61"/>
    <mergeCell ref="MC61:MD61"/>
    <mergeCell ref="LG61:LH61"/>
    <mergeCell ref="LI61:LJ61"/>
    <mergeCell ref="LK61:LL61"/>
    <mergeCell ref="LM61:LN61"/>
    <mergeCell ref="LO61:LP61"/>
    <mergeCell ref="LQ61:LR61"/>
    <mergeCell ref="KU61:KV61"/>
    <mergeCell ref="KW61:KX61"/>
    <mergeCell ref="KY61:KZ61"/>
    <mergeCell ref="LA61:LB61"/>
    <mergeCell ref="LC61:LD61"/>
    <mergeCell ref="LE61:LF61"/>
    <mergeCell ref="KI61:KJ61"/>
    <mergeCell ref="KK61:KL61"/>
    <mergeCell ref="KM61:KN61"/>
    <mergeCell ref="KO61:KP61"/>
    <mergeCell ref="KQ61:KR61"/>
    <mergeCell ref="KS61:KT61"/>
    <mergeCell ref="JW61:JX61"/>
    <mergeCell ref="JY61:JZ61"/>
    <mergeCell ref="KA61:KB61"/>
    <mergeCell ref="KC61:KD61"/>
    <mergeCell ref="KE61:KF61"/>
    <mergeCell ref="KG61:KH61"/>
    <mergeCell ref="JK61:JL61"/>
    <mergeCell ref="JM61:JN61"/>
    <mergeCell ref="JO61:JP61"/>
    <mergeCell ref="JQ61:JR61"/>
    <mergeCell ref="JS61:JT61"/>
    <mergeCell ref="JU61:JV61"/>
    <mergeCell ref="OM61:ON61"/>
    <mergeCell ref="OO61:OP61"/>
    <mergeCell ref="OQ61:OR61"/>
    <mergeCell ref="OS61:OT61"/>
    <mergeCell ref="OU61:OV61"/>
    <mergeCell ref="OW61:OX61"/>
    <mergeCell ref="OA61:OB61"/>
    <mergeCell ref="OC61:OD61"/>
    <mergeCell ref="OE61:OF61"/>
    <mergeCell ref="OG61:OH61"/>
    <mergeCell ref="OI61:OJ61"/>
    <mergeCell ref="OK61:OL61"/>
    <mergeCell ref="NO61:NP61"/>
    <mergeCell ref="NQ61:NR61"/>
    <mergeCell ref="NS61:NT61"/>
    <mergeCell ref="NU61:NV61"/>
    <mergeCell ref="NW61:NX61"/>
    <mergeCell ref="NY61:NZ61"/>
    <mergeCell ref="NC61:ND61"/>
    <mergeCell ref="NE61:NF61"/>
    <mergeCell ref="NG61:NH61"/>
    <mergeCell ref="NI61:NJ61"/>
    <mergeCell ref="NK61:NL61"/>
    <mergeCell ref="NM61:NN61"/>
    <mergeCell ref="MQ61:MR61"/>
    <mergeCell ref="MS61:MT61"/>
    <mergeCell ref="MU61:MV61"/>
    <mergeCell ref="MW61:MX61"/>
    <mergeCell ref="MY61:MZ61"/>
    <mergeCell ref="NA61:NB61"/>
    <mergeCell ref="ME61:MF61"/>
    <mergeCell ref="MG61:MH61"/>
    <mergeCell ref="MI61:MJ61"/>
    <mergeCell ref="MK61:ML61"/>
    <mergeCell ref="MM61:MN61"/>
    <mergeCell ref="MO61:MP61"/>
    <mergeCell ref="RG61:RH61"/>
    <mergeCell ref="RI61:RJ61"/>
    <mergeCell ref="RK61:RL61"/>
    <mergeCell ref="RM61:RN61"/>
    <mergeCell ref="RO61:RP61"/>
    <mergeCell ref="RQ61:RR61"/>
    <mergeCell ref="QU61:QV61"/>
    <mergeCell ref="QW61:QX61"/>
    <mergeCell ref="QY61:QZ61"/>
    <mergeCell ref="RA61:RB61"/>
    <mergeCell ref="RC61:RD61"/>
    <mergeCell ref="RE61:RF61"/>
    <mergeCell ref="QI61:QJ61"/>
    <mergeCell ref="QK61:QL61"/>
    <mergeCell ref="QM61:QN61"/>
    <mergeCell ref="QO61:QP61"/>
    <mergeCell ref="QQ61:QR61"/>
    <mergeCell ref="QS61:QT61"/>
    <mergeCell ref="PW61:PX61"/>
    <mergeCell ref="PY61:PZ61"/>
    <mergeCell ref="QA61:QB61"/>
    <mergeCell ref="QC61:QD61"/>
    <mergeCell ref="QE61:QF61"/>
    <mergeCell ref="QG61:QH61"/>
    <mergeCell ref="PK61:PL61"/>
    <mergeCell ref="PM61:PN61"/>
    <mergeCell ref="PO61:PP61"/>
    <mergeCell ref="PQ61:PR61"/>
    <mergeCell ref="PS61:PT61"/>
    <mergeCell ref="PU61:PV61"/>
    <mergeCell ref="OY61:OZ61"/>
    <mergeCell ref="PA61:PB61"/>
    <mergeCell ref="PC61:PD61"/>
    <mergeCell ref="PE61:PF61"/>
    <mergeCell ref="PG61:PH61"/>
    <mergeCell ref="PI61:PJ61"/>
    <mergeCell ref="UA61:UB61"/>
    <mergeCell ref="UC61:UD61"/>
    <mergeCell ref="UE61:UF61"/>
    <mergeCell ref="UG61:UH61"/>
    <mergeCell ref="UI61:UJ61"/>
    <mergeCell ref="UK61:UL61"/>
    <mergeCell ref="TO61:TP61"/>
    <mergeCell ref="TQ61:TR61"/>
    <mergeCell ref="TS61:TT61"/>
    <mergeCell ref="TU61:TV61"/>
    <mergeCell ref="TW61:TX61"/>
    <mergeCell ref="TY61:TZ61"/>
    <mergeCell ref="TC61:TD61"/>
    <mergeCell ref="TE61:TF61"/>
    <mergeCell ref="TG61:TH61"/>
    <mergeCell ref="TI61:TJ61"/>
    <mergeCell ref="TK61:TL61"/>
    <mergeCell ref="TM61:TN61"/>
    <mergeCell ref="SQ61:SR61"/>
    <mergeCell ref="SS61:ST61"/>
    <mergeCell ref="SU61:SV61"/>
    <mergeCell ref="SW61:SX61"/>
    <mergeCell ref="SY61:SZ61"/>
    <mergeCell ref="TA61:TB61"/>
    <mergeCell ref="SE61:SF61"/>
    <mergeCell ref="SG61:SH61"/>
    <mergeCell ref="SI61:SJ61"/>
    <mergeCell ref="SK61:SL61"/>
    <mergeCell ref="SM61:SN61"/>
    <mergeCell ref="SO61:SP61"/>
    <mergeCell ref="RS61:RT61"/>
    <mergeCell ref="RU61:RV61"/>
    <mergeCell ref="RW61:RX61"/>
    <mergeCell ref="RY61:RZ61"/>
    <mergeCell ref="SA61:SB61"/>
    <mergeCell ref="SC61:SD61"/>
    <mergeCell ref="WU61:WV61"/>
    <mergeCell ref="WW61:WX61"/>
    <mergeCell ref="WY61:WZ61"/>
    <mergeCell ref="XA61:XB61"/>
    <mergeCell ref="XC61:XD61"/>
    <mergeCell ref="XE61:XF61"/>
    <mergeCell ref="WI61:WJ61"/>
    <mergeCell ref="WK61:WL61"/>
    <mergeCell ref="WM61:WN61"/>
    <mergeCell ref="WO61:WP61"/>
    <mergeCell ref="WQ61:WR61"/>
    <mergeCell ref="WS61:WT61"/>
    <mergeCell ref="VW61:VX61"/>
    <mergeCell ref="VY61:VZ61"/>
    <mergeCell ref="WA61:WB61"/>
    <mergeCell ref="WC61:WD61"/>
    <mergeCell ref="WE61:WF61"/>
    <mergeCell ref="WG61:WH61"/>
    <mergeCell ref="VK61:VL61"/>
    <mergeCell ref="VM61:VN61"/>
    <mergeCell ref="VO61:VP61"/>
    <mergeCell ref="VQ61:VR61"/>
    <mergeCell ref="VS61:VT61"/>
    <mergeCell ref="VU61:VV61"/>
    <mergeCell ref="UY61:UZ61"/>
    <mergeCell ref="VA61:VB61"/>
    <mergeCell ref="VC61:VD61"/>
    <mergeCell ref="VE61:VF61"/>
    <mergeCell ref="VG61:VH61"/>
    <mergeCell ref="VI61:VJ61"/>
    <mergeCell ref="UM61:UN61"/>
    <mergeCell ref="UO61:UP61"/>
    <mergeCell ref="UQ61:UR61"/>
    <mergeCell ref="US61:UT61"/>
    <mergeCell ref="UU61:UV61"/>
    <mergeCell ref="UW61:UX61"/>
    <mergeCell ref="ZO61:ZP61"/>
    <mergeCell ref="ZQ61:ZR61"/>
    <mergeCell ref="ZS61:ZT61"/>
    <mergeCell ref="ZU61:ZV61"/>
    <mergeCell ref="ZW61:ZX61"/>
    <mergeCell ref="ZY61:ZZ61"/>
    <mergeCell ref="ZC61:ZD61"/>
    <mergeCell ref="ZE61:ZF61"/>
    <mergeCell ref="ZG61:ZH61"/>
    <mergeCell ref="ZI61:ZJ61"/>
    <mergeCell ref="ZK61:ZL61"/>
    <mergeCell ref="ZM61:ZN61"/>
    <mergeCell ref="YQ61:YR61"/>
    <mergeCell ref="YS61:YT61"/>
    <mergeCell ref="YU61:YV61"/>
    <mergeCell ref="YW61:YX61"/>
    <mergeCell ref="YY61:YZ61"/>
    <mergeCell ref="ZA61:ZB61"/>
    <mergeCell ref="YE61:YF61"/>
    <mergeCell ref="YG61:YH61"/>
    <mergeCell ref="YI61:YJ61"/>
    <mergeCell ref="YK61:YL61"/>
    <mergeCell ref="YM61:YN61"/>
    <mergeCell ref="YO61:YP61"/>
    <mergeCell ref="XS61:XT61"/>
    <mergeCell ref="XU61:XV61"/>
    <mergeCell ref="XW61:XX61"/>
    <mergeCell ref="XY61:XZ61"/>
    <mergeCell ref="YA61:YB61"/>
    <mergeCell ref="YC61:YD61"/>
    <mergeCell ref="XG61:XH61"/>
    <mergeCell ref="XI61:XJ61"/>
    <mergeCell ref="XK61:XL61"/>
    <mergeCell ref="XM61:XN61"/>
    <mergeCell ref="XO61:XP61"/>
    <mergeCell ref="XQ61:XR61"/>
    <mergeCell ref="ACI61:ACJ61"/>
    <mergeCell ref="ACK61:ACL61"/>
    <mergeCell ref="ACM61:ACN61"/>
    <mergeCell ref="ACO61:ACP61"/>
    <mergeCell ref="ACQ61:ACR61"/>
    <mergeCell ref="ACS61:ACT61"/>
    <mergeCell ref="ABW61:ABX61"/>
    <mergeCell ref="ABY61:ABZ61"/>
    <mergeCell ref="ACA61:ACB61"/>
    <mergeCell ref="ACC61:ACD61"/>
    <mergeCell ref="ACE61:ACF61"/>
    <mergeCell ref="ACG61:ACH61"/>
    <mergeCell ref="ABK61:ABL61"/>
    <mergeCell ref="ABM61:ABN61"/>
    <mergeCell ref="ABO61:ABP61"/>
    <mergeCell ref="ABQ61:ABR61"/>
    <mergeCell ref="ABS61:ABT61"/>
    <mergeCell ref="ABU61:ABV61"/>
    <mergeCell ref="AAY61:AAZ61"/>
    <mergeCell ref="ABA61:ABB61"/>
    <mergeCell ref="ABC61:ABD61"/>
    <mergeCell ref="ABE61:ABF61"/>
    <mergeCell ref="ABG61:ABH61"/>
    <mergeCell ref="ABI61:ABJ61"/>
    <mergeCell ref="AAM61:AAN61"/>
    <mergeCell ref="AAO61:AAP61"/>
    <mergeCell ref="AAQ61:AAR61"/>
    <mergeCell ref="AAS61:AAT61"/>
    <mergeCell ref="AAU61:AAV61"/>
    <mergeCell ref="AAW61:AAX61"/>
    <mergeCell ref="AAA61:AAB61"/>
    <mergeCell ref="AAC61:AAD61"/>
    <mergeCell ref="AAE61:AAF61"/>
    <mergeCell ref="AAG61:AAH61"/>
    <mergeCell ref="AAI61:AAJ61"/>
    <mergeCell ref="AAK61:AAL61"/>
    <mergeCell ref="AFC61:AFD61"/>
    <mergeCell ref="AFE61:AFF61"/>
    <mergeCell ref="AFG61:AFH61"/>
    <mergeCell ref="AFI61:AFJ61"/>
    <mergeCell ref="AFK61:AFL61"/>
    <mergeCell ref="AFM61:AFN61"/>
    <mergeCell ref="AEQ61:AER61"/>
    <mergeCell ref="AES61:AET61"/>
    <mergeCell ref="AEU61:AEV61"/>
    <mergeCell ref="AEW61:AEX61"/>
    <mergeCell ref="AEY61:AEZ61"/>
    <mergeCell ref="AFA61:AFB61"/>
    <mergeCell ref="AEE61:AEF61"/>
    <mergeCell ref="AEG61:AEH61"/>
    <mergeCell ref="AEI61:AEJ61"/>
    <mergeCell ref="AEK61:AEL61"/>
    <mergeCell ref="AEM61:AEN61"/>
    <mergeCell ref="AEO61:AEP61"/>
    <mergeCell ref="ADS61:ADT61"/>
    <mergeCell ref="ADU61:ADV61"/>
    <mergeCell ref="ADW61:ADX61"/>
    <mergeCell ref="ADY61:ADZ61"/>
    <mergeCell ref="AEA61:AEB61"/>
    <mergeCell ref="AEC61:AED61"/>
    <mergeCell ref="ADG61:ADH61"/>
    <mergeCell ref="ADI61:ADJ61"/>
    <mergeCell ref="ADK61:ADL61"/>
    <mergeCell ref="ADM61:ADN61"/>
    <mergeCell ref="ADO61:ADP61"/>
    <mergeCell ref="ADQ61:ADR61"/>
    <mergeCell ref="ACU61:ACV61"/>
    <mergeCell ref="ACW61:ACX61"/>
    <mergeCell ref="ACY61:ACZ61"/>
    <mergeCell ref="ADA61:ADB61"/>
    <mergeCell ref="ADC61:ADD61"/>
    <mergeCell ref="ADE61:ADF61"/>
    <mergeCell ref="AHW61:AHX61"/>
    <mergeCell ref="AHY61:AHZ61"/>
    <mergeCell ref="AIA61:AIB61"/>
    <mergeCell ref="AIC61:AID61"/>
    <mergeCell ref="AIE61:AIF61"/>
    <mergeCell ref="AIG61:AIH61"/>
    <mergeCell ref="AHK61:AHL61"/>
    <mergeCell ref="AHM61:AHN61"/>
    <mergeCell ref="AHO61:AHP61"/>
    <mergeCell ref="AHQ61:AHR61"/>
    <mergeCell ref="AHS61:AHT61"/>
    <mergeCell ref="AHU61:AHV61"/>
    <mergeCell ref="AGY61:AGZ61"/>
    <mergeCell ref="AHA61:AHB61"/>
    <mergeCell ref="AHC61:AHD61"/>
    <mergeCell ref="AHE61:AHF61"/>
    <mergeCell ref="AHG61:AHH61"/>
    <mergeCell ref="AHI61:AHJ61"/>
    <mergeCell ref="AGM61:AGN61"/>
    <mergeCell ref="AGO61:AGP61"/>
    <mergeCell ref="AGQ61:AGR61"/>
    <mergeCell ref="AGS61:AGT61"/>
    <mergeCell ref="AGU61:AGV61"/>
    <mergeCell ref="AGW61:AGX61"/>
    <mergeCell ref="AGA61:AGB61"/>
    <mergeCell ref="AGC61:AGD61"/>
    <mergeCell ref="AGE61:AGF61"/>
    <mergeCell ref="AGG61:AGH61"/>
    <mergeCell ref="AGI61:AGJ61"/>
    <mergeCell ref="AGK61:AGL61"/>
    <mergeCell ref="AFO61:AFP61"/>
    <mergeCell ref="AFQ61:AFR61"/>
    <mergeCell ref="AFS61:AFT61"/>
    <mergeCell ref="AFU61:AFV61"/>
    <mergeCell ref="AFW61:AFX61"/>
    <mergeCell ref="AFY61:AFZ61"/>
    <mergeCell ref="AKQ61:AKR61"/>
    <mergeCell ref="AKS61:AKT61"/>
    <mergeCell ref="AKU61:AKV61"/>
    <mergeCell ref="AKW61:AKX61"/>
    <mergeCell ref="AKY61:AKZ61"/>
    <mergeCell ref="ALA61:ALB61"/>
    <mergeCell ref="AKE61:AKF61"/>
    <mergeCell ref="AKG61:AKH61"/>
    <mergeCell ref="AKI61:AKJ61"/>
    <mergeCell ref="AKK61:AKL61"/>
    <mergeCell ref="AKM61:AKN61"/>
    <mergeCell ref="AKO61:AKP61"/>
    <mergeCell ref="AJS61:AJT61"/>
    <mergeCell ref="AJU61:AJV61"/>
    <mergeCell ref="AJW61:AJX61"/>
    <mergeCell ref="AJY61:AJZ61"/>
    <mergeCell ref="AKA61:AKB61"/>
    <mergeCell ref="AKC61:AKD61"/>
    <mergeCell ref="AJG61:AJH61"/>
    <mergeCell ref="AJI61:AJJ61"/>
    <mergeCell ref="AJK61:AJL61"/>
    <mergeCell ref="AJM61:AJN61"/>
    <mergeCell ref="AJO61:AJP61"/>
    <mergeCell ref="AJQ61:AJR61"/>
    <mergeCell ref="AIU61:AIV61"/>
    <mergeCell ref="AIW61:AIX61"/>
    <mergeCell ref="AIY61:AIZ61"/>
    <mergeCell ref="AJA61:AJB61"/>
    <mergeCell ref="AJC61:AJD61"/>
    <mergeCell ref="AJE61:AJF61"/>
    <mergeCell ref="AII61:AIJ61"/>
    <mergeCell ref="AIK61:AIL61"/>
    <mergeCell ref="AIM61:AIN61"/>
    <mergeCell ref="AIO61:AIP61"/>
    <mergeCell ref="AIQ61:AIR61"/>
    <mergeCell ref="AIS61:AIT61"/>
    <mergeCell ref="ANK61:ANL61"/>
    <mergeCell ref="ANM61:ANN61"/>
    <mergeCell ref="ANO61:ANP61"/>
    <mergeCell ref="ANQ61:ANR61"/>
    <mergeCell ref="ANS61:ANT61"/>
    <mergeCell ref="ANU61:ANV61"/>
    <mergeCell ref="AMY61:AMZ61"/>
    <mergeCell ref="ANA61:ANB61"/>
    <mergeCell ref="ANC61:AND61"/>
    <mergeCell ref="ANE61:ANF61"/>
    <mergeCell ref="ANG61:ANH61"/>
    <mergeCell ref="ANI61:ANJ61"/>
    <mergeCell ref="AMM61:AMN61"/>
    <mergeCell ref="AMO61:AMP61"/>
    <mergeCell ref="AMQ61:AMR61"/>
    <mergeCell ref="AMS61:AMT61"/>
    <mergeCell ref="AMU61:AMV61"/>
    <mergeCell ref="AMW61:AMX61"/>
    <mergeCell ref="AMA61:AMB61"/>
    <mergeCell ref="AMC61:AMD61"/>
    <mergeCell ref="AME61:AMF61"/>
    <mergeCell ref="AMG61:AMH61"/>
    <mergeCell ref="AMI61:AMJ61"/>
    <mergeCell ref="AMK61:AML61"/>
    <mergeCell ref="ALO61:ALP61"/>
    <mergeCell ref="ALQ61:ALR61"/>
    <mergeCell ref="ALS61:ALT61"/>
    <mergeCell ref="ALU61:ALV61"/>
    <mergeCell ref="ALW61:ALX61"/>
    <mergeCell ref="ALY61:ALZ61"/>
    <mergeCell ref="ALC61:ALD61"/>
    <mergeCell ref="ALE61:ALF61"/>
    <mergeCell ref="ALG61:ALH61"/>
    <mergeCell ref="ALI61:ALJ61"/>
    <mergeCell ref="ALK61:ALL61"/>
    <mergeCell ref="ALM61:ALN61"/>
    <mergeCell ref="AQE61:AQF61"/>
    <mergeCell ref="AQG61:AQH61"/>
    <mergeCell ref="AQI61:AQJ61"/>
    <mergeCell ref="AQK61:AQL61"/>
    <mergeCell ref="AQM61:AQN61"/>
    <mergeCell ref="AQO61:AQP61"/>
    <mergeCell ref="APS61:APT61"/>
    <mergeCell ref="APU61:APV61"/>
    <mergeCell ref="APW61:APX61"/>
    <mergeCell ref="APY61:APZ61"/>
    <mergeCell ref="AQA61:AQB61"/>
    <mergeCell ref="AQC61:AQD61"/>
    <mergeCell ref="APG61:APH61"/>
    <mergeCell ref="API61:APJ61"/>
    <mergeCell ref="APK61:APL61"/>
    <mergeCell ref="APM61:APN61"/>
    <mergeCell ref="APO61:APP61"/>
    <mergeCell ref="APQ61:APR61"/>
    <mergeCell ref="AOU61:AOV61"/>
    <mergeCell ref="AOW61:AOX61"/>
    <mergeCell ref="AOY61:AOZ61"/>
    <mergeCell ref="APA61:APB61"/>
    <mergeCell ref="APC61:APD61"/>
    <mergeCell ref="APE61:APF61"/>
    <mergeCell ref="AOI61:AOJ61"/>
    <mergeCell ref="AOK61:AOL61"/>
    <mergeCell ref="AOM61:AON61"/>
    <mergeCell ref="AOO61:AOP61"/>
    <mergeCell ref="AOQ61:AOR61"/>
    <mergeCell ref="AOS61:AOT61"/>
    <mergeCell ref="ANW61:ANX61"/>
    <mergeCell ref="ANY61:ANZ61"/>
    <mergeCell ref="AOA61:AOB61"/>
    <mergeCell ref="AOC61:AOD61"/>
    <mergeCell ref="AOE61:AOF61"/>
    <mergeCell ref="AOG61:AOH61"/>
    <mergeCell ref="ASY61:ASZ61"/>
    <mergeCell ref="ATA61:ATB61"/>
    <mergeCell ref="ATC61:ATD61"/>
    <mergeCell ref="ATE61:ATF61"/>
    <mergeCell ref="ATG61:ATH61"/>
    <mergeCell ref="ATI61:ATJ61"/>
    <mergeCell ref="ASM61:ASN61"/>
    <mergeCell ref="ASO61:ASP61"/>
    <mergeCell ref="ASQ61:ASR61"/>
    <mergeCell ref="ASS61:AST61"/>
    <mergeCell ref="ASU61:ASV61"/>
    <mergeCell ref="ASW61:ASX61"/>
    <mergeCell ref="ASA61:ASB61"/>
    <mergeCell ref="ASC61:ASD61"/>
    <mergeCell ref="ASE61:ASF61"/>
    <mergeCell ref="ASG61:ASH61"/>
    <mergeCell ref="ASI61:ASJ61"/>
    <mergeCell ref="ASK61:ASL61"/>
    <mergeCell ref="ARO61:ARP61"/>
    <mergeCell ref="ARQ61:ARR61"/>
    <mergeCell ref="ARS61:ART61"/>
    <mergeCell ref="ARU61:ARV61"/>
    <mergeCell ref="ARW61:ARX61"/>
    <mergeCell ref="ARY61:ARZ61"/>
    <mergeCell ref="ARC61:ARD61"/>
    <mergeCell ref="ARE61:ARF61"/>
    <mergeCell ref="ARG61:ARH61"/>
    <mergeCell ref="ARI61:ARJ61"/>
    <mergeCell ref="ARK61:ARL61"/>
    <mergeCell ref="ARM61:ARN61"/>
    <mergeCell ref="AQQ61:AQR61"/>
    <mergeCell ref="AQS61:AQT61"/>
    <mergeCell ref="AQU61:AQV61"/>
    <mergeCell ref="AQW61:AQX61"/>
    <mergeCell ref="AQY61:AQZ61"/>
    <mergeCell ref="ARA61:ARB61"/>
    <mergeCell ref="AVS61:AVT61"/>
    <mergeCell ref="AVU61:AVV61"/>
    <mergeCell ref="AVW61:AVX61"/>
    <mergeCell ref="AVY61:AVZ61"/>
    <mergeCell ref="AWA61:AWB61"/>
    <mergeCell ref="AWC61:AWD61"/>
    <mergeCell ref="AVG61:AVH61"/>
    <mergeCell ref="AVI61:AVJ61"/>
    <mergeCell ref="AVK61:AVL61"/>
    <mergeCell ref="AVM61:AVN61"/>
    <mergeCell ref="AVO61:AVP61"/>
    <mergeCell ref="AVQ61:AVR61"/>
    <mergeCell ref="AUU61:AUV61"/>
    <mergeCell ref="AUW61:AUX61"/>
    <mergeCell ref="AUY61:AUZ61"/>
    <mergeCell ref="AVA61:AVB61"/>
    <mergeCell ref="AVC61:AVD61"/>
    <mergeCell ref="AVE61:AVF61"/>
    <mergeCell ref="AUI61:AUJ61"/>
    <mergeCell ref="AUK61:AUL61"/>
    <mergeCell ref="AUM61:AUN61"/>
    <mergeCell ref="AUO61:AUP61"/>
    <mergeCell ref="AUQ61:AUR61"/>
    <mergeCell ref="AUS61:AUT61"/>
    <mergeCell ref="ATW61:ATX61"/>
    <mergeCell ref="ATY61:ATZ61"/>
    <mergeCell ref="AUA61:AUB61"/>
    <mergeCell ref="AUC61:AUD61"/>
    <mergeCell ref="AUE61:AUF61"/>
    <mergeCell ref="AUG61:AUH61"/>
    <mergeCell ref="ATK61:ATL61"/>
    <mergeCell ref="ATM61:ATN61"/>
    <mergeCell ref="ATO61:ATP61"/>
    <mergeCell ref="ATQ61:ATR61"/>
    <mergeCell ref="ATS61:ATT61"/>
    <mergeCell ref="ATU61:ATV61"/>
    <mergeCell ref="AYM61:AYN61"/>
    <mergeCell ref="AYO61:AYP61"/>
    <mergeCell ref="AYQ61:AYR61"/>
    <mergeCell ref="AYS61:AYT61"/>
    <mergeCell ref="AYU61:AYV61"/>
    <mergeCell ref="AYW61:AYX61"/>
    <mergeCell ref="AYA61:AYB61"/>
    <mergeCell ref="AYC61:AYD61"/>
    <mergeCell ref="AYE61:AYF61"/>
    <mergeCell ref="AYG61:AYH61"/>
    <mergeCell ref="AYI61:AYJ61"/>
    <mergeCell ref="AYK61:AYL61"/>
    <mergeCell ref="AXO61:AXP61"/>
    <mergeCell ref="AXQ61:AXR61"/>
    <mergeCell ref="AXS61:AXT61"/>
    <mergeCell ref="AXU61:AXV61"/>
    <mergeCell ref="AXW61:AXX61"/>
    <mergeCell ref="AXY61:AXZ61"/>
    <mergeCell ref="AXC61:AXD61"/>
    <mergeCell ref="AXE61:AXF61"/>
    <mergeCell ref="AXG61:AXH61"/>
    <mergeCell ref="AXI61:AXJ61"/>
    <mergeCell ref="AXK61:AXL61"/>
    <mergeCell ref="AXM61:AXN61"/>
    <mergeCell ref="AWQ61:AWR61"/>
    <mergeCell ref="AWS61:AWT61"/>
    <mergeCell ref="AWU61:AWV61"/>
    <mergeCell ref="AWW61:AWX61"/>
    <mergeCell ref="AWY61:AWZ61"/>
    <mergeCell ref="AXA61:AXB61"/>
    <mergeCell ref="AWE61:AWF61"/>
    <mergeCell ref="AWG61:AWH61"/>
    <mergeCell ref="AWI61:AWJ61"/>
    <mergeCell ref="AWK61:AWL61"/>
    <mergeCell ref="AWM61:AWN61"/>
    <mergeCell ref="AWO61:AWP61"/>
    <mergeCell ref="BBG61:BBH61"/>
    <mergeCell ref="BBI61:BBJ61"/>
    <mergeCell ref="BBK61:BBL61"/>
    <mergeCell ref="BBM61:BBN61"/>
    <mergeCell ref="BBO61:BBP61"/>
    <mergeCell ref="BBQ61:BBR61"/>
    <mergeCell ref="BAU61:BAV61"/>
    <mergeCell ref="BAW61:BAX61"/>
    <mergeCell ref="BAY61:BAZ61"/>
    <mergeCell ref="BBA61:BBB61"/>
    <mergeCell ref="BBC61:BBD61"/>
    <mergeCell ref="BBE61:BBF61"/>
    <mergeCell ref="BAI61:BAJ61"/>
    <mergeCell ref="BAK61:BAL61"/>
    <mergeCell ref="BAM61:BAN61"/>
    <mergeCell ref="BAO61:BAP61"/>
    <mergeCell ref="BAQ61:BAR61"/>
    <mergeCell ref="BAS61:BAT61"/>
    <mergeCell ref="AZW61:AZX61"/>
    <mergeCell ref="AZY61:AZZ61"/>
    <mergeCell ref="BAA61:BAB61"/>
    <mergeCell ref="BAC61:BAD61"/>
    <mergeCell ref="BAE61:BAF61"/>
    <mergeCell ref="BAG61:BAH61"/>
    <mergeCell ref="AZK61:AZL61"/>
    <mergeCell ref="AZM61:AZN61"/>
    <mergeCell ref="AZO61:AZP61"/>
    <mergeCell ref="AZQ61:AZR61"/>
    <mergeCell ref="AZS61:AZT61"/>
    <mergeCell ref="AZU61:AZV61"/>
    <mergeCell ref="AYY61:AYZ61"/>
    <mergeCell ref="AZA61:AZB61"/>
    <mergeCell ref="AZC61:AZD61"/>
    <mergeCell ref="AZE61:AZF61"/>
    <mergeCell ref="AZG61:AZH61"/>
    <mergeCell ref="AZI61:AZJ61"/>
    <mergeCell ref="BEA61:BEB61"/>
    <mergeCell ref="BEC61:BED61"/>
    <mergeCell ref="BEE61:BEF61"/>
    <mergeCell ref="BEG61:BEH61"/>
    <mergeCell ref="BEI61:BEJ61"/>
    <mergeCell ref="BEK61:BEL61"/>
    <mergeCell ref="BDO61:BDP61"/>
    <mergeCell ref="BDQ61:BDR61"/>
    <mergeCell ref="BDS61:BDT61"/>
    <mergeCell ref="BDU61:BDV61"/>
    <mergeCell ref="BDW61:BDX61"/>
    <mergeCell ref="BDY61:BDZ61"/>
    <mergeCell ref="BDC61:BDD61"/>
    <mergeCell ref="BDE61:BDF61"/>
    <mergeCell ref="BDG61:BDH61"/>
    <mergeCell ref="BDI61:BDJ61"/>
    <mergeCell ref="BDK61:BDL61"/>
    <mergeCell ref="BDM61:BDN61"/>
    <mergeCell ref="BCQ61:BCR61"/>
    <mergeCell ref="BCS61:BCT61"/>
    <mergeCell ref="BCU61:BCV61"/>
    <mergeCell ref="BCW61:BCX61"/>
    <mergeCell ref="BCY61:BCZ61"/>
    <mergeCell ref="BDA61:BDB61"/>
    <mergeCell ref="BCE61:BCF61"/>
    <mergeCell ref="BCG61:BCH61"/>
    <mergeCell ref="BCI61:BCJ61"/>
    <mergeCell ref="BCK61:BCL61"/>
    <mergeCell ref="BCM61:BCN61"/>
    <mergeCell ref="BCO61:BCP61"/>
    <mergeCell ref="BBS61:BBT61"/>
    <mergeCell ref="BBU61:BBV61"/>
    <mergeCell ref="BBW61:BBX61"/>
    <mergeCell ref="BBY61:BBZ61"/>
    <mergeCell ref="BCA61:BCB61"/>
    <mergeCell ref="BCC61:BCD61"/>
    <mergeCell ref="BGU61:BGV61"/>
    <mergeCell ref="BGW61:BGX61"/>
    <mergeCell ref="BGY61:BGZ61"/>
    <mergeCell ref="BHA61:BHB61"/>
    <mergeCell ref="BHC61:BHD61"/>
    <mergeCell ref="BHE61:BHF61"/>
    <mergeCell ref="BGI61:BGJ61"/>
    <mergeCell ref="BGK61:BGL61"/>
    <mergeCell ref="BGM61:BGN61"/>
    <mergeCell ref="BGO61:BGP61"/>
    <mergeCell ref="BGQ61:BGR61"/>
    <mergeCell ref="BGS61:BGT61"/>
    <mergeCell ref="BFW61:BFX61"/>
    <mergeCell ref="BFY61:BFZ61"/>
    <mergeCell ref="BGA61:BGB61"/>
    <mergeCell ref="BGC61:BGD61"/>
    <mergeCell ref="BGE61:BGF61"/>
    <mergeCell ref="BGG61:BGH61"/>
    <mergeCell ref="BFK61:BFL61"/>
    <mergeCell ref="BFM61:BFN61"/>
    <mergeCell ref="BFO61:BFP61"/>
    <mergeCell ref="BFQ61:BFR61"/>
    <mergeCell ref="BFS61:BFT61"/>
    <mergeCell ref="BFU61:BFV61"/>
    <mergeCell ref="BEY61:BEZ61"/>
    <mergeCell ref="BFA61:BFB61"/>
    <mergeCell ref="BFC61:BFD61"/>
    <mergeCell ref="BFE61:BFF61"/>
    <mergeCell ref="BFG61:BFH61"/>
    <mergeCell ref="BFI61:BFJ61"/>
    <mergeCell ref="BEM61:BEN61"/>
    <mergeCell ref="BEO61:BEP61"/>
    <mergeCell ref="BEQ61:BER61"/>
    <mergeCell ref="BES61:BET61"/>
    <mergeCell ref="BEU61:BEV61"/>
    <mergeCell ref="BEW61:BEX61"/>
    <mergeCell ref="BJO61:BJP61"/>
    <mergeCell ref="BJQ61:BJR61"/>
    <mergeCell ref="BJS61:BJT61"/>
    <mergeCell ref="BJU61:BJV61"/>
    <mergeCell ref="BJW61:BJX61"/>
    <mergeCell ref="BJY61:BJZ61"/>
    <mergeCell ref="BJC61:BJD61"/>
    <mergeCell ref="BJE61:BJF61"/>
    <mergeCell ref="BJG61:BJH61"/>
    <mergeCell ref="BJI61:BJJ61"/>
    <mergeCell ref="BJK61:BJL61"/>
    <mergeCell ref="BJM61:BJN61"/>
    <mergeCell ref="BIQ61:BIR61"/>
    <mergeCell ref="BIS61:BIT61"/>
    <mergeCell ref="BIU61:BIV61"/>
    <mergeCell ref="BIW61:BIX61"/>
    <mergeCell ref="BIY61:BIZ61"/>
    <mergeCell ref="BJA61:BJB61"/>
    <mergeCell ref="BIE61:BIF61"/>
    <mergeCell ref="BIG61:BIH61"/>
    <mergeCell ref="BII61:BIJ61"/>
    <mergeCell ref="BIK61:BIL61"/>
    <mergeCell ref="BIM61:BIN61"/>
    <mergeCell ref="BIO61:BIP61"/>
    <mergeCell ref="BHS61:BHT61"/>
    <mergeCell ref="BHU61:BHV61"/>
    <mergeCell ref="BHW61:BHX61"/>
    <mergeCell ref="BHY61:BHZ61"/>
    <mergeCell ref="BIA61:BIB61"/>
    <mergeCell ref="BIC61:BID61"/>
    <mergeCell ref="BHG61:BHH61"/>
    <mergeCell ref="BHI61:BHJ61"/>
    <mergeCell ref="BHK61:BHL61"/>
    <mergeCell ref="BHM61:BHN61"/>
    <mergeCell ref="BHO61:BHP61"/>
    <mergeCell ref="BHQ61:BHR61"/>
    <mergeCell ref="BMI61:BMJ61"/>
    <mergeCell ref="BMK61:BML61"/>
    <mergeCell ref="BMM61:BMN61"/>
    <mergeCell ref="BMO61:BMP61"/>
    <mergeCell ref="BMQ61:BMR61"/>
    <mergeCell ref="BMS61:BMT61"/>
    <mergeCell ref="BLW61:BLX61"/>
    <mergeCell ref="BLY61:BLZ61"/>
    <mergeCell ref="BMA61:BMB61"/>
    <mergeCell ref="BMC61:BMD61"/>
    <mergeCell ref="BME61:BMF61"/>
    <mergeCell ref="BMG61:BMH61"/>
    <mergeCell ref="BLK61:BLL61"/>
    <mergeCell ref="BLM61:BLN61"/>
    <mergeCell ref="BLO61:BLP61"/>
    <mergeCell ref="BLQ61:BLR61"/>
    <mergeCell ref="BLS61:BLT61"/>
    <mergeCell ref="BLU61:BLV61"/>
    <mergeCell ref="BKY61:BKZ61"/>
    <mergeCell ref="BLA61:BLB61"/>
    <mergeCell ref="BLC61:BLD61"/>
    <mergeCell ref="BLE61:BLF61"/>
    <mergeCell ref="BLG61:BLH61"/>
    <mergeCell ref="BLI61:BLJ61"/>
    <mergeCell ref="BKM61:BKN61"/>
    <mergeCell ref="BKO61:BKP61"/>
    <mergeCell ref="BKQ61:BKR61"/>
    <mergeCell ref="BKS61:BKT61"/>
    <mergeCell ref="BKU61:BKV61"/>
    <mergeCell ref="BKW61:BKX61"/>
    <mergeCell ref="BKA61:BKB61"/>
    <mergeCell ref="BKC61:BKD61"/>
    <mergeCell ref="BKE61:BKF61"/>
    <mergeCell ref="BKG61:BKH61"/>
    <mergeCell ref="BKI61:BKJ61"/>
    <mergeCell ref="BKK61:BKL61"/>
    <mergeCell ref="BPC61:BPD61"/>
    <mergeCell ref="BPE61:BPF61"/>
    <mergeCell ref="BPG61:BPH61"/>
    <mergeCell ref="BPI61:BPJ61"/>
    <mergeCell ref="BPK61:BPL61"/>
    <mergeCell ref="BPM61:BPN61"/>
    <mergeCell ref="BOQ61:BOR61"/>
    <mergeCell ref="BOS61:BOT61"/>
    <mergeCell ref="BOU61:BOV61"/>
    <mergeCell ref="BOW61:BOX61"/>
    <mergeCell ref="BOY61:BOZ61"/>
    <mergeCell ref="BPA61:BPB61"/>
    <mergeCell ref="BOE61:BOF61"/>
    <mergeCell ref="BOG61:BOH61"/>
    <mergeCell ref="BOI61:BOJ61"/>
    <mergeCell ref="BOK61:BOL61"/>
    <mergeCell ref="BOM61:BON61"/>
    <mergeCell ref="BOO61:BOP61"/>
    <mergeCell ref="BNS61:BNT61"/>
    <mergeCell ref="BNU61:BNV61"/>
    <mergeCell ref="BNW61:BNX61"/>
    <mergeCell ref="BNY61:BNZ61"/>
    <mergeCell ref="BOA61:BOB61"/>
    <mergeCell ref="BOC61:BOD61"/>
    <mergeCell ref="BNG61:BNH61"/>
    <mergeCell ref="BNI61:BNJ61"/>
    <mergeCell ref="BNK61:BNL61"/>
    <mergeCell ref="BNM61:BNN61"/>
    <mergeCell ref="BNO61:BNP61"/>
    <mergeCell ref="BNQ61:BNR61"/>
    <mergeCell ref="BMU61:BMV61"/>
    <mergeCell ref="BMW61:BMX61"/>
    <mergeCell ref="BMY61:BMZ61"/>
    <mergeCell ref="BNA61:BNB61"/>
    <mergeCell ref="BNC61:BND61"/>
    <mergeCell ref="BNE61:BNF61"/>
    <mergeCell ref="BRW61:BRX61"/>
    <mergeCell ref="BRY61:BRZ61"/>
    <mergeCell ref="BSA61:BSB61"/>
    <mergeCell ref="BSC61:BSD61"/>
    <mergeCell ref="BSE61:BSF61"/>
    <mergeCell ref="BSG61:BSH61"/>
    <mergeCell ref="BRK61:BRL61"/>
    <mergeCell ref="BRM61:BRN61"/>
    <mergeCell ref="BRO61:BRP61"/>
    <mergeCell ref="BRQ61:BRR61"/>
    <mergeCell ref="BRS61:BRT61"/>
    <mergeCell ref="BRU61:BRV61"/>
    <mergeCell ref="BQY61:BQZ61"/>
    <mergeCell ref="BRA61:BRB61"/>
    <mergeCell ref="BRC61:BRD61"/>
    <mergeCell ref="BRE61:BRF61"/>
    <mergeCell ref="BRG61:BRH61"/>
    <mergeCell ref="BRI61:BRJ61"/>
    <mergeCell ref="BQM61:BQN61"/>
    <mergeCell ref="BQO61:BQP61"/>
    <mergeCell ref="BQQ61:BQR61"/>
    <mergeCell ref="BQS61:BQT61"/>
    <mergeCell ref="BQU61:BQV61"/>
    <mergeCell ref="BQW61:BQX61"/>
    <mergeCell ref="BQA61:BQB61"/>
    <mergeCell ref="BQC61:BQD61"/>
    <mergeCell ref="BQE61:BQF61"/>
    <mergeCell ref="BQG61:BQH61"/>
    <mergeCell ref="BQI61:BQJ61"/>
    <mergeCell ref="BQK61:BQL61"/>
    <mergeCell ref="BPO61:BPP61"/>
    <mergeCell ref="BPQ61:BPR61"/>
    <mergeCell ref="BPS61:BPT61"/>
    <mergeCell ref="BPU61:BPV61"/>
    <mergeCell ref="BPW61:BPX61"/>
    <mergeCell ref="BPY61:BPZ61"/>
    <mergeCell ref="BUQ61:BUR61"/>
    <mergeCell ref="BUS61:BUT61"/>
    <mergeCell ref="BUU61:BUV61"/>
    <mergeCell ref="BUW61:BUX61"/>
    <mergeCell ref="BUY61:BUZ61"/>
    <mergeCell ref="BVA61:BVB61"/>
    <mergeCell ref="BUE61:BUF61"/>
    <mergeCell ref="BUG61:BUH61"/>
    <mergeCell ref="BUI61:BUJ61"/>
    <mergeCell ref="BUK61:BUL61"/>
    <mergeCell ref="BUM61:BUN61"/>
    <mergeCell ref="BUO61:BUP61"/>
    <mergeCell ref="BTS61:BTT61"/>
    <mergeCell ref="BTU61:BTV61"/>
    <mergeCell ref="BTW61:BTX61"/>
    <mergeCell ref="BTY61:BTZ61"/>
    <mergeCell ref="BUA61:BUB61"/>
    <mergeCell ref="BUC61:BUD61"/>
    <mergeCell ref="BTG61:BTH61"/>
    <mergeCell ref="BTI61:BTJ61"/>
    <mergeCell ref="BTK61:BTL61"/>
    <mergeCell ref="BTM61:BTN61"/>
    <mergeCell ref="BTO61:BTP61"/>
    <mergeCell ref="BTQ61:BTR61"/>
    <mergeCell ref="BSU61:BSV61"/>
    <mergeCell ref="BSW61:BSX61"/>
    <mergeCell ref="BSY61:BSZ61"/>
    <mergeCell ref="BTA61:BTB61"/>
    <mergeCell ref="BTC61:BTD61"/>
    <mergeCell ref="BTE61:BTF61"/>
    <mergeCell ref="BSI61:BSJ61"/>
    <mergeCell ref="BSK61:BSL61"/>
    <mergeCell ref="BSM61:BSN61"/>
    <mergeCell ref="BSO61:BSP61"/>
    <mergeCell ref="BSQ61:BSR61"/>
    <mergeCell ref="BSS61:BST61"/>
    <mergeCell ref="BXK61:BXL61"/>
    <mergeCell ref="BXM61:BXN61"/>
    <mergeCell ref="BXO61:BXP61"/>
    <mergeCell ref="BXQ61:BXR61"/>
    <mergeCell ref="BXS61:BXT61"/>
    <mergeCell ref="BXU61:BXV61"/>
    <mergeCell ref="BWY61:BWZ61"/>
    <mergeCell ref="BXA61:BXB61"/>
    <mergeCell ref="BXC61:BXD61"/>
    <mergeCell ref="BXE61:BXF61"/>
    <mergeCell ref="BXG61:BXH61"/>
    <mergeCell ref="BXI61:BXJ61"/>
    <mergeCell ref="BWM61:BWN61"/>
    <mergeCell ref="BWO61:BWP61"/>
    <mergeCell ref="BWQ61:BWR61"/>
    <mergeCell ref="BWS61:BWT61"/>
    <mergeCell ref="BWU61:BWV61"/>
    <mergeCell ref="BWW61:BWX61"/>
    <mergeCell ref="BWA61:BWB61"/>
    <mergeCell ref="BWC61:BWD61"/>
    <mergeCell ref="BWE61:BWF61"/>
    <mergeCell ref="BWG61:BWH61"/>
    <mergeCell ref="BWI61:BWJ61"/>
    <mergeCell ref="BWK61:BWL61"/>
    <mergeCell ref="BVO61:BVP61"/>
    <mergeCell ref="BVQ61:BVR61"/>
    <mergeCell ref="BVS61:BVT61"/>
    <mergeCell ref="BVU61:BVV61"/>
    <mergeCell ref="BVW61:BVX61"/>
    <mergeCell ref="BVY61:BVZ61"/>
    <mergeCell ref="BVC61:BVD61"/>
    <mergeCell ref="BVE61:BVF61"/>
    <mergeCell ref="BVG61:BVH61"/>
    <mergeCell ref="BVI61:BVJ61"/>
    <mergeCell ref="BVK61:BVL61"/>
    <mergeCell ref="BVM61:BVN61"/>
    <mergeCell ref="CAE61:CAF61"/>
    <mergeCell ref="CAG61:CAH61"/>
    <mergeCell ref="CAI61:CAJ61"/>
    <mergeCell ref="CAK61:CAL61"/>
    <mergeCell ref="CAM61:CAN61"/>
    <mergeCell ref="CAO61:CAP61"/>
    <mergeCell ref="BZS61:BZT61"/>
    <mergeCell ref="BZU61:BZV61"/>
    <mergeCell ref="BZW61:BZX61"/>
    <mergeCell ref="BZY61:BZZ61"/>
    <mergeCell ref="CAA61:CAB61"/>
    <mergeCell ref="CAC61:CAD61"/>
    <mergeCell ref="BZG61:BZH61"/>
    <mergeCell ref="BZI61:BZJ61"/>
    <mergeCell ref="BZK61:BZL61"/>
    <mergeCell ref="BZM61:BZN61"/>
    <mergeCell ref="BZO61:BZP61"/>
    <mergeCell ref="BZQ61:BZR61"/>
    <mergeCell ref="BYU61:BYV61"/>
    <mergeCell ref="BYW61:BYX61"/>
    <mergeCell ref="BYY61:BYZ61"/>
    <mergeCell ref="BZA61:BZB61"/>
    <mergeCell ref="BZC61:BZD61"/>
    <mergeCell ref="BZE61:BZF61"/>
    <mergeCell ref="BYI61:BYJ61"/>
    <mergeCell ref="BYK61:BYL61"/>
    <mergeCell ref="BYM61:BYN61"/>
    <mergeCell ref="BYO61:BYP61"/>
    <mergeCell ref="BYQ61:BYR61"/>
    <mergeCell ref="BYS61:BYT61"/>
    <mergeCell ref="BXW61:BXX61"/>
    <mergeCell ref="BXY61:BXZ61"/>
    <mergeCell ref="BYA61:BYB61"/>
    <mergeCell ref="BYC61:BYD61"/>
    <mergeCell ref="BYE61:BYF61"/>
    <mergeCell ref="BYG61:BYH61"/>
    <mergeCell ref="CCY61:CCZ61"/>
    <mergeCell ref="CDA61:CDB61"/>
    <mergeCell ref="CDC61:CDD61"/>
    <mergeCell ref="CDE61:CDF61"/>
    <mergeCell ref="CDG61:CDH61"/>
    <mergeCell ref="CDI61:CDJ61"/>
    <mergeCell ref="CCM61:CCN61"/>
    <mergeCell ref="CCO61:CCP61"/>
    <mergeCell ref="CCQ61:CCR61"/>
    <mergeCell ref="CCS61:CCT61"/>
    <mergeCell ref="CCU61:CCV61"/>
    <mergeCell ref="CCW61:CCX61"/>
    <mergeCell ref="CCA61:CCB61"/>
    <mergeCell ref="CCC61:CCD61"/>
    <mergeCell ref="CCE61:CCF61"/>
    <mergeCell ref="CCG61:CCH61"/>
    <mergeCell ref="CCI61:CCJ61"/>
    <mergeCell ref="CCK61:CCL61"/>
    <mergeCell ref="CBO61:CBP61"/>
    <mergeCell ref="CBQ61:CBR61"/>
    <mergeCell ref="CBS61:CBT61"/>
    <mergeCell ref="CBU61:CBV61"/>
    <mergeCell ref="CBW61:CBX61"/>
    <mergeCell ref="CBY61:CBZ61"/>
    <mergeCell ref="CBC61:CBD61"/>
    <mergeCell ref="CBE61:CBF61"/>
    <mergeCell ref="CBG61:CBH61"/>
    <mergeCell ref="CBI61:CBJ61"/>
    <mergeCell ref="CBK61:CBL61"/>
    <mergeCell ref="CBM61:CBN61"/>
    <mergeCell ref="CAQ61:CAR61"/>
    <mergeCell ref="CAS61:CAT61"/>
    <mergeCell ref="CAU61:CAV61"/>
    <mergeCell ref="CAW61:CAX61"/>
    <mergeCell ref="CAY61:CAZ61"/>
    <mergeCell ref="CBA61:CBB61"/>
    <mergeCell ref="CFS61:CFT61"/>
    <mergeCell ref="CFU61:CFV61"/>
    <mergeCell ref="CFW61:CFX61"/>
    <mergeCell ref="CFY61:CFZ61"/>
    <mergeCell ref="CGA61:CGB61"/>
    <mergeCell ref="CGC61:CGD61"/>
    <mergeCell ref="CFG61:CFH61"/>
    <mergeCell ref="CFI61:CFJ61"/>
    <mergeCell ref="CFK61:CFL61"/>
    <mergeCell ref="CFM61:CFN61"/>
    <mergeCell ref="CFO61:CFP61"/>
    <mergeCell ref="CFQ61:CFR61"/>
    <mergeCell ref="CEU61:CEV61"/>
    <mergeCell ref="CEW61:CEX61"/>
    <mergeCell ref="CEY61:CEZ61"/>
    <mergeCell ref="CFA61:CFB61"/>
    <mergeCell ref="CFC61:CFD61"/>
    <mergeCell ref="CFE61:CFF61"/>
    <mergeCell ref="CEI61:CEJ61"/>
    <mergeCell ref="CEK61:CEL61"/>
    <mergeCell ref="CEM61:CEN61"/>
    <mergeCell ref="CEO61:CEP61"/>
    <mergeCell ref="CEQ61:CER61"/>
    <mergeCell ref="CES61:CET61"/>
    <mergeCell ref="CDW61:CDX61"/>
    <mergeCell ref="CDY61:CDZ61"/>
    <mergeCell ref="CEA61:CEB61"/>
    <mergeCell ref="CEC61:CED61"/>
    <mergeCell ref="CEE61:CEF61"/>
    <mergeCell ref="CEG61:CEH61"/>
    <mergeCell ref="CDK61:CDL61"/>
    <mergeCell ref="CDM61:CDN61"/>
    <mergeCell ref="CDO61:CDP61"/>
    <mergeCell ref="CDQ61:CDR61"/>
    <mergeCell ref="CDS61:CDT61"/>
    <mergeCell ref="CDU61:CDV61"/>
    <mergeCell ref="CIM61:CIN61"/>
    <mergeCell ref="CIO61:CIP61"/>
    <mergeCell ref="CIQ61:CIR61"/>
    <mergeCell ref="CIS61:CIT61"/>
    <mergeCell ref="CIU61:CIV61"/>
    <mergeCell ref="CIW61:CIX61"/>
    <mergeCell ref="CIA61:CIB61"/>
    <mergeCell ref="CIC61:CID61"/>
    <mergeCell ref="CIE61:CIF61"/>
    <mergeCell ref="CIG61:CIH61"/>
    <mergeCell ref="CII61:CIJ61"/>
    <mergeCell ref="CIK61:CIL61"/>
    <mergeCell ref="CHO61:CHP61"/>
    <mergeCell ref="CHQ61:CHR61"/>
    <mergeCell ref="CHS61:CHT61"/>
    <mergeCell ref="CHU61:CHV61"/>
    <mergeCell ref="CHW61:CHX61"/>
    <mergeCell ref="CHY61:CHZ61"/>
    <mergeCell ref="CHC61:CHD61"/>
    <mergeCell ref="CHE61:CHF61"/>
    <mergeCell ref="CHG61:CHH61"/>
    <mergeCell ref="CHI61:CHJ61"/>
    <mergeCell ref="CHK61:CHL61"/>
    <mergeCell ref="CHM61:CHN61"/>
    <mergeCell ref="CGQ61:CGR61"/>
    <mergeCell ref="CGS61:CGT61"/>
    <mergeCell ref="CGU61:CGV61"/>
    <mergeCell ref="CGW61:CGX61"/>
    <mergeCell ref="CGY61:CGZ61"/>
    <mergeCell ref="CHA61:CHB61"/>
    <mergeCell ref="CGE61:CGF61"/>
    <mergeCell ref="CGG61:CGH61"/>
    <mergeCell ref="CGI61:CGJ61"/>
    <mergeCell ref="CGK61:CGL61"/>
    <mergeCell ref="CGM61:CGN61"/>
    <mergeCell ref="CGO61:CGP61"/>
    <mergeCell ref="CLG61:CLH61"/>
    <mergeCell ref="CLI61:CLJ61"/>
    <mergeCell ref="CLK61:CLL61"/>
    <mergeCell ref="CLM61:CLN61"/>
    <mergeCell ref="CLO61:CLP61"/>
    <mergeCell ref="CLQ61:CLR61"/>
    <mergeCell ref="CKU61:CKV61"/>
    <mergeCell ref="CKW61:CKX61"/>
    <mergeCell ref="CKY61:CKZ61"/>
    <mergeCell ref="CLA61:CLB61"/>
    <mergeCell ref="CLC61:CLD61"/>
    <mergeCell ref="CLE61:CLF61"/>
    <mergeCell ref="CKI61:CKJ61"/>
    <mergeCell ref="CKK61:CKL61"/>
    <mergeCell ref="CKM61:CKN61"/>
    <mergeCell ref="CKO61:CKP61"/>
    <mergeCell ref="CKQ61:CKR61"/>
    <mergeCell ref="CKS61:CKT61"/>
    <mergeCell ref="CJW61:CJX61"/>
    <mergeCell ref="CJY61:CJZ61"/>
    <mergeCell ref="CKA61:CKB61"/>
    <mergeCell ref="CKC61:CKD61"/>
    <mergeCell ref="CKE61:CKF61"/>
    <mergeCell ref="CKG61:CKH61"/>
    <mergeCell ref="CJK61:CJL61"/>
    <mergeCell ref="CJM61:CJN61"/>
    <mergeCell ref="CJO61:CJP61"/>
    <mergeCell ref="CJQ61:CJR61"/>
    <mergeCell ref="CJS61:CJT61"/>
    <mergeCell ref="CJU61:CJV61"/>
    <mergeCell ref="CIY61:CIZ61"/>
    <mergeCell ref="CJA61:CJB61"/>
    <mergeCell ref="CJC61:CJD61"/>
    <mergeCell ref="CJE61:CJF61"/>
    <mergeCell ref="CJG61:CJH61"/>
    <mergeCell ref="CJI61:CJJ61"/>
    <mergeCell ref="COA61:COB61"/>
    <mergeCell ref="COC61:COD61"/>
    <mergeCell ref="COE61:COF61"/>
    <mergeCell ref="COG61:COH61"/>
    <mergeCell ref="COI61:COJ61"/>
    <mergeCell ref="COK61:COL61"/>
    <mergeCell ref="CNO61:CNP61"/>
    <mergeCell ref="CNQ61:CNR61"/>
    <mergeCell ref="CNS61:CNT61"/>
    <mergeCell ref="CNU61:CNV61"/>
    <mergeCell ref="CNW61:CNX61"/>
    <mergeCell ref="CNY61:CNZ61"/>
    <mergeCell ref="CNC61:CND61"/>
    <mergeCell ref="CNE61:CNF61"/>
    <mergeCell ref="CNG61:CNH61"/>
    <mergeCell ref="CNI61:CNJ61"/>
    <mergeCell ref="CNK61:CNL61"/>
    <mergeCell ref="CNM61:CNN61"/>
    <mergeCell ref="CMQ61:CMR61"/>
    <mergeCell ref="CMS61:CMT61"/>
    <mergeCell ref="CMU61:CMV61"/>
    <mergeCell ref="CMW61:CMX61"/>
    <mergeCell ref="CMY61:CMZ61"/>
    <mergeCell ref="CNA61:CNB61"/>
    <mergeCell ref="CME61:CMF61"/>
    <mergeCell ref="CMG61:CMH61"/>
    <mergeCell ref="CMI61:CMJ61"/>
    <mergeCell ref="CMK61:CML61"/>
    <mergeCell ref="CMM61:CMN61"/>
    <mergeCell ref="CMO61:CMP61"/>
    <mergeCell ref="CLS61:CLT61"/>
    <mergeCell ref="CLU61:CLV61"/>
    <mergeCell ref="CLW61:CLX61"/>
    <mergeCell ref="CLY61:CLZ61"/>
    <mergeCell ref="CMA61:CMB61"/>
    <mergeCell ref="CMC61:CMD61"/>
    <mergeCell ref="CQU61:CQV61"/>
    <mergeCell ref="CQW61:CQX61"/>
    <mergeCell ref="CQY61:CQZ61"/>
    <mergeCell ref="CRA61:CRB61"/>
    <mergeCell ref="CRC61:CRD61"/>
    <mergeCell ref="CRE61:CRF61"/>
    <mergeCell ref="CQI61:CQJ61"/>
    <mergeCell ref="CQK61:CQL61"/>
    <mergeCell ref="CQM61:CQN61"/>
    <mergeCell ref="CQO61:CQP61"/>
    <mergeCell ref="CQQ61:CQR61"/>
    <mergeCell ref="CQS61:CQT61"/>
    <mergeCell ref="CPW61:CPX61"/>
    <mergeCell ref="CPY61:CPZ61"/>
    <mergeCell ref="CQA61:CQB61"/>
    <mergeCell ref="CQC61:CQD61"/>
    <mergeCell ref="CQE61:CQF61"/>
    <mergeCell ref="CQG61:CQH61"/>
    <mergeCell ref="CPK61:CPL61"/>
    <mergeCell ref="CPM61:CPN61"/>
    <mergeCell ref="CPO61:CPP61"/>
    <mergeCell ref="CPQ61:CPR61"/>
    <mergeCell ref="CPS61:CPT61"/>
    <mergeCell ref="CPU61:CPV61"/>
    <mergeCell ref="COY61:COZ61"/>
    <mergeCell ref="CPA61:CPB61"/>
    <mergeCell ref="CPC61:CPD61"/>
    <mergeCell ref="CPE61:CPF61"/>
    <mergeCell ref="CPG61:CPH61"/>
    <mergeCell ref="CPI61:CPJ61"/>
    <mergeCell ref="COM61:CON61"/>
    <mergeCell ref="COO61:COP61"/>
    <mergeCell ref="COQ61:COR61"/>
    <mergeCell ref="COS61:COT61"/>
    <mergeCell ref="COU61:COV61"/>
    <mergeCell ref="COW61:COX61"/>
    <mergeCell ref="CTO61:CTP61"/>
    <mergeCell ref="CTQ61:CTR61"/>
    <mergeCell ref="CTS61:CTT61"/>
    <mergeCell ref="CTU61:CTV61"/>
    <mergeCell ref="CTW61:CTX61"/>
    <mergeCell ref="CTY61:CTZ61"/>
    <mergeCell ref="CTC61:CTD61"/>
    <mergeCell ref="CTE61:CTF61"/>
    <mergeCell ref="CTG61:CTH61"/>
    <mergeCell ref="CTI61:CTJ61"/>
    <mergeCell ref="CTK61:CTL61"/>
    <mergeCell ref="CTM61:CTN61"/>
    <mergeCell ref="CSQ61:CSR61"/>
    <mergeCell ref="CSS61:CST61"/>
    <mergeCell ref="CSU61:CSV61"/>
    <mergeCell ref="CSW61:CSX61"/>
    <mergeCell ref="CSY61:CSZ61"/>
    <mergeCell ref="CTA61:CTB61"/>
    <mergeCell ref="CSE61:CSF61"/>
    <mergeCell ref="CSG61:CSH61"/>
    <mergeCell ref="CSI61:CSJ61"/>
    <mergeCell ref="CSK61:CSL61"/>
    <mergeCell ref="CSM61:CSN61"/>
    <mergeCell ref="CSO61:CSP61"/>
    <mergeCell ref="CRS61:CRT61"/>
    <mergeCell ref="CRU61:CRV61"/>
    <mergeCell ref="CRW61:CRX61"/>
    <mergeCell ref="CRY61:CRZ61"/>
    <mergeCell ref="CSA61:CSB61"/>
    <mergeCell ref="CSC61:CSD61"/>
    <mergeCell ref="CRG61:CRH61"/>
    <mergeCell ref="CRI61:CRJ61"/>
    <mergeCell ref="CRK61:CRL61"/>
    <mergeCell ref="CRM61:CRN61"/>
    <mergeCell ref="CRO61:CRP61"/>
    <mergeCell ref="CRQ61:CRR61"/>
    <mergeCell ref="CWI61:CWJ61"/>
    <mergeCell ref="CWK61:CWL61"/>
    <mergeCell ref="CWM61:CWN61"/>
    <mergeCell ref="CWO61:CWP61"/>
    <mergeCell ref="CWQ61:CWR61"/>
    <mergeCell ref="CWS61:CWT61"/>
    <mergeCell ref="CVW61:CVX61"/>
    <mergeCell ref="CVY61:CVZ61"/>
    <mergeCell ref="CWA61:CWB61"/>
    <mergeCell ref="CWC61:CWD61"/>
    <mergeCell ref="CWE61:CWF61"/>
    <mergeCell ref="CWG61:CWH61"/>
    <mergeCell ref="CVK61:CVL61"/>
    <mergeCell ref="CVM61:CVN61"/>
    <mergeCell ref="CVO61:CVP61"/>
    <mergeCell ref="CVQ61:CVR61"/>
    <mergeCell ref="CVS61:CVT61"/>
    <mergeCell ref="CVU61:CVV61"/>
    <mergeCell ref="CUY61:CUZ61"/>
    <mergeCell ref="CVA61:CVB61"/>
    <mergeCell ref="CVC61:CVD61"/>
    <mergeCell ref="CVE61:CVF61"/>
    <mergeCell ref="CVG61:CVH61"/>
    <mergeCell ref="CVI61:CVJ61"/>
    <mergeCell ref="CUM61:CUN61"/>
    <mergeCell ref="CUO61:CUP61"/>
    <mergeCell ref="CUQ61:CUR61"/>
    <mergeCell ref="CUS61:CUT61"/>
    <mergeCell ref="CUU61:CUV61"/>
    <mergeCell ref="CUW61:CUX61"/>
    <mergeCell ref="CUA61:CUB61"/>
    <mergeCell ref="CUC61:CUD61"/>
    <mergeCell ref="CUE61:CUF61"/>
    <mergeCell ref="CUG61:CUH61"/>
    <mergeCell ref="CUI61:CUJ61"/>
    <mergeCell ref="CUK61:CUL61"/>
    <mergeCell ref="CZC61:CZD61"/>
    <mergeCell ref="CZE61:CZF61"/>
    <mergeCell ref="CZG61:CZH61"/>
    <mergeCell ref="CZI61:CZJ61"/>
    <mergeCell ref="CZK61:CZL61"/>
    <mergeCell ref="CZM61:CZN61"/>
    <mergeCell ref="CYQ61:CYR61"/>
    <mergeCell ref="CYS61:CYT61"/>
    <mergeCell ref="CYU61:CYV61"/>
    <mergeCell ref="CYW61:CYX61"/>
    <mergeCell ref="CYY61:CYZ61"/>
    <mergeCell ref="CZA61:CZB61"/>
    <mergeCell ref="CYE61:CYF61"/>
    <mergeCell ref="CYG61:CYH61"/>
    <mergeCell ref="CYI61:CYJ61"/>
    <mergeCell ref="CYK61:CYL61"/>
    <mergeCell ref="CYM61:CYN61"/>
    <mergeCell ref="CYO61:CYP61"/>
    <mergeCell ref="CXS61:CXT61"/>
    <mergeCell ref="CXU61:CXV61"/>
    <mergeCell ref="CXW61:CXX61"/>
    <mergeCell ref="CXY61:CXZ61"/>
    <mergeCell ref="CYA61:CYB61"/>
    <mergeCell ref="CYC61:CYD61"/>
    <mergeCell ref="CXG61:CXH61"/>
    <mergeCell ref="CXI61:CXJ61"/>
    <mergeCell ref="CXK61:CXL61"/>
    <mergeCell ref="CXM61:CXN61"/>
    <mergeCell ref="CXO61:CXP61"/>
    <mergeCell ref="CXQ61:CXR61"/>
    <mergeCell ref="CWU61:CWV61"/>
    <mergeCell ref="CWW61:CWX61"/>
    <mergeCell ref="CWY61:CWZ61"/>
    <mergeCell ref="CXA61:CXB61"/>
    <mergeCell ref="CXC61:CXD61"/>
    <mergeCell ref="CXE61:CXF61"/>
    <mergeCell ref="DBW61:DBX61"/>
    <mergeCell ref="DBY61:DBZ61"/>
    <mergeCell ref="DCA61:DCB61"/>
    <mergeCell ref="DCC61:DCD61"/>
    <mergeCell ref="DCE61:DCF61"/>
    <mergeCell ref="DCG61:DCH61"/>
    <mergeCell ref="DBK61:DBL61"/>
    <mergeCell ref="DBM61:DBN61"/>
    <mergeCell ref="DBO61:DBP61"/>
    <mergeCell ref="DBQ61:DBR61"/>
    <mergeCell ref="DBS61:DBT61"/>
    <mergeCell ref="DBU61:DBV61"/>
    <mergeCell ref="DAY61:DAZ61"/>
    <mergeCell ref="DBA61:DBB61"/>
    <mergeCell ref="DBC61:DBD61"/>
    <mergeCell ref="DBE61:DBF61"/>
    <mergeCell ref="DBG61:DBH61"/>
    <mergeCell ref="DBI61:DBJ61"/>
    <mergeCell ref="DAM61:DAN61"/>
    <mergeCell ref="DAO61:DAP61"/>
    <mergeCell ref="DAQ61:DAR61"/>
    <mergeCell ref="DAS61:DAT61"/>
    <mergeCell ref="DAU61:DAV61"/>
    <mergeCell ref="DAW61:DAX61"/>
    <mergeCell ref="DAA61:DAB61"/>
    <mergeCell ref="DAC61:DAD61"/>
    <mergeCell ref="DAE61:DAF61"/>
    <mergeCell ref="DAG61:DAH61"/>
    <mergeCell ref="DAI61:DAJ61"/>
    <mergeCell ref="DAK61:DAL61"/>
    <mergeCell ref="CZO61:CZP61"/>
    <mergeCell ref="CZQ61:CZR61"/>
    <mergeCell ref="CZS61:CZT61"/>
    <mergeCell ref="CZU61:CZV61"/>
    <mergeCell ref="CZW61:CZX61"/>
    <mergeCell ref="CZY61:CZZ61"/>
    <mergeCell ref="DEQ61:DER61"/>
    <mergeCell ref="DES61:DET61"/>
    <mergeCell ref="DEU61:DEV61"/>
    <mergeCell ref="DEW61:DEX61"/>
    <mergeCell ref="DEY61:DEZ61"/>
    <mergeCell ref="DFA61:DFB61"/>
    <mergeCell ref="DEE61:DEF61"/>
    <mergeCell ref="DEG61:DEH61"/>
    <mergeCell ref="DEI61:DEJ61"/>
    <mergeCell ref="DEK61:DEL61"/>
    <mergeCell ref="DEM61:DEN61"/>
    <mergeCell ref="DEO61:DEP61"/>
    <mergeCell ref="DDS61:DDT61"/>
    <mergeCell ref="DDU61:DDV61"/>
    <mergeCell ref="DDW61:DDX61"/>
    <mergeCell ref="DDY61:DDZ61"/>
    <mergeCell ref="DEA61:DEB61"/>
    <mergeCell ref="DEC61:DED61"/>
    <mergeCell ref="DDG61:DDH61"/>
    <mergeCell ref="DDI61:DDJ61"/>
    <mergeCell ref="DDK61:DDL61"/>
    <mergeCell ref="DDM61:DDN61"/>
    <mergeCell ref="DDO61:DDP61"/>
    <mergeCell ref="DDQ61:DDR61"/>
    <mergeCell ref="DCU61:DCV61"/>
    <mergeCell ref="DCW61:DCX61"/>
    <mergeCell ref="DCY61:DCZ61"/>
    <mergeCell ref="DDA61:DDB61"/>
    <mergeCell ref="DDC61:DDD61"/>
    <mergeCell ref="DDE61:DDF61"/>
    <mergeCell ref="DCI61:DCJ61"/>
    <mergeCell ref="DCK61:DCL61"/>
    <mergeCell ref="DCM61:DCN61"/>
    <mergeCell ref="DCO61:DCP61"/>
    <mergeCell ref="DCQ61:DCR61"/>
    <mergeCell ref="DCS61:DCT61"/>
    <mergeCell ref="DHK61:DHL61"/>
    <mergeCell ref="DHM61:DHN61"/>
    <mergeCell ref="DHO61:DHP61"/>
    <mergeCell ref="DHQ61:DHR61"/>
    <mergeCell ref="DHS61:DHT61"/>
    <mergeCell ref="DHU61:DHV61"/>
    <mergeCell ref="DGY61:DGZ61"/>
    <mergeCell ref="DHA61:DHB61"/>
    <mergeCell ref="DHC61:DHD61"/>
    <mergeCell ref="DHE61:DHF61"/>
    <mergeCell ref="DHG61:DHH61"/>
    <mergeCell ref="DHI61:DHJ61"/>
    <mergeCell ref="DGM61:DGN61"/>
    <mergeCell ref="DGO61:DGP61"/>
    <mergeCell ref="DGQ61:DGR61"/>
    <mergeCell ref="DGS61:DGT61"/>
    <mergeCell ref="DGU61:DGV61"/>
    <mergeCell ref="DGW61:DGX61"/>
    <mergeCell ref="DGA61:DGB61"/>
    <mergeCell ref="DGC61:DGD61"/>
    <mergeCell ref="DGE61:DGF61"/>
    <mergeCell ref="DGG61:DGH61"/>
    <mergeCell ref="DGI61:DGJ61"/>
    <mergeCell ref="DGK61:DGL61"/>
    <mergeCell ref="DFO61:DFP61"/>
    <mergeCell ref="DFQ61:DFR61"/>
    <mergeCell ref="DFS61:DFT61"/>
    <mergeCell ref="DFU61:DFV61"/>
    <mergeCell ref="DFW61:DFX61"/>
    <mergeCell ref="DFY61:DFZ61"/>
    <mergeCell ref="DFC61:DFD61"/>
    <mergeCell ref="DFE61:DFF61"/>
    <mergeCell ref="DFG61:DFH61"/>
    <mergeCell ref="DFI61:DFJ61"/>
    <mergeCell ref="DFK61:DFL61"/>
    <mergeCell ref="DFM61:DFN61"/>
    <mergeCell ref="DKE61:DKF61"/>
    <mergeCell ref="DKG61:DKH61"/>
    <mergeCell ref="DKI61:DKJ61"/>
    <mergeCell ref="DKK61:DKL61"/>
    <mergeCell ref="DKM61:DKN61"/>
    <mergeCell ref="DKO61:DKP61"/>
    <mergeCell ref="DJS61:DJT61"/>
    <mergeCell ref="DJU61:DJV61"/>
    <mergeCell ref="DJW61:DJX61"/>
    <mergeCell ref="DJY61:DJZ61"/>
    <mergeCell ref="DKA61:DKB61"/>
    <mergeCell ref="DKC61:DKD61"/>
    <mergeCell ref="DJG61:DJH61"/>
    <mergeCell ref="DJI61:DJJ61"/>
    <mergeCell ref="DJK61:DJL61"/>
    <mergeCell ref="DJM61:DJN61"/>
    <mergeCell ref="DJO61:DJP61"/>
    <mergeCell ref="DJQ61:DJR61"/>
    <mergeCell ref="DIU61:DIV61"/>
    <mergeCell ref="DIW61:DIX61"/>
    <mergeCell ref="DIY61:DIZ61"/>
    <mergeCell ref="DJA61:DJB61"/>
    <mergeCell ref="DJC61:DJD61"/>
    <mergeCell ref="DJE61:DJF61"/>
    <mergeCell ref="DII61:DIJ61"/>
    <mergeCell ref="DIK61:DIL61"/>
    <mergeCell ref="DIM61:DIN61"/>
    <mergeCell ref="DIO61:DIP61"/>
    <mergeCell ref="DIQ61:DIR61"/>
    <mergeCell ref="DIS61:DIT61"/>
    <mergeCell ref="DHW61:DHX61"/>
    <mergeCell ref="DHY61:DHZ61"/>
    <mergeCell ref="DIA61:DIB61"/>
    <mergeCell ref="DIC61:DID61"/>
    <mergeCell ref="DIE61:DIF61"/>
    <mergeCell ref="DIG61:DIH61"/>
    <mergeCell ref="DMY61:DMZ61"/>
    <mergeCell ref="DNA61:DNB61"/>
    <mergeCell ref="DNC61:DND61"/>
    <mergeCell ref="DNE61:DNF61"/>
    <mergeCell ref="DNG61:DNH61"/>
    <mergeCell ref="DNI61:DNJ61"/>
    <mergeCell ref="DMM61:DMN61"/>
    <mergeCell ref="DMO61:DMP61"/>
    <mergeCell ref="DMQ61:DMR61"/>
    <mergeCell ref="DMS61:DMT61"/>
    <mergeCell ref="DMU61:DMV61"/>
    <mergeCell ref="DMW61:DMX61"/>
    <mergeCell ref="DMA61:DMB61"/>
    <mergeCell ref="DMC61:DMD61"/>
    <mergeCell ref="DME61:DMF61"/>
    <mergeCell ref="DMG61:DMH61"/>
    <mergeCell ref="DMI61:DMJ61"/>
    <mergeCell ref="DMK61:DML61"/>
    <mergeCell ref="DLO61:DLP61"/>
    <mergeCell ref="DLQ61:DLR61"/>
    <mergeCell ref="DLS61:DLT61"/>
    <mergeCell ref="DLU61:DLV61"/>
    <mergeCell ref="DLW61:DLX61"/>
    <mergeCell ref="DLY61:DLZ61"/>
    <mergeCell ref="DLC61:DLD61"/>
    <mergeCell ref="DLE61:DLF61"/>
    <mergeCell ref="DLG61:DLH61"/>
    <mergeCell ref="DLI61:DLJ61"/>
    <mergeCell ref="DLK61:DLL61"/>
    <mergeCell ref="DLM61:DLN61"/>
    <mergeCell ref="DKQ61:DKR61"/>
    <mergeCell ref="DKS61:DKT61"/>
    <mergeCell ref="DKU61:DKV61"/>
    <mergeCell ref="DKW61:DKX61"/>
    <mergeCell ref="DKY61:DKZ61"/>
    <mergeCell ref="DLA61:DLB61"/>
    <mergeCell ref="DPS61:DPT61"/>
    <mergeCell ref="DPU61:DPV61"/>
    <mergeCell ref="DPW61:DPX61"/>
    <mergeCell ref="DPY61:DPZ61"/>
    <mergeCell ref="DQA61:DQB61"/>
    <mergeCell ref="DQC61:DQD61"/>
    <mergeCell ref="DPG61:DPH61"/>
    <mergeCell ref="DPI61:DPJ61"/>
    <mergeCell ref="DPK61:DPL61"/>
    <mergeCell ref="DPM61:DPN61"/>
    <mergeCell ref="DPO61:DPP61"/>
    <mergeCell ref="DPQ61:DPR61"/>
    <mergeCell ref="DOU61:DOV61"/>
    <mergeCell ref="DOW61:DOX61"/>
    <mergeCell ref="DOY61:DOZ61"/>
    <mergeCell ref="DPA61:DPB61"/>
    <mergeCell ref="DPC61:DPD61"/>
    <mergeCell ref="DPE61:DPF61"/>
    <mergeCell ref="DOI61:DOJ61"/>
    <mergeCell ref="DOK61:DOL61"/>
    <mergeCell ref="DOM61:DON61"/>
    <mergeCell ref="DOO61:DOP61"/>
    <mergeCell ref="DOQ61:DOR61"/>
    <mergeCell ref="DOS61:DOT61"/>
    <mergeCell ref="DNW61:DNX61"/>
    <mergeCell ref="DNY61:DNZ61"/>
    <mergeCell ref="DOA61:DOB61"/>
    <mergeCell ref="DOC61:DOD61"/>
    <mergeCell ref="DOE61:DOF61"/>
    <mergeCell ref="DOG61:DOH61"/>
    <mergeCell ref="DNK61:DNL61"/>
    <mergeCell ref="DNM61:DNN61"/>
    <mergeCell ref="DNO61:DNP61"/>
    <mergeCell ref="DNQ61:DNR61"/>
    <mergeCell ref="DNS61:DNT61"/>
    <mergeCell ref="DNU61:DNV61"/>
    <mergeCell ref="DSM61:DSN61"/>
    <mergeCell ref="DSO61:DSP61"/>
    <mergeCell ref="DSQ61:DSR61"/>
    <mergeCell ref="DSS61:DST61"/>
    <mergeCell ref="DSU61:DSV61"/>
    <mergeCell ref="DSW61:DSX61"/>
    <mergeCell ref="DSA61:DSB61"/>
    <mergeCell ref="DSC61:DSD61"/>
    <mergeCell ref="DSE61:DSF61"/>
    <mergeCell ref="DSG61:DSH61"/>
    <mergeCell ref="DSI61:DSJ61"/>
    <mergeCell ref="DSK61:DSL61"/>
    <mergeCell ref="DRO61:DRP61"/>
    <mergeCell ref="DRQ61:DRR61"/>
    <mergeCell ref="DRS61:DRT61"/>
    <mergeCell ref="DRU61:DRV61"/>
    <mergeCell ref="DRW61:DRX61"/>
    <mergeCell ref="DRY61:DRZ61"/>
    <mergeCell ref="DRC61:DRD61"/>
    <mergeCell ref="DRE61:DRF61"/>
    <mergeCell ref="DRG61:DRH61"/>
    <mergeCell ref="DRI61:DRJ61"/>
    <mergeCell ref="DRK61:DRL61"/>
    <mergeCell ref="DRM61:DRN61"/>
    <mergeCell ref="DQQ61:DQR61"/>
    <mergeCell ref="DQS61:DQT61"/>
    <mergeCell ref="DQU61:DQV61"/>
    <mergeCell ref="DQW61:DQX61"/>
    <mergeCell ref="DQY61:DQZ61"/>
    <mergeCell ref="DRA61:DRB61"/>
    <mergeCell ref="DQE61:DQF61"/>
    <mergeCell ref="DQG61:DQH61"/>
    <mergeCell ref="DQI61:DQJ61"/>
    <mergeCell ref="DQK61:DQL61"/>
    <mergeCell ref="DQM61:DQN61"/>
    <mergeCell ref="DQO61:DQP61"/>
    <mergeCell ref="DVG61:DVH61"/>
    <mergeCell ref="DVI61:DVJ61"/>
    <mergeCell ref="DVK61:DVL61"/>
    <mergeCell ref="DVM61:DVN61"/>
    <mergeCell ref="DVO61:DVP61"/>
    <mergeCell ref="DVQ61:DVR61"/>
    <mergeCell ref="DUU61:DUV61"/>
    <mergeCell ref="DUW61:DUX61"/>
    <mergeCell ref="DUY61:DUZ61"/>
    <mergeCell ref="DVA61:DVB61"/>
    <mergeCell ref="DVC61:DVD61"/>
    <mergeCell ref="DVE61:DVF61"/>
    <mergeCell ref="DUI61:DUJ61"/>
    <mergeCell ref="DUK61:DUL61"/>
    <mergeCell ref="DUM61:DUN61"/>
    <mergeCell ref="DUO61:DUP61"/>
    <mergeCell ref="DUQ61:DUR61"/>
    <mergeCell ref="DUS61:DUT61"/>
    <mergeCell ref="DTW61:DTX61"/>
    <mergeCell ref="DTY61:DTZ61"/>
    <mergeCell ref="DUA61:DUB61"/>
    <mergeCell ref="DUC61:DUD61"/>
    <mergeCell ref="DUE61:DUF61"/>
    <mergeCell ref="DUG61:DUH61"/>
    <mergeCell ref="DTK61:DTL61"/>
    <mergeCell ref="DTM61:DTN61"/>
    <mergeCell ref="DTO61:DTP61"/>
    <mergeCell ref="DTQ61:DTR61"/>
    <mergeCell ref="DTS61:DTT61"/>
    <mergeCell ref="DTU61:DTV61"/>
    <mergeCell ref="DSY61:DSZ61"/>
    <mergeCell ref="DTA61:DTB61"/>
    <mergeCell ref="DTC61:DTD61"/>
    <mergeCell ref="DTE61:DTF61"/>
    <mergeCell ref="DTG61:DTH61"/>
    <mergeCell ref="DTI61:DTJ61"/>
    <mergeCell ref="DYA61:DYB61"/>
    <mergeCell ref="DYC61:DYD61"/>
    <mergeCell ref="DYE61:DYF61"/>
    <mergeCell ref="DYG61:DYH61"/>
    <mergeCell ref="DYI61:DYJ61"/>
    <mergeCell ref="DYK61:DYL61"/>
    <mergeCell ref="DXO61:DXP61"/>
    <mergeCell ref="DXQ61:DXR61"/>
    <mergeCell ref="DXS61:DXT61"/>
    <mergeCell ref="DXU61:DXV61"/>
    <mergeCell ref="DXW61:DXX61"/>
    <mergeCell ref="DXY61:DXZ61"/>
    <mergeCell ref="DXC61:DXD61"/>
    <mergeCell ref="DXE61:DXF61"/>
    <mergeCell ref="DXG61:DXH61"/>
    <mergeCell ref="DXI61:DXJ61"/>
    <mergeCell ref="DXK61:DXL61"/>
    <mergeCell ref="DXM61:DXN61"/>
    <mergeCell ref="DWQ61:DWR61"/>
    <mergeCell ref="DWS61:DWT61"/>
    <mergeCell ref="DWU61:DWV61"/>
    <mergeCell ref="DWW61:DWX61"/>
    <mergeCell ref="DWY61:DWZ61"/>
    <mergeCell ref="DXA61:DXB61"/>
    <mergeCell ref="DWE61:DWF61"/>
    <mergeCell ref="DWG61:DWH61"/>
    <mergeCell ref="DWI61:DWJ61"/>
    <mergeCell ref="DWK61:DWL61"/>
    <mergeCell ref="DWM61:DWN61"/>
    <mergeCell ref="DWO61:DWP61"/>
    <mergeCell ref="DVS61:DVT61"/>
    <mergeCell ref="DVU61:DVV61"/>
    <mergeCell ref="DVW61:DVX61"/>
    <mergeCell ref="DVY61:DVZ61"/>
    <mergeCell ref="DWA61:DWB61"/>
    <mergeCell ref="DWC61:DWD61"/>
    <mergeCell ref="EAU61:EAV61"/>
    <mergeCell ref="EAW61:EAX61"/>
    <mergeCell ref="EAY61:EAZ61"/>
    <mergeCell ref="EBA61:EBB61"/>
    <mergeCell ref="EBC61:EBD61"/>
    <mergeCell ref="EBE61:EBF61"/>
    <mergeCell ref="EAI61:EAJ61"/>
    <mergeCell ref="EAK61:EAL61"/>
    <mergeCell ref="EAM61:EAN61"/>
    <mergeCell ref="EAO61:EAP61"/>
    <mergeCell ref="EAQ61:EAR61"/>
    <mergeCell ref="EAS61:EAT61"/>
    <mergeCell ref="DZW61:DZX61"/>
    <mergeCell ref="DZY61:DZZ61"/>
    <mergeCell ref="EAA61:EAB61"/>
    <mergeCell ref="EAC61:EAD61"/>
    <mergeCell ref="EAE61:EAF61"/>
    <mergeCell ref="EAG61:EAH61"/>
    <mergeCell ref="DZK61:DZL61"/>
    <mergeCell ref="DZM61:DZN61"/>
    <mergeCell ref="DZO61:DZP61"/>
    <mergeCell ref="DZQ61:DZR61"/>
    <mergeCell ref="DZS61:DZT61"/>
    <mergeCell ref="DZU61:DZV61"/>
    <mergeCell ref="DYY61:DYZ61"/>
    <mergeCell ref="DZA61:DZB61"/>
    <mergeCell ref="DZC61:DZD61"/>
    <mergeCell ref="DZE61:DZF61"/>
    <mergeCell ref="DZG61:DZH61"/>
    <mergeCell ref="DZI61:DZJ61"/>
    <mergeCell ref="DYM61:DYN61"/>
    <mergeCell ref="DYO61:DYP61"/>
    <mergeCell ref="DYQ61:DYR61"/>
    <mergeCell ref="DYS61:DYT61"/>
    <mergeCell ref="DYU61:DYV61"/>
    <mergeCell ref="DYW61:DYX61"/>
    <mergeCell ref="EDO61:EDP61"/>
    <mergeCell ref="EDQ61:EDR61"/>
    <mergeCell ref="EDS61:EDT61"/>
    <mergeCell ref="EDU61:EDV61"/>
    <mergeCell ref="EDW61:EDX61"/>
    <mergeCell ref="EDY61:EDZ61"/>
    <mergeCell ref="EDC61:EDD61"/>
    <mergeCell ref="EDE61:EDF61"/>
    <mergeCell ref="EDG61:EDH61"/>
    <mergeCell ref="EDI61:EDJ61"/>
    <mergeCell ref="EDK61:EDL61"/>
    <mergeCell ref="EDM61:EDN61"/>
    <mergeCell ref="ECQ61:ECR61"/>
    <mergeCell ref="ECS61:ECT61"/>
    <mergeCell ref="ECU61:ECV61"/>
    <mergeCell ref="ECW61:ECX61"/>
    <mergeCell ref="ECY61:ECZ61"/>
    <mergeCell ref="EDA61:EDB61"/>
    <mergeCell ref="ECE61:ECF61"/>
    <mergeCell ref="ECG61:ECH61"/>
    <mergeCell ref="ECI61:ECJ61"/>
    <mergeCell ref="ECK61:ECL61"/>
    <mergeCell ref="ECM61:ECN61"/>
    <mergeCell ref="ECO61:ECP61"/>
    <mergeCell ref="EBS61:EBT61"/>
    <mergeCell ref="EBU61:EBV61"/>
    <mergeCell ref="EBW61:EBX61"/>
    <mergeCell ref="EBY61:EBZ61"/>
    <mergeCell ref="ECA61:ECB61"/>
    <mergeCell ref="ECC61:ECD61"/>
    <mergeCell ref="EBG61:EBH61"/>
    <mergeCell ref="EBI61:EBJ61"/>
    <mergeCell ref="EBK61:EBL61"/>
    <mergeCell ref="EBM61:EBN61"/>
    <mergeCell ref="EBO61:EBP61"/>
    <mergeCell ref="EBQ61:EBR61"/>
    <mergeCell ref="EGI61:EGJ61"/>
    <mergeCell ref="EGK61:EGL61"/>
    <mergeCell ref="EGM61:EGN61"/>
    <mergeCell ref="EGO61:EGP61"/>
    <mergeCell ref="EGQ61:EGR61"/>
    <mergeCell ref="EGS61:EGT61"/>
    <mergeCell ref="EFW61:EFX61"/>
    <mergeCell ref="EFY61:EFZ61"/>
    <mergeCell ref="EGA61:EGB61"/>
    <mergeCell ref="EGC61:EGD61"/>
    <mergeCell ref="EGE61:EGF61"/>
    <mergeCell ref="EGG61:EGH61"/>
    <mergeCell ref="EFK61:EFL61"/>
    <mergeCell ref="EFM61:EFN61"/>
    <mergeCell ref="EFO61:EFP61"/>
    <mergeCell ref="EFQ61:EFR61"/>
    <mergeCell ref="EFS61:EFT61"/>
    <mergeCell ref="EFU61:EFV61"/>
    <mergeCell ref="EEY61:EEZ61"/>
    <mergeCell ref="EFA61:EFB61"/>
    <mergeCell ref="EFC61:EFD61"/>
    <mergeCell ref="EFE61:EFF61"/>
    <mergeCell ref="EFG61:EFH61"/>
    <mergeCell ref="EFI61:EFJ61"/>
    <mergeCell ref="EEM61:EEN61"/>
    <mergeCell ref="EEO61:EEP61"/>
    <mergeCell ref="EEQ61:EER61"/>
    <mergeCell ref="EES61:EET61"/>
    <mergeCell ref="EEU61:EEV61"/>
    <mergeCell ref="EEW61:EEX61"/>
    <mergeCell ref="EEA61:EEB61"/>
    <mergeCell ref="EEC61:EED61"/>
    <mergeCell ref="EEE61:EEF61"/>
    <mergeCell ref="EEG61:EEH61"/>
    <mergeCell ref="EEI61:EEJ61"/>
    <mergeCell ref="EEK61:EEL61"/>
    <mergeCell ref="EJC61:EJD61"/>
    <mergeCell ref="EJE61:EJF61"/>
    <mergeCell ref="EJG61:EJH61"/>
    <mergeCell ref="EJI61:EJJ61"/>
    <mergeCell ref="EJK61:EJL61"/>
    <mergeCell ref="EJM61:EJN61"/>
    <mergeCell ref="EIQ61:EIR61"/>
    <mergeCell ref="EIS61:EIT61"/>
    <mergeCell ref="EIU61:EIV61"/>
    <mergeCell ref="EIW61:EIX61"/>
    <mergeCell ref="EIY61:EIZ61"/>
    <mergeCell ref="EJA61:EJB61"/>
    <mergeCell ref="EIE61:EIF61"/>
    <mergeCell ref="EIG61:EIH61"/>
    <mergeCell ref="EII61:EIJ61"/>
    <mergeCell ref="EIK61:EIL61"/>
    <mergeCell ref="EIM61:EIN61"/>
    <mergeCell ref="EIO61:EIP61"/>
    <mergeCell ref="EHS61:EHT61"/>
    <mergeCell ref="EHU61:EHV61"/>
    <mergeCell ref="EHW61:EHX61"/>
    <mergeCell ref="EHY61:EHZ61"/>
    <mergeCell ref="EIA61:EIB61"/>
    <mergeCell ref="EIC61:EID61"/>
    <mergeCell ref="EHG61:EHH61"/>
    <mergeCell ref="EHI61:EHJ61"/>
    <mergeCell ref="EHK61:EHL61"/>
    <mergeCell ref="EHM61:EHN61"/>
    <mergeCell ref="EHO61:EHP61"/>
    <mergeCell ref="EHQ61:EHR61"/>
    <mergeCell ref="EGU61:EGV61"/>
    <mergeCell ref="EGW61:EGX61"/>
    <mergeCell ref="EGY61:EGZ61"/>
    <mergeCell ref="EHA61:EHB61"/>
    <mergeCell ref="EHC61:EHD61"/>
    <mergeCell ref="EHE61:EHF61"/>
    <mergeCell ref="ELW61:ELX61"/>
    <mergeCell ref="ELY61:ELZ61"/>
    <mergeCell ref="EMA61:EMB61"/>
    <mergeCell ref="EMC61:EMD61"/>
    <mergeCell ref="EME61:EMF61"/>
    <mergeCell ref="EMG61:EMH61"/>
    <mergeCell ref="ELK61:ELL61"/>
    <mergeCell ref="ELM61:ELN61"/>
    <mergeCell ref="ELO61:ELP61"/>
    <mergeCell ref="ELQ61:ELR61"/>
    <mergeCell ref="ELS61:ELT61"/>
    <mergeCell ref="ELU61:ELV61"/>
    <mergeCell ref="EKY61:EKZ61"/>
    <mergeCell ref="ELA61:ELB61"/>
    <mergeCell ref="ELC61:ELD61"/>
    <mergeCell ref="ELE61:ELF61"/>
    <mergeCell ref="ELG61:ELH61"/>
    <mergeCell ref="ELI61:ELJ61"/>
    <mergeCell ref="EKM61:EKN61"/>
    <mergeCell ref="EKO61:EKP61"/>
    <mergeCell ref="EKQ61:EKR61"/>
    <mergeCell ref="EKS61:EKT61"/>
    <mergeCell ref="EKU61:EKV61"/>
    <mergeCell ref="EKW61:EKX61"/>
    <mergeCell ref="EKA61:EKB61"/>
    <mergeCell ref="EKC61:EKD61"/>
    <mergeCell ref="EKE61:EKF61"/>
    <mergeCell ref="EKG61:EKH61"/>
    <mergeCell ref="EKI61:EKJ61"/>
    <mergeCell ref="EKK61:EKL61"/>
    <mergeCell ref="EJO61:EJP61"/>
    <mergeCell ref="EJQ61:EJR61"/>
    <mergeCell ref="EJS61:EJT61"/>
    <mergeCell ref="EJU61:EJV61"/>
    <mergeCell ref="EJW61:EJX61"/>
    <mergeCell ref="EJY61:EJZ61"/>
    <mergeCell ref="EOQ61:EOR61"/>
    <mergeCell ref="EOS61:EOT61"/>
    <mergeCell ref="EOU61:EOV61"/>
    <mergeCell ref="EOW61:EOX61"/>
    <mergeCell ref="EOY61:EOZ61"/>
    <mergeCell ref="EPA61:EPB61"/>
    <mergeCell ref="EOE61:EOF61"/>
    <mergeCell ref="EOG61:EOH61"/>
    <mergeCell ref="EOI61:EOJ61"/>
    <mergeCell ref="EOK61:EOL61"/>
    <mergeCell ref="EOM61:EON61"/>
    <mergeCell ref="EOO61:EOP61"/>
    <mergeCell ref="ENS61:ENT61"/>
    <mergeCell ref="ENU61:ENV61"/>
    <mergeCell ref="ENW61:ENX61"/>
    <mergeCell ref="ENY61:ENZ61"/>
    <mergeCell ref="EOA61:EOB61"/>
    <mergeCell ref="EOC61:EOD61"/>
    <mergeCell ref="ENG61:ENH61"/>
    <mergeCell ref="ENI61:ENJ61"/>
    <mergeCell ref="ENK61:ENL61"/>
    <mergeCell ref="ENM61:ENN61"/>
    <mergeCell ref="ENO61:ENP61"/>
    <mergeCell ref="ENQ61:ENR61"/>
    <mergeCell ref="EMU61:EMV61"/>
    <mergeCell ref="EMW61:EMX61"/>
    <mergeCell ref="EMY61:EMZ61"/>
    <mergeCell ref="ENA61:ENB61"/>
    <mergeCell ref="ENC61:END61"/>
    <mergeCell ref="ENE61:ENF61"/>
    <mergeCell ref="EMI61:EMJ61"/>
    <mergeCell ref="EMK61:EML61"/>
    <mergeCell ref="EMM61:EMN61"/>
    <mergeCell ref="EMO61:EMP61"/>
    <mergeCell ref="EMQ61:EMR61"/>
    <mergeCell ref="EMS61:EMT61"/>
    <mergeCell ref="ERK61:ERL61"/>
    <mergeCell ref="ERM61:ERN61"/>
    <mergeCell ref="ERO61:ERP61"/>
    <mergeCell ref="ERQ61:ERR61"/>
    <mergeCell ref="ERS61:ERT61"/>
    <mergeCell ref="ERU61:ERV61"/>
    <mergeCell ref="EQY61:EQZ61"/>
    <mergeCell ref="ERA61:ERB61"/>
    <mergeCell ref="ERC61:ERD61"/>
    <mergeCell ref="ERE61:ERF61"/>
    <mergeCell ref="ERG61:ERH61"/>
    <mergeCell ref="ERI61:ERJ61"/>
    <mergeCell ref="EQM61:EQN61"/>
    <mergeCell ref="EQO61:EQP61"/>
    <mergeCell ref="EQQ61:EQR61"/>
    <mergeCell ref="EQS61:EQT61"/>
    <mergeCell ref="EQU61:EQV61"/>
    <mergeCell ref="EQW61:EQX61"/>
    <mergeCell ref="EQA61:EQB61"/>
    <mergeCell ref="EQC61:EQD61"/>
    <mergeCell ref="EQE61:EQF61"/>
    <mergeCell ref="EQG61:EQH61"/>
    <mergeCell ref="EQI61:EQJ61"/>
    <mergeCell ref="EQK61:EQL61"/>
    <mergeCell ref="EPO61:EPP61"/>
    <mergeCell ref="EPQ61:EPR61"/>
    <mergeCell ref="EPS61:EPT61"/>
    <mergeCell ref="EPU61:EPV61"/>
    <mergeCell ref="EPW61:EPX61"/>
    <mergeCell ref="EPY61:EPZ61"/>
    <mergeCell ref="EPC61:EPD61"/>
    <mergeCell ref="EPE61:EPF61"/>
    <mergeCell ref="EPG61:EPH61"/>
    <mergeCell ref="EPI61:EPJ61"/>
    <mergeCell ref="EPK61:EPL61"/>
    <mergeCell ref="EPM61:EPN61"/>
    <mergeCell ref="EUE61:EUF61"/>
    <mergeCell ref="EUG61:EUH61"/>
    <mergeCell ref="EUI61:EUJ61"/>
    <mergeCell ref="EUK61:EUL61"/>
    <mergeCell ref="EUM61:EUN61"/>
    <mergeCell ref="EUO61:EUP61"/>
    <mergeCell ref="ETS61:ETT61"/>
    <mergeCell ref="ETU61:ETV61"/>
    <mergeCell ref="ETW61:ETX61"/>
    <mergeCell ref="ETY61:ETZ61"/>
    <mergeCell ref="EUA61:EUB61"/>
    <mergeCell ref="EUC61:EUD61"/>
    <mergeCell ref="ETG61:ETH61"/>
    <mergeCell ref="ETI61:ETJ61"/>
    <mergeCell ref="ETK61:ETL61"/>
    <mergeCell ref="ETM61:ETN61"/>
    <mergeCell ref="ETO61:ETP61"/>
    <mergeCell ref="ETQ61:ETR61"/>
    <mergeCell ref="ESU61:ESV61"/>
    <mergeCell ref="ESW61:ESX61"/>
    <mergeCell ref="ESY61:ESZ61"/>
    <mergeCell ref="ETA61:ETB61"/>
    <mergeCell ref="ETC61:ETD61"/>
    <mergeCell ref="ETE61:ETF61"/>
    <mergeCell ref="ESI61:ESJ61"/>
    <mergeCell ref="ESK61:ESL61"/>
    <mergeCell ref="ESM61:ESN61"/>
    <mergeCell ref="ESO61:ESP61"/>
    <mergeCell ref="ESQ61:ESR61"/>
    <mergeCell ref="ESS61:EST61"/>
    <mergeCell ref="ERW61:ERX61"/>
    <mergeCell ref="ERY61:ERZ61"/>
    <mergeCell ref="ESA61:ESB61"/>
    <mergeCell ref="ESC61:ESD61"/>
    <mergeCell ref="ESE61:ESF61"/>
    <mergeCell ref="ESG61:ESH61"/>
    <mergeCell ref="EWY61:EWZ61"/>
    <mergeCell ref="EXA61:EXB61"/>
    <mergeCell ref="EXC61:EXD61"/>
    <mergeCell ref="EXE61:EXF61"/>
    <mergeCell ref="EXG61:EXH61"/>
    <mergeCell ref="EXI61:EXJ61"/>
    <mergeCell ref="EWM61:EWN61"/>
    <mergeCell ref="EWO61:EWP61"/>
    <mergeCell ref="EWQ61:EWR61"/>
    <mergeCell ref="EWS61:EWT61"/>
    <mergeCell ref="EWU61:EWV61"/>
    <mergeCell ref="EWW61:EWX61"/>
    <mergeCell ref="EWA61:EWB61"/>
    <mergeCell ref="EWC61:EWD61"/>
    <mergeCell ref="EWE61:EWF61"/>
    <mergeCell ref="EWG61:EWH61"/>
    <mergeCell ref="EWI61:EWJ61"/>
    <mergeCell ref="EWK61:EWL61"/>
    <mergeCell ref="EVO61:EVP61"/>
    <mergeCell ref="EVQ61:EVR61"/>
    <mergeCell ref="EVS61:EVT61"/>
    <mergeCell ref="EVU61:EVV61"/>
    <mergeCell ref="EVW61:EVX61"/>
    <mergeCell ref="EVY61:EVZ61"/>
    <mergeCell ref="EVC61:EVD61"/>
    <mergeCell ref="EVE61:EVF61"/>
    <mergeCell ref="EVG61:EVH61"/>
    <mergeCell ref="EVI61:EVJ61"/>
    <mergeCell ref="EVK61:EVL61"/>
    <mergeCell ref="EVM61:EVN61"/>
    <mergeCell ref="EUQ61:EUR61"/>
    <mergeCell ref="EUS61:EUT61"/>
    <mergeCell ref="EUU61:EUV61"/>
    <mergeCell ref="EUW61:EUX61"/>
    <mergeCell ref="EUY61:EUZ61"/>
    <mergeCell ref="EVA61:EVB61"/>
    <mergeCell ref="EZS61:EZT61"/>
    <mergeCell ref="EZU61:EZV61"/>
    <mergeCell ref="EZW61:EZX61"/>
    <mergeCell ref="EZY61:EZZ61"/>
    <mergeCell ref="FAA61:FAB61"/>
    <mergeCell ref="FAC61:FAD61"/>
    <mergeCell ref="EZG61:EZH61"/>
    <mergeCell ref="EZI61:EZJ61"/>
    <mergeCell ref="EZK61:EZL61"/>
    <mergeCell ref="EZM61:EZN61"/>
    <mergeCell ref="EZO61:EZP61"/>
    <mergeCell ref="EZQ61:EZR61"/>
    <mergeCell ref="EYU61:EYV61"/>
    <mergeCell ref="EYW61:EYX61"/>
    <mergeCell ref="EYY61:EYZ61"/>
    <mergeCell ref="EZA61:EZB61"/>
    <mergeCell ref="EZC61:EZD61"/>
    <mergeCell ref="EZE61:EZF61"/>
    <mergeCell ref="EYI61:EYJ61"/>
    <mergeCell ref="EYK61:EYL61"/>
    <mergeCell ref="EYM61:EYN61"/>
    <mergeCell ref="EYO61:EYP61"/>
    <mergeCell ref="EYQ61:EYR61"/>
    <mergeCell ref="EYS61:EYT61"/>
    <mergeCell ref="EXW61:EXX61"/>
    <mergeCell ref="EXY61:EXZ61"/>
    <mergeCell ref="EYA61:EYB61"/>
    <mergeCell ref="EYC61:EYD61"/>
    <mergeCell ref="EYE61:EYF61"/>
    <mergeCell ref="EYG61:EYH61"/>
    <mergeCell ref="EXK61:EXL61"/>
    <mergeCell ref="EXM61:EXN61"/>
    <mergeCell ref="EXO61:EXP61"/>
    <mergeCell ref="EXQ61:EXR61"/>
    <mergeCell ref="EXS61:EXT61"/>
    <mergeCell ref="EXU61:EXV61"/>
    <mergeCell ref="FCM61:FCN61"/>
    <mergeCell ref="FCO61:FCP61"/>
    <mergeCell ref="FCQ61:FCR61"/>
    <mergeCell ref="FCS61:FCT61"/>
    <mergeCell ref="FCU61:FCV61"/>
    <mergeCell ref="FCW61:FCX61"/>
    <mergeCell ref="FCA61:FCB61"/>
    <mergeCell ref="FCC61:FCD61"/>
    <mergeCell ref="FCE61:FCF61"/>
    <mergeCell ref="FCG61:FCH61"/>
    <mergeCell ref="FCI61:FCJ61"/>
    <mergeCell ref="FCK61:FCL61"/>
    <mergeCell ref="FBO61:FBP61"/>
    <mergeCell ref="FBQ61:FBR61"/>
    <mergeCell ref="FBS61:FBT61"/>
    <mergeCell ref="FBU61:FBV61"/>
    <mergeCell ref="FBW61:FBX61"/>
    <mergeCell ref="FBY61:FBZ61"/>
    <mergeCell ref="FBC61:FBD61"/>
    <mergeCell ref="FBE61:FBF61"/>
    <mergeCell ref="FBG61:FBH61"/>
    <mergeCell ref="FBI61:FBJ61"/>
    <mergeCell ref="FBK61:FBL61"/>
    <mergeCell ref="FBM61:FBN61"/>
    <mergeCell ref="FAQ61:FAR61"/>
    <mergeCell ref="FAS61:FAT61"/>
    <mergeCell ref="FAU61:FAV61"/>
    <mergeCell ref="FAW61:FAX61"/>
    <mergeCell ref="FAY61:FAZ61"/>
    <mergeCell ref="FBA61:FBB61"/>
    <mergeCell ref="FAE61:FAF61"/>
    <mergeCell ref="FAG61:FAH61"/>
    <mergeCell ref="FAI61:FAJ61"/>
    <mergeCell ref="FAK61:FAL61"/>
    <mergeCell ref="FAM61:FAN61"/>
    <mergeCell ref="FAO61:FAP61"/>
    <mergeCell ref="FFG61:FFH61"/>
    <mergeCell ref="FFI61:FFJ61"/>
    <mergeCell ref="FFK61:FFL61"/>
    <mergeCell ref="FFM61:FFN61"/>
    <mergeCell ref="FFO61:FFP61"/>
    <mergeCell ref="FFQ61:FFR61"/>
    <mergeCell ref="FEU61:FEV61"/>
    <mergeCell ref="FEW61:FEX61"/>
    <mergeCell ref="FEY61:FEZ61"/>
    <mergeCell ref="FFA61:FFB61"/>
    <mergeCell ref="FFC61:FFD61"/>
    <mergeCell ref="FFE61:FFF61"/>
    <mergeCell ref="FEI61:FEJ61"/>
    <mergeCell ref="FEK61:FEL61"/>
    <mergeCell ref="FEM61:FEN61"/>
    <mergeCell ref="FEO61:FEP61"/>
    <mergeCell ref="FEQ61:FER61"/>
    <mergeCell ref="FES61:FET61"/>
    <mergeCell ref="FDW61:FDX61"/>
    <mergeCell ref="FDY61:FDZ61"/>
    <mergeCell ref="FEA61:FEB61"/>
    <mergeCell ref="FEC61:FED61"/>
    <mergeCell ref="FEE61:FEF61"/>
    <mergeCell ref="FEG61:FEH61"/>
    <mergeCell ref="FDK61:FDL61"/>
    <mergeCell ref="FDM61:FDN61"/>
    <mergeCell ref="FDO61:FDP61"/>
    <mergeCell ref="FDQ61:FDR61"/>
    <mergeCell ref="FDS61:FDT61"/>
    <mergeCell ref="FDU61:FDV61"/>
    <mergeCell ref="FCY61:FCZ61"/>
    <mergeCell ref="FDA61:FDB61"/>
    <mergeCell ref="FDC61:FDD61"/>
    <mergeCell ref="FDE61:FDF61"/>
    <mergeCell ref="FDG61:FDH61"/>
    <mergeCell ref="FDI61:FDJ61"/>
    <mergeCell ref="FIA61:FIB61"/>
    <mergeCell ref="FIC61:FID61"/>
    <mergeCell ref="FIE61:FIF61"/>
    <mergeCell ref="FIG61:FIH61"/>
    <mergeCell ref="FII61:FIJ61"/>
    <mergeCell ref="FIK61:FIL61"/>
    <mergeCell ref="FHO61:FHP61"/>
    <mergeCell ref="FHQ61:FHR61"/>
    <mergeCell ref="FHS61:FHT61"/>
    <mergeCell ref="FHU61:FHV61"/>
    <mergeCell ref="FHW61:FHX61"/>
    <mergeCell ref="FHY61:FHZ61"/>
    <mergeCell ref="FHC61:FHD61"/>
    <mergeCell ref="FHE61:FHF61"/>
    <mergeCell ref="FHG61:FHH61"/>
    <mergeCell ref="FHI61:FHJ61"/>
    <mergeCell ref="FHK61:FHL61"/>
    <mergeCell ref="FHM61:FHN61"/>
    <mergeCell ref="FGQ61:FGR61"/>
    <mergeCell ref="FGS61:FGT61"/>
    <mergeCell ref="FGU61:FGV61"/>
    <mergeCell ref="FGW61:FGX61"/>
    <mergeCell ref="FGY61:FGZ61"/>
    <mergeCell ref="FHA61:FHB61"/>
    <mergeCell ref="FGE61:FGF61"/>
    <mergeCell ref="FGG61:FGH61"/>
    <mergeCell ref="FGI61:FGJ61"/>
    <mergeCell ref="FGK61:FGL61"/>
    <mergeCell ref="FGM61:FGN61"/>
    <mergeCell ref="FGO61:FGP61"/>
    <mergeCell ref="FFS61:FFT61"/>
    <mergeCell ref="FFU61:FFV61"/>
    <mergeCell ref="FFW61:FFX61"/>
    <mergeCell ref="FFY61:FFZ61"/>
    <mergeCell ref="FGA61:FGB61"/>
    <mergeCell ref="FGC61:FGD61"/>
    <mergeCell ref="FKU61:FKV61"/>
    <mergeCell ref="FKW61:FKX61"/>
    <mergeCell ref="FKY61:FKZ61"/>
    <mergeCell ref="FLA61:FLB61"/>
    <mergeCell ref="FLC61:FLD61"/>
    <mergeCell ref="FLE61:FLF61"/>
    <mergeCell ref="FKI61:FKJ61"/>
    <mergeCell ref="FKK61:FKL61"/>
    <mergeCell ref="FKM61:FKN61"/>
    <mergeCell ref="FKO61:FKP61"/>
    <mergeCell ref="FKQ61:FKR61"/>
    <mergeCell ref="FKS61:FKT61"/>
    <mergeCell ref="FJW61:FJX61"/>
    <mergeCell ref="FJY61:FJZ61"/>
    <mergeCell ref="FKA61:FKB61"/>
    <mergeCell ref="FKC61:FKD61"/>
    <mergeCell ref="FKE61:FKF61"/>
    <mergeCell ref="FKG61:FKH61"/>
    <mergeCell ref="FJK61:FJL61"/>
    <mergeCell ref="FJM61:FJN61"/>
    <mergeCell ref="FJO61:FJP61"/>
    <mergeCell ref="FJQ61:FJR61"/>
    <mergeCell ref="FJS61:FJT61"/>
    <mergeCell ref="FJU61:FJV61"/>
    <mergeCell ref="FIY61:FIZ61"/>
    <mergeCell ref="FJA61:FJB61"/>
    <mergeCell ref="FJC61:FJD61"/>
    <mergeCell ref="FJE61:FJF61"/>
    <mergeCell ref="FJG61:FJH61"/>
    <mergeCell ref="FJI61:FJJ61"/>
    <mergeCell ref="FIM61:FIN61"/>
    <mergeCell ref="FIO61:FIP61"/>
    <mergeCell ref="FIQ61:FIR61"/>
    <mergeCell ref="FIS61:FIT61"/>
    <mergeCell ref="FIU61:FIV61"/>
    <mergeCell ref="FIW61:FIX61"/>
    <mergeCell ref="FNO61:FNP61"/>
    <mergeCell ref="FNQ61:FNR61"/>
    <mergeCell ref="FNS61:FNT61"/>
    <mergeCell ref="FNU61:FNV61"/>
    <mergeCell ref="FNW61:FNX61"/>
    <mergeCell ref="FNY61:FNZ61"/>
    <mergeCell ref="FNC61:FND61"/>
    <mergeCell ref="FNE61:FNF61"/>
    <mergeCell ref="FNG61:FNH61"/>
    <mergeCell ref="FNI61:FNJ61"/>
    <mergeCell ref="FNK61:FNL61"/>
    <mergeCell ref="FNM61:FNN61"/>
    <mergeCell ref="FMQ61:FMR61"/>
    <mergeCell ref="FMS61:FMT61"/>
    <mergeCell ref="FMU61:FMV61"/>
    <mergeCell ref="FMW61:FMX61"/>
    <mergeCell ref="FMY61:FMZ61"/>
    <mergeCell ref="FNA61:FNB61"/>
    <mergeCell ref="FME61:FMF61"/>
    <mergeCell ref="FMG61:FMH61"/>
    <mergeCell ref="FMI61:FMJ61"/>
    <mergeCell ref="FMK61:FML61"/>
    <mergeCell ref="FMM61:FMN61"/>
    <mergeCell ref="FMO61:FMP61"/>
    <mergeCell ref="FLS61:FLT61"/>
    <mergeCell ref="FLU61:FLV61"/>
    <mergeCell ref="FLW61:FLX61"/>
    <mergeCell ref="FLY61:FLZ61"/>
    <mergeCell ref="FMA61:FMB61"/>
    <mergeCell ref="FMC61:FMD61"/>
    <mergeCell ref="FLG61:FLH61"/>
    <mergeCell ref="FLI61:FLJ61"/>
    <mergeCell ref="FLK61:FLL61"/>
    <mergeCell ref="FLM61:FLN61"/>
    <mergeCell ref="FLO61:FLP61"/>
    <mergeCell ref="FLQ61:FLR61"/>
    <mergeCell ref="FQI61:FQJ61"/>
    <mergeCell ref="FQK61:FQL61"/>
    <mergeCell ref="FQM61:FQN61"/>
    <mergeCell ref="FQO61:FQP61"/>
    <mergeCell ref="FQQ61:FQR61"/>
    <mergeCell ref="FQS61:FQT61"/>
    <mergeCell ref="FPW61:FPX61"/>
    <mergeCell ref="FPY61:FPZ61"/>
    <mergeCell ref="FQA61:FQB61"/>
    <mergeCell ref="FQC61:FQD61"/>
    <mergeCell ref="FQE61:FQF61"/>
    <mergeCell ref="FQG61:FQH61"/>
    <mergeCell ref="FPK61:FPL61"/>
    <mergeCell ref="FPM61:FPN61"/>
    <mergeCell ref="FPO61:FPP61"/>
    <mergeCell ref="FPQ61:FPR61"/>
    <mergeCell ref="FPS61:FPT61"/>
    <mergeCell ref="FPU61:FPV61"/>
    <mergeCell ref="FOY61:FOZ61"/>
    <mergeCell ref="FPA61:FPB61"/>
    <mergeCell ref="FPC61:FPD61"/>
    <mergeCell ref="FPE61:FPF61"/>
    <mergeCell ref="FPG61:FPH61"/>
    <mergeCell ref="FPI61:FPJ61"/>
    <mergeCell ref="FOM61:FON61"/>
    <mergeCell ref="FOO61:FOP61"/>
    <mergeCell ref="FOQ61:FOR61"/>
    <mergeCell ref="FOS61:FOT61"/>
    <mergeCell ref="FOU61:FOV61"/>
    <mergeCell ref="FOW61:FOX61"/>
    <mergeCell ref="FOA61:FOB61"/>
    <mergeCell ref="FOC61:FOD61"/>
    <mergeCell ref="FOE61:FOF61"/>
    <mergeCell ref="FOG61:FOH61"/>
    <mergeCell ref="FOI61:FOJ61"/>
    <mergeCell ref="FOK61:FOL61"/>
    <mergeCell ref="FTC61:FTD61"/>
    <mergeCell ref="FTE61:FTF61"/>
    <mergeCell ref="FTG61:FTH61"/>
    <mergeCell ref="FTI61:FTJ61"/>
    <mergeCell ref="FTK61:FTL61"/>
    <mergeCell ref="FTM61:FTN61"/>
    <mergeCell ref="FSQ61:FSR61"/>
    <mergeCell ref="FSS61:FST61"/>
    <mergeCell ref="FSU61:FSV61"/>
    <mergeCell ref="FSW61:FSX61"/>
    <mergeCell ref="FSY61:FSZ61"/>
    <mergeCell ref="FTA61:FTB61"/>
    <mergeCell ref="FSE61:FSF61"/>
    <mergeCell ref="FSG61:FSH61"/>
    <mergeCell ref="FSI61:FSJ61"/>
    <mergeCell ref="FSK61:FSL61"/>
    <mergeCell ref="FSM61:FSN61"/>
    <mergeCell ref="FSO61:FSP61"/>
    <mergeCell ref="FRS61:FRT61"/>
    <mergeCell ref="FRU61:FRV61"/>
    <mergeCell ref="FRW61:FRX61"/>
    <mergeCell ref="FRY61:FRZ61"/>
    <mergeCell ref="FSA61:FSB61"/>
    <mergeCell ref="FSC61:FSD61"/>
    <mergeCell ref="FRG61:FRH61"/>
    <mergeCell ref="FRI61:FRJ61"/>
    <mergeCell ref="FRK61:FRL61"/>
    <mergeCell ref="FRM61:FRN61"/>
    <mergeCell ref="FRO61:FRP61"/>
    <mergeCell ref="FRQ61:FRR61"/>
    <mergeCell ref="FQU61:FQV61"/>
    <mergeCell ref="FQW61:FQX61"/>
    <mergeCell ref="FQY61:FQZ61"/>
    <mergeCell ref="FRA61:FRB61"/>
    <mergeCell ref="FRC61:FRD61"/>
    <mergeCell ref="FRE61:FRF61"/>
    <mergeCell ref="FVW61:FVX61"/>
    <mergeCell ref="FVY61:FVZ61"/>
    <mergeCell ref="FWA61:FWB61"/>
    <mergeCell ref="FWC61:FWD61"/>
    <mergeCell ref="FWE61:FWF61"/>
    <mergeCell ref="FWG61:FWH61"/>
    <mergeCell ref="FVK61:FVL61"/>
    <mergeCell ref="FVM61:FVN61"/>
    <mergeCell ref="FVO61:FVP61"/>
    <mergeCell ref="FVQ61:FVR61"/>
    <mergeCell ref="FVS61:FVT61"/>
    <mergeCell ref="FVU61:FVV61"/>
    <mergeCell ref="FUY61:FUZ61"/>
    <mergeCell ref="FVA61:FVB61"/>
    <mergeCell ref="FVC61:FVD61"/>
    <mergeCell ref="FVE61:FVF61"/>
    <mergeCell ref="FVG61:FVH61"/>
    <mergeCell ref="FVI61:FVJ61"/>
    <mergeCell ref="FUM61:FUN61"/>
    <mergeCell ref="FUO61:FUP61"/>
    <mergeCell ref="FUQ61:FUR61"/>
    <mergeCell ref="FUS61:FUT61"/>
    <mergeCell ref="FUU61:FUV61"/>
    <mergeCell ref="FUW61:FUX61"/>
    <mergeCell ref="FUA61:FUB61"/>
    <mergeCell ref="FUC61:FUD61"/>
    <mergeCell ref="FUE61:FUF61"/>
    <mergeCell ref="FUG61:FUH61"/>
    <mergeCell ref="FUI61:FUJ61"/>
    <mergeCell ref="FUK61:FUL61"/>
    <mergeCell ref="FTO61:FTP61"/>
    <mergeCell ref="FTQ61:FTR61"/>
    <mergeCell ref="FTS61:FTT61"/>
    <mergeCell ref="FTU61:FTV61"/>
    <mergeCell ref="FTW61:FTX61"/>
    <mergeCell ref="FTY61:FTZ61"/>
    <mergeCell ref="FYQ61:FYR61"/>
    <mergeCell ref="FYS61:FYT61"/>
    <mergeCell ref="FYU61:FYV61"/>
    <mergeCell ref="FYW61:FYX61"/>
    <mergeCell ref="FYY61:FYZ61"/>
    <mergeCell ref="FZA61:FZB61"/>
    <mergeCell ref="FYE61:FYF61"/>
    <mergeCell ref="FYG61:FYH61"/>
    <mergeCell ref="FYI61:FYJ61"/>
    <mergeCell ref="FYK61:FYL61"/>
    <mergeCell ref="FYM61:FYN61"/>
    <mergeCell ref="FYO61:FYP61"/>
    <mergeCell ref="FXS61:FXT61"/>
    <mergeCell ref="FXU61:FXV61"/>
    <mergeCell ref="FXW61:FXX61"/>
    <mergeCell ref="FXY61:FXZ61"/>
    <mergeCell ref="FYA61:FYB61"/>
    <mergeCell ref="FYC61:FYD61"/>
    <mergeCell ref="FXG61:FXH61"/>
    <mergeCell ref="FXI61:FXJ61"/>
    <mergeCell ref="FXK61:FXL61"/>
    <mergeCell ref="FXM61:FXN61"/>
    <mergeCell ref="FXO61:FXP61"/>
    <mergeCell ref="FXQ61:FXR61"/>
    <mergeCell ref="FWU61:FWV61"/>
    <mergeCell ref="FWW61:FWX61"/>
    <mergeCell ref="FWY61:FWZ61"/>
    <mergeCell ref="FXA61:FXB61"/>
    <mergeCell ref="FXC61:FXD61"/>
    <mergeCell ref="FXE61:FXF61"/>
    <mergeCell ref="FWI61:FWJ61"/>
    <mergeCell ref="FWK61:FWL61"/>
    <mergeCell ref="FWM61:FWN61"/>
    <mergeCell ref="FWO61:FWP61"/>
    <mergeCell ref="FWQ61:FWR61"/>
    <mergeCell ref="FWS61:FWT61"/>
    <mergeCell ref="GBK61:GBL61"/>
    <mergeCell ref="GBM61:GBN61"/>
    <mergeCell ref="GBO61:GBP61"/>
    <mergeCell ref="GBQ61:GBR61"/>
    <mergeCell ref="GBS61:GBT61"/>
    <mergeCell ref="GBU61:GBV61"/>
    <mergeCell ref="GAY61:GAZ61"/>
    <mergeCell ref="GBA61:GBB61"/>
    <mergeCell ref="GBC61:GBD61"/>
    <mergeCell ref="GBE61:GBF61"/>
    <mergeCell ref="GBG61:GBH61"/>
    <mergeCell ref="GBI61:GBJ61"/>
    <mergeCell ref="GAM61:GAN61"/>
    <mergeCell ref="GAO61:GAP61"/>
    <mergeCell ref="GAQ61:GAR61"/>
    <mergeCell ref="GAS61:GAT61"/>
    <mergeCell ref="GAU61:GAV61"/>
    <mergeCell ref="GAW61:GAX61"/>
    <mergeCell ref="GAA61:GAB61"/>
    <mergeCell ref="GAC61:GAD61"/>
    <mergeCell ref="GAE61:GAF61"/>
    <mergeCell ref="GAG61:GAH61"/>
    <mergeCell ref="GAI61:GAJ61"/>
    <mergeCell ref="GAK61:GAL61"/>
    <mergeCell ref="FZO61:FZP61"/>
    <mergeCell ref="FZQ61:FZR61"/>
    <mergeCell ref="FZS61:FZT61"/>
    <mergeCell ref="FZU61:FZV61"/>
    <mergeCell ref="FZW61:FZX61"/>
    <mergeCell ref="FZY61:FZZ61"/>
    <mergeCell ref="FZC61:FZD61"/>
    <mergeCell ref="FZE61:FZF61"/>
    <mergeCell ref="FZG61:FZH61"/>
    <mergeCell ref="FZI61:FZJ61"/>
    <mergeCell ref="FZK61:FZL61"/>
    <mergeCell ref="FZM61:FZN61"/>
    <mergeCell ref="GEE61:GEF61"/>
    <mergeCell ref="GEG61:GEH61"/>
    <mergeCell ref="GEI61:GEJ61"/>
    <mergeCell ref="GEK61:GEL61"/>
    <mergeCell ref="GEM61:GEN61"/>
    <mergeCell ref="GEO61:GEP61"/>
    <mergeCell ref="GDS61:GDT61"/>
    <mergeCell ref="GDU61:GDV61"/>
    <mergeCell ref="GDW61:GDX61"/>
    <mergeCell ref="GDY61:GDZ61"/>
    <mergeCell ref="GEA61:GEB61"/>
    <mergeCell ref="GEC61:GED61"/>
    <mergeCell ref="GDG61:GDH61"/>
    <mergeCell ref="GDI61:GDJ61"/>
    <mergeCell ref="GDK61:GDL61"/>
    <mergeCell ref="GDM61:GDN61"/>
    <mergeCell ref="GDO61:GDP61"/>
    <mergeCell ref="GDQ61:GDR61"/>
    <mergeCell ref="GCU61:GCV61"/>
    <mergeCell ref="GCW61:GCX61"/>
    <mergeCell ref="GCY61:GCZ61"/>
    <mergeCell ref="GDA61:GDB61"/>
    <mergeCell ref="GDC61:GDD61"/>
    <mergeCell ref="GDE61:GDF61"/>
    <mergeCell ref="GCI61:GCJ61"/>
    <mergeCell ref="GCK61:GCL61"/>
    <mergeCell ref="GCM61:GCN61"/>
    <mergeCell ref="GCO61:GCP61"/>
    <mergeCell ref="GCQ61:GCR61"/>
    <mergeCell ref="GCS61:GCT61"/>
    <mergeCell ref="GBW61:GBX61"/>
    <mergeCell ref="GBY61:GBZ61"/>
    <mergeCell ref="GCA61:GCB61"/>
    <mergeCell ref="GCC61:GCD61"/>
    <mergeCell ref="GCE61:GCF61"/>
    <mergeCell ref="GCG61:GCH61"/>
    <mergeCell ref="GGY61:GGZ61"/>
    <mergeCell ref="GHA61:GHB61"/>
    <mergeCell ref="GHC61:GHD61"/>
    <mergeCell ref="GHE61:GHF61"/>
    <mergeCell ref="GHG61:GHH61"/>
    <mergeCell ref="GHI61:GHJ61"/>
    <mergeCell ref="GGM61:GGN61"/>
    <mergeCell ref="GGO61:GGP61"/>
    <mergeCell ref="GGQ61:GGR61"/>
    <mergeCell ref="GGS61:GGT61"/>
    <mergeCell ref="GGU61:GGV61"/>
    <mergeCell ref="GGW61:GGX61"/>
    <mergeCell ref="GGA61:GGB61"/>
    <mergeCell ref="GGC61:GGD61"/>
    <mergeCell ref="GGE61:GGF61"/>
    <mergeCell ref="GGG61:GGH61"/>
    <mergeCell ref="GGI61:GGJ61"/>
    <mergeCell ref="GGK61:GGL61"/>
    <mergeCell ref="GFO61:GFP61"/>
    <mergeCell ref="GFQ61:GFR61"/>
    <mergeCell ref="GFS61:GFT61"/>
    <mergeCell ref="GFU61:GFV61"/>
    <mergeCell ref="GFW61:GFX61"/>
    <mergeCell ref="GFY61:GFZ61"/>
    <mergeCell ref="GFC61:GFD61"/>
    <mergeCell ref="GFE61:GFF61"/>
    <mergeCell ref="GFG61:GFH61"/>
    <mergeCell ref="GFI61:GFJ61"/>
    <mergeCell ref="GFK61:GFL61"/>
    <mergeCell ref="GFM61:GFN61"/>
    <mergeCell ref="GEQ61:GER61"/>
    <mergeCell ref="GES61:GET61"/>
    <mergeCell ref="GEU61:GEV61"/>
    <mergeCell ref="GEW61:GEX61"/>
    <mergeCell ref="GEY61:GEZ61"/>
    <mergeCell ref="GFA61:GFB61"/>
    <mergeCell ref="GJS61:GJT61"/>
    <mergeCell ref="GJU61:GJV61"/>
    <mergeCell ref="GJW61:GJX61"/>
    <mergeCell ref="GJY61:GJZ61"/>
    <mergeCell ref="GKA61:GKB61"/>
    <mergeCell ref="GKC61:GKD61"/>
    <mergeCell ref="GJG61:GJH61"/>
    <mergeCell ref="GJI61:GJJ61"/>
    <mergeCell ref="GJK61:GJL61"/>
    <mergeCell ref="GJM61:GJN61"/>
    <mergeCell ref="GJO61:GJP61"/>
    <mergeCell ref="GJQ61:GJR61"/>
    <mergeCell ref="GIU61:GIV61"/>
    <mergeCell ref="GIW61:GIX61"/>
    <mergeCell ref="GIY61:GIZ61"/>
    <mergeCell ref="GJA61:GJB61"/>
    <mergeCell ref="GJC61:GJD61"/>
    <mergeCell ref="GJE61:GJF61"/>
    <mergeCell ref="GII61:GIJ61"/>
    <mergeCell ref="GIK61:GIL61"/>
    <mergeCell ref="GIM61:GIN61"/>
    <mergeCell ref="GIO61:GIP61"/>
    <mergeCell ref="GIQ61:GIR61"/>
    <mergeCell ref="GIS61:GIT61"/>
    <mergeCell ref="GHW61:GHX61"/>
    <mergeCell ref="GHY61:GHZ61"/>
    <mergeCell ref="GIA61:GIB61"/>
    <mergeCell ref="GIC61:GID61"/>
    <mergeCell ref="GIE61:GIF61"/>
    <mergeCell ref="GIG61:GIH61"/>
    <mergeCell ref="GHK61:GHL61"/>
    <mergeCell ref="GHM61:GHN61"/>
    <mergeCell ref="GHO61:GHP61"/>
    <mergeCell ref="GHQ61:GHR61"/>
    <mergeCell ref="GHS61:GHT61"/>
    <mergeCell ref="GHU61:GHV61"/>
    <mergeCell ref="GMM61:GMN61"/>
    <mergeCell ref="GMO61:GMP61"/>
    <mergeCell ref="GMQ61:GMR61"/>
    <mergeCell ref="GMS61:GMT61"/>
    <mergeCell ref="GMU61:GMV61"/>
    <mergeCell ref="GMW61:GMX61"/>
    <mergeCell ref="GMA61:GMB61"/>
    <mergeCell ref="GMC61:GMD61"/>
    <mergeCell ref="GME61:GMF61"/>
    <mergeCell ref="GMG61:GMH61"/>
    <mergeCell ref="GMI61:GMJ61"/>
    <mergeCell ref="GMK61:GML61"/>
    <mergeCell ref="GLO61:GLP61"/>
    <mergeCell ref="GLQ61:GLR61"/>
    <mergeCell ref="GLS61:GLT61"/>
    <mergeCell ref="GLU61:GLV61"/>
    <mergeCell ref="GLW61:GLX61"/>
    <mergeCell ref="GLY61:GLZ61"/>
    <mergeCell ref="GLC61:GLD61"/>
    <mergeCell ref="GLE61:GLF61"/>
    <mergeCell ref="GLG61:GLH61"/>
    <mergeCell ref="GLI61:GLJ61"/>
    <mergeCell ref="GLK61:GLL61"/>
    <mergeCell ref="GLM61:GLN61"/>
    <mergeCell ref="GKQ61:GKR61"/>
    <mergeCell ref="GKS61:GKT61"/>
    <mergeCell ref="GKU61:GKV61"/>
    <mergeCell ref="GKW61:GKX61"/>
    <mergeCell ref="GKY61:GKZ61"/>
    <mergeCell ref="GLA61:GLB61"/>
    <mergeCell ref="GKE61:GKF61"/>
    <mergeCell ref="GKG61:GKH61"/>
    <mergeCell ref="GKI61:GKJ61"/>
    <mergeCell ref="GKK61:GKL61"/>
    <mergeCell ref="GKM61:GKN61"/>
    <mergeCell ref="GKO61:GKP61"/>
    <mergeCell ref="GPG61:GPH61"/>
    <mergeCell ref="GPI61:GPJ61"/>
    <mergeCell ref="GPK61:GPL61"/>
    <mergeCell ref="GPM61:GPN61"/>
    <mergeCell ref="GPO61:GPP61"/>
    <mergeCell ref="GPQ61:GPR61"/>
    <mergeCell ref="GOU61:GOV61"/>
    <mergeCell ref="GOW61:GOX61"/>
    <mergeCell ref="GOY61:GOZ61"/>
    <mergeCell ref="GPA61:GPB61"/>
    <mergeCell ref="GPC61:GPD61"/>
    <mergeCell ref="GPE61:GPF61"/>
    <mergeCell ref="GOI61:GOJ61"/>
    <mergeCell ref="GOK61:GOL61"/>
    <mergeCell ref="GOM61:GON61"/>
    <mergeCell ref="GOO61:GOP61"/>
    <mergeCell ref="GOQ61:GOR61"/>
    <mergeCell ref="GOS61:GOT61"/>
    <mergeCell ref="GNW61:GNX61"/>
    <mergeCell ref="GNY61:GNZ61"/>
    <mergeCell ref="GOA61:GOB61"/>
    <mergeCell ref="GOC61:GOD61"/>
    <mergeCell ref="GOE61:GOF61"/>
    <mergeCell ref="GOG61:GOH61"/>
    <mergeCell ref="GNK61:GNL61"/>
    <mergeCell ref="GNM61:GNN61"/>
    <mergeCell ref="GNO61:GNP61"/>
    <mergeCell ref="GNQ61:GNR61"/>
    <mergeCell ref="GNS61:GNT61"/>
    <mergeCell ref="GNU61:GNV61"/>
    <mergeCell ref="GMY61:GMZ61"/>
    <mergeCell ref="GNA61:GNB61"/>
    <mergeCell ref="GNC61:GND61"/>
    <mergeCell ref="GNE61:GNF61"/>
    <mergeCell ref="GNG61:GNH61"/>
    <mergeCell ref="GNI61:GNJ61"/>
    <mergeCell ref="GSA61:GSB61"/>
    <mergeCell ref="GSC61:GSD61"/>
    <mergeCell ref="GSE61:GSF61"/>
    <mergeCell ref="GSG61:GSH61"/>
    <mergeCell ref="GSI61:GSJ61"/>
    <mergeCell ref="GSK61:GSL61"/>
    <mergeCell ref="GRO61:GRP61"/>
    <mergeCell ref="GRQ61:GRR61"/>
    <mergeCell ref="GRS61:GRT61"/>
    <mergeCell ref="GRU61:GRV61"/>
    <mergeCell ref="GRW61:GRX61"/>
    <mergeCell ref="GRY61:GRZ61"/>
    <mergeCell ref="GRC61:GRD61"/>
    <mergeCell ref="GRE61:GRF61"/>
    <mergeCell ref="GRG61:GRH61"/>
    <mergeCell ref="GRI61:GRJ61"/>
    <mergeCell ref="GRK61:GRL61"/>
    <mergeCell ref="GRM61:GRN61"/>
    <mergeCell ref="GQQ61:GQR61"/>
    <mergeCell ref="GQS61:GQT61"/>
    <mergeCell ref="GQU61:GQV61"/>
    <mergeCell ref="GQW61:GQX61"/>
    <mergeCell ref="GQY61:GQZ61"/>
    <mergeCell ref="GRA61:GRB61"/>
    <mergeCell ref="GQE61:GQF61"/>
    <mergeCell ref="GQG61:GQH61"/>
    <mergeCell ref="GQI61:GQJ61"/>
    <mergeCell ref="GQK61:GQL61"/>
    <mergeCell ref="GQM61:GQN61"/>
    <mergeCell ref="GQO61:GQP61"/>
    <mergeCell ref="GPS61:GPT61"/>
    <mergeCell ref="GPU61:GPV61"/>
    <mergeCell ref="GPW61:GPX61"/>
    <mergeCell ref="GPY61:GPZ61"/>
    <mergeCell ref="GQA61:GQB61"/>
    <mergeCell ref="GQC61:GQD61"/>
    <mergeCell ref="GUU61:GUV61"/>
    <mergeCell ref="GUW61:GUX61"/>
    <mergeCell ref="GUY61:GUZ61"/>
    <mergeCell ref="GVA61:GVB61"/>
    <mergeCell ref="GVC61:GVD61"/>
    <mergeCell ref="GVE61:GVF61"/>
    <mergeCell ref="GUI61:GUJ61"/>
    <mergeCell ref="GUK61:GUL61"/>
    <mergeCell ref="GUM61:GUN61"/>
    <mergeCell ref="GUO61:GUP61"/>
    <mergeCell ref="GUQ61:GUR61"/>
    <mergeCell ref="GUS61:GUT61"/>
    <mergeCell ref="GTW61:GTX61"/>
    <mergeCell ref="GTY61:GTZ61"/>
    <mergeCell ref="GUA61:GUB61"/>
    <mergeCell ref="GUC61:GUD61"/>
    <mergeCell ref="GUE61:GUF61"/>
    <mergeCell ref="GUG61:GUH61"/>
    <mergeCell ref="GTK61:GTL61"/>
    <mergeCell ref="GTM61:GTN61"/>
    <mergeCell ref="GTO61:GTP61"/>
    <mergeCell ref="GTQ61:GTR61"/>
    <mergeCell ref="GTS61:GTT61"/>
    <mergeCell ref="GTU61:GTV61"/>
    <mergeCell ref="GSY61:GSZ61"/>
    <mergeCell ref="GTA61:GTB61"/>
    <mergeCell ref="GTC61:GTD61"/>
    <mergeCell ref="GTE61:GTF61"/>
    <mergeCell ref="GTG61:GTH61"/>
    <mergeCell ref="GTI61:GTJ61"/>
    <mergeCell ref="GSM61:GSN61"/>
    <mergeCell ref="GSO61:GSP61"/>
    <mergeCell ref="GSQ61:GSR61"/>
    <mergeCell ref="GSS61:GST61"/>
    <mergeCell ref="GSU61:GSV61"/>
    <mergeCell ref="GSW61:GSX61"/>
    <mergeCell ref="GXO61:GXP61"/>
    <mergeCell ref="GXQ61:GXR61"/>
    <mergeCell ref="GXS61:GXT61"/>
    <mergeCell ref="GXU61:GXV61"/>
    <mergeCell ref="GXW61:GXX61"/>
    <mergeCell ref="GXY61:GXZ61"/>
    <mergeCell ref="GXC61:GXD61"/>
    <mergeCell ref="GXE61:GXF61"/>
    <mergeCell ref="GXG61:GXH61"/>
    <mergeCell ref="GXI61:GXJ61"/>
    <mergeCell ref="GXK61:GXL61"/>
    <mergeCell ref="GXM61:GXN61"/>
    <mergeCell ref="GWQ61:GWR61"/>
    <mergeCell ref="GWS61:GWT61"/>
    <mergeCell ref="GWU61:GWV61"/>
    <mergeCell ref="GWW61:GWX61"/>
    <mergeCell ref="GWY61:GWZ61"/>
    <mergeCell ref="GXA61:GXB61"/>
    <mergeCell ref="GWE61:GWF61"/>
    <mergeCell ref="GWG61:GWH61"/>
    <mergeCell ref="GWI61:GWJ61"/>
    <mergeCell ref="GWK61:GWL61"/>
    <mergeCell ref="GWM61:GWN61"/>
    <mergeCell ref="GWO61:GWP61"/>
    <mergeCell ref="GVS61:GVT61"/>
    <mergeCell ref="GVU61:GVV61"/>
    <mergeCell ref="GVW61:GVX61"/>
    <mergeCell ref="GVY61:GVZ61"/>
    <mergeCell ref="GWA61:GWB61"/>
    <mergeCell ref="GWC61:GWD61"/>
    <mergeCell ref="GVG61:GVH61"/>
    <mergeCell ref="GVI61:GVJ61"/>
    <mergeCell ref="GVK61:GVL61"/>
    <mergeCell ref="GVM61:GVN61"/>
    <mergeCell ref="GVO61:GVP61"/>
    <mergeCell ref="GVQ61:GVR61"/>
    <mergeCell ref="HAI61:HAJ61"/>
    <mergeCell ref="HAK61:HAL61"/>
    <mergeCell ref="HAM61:HAN61"/>
    <mergeCell ref="HAO61:HAP61"/>
    <mergeCell ref="HAQ61:HAR61"/>
    <mergeCell ref="HAS61:HAT61"/>
    <mergeCell ref="GZW61:GZX61"/>
    <mergeCell ref="GZY61:GZZ61"/>
    <mergeCell ref="HAA61:HAB61"/>
    <mergeCell ref="HAC61:HAD61"/>
    <mergeCell ref="HAE61:HAF61"/>
    <mergeCell ref="HAG61:HAH61"/>
    <mergeCell ref="GZK61:GZL61"/>
    <mergeCell ref="GZM61:GZN61"/>
    <mergeCell ref="GZO61:GZP61"/>
    <mergeCell ref="GZQ61:GZR61"/>
    <mergeCell ref="GZS61:GZT61"/>
    <mergeCell ref="GZU61:GZV61"/>
    <mergeCell ref="GYY61:GYZ61"/>
    <mergeCell ref="GZA61:GZB61"/>
    <mergeCell ref="GZC61:GZD61"/>
    <mergeCell ref="GZE61:GZF61"/>
    <mergeCell ref="GZG61:GZH61"/>
    <mergeCell ref="GZI61:GZJ61"/>
    <mergeCell ref="GYM61:GYN61"/>
    <mergeCell ref="GYO61:GYP61"/>
    <mergeCell ref="GYQ61:GYR61"/>
    <mergeCell ref="GYS61:GYT61"/>
    <mergeCell ref="GYU61:GYV61"/>
    <mergeCell ref="GYW61:GYX61"/>
    <mergeCell ref="GYA61:GYB61"/>
    <mergeCell ref="GYC61:GYD61"/>
    <mergeCell ref="GYE61:GYF61"/>
    <mergeCell ref="GYG61:GYH61"/>
    <mergeCell ref="GYI61:GYJ61"/>
    <mergeCell ref="GYK61:GYL61"/>
    <mergeCell ref="HDC61:HDD61"/>
    <mergeCell ref="HDE61:HDF61"/>
    <mergeCell ref="HDG61:HDH61"/>
    <mergeCell ref="HDI61:HDJ61"/>
    <mergeCell ref="HDK61:HDL61"/>
    <mergeCell ref="HDM61:HDN61"/>
    <mergeCell ref="HCQ61:HCR61"/>
    <mergeCell ref="HCS61:HCT61"/>
    <mergeCell ref="HCU61:HCV61"/>
    <mergeCell ref="HCW61:HCX61"/>
    <mergeCell ref="HCY61:HCZ61"/>
    <mergeCell ref="HDA61:HDB61"/>
    <mergeCell ref="HCE61:HCF61"/>
    <mergeCell ref="HCG61:HCH61"/>
    <mergeCell ref="HCI61:HCJ61"/>
    <mergeCell ref="HCK61:HCL61"/>
    <mergeCell ref="HCM61:HCN61"/>
    <mergeCell ref="HCO61:HCP61"/>
    <mergeCell ref="HBS61:HBT61"/>
    <mergeCell ref="HBU61:HBV61"/>
    <mergeCell ref="HBW61:HBX61"/>
    <mergeCell ref="HBY61:HBZ61"/>
    <mergeCell ref="HCA61:HCB61"/>
    <mergeCell ref="HCC61:HCD61"/>
    <mergeCell ref="HBG61:HBH61"/>
    <mergeCell ref="HBI61:HBJ61"/>
    <mergeCell ref="HBK61:HBL61"/>
    <mergeCell ref="HBM61:HBN61"/>
    <mergeCell ref="HBO61:HBP61"/>
    <mergeCell ref="HBQ61:HBR61"/>
    <mergeCell ref="HAU61:HAV61"/>
    <mergeCell ref="HAW61:HAX61"/>
    <mergeCell ref="HAY61:HAZ61"/>
    <mergeCell ref="HBA61:HBB61"/>
    <mergeCell ref="HBC61:HBD61"/>
    <mergeCell ref="HBE61:HBF61"/>
    <mergeCell ref="HFW61:HFX61"/>
    <mergeCell ref="HFY61:HFZ61"/>
    <mergeCell ref="HGA61:HGB61"/>
    <mergeCell ref="HGC61:HGD61"/>
    <mergeCell ref="HGE61:HGF61"/>
    <mergeCell ref="HGG61:HGH61"/>
    <mergeCell ref="HFK61:HFL61"/>
    <mergeCell ref="HFM61:HFN61"/>
    <mergeCell ref="HFO61:HFP61"/>
    <mergeCell ref="HFQ61:HFR61"/>
    <mergeCell ref="HFS61:HFT61"/>
    <mergeCell ref="HFU61:HFV61"/>
    <mergeCell ref="HEY61:HEZ61"/>
    <mergeCell ref="HFA61:HFB61"/>
    <mergeCell ref="HFC61:HFD61"/>
    <mergeCell ref="HFE61:HFF61"/>
    <mergeCell ref="HFG61:HFH61"/>
    <mergeCell ref="HFI61:HFJ61"/>
    <mergeCell ref="HEM61:HEN61"/>
    <mergeCell ref="HEO61:HEP61"/>
    <mergeCell ref="HEQ61:HER61"/>
    <mergeCell ref="HES61:HET61"/>
    <mergeCell ref="HEU61:HEV61"/>
    <mergeCell ref="HEW61:HEX61"/>
    <mergeCell ref="HEA61:HEB61"/>
    <mergeCell ref="HEC61:HED61"/>
    <mergeCell ref="HEE61:HEF61"/>
    <mergeCell ref="HEG61:HEH61"/>
    <mergeCell ref="HEI61:HEJ61"/>
    <mergeCell ref="HEK61:HEL61"/>
    <mergeCell ref="HDO61:HDP61"/>
    <mergeCell ref="HDQ61:HDR61"/>
    <mergeCell ref="HDS61:HDT61"/>
    <mergeCell ref="HDU61:HDV61"/>
    <mergeCell ref="HDW61:HDX61"/>
    <mergeCell ref="HDY61:HDZ61"/>
    <mergeCell ref="HIQ61:HIR61"/>
    <mergeCell ref="HIS61:HIT61"/>
    <mergeCell ref="HIU61:HIV61"/>
    <mergeCell ref="HIW61:HIX61"/>
    <mergeCell ref="HIY61:HIZ61"/>
    <mergeCell ref="HJA61:HJB61"/>
    <mergeCell ref="HIE61:HIF61"/>
    <mergeCell ref="HIG61:HIH61"/>
    <mergeCell ref="HII61:HIJ61"/>
    <mergeCell ref="HIK61:HIL61"/>
    <mergeCell ref="HIM61:HIN61"/>
    <mergeCell ref="HIO61:HIP61"/>
    <mergeCell ref="HHS61:HHT61"/>
    <mergeCell ref="HHU61:HHV61"/>
    <mergeCell ref="HHW61:HHX61"/>
    <mergeCell ref="HHY61:HHZ61"/>
    <mergeCell ref="HIA61:HIB61"/>
    <mergeCell ref="HIC61:HID61"/>
    <mergeCell ref="HHG61:HHH61"/>
    <mergeCell ref="HHI61:HHJ61"/>
    <mergeCell ref="HHK61:HHL61"/>
    <mergeCell ref="HHM61:HHN61"/>
    <mergeCell ref="HHO61:HHP61"/>
    <mergeCell ref="HHQ61:HHR61"/>
    <mergeCell ref="HGU61:HGV61"/>
    <mergeCell ref="HGW61:HGX61"/>
    <mergeCell ref="HGY61:HGZ61"/>
    <mergeCell ref="HHA61:HHB61"/>
    <mergeCell ref="HHC61:HHD61"/>
    <mergeCell ref="HHE61:HHF61"/>
    <mergeCell ref="HGI61:HGJ61"/>
    <mergeCell ref="HGK61:HGL61"/>
    <mergeCell ref="HGM61:HGN61"/>
    <mergeCell ref="HGO61:HGP61"/>
    <mergeCell ref="HGQ61:HGR61"/>
    <mergeCell ref="HGS61:HGT61"/>
    <mergeCell ref="HLK61:HLL61"/>
    <mergeCell ref="HLM61:HLN61"/>
    <mergeCell ref="HLO61:HLP61"/>
    <mergeCell ref="HLQ61:HLR61"/>
    <mergeCell ref="HLS61:HLT61"/>
    <mergeCell ref="HLU61:HLV61"/>
    <mergeCell ref="HKY61:HKZ61"/>
    <mergeCell ref="HLA61:HLB61"/>
    <mergeCell ref="HLC61:HLD61"/>
    <mergeCell ref="HLE61:HLF61"/>
    <mergeCell ref="HLG61:HLH61"/>
    <mergeCell ref="HLI61:HLJ61"/>
    <mergeCell ref="HKM61:HKN61"/>
    <mergeCell ref="HKO61:HKP61"/>
    <mergeCell ref="HKQ61:HKR61"/>
    <mergeCell ref="HKS61:HKT61"/>
    <mergeCell ref="HKU61:HKV61"/>
    <mergeCell ref="HKW61:HKX61"/>
    <mergeCell ref="HKA61:HKB61"/>
    <mergeCell ref="HKC61:HKD61"/>
    <mergeCell ref="HKE61:HKF61"/>
    <mergeCell ref="HKG61:HKH61"/>
    <mergeCell ref="HKI61:HKJ61"/>
    <mergeCell ref="HKK61:HKL61"/>
    <mergeCell ref="HJO61:HJP61"/>
    <mergeCell ref="HJQ61:HJR61"/>
    <mergeCell ref="HJS61:HJT61"/>
    <mergeCell ref="HJU61:HJV61"/>
    <mergeCell ref="HJW61:HJX61"/>
    <mergeCell ref="HJY61:HJZ61"/>
    <mergeCell ref="HJC61:HJD61"/>
    <mergeCell ref="HJE61:HJF61"/>
    <mergeCell ref="HJG61:HJH61"/>
    <mergeCell ref="HJI61:HJJ61"/>
    <mergeCell ref="HJK61:HJL61"/>
    <mergeCell ref="HJM61:HJN61"/>
    <mergeCell ref="HOE61:HOF61"/>
    <mergeCell ref="HOG61:HOH61"/>
    <mergeCell ref="HOI61:HOJ61"/>
    <mergeCell ref="HOK61:HOL61"/>
    <mergeCell ref="HOM61:HON61"/>
    <mergeCell ref="HOO61:HOP61"/>
    <mergeCell ref="HNS61:HNT61"/>
    <mergeCell ref="HNU61:HNV61"/>
    <mergeCell ref="HNW61:HNX61"/>
    <mergeCell ref="HNY61:HNZ61"/>
    <mergeCell ref="HOA61:HOB61"/>
    <mergeCell ref="HOC61:HOD61"/>
    <mergeCell ref="HNG61:HNH61"/>
    <mergeCell ref="HNI61:HNJ61"/>
    <mergeCell ref="HNK61:HNL61"/>
    <mergeCell ref="HNM61:HNN61"/>
    <mergeCell ref="HNO61:HNP61"/>
    <mergeCell ref="HNQ61:HNR61"/>
    <mergeCell ref="HMU61:HMV61"/>
    <mergeCell ref="HMW61:HMX61"/>
    <mergeCell ref="HMY61:HMZ61"/>
    <mergeCell ref="HNA61:HNB61"/>
    <mergeCell ref="HNC61:HND61"/>
    <mergeCell ref="HNE61:HNF61"/>
    <mergeCell ref="HMI61:HMJ61"/>
    <mergeCell ref="HMK61:HML61"/>
    <mergeCell ref="HMM61:HMN61"/>
    <mergeCell ref="HMO61:HMP61"/>
    <mergeCell ref="HMQ61:HMR61"/>
    <mergeCell ref="HMS61:HMT61"/>
    <mergeCell ref="HLW61:HLX61"/>
    <mergeCell ref="HLY61:HLZ61"/>
    <mergeCell ref="HMA61:HMB61"/>
    <mergeCell ref="HMC61:HMD61"/>
    <mergeCell ref="HME61:HMF61"/>
    <mergeCell ref="HMG61:HMH61"/>
    <mergeCell ref="HQY61:HQZ61"/>
    <mergeCell ref="HRA61:HRB61"/>
    <mergeCell ref="HRC61:HRD61"/>
    <mergeCell ref="HRE61:HRF61"/>
    <mergeCell ref="HRG61:HRH61"/>
    <mergeCell ref="HRI61:HRJ61"/>
    <mergeCell ref="HQM61:HQN61"/>
    <mergeCell ref="HQO61:HQP61"/>
    <mergeCell ref="HQQ61:HQR61"/>
    <mergeCell ref="HQS61:HQT61"/>
    <mergeCell ref="HQU61:HQV61"/>
    <mergeCell ref="HQW61:HQX61"/>
    <mergeCell ref="HQA61:HQB61"/>
    <mergeCell ref="HQC61:HQD61"/>
    <mergeCell ref="HQE61:HQF61"/>
    <mergeCell ref="HQG61:HQH61"/>
    <mergeCell ref="HQI61:HQJ61"/>
    <mergeCell ref="HQK61:HQL61"/>
    <mergeCell ref="HPO61:HPP61"/>
    <mergeCell ref="HPQ61:HPR61"/>
    <mergeCell ref="HPS61:HPT61"/>
    <mergeCell ref="HPU61:HPV61"/>
    <mergeCell ref="HPW61:HPX61"/>
    <mergeCell ref="HPY61:HPZ61"/>
    <mergeCell ref="HPC61:HPD61"/>
    <mergeCell ref="HPE61:HPF61"/>
    <mergeCell ref="HPG61:HPH61"/>
    <mergeCell ref="HPI61:HPJ61"/>
    <mergeCell ref="HPK61:HPL61"/>
    <mergeCell ref="HPM61:HPN61"/>
    <mergeCell ref="HOQ61:HOR61"/>
    <mergeCell ref="HOS61:HOT61"/>
    <mergeCell ref="HOU61:HOV61"/>
    <mergeCell ref="HOW61:HOX61"/>
    <mergeCell ref="HOY61:HOZ61"/>
    <mergeCell ref="HPA61:HPB61"/>
    <mergeCell ref="HTS61:HTT61"/>
    <mergeCell ref="HTU61:HTV61"/>
    <mergeCell ref="HTW61:HTX61"/>
    <mergeCell ref="HTY61:HTZ61"/>
    <mergeCell ref="HUA61:HUB61"/>
    <mergeCell ref="HUC61:HUD61"/>
    <mergeCell ref="HTG61:HTH61"/>
    <mergeCell ref="HTI61:HTJ61"/>
    <mergeCell ref="HTK61:HTL61"/>
    <mergeCell ref="HTM61:HTN61"/>
    <mergeCell ref="HTO61:HTP61"/>
    <mergeCell ref="HTQ61:HTR61"/>
    <mergeCell ref="HSU61:HSV61"/>
    <mergeCell ref="HSW61:HSX61"/>
    <mergeCell ref="HSY61:HSZ61"/>
    <mergeCell ref="HTA61:HTB61"/>
    <mergeCell ref="HTC61:HTD61"/>
    <mergeCell ref="HTE61:HTF61"/>
    <mergeCell ref="HSI61:HSJ61"/>
    <mergeCell ref="HSK61:HSL61"/>
    <mergeCell ref="HSM61:HSN61"/>
    <mergeCell ref="HSO61:HSP61"/>
    <mergeCell ref="HSQ61:HSR61"/>
    <mergeCell ref="HSS61:HST61"/>
    <mergeCell ref="HRW61:HRX61"/>
    <mergeCell ref="HRY61:HRZ61"/>
    <mergeCell ref="HSA61:HSB61"/>
    <mergeCell ref="HSC61:HSD61"/>
    <mergeCell ref="HSE61:HSF61"/>
    <mergeCell ref="HSG61:HSH61"/>
    <mergeCell ref="HRK61:HRL61"/>
    <mergeCell ref="HRM61:HRN61"/>
    <mergeCell ref="HRO61:HRP61"/>
    <mergeCell ref="HRQ61:HRR61"/>
    <mergeCell ref="HRS61:HRT61"/>
    <mergeCell ref="HRU61:HRV61"/>
    <mergeCell ref="HWM61:HWN61"/>
    <mergeCell ref="HWO61:HWP61"/>
    <mergeCell ref="HWQ61:HWR61"/>
    <mergeCell ref="HWS61:HWT61"/>
    <mergeCell ref="HWU61:HWV61"/>
    <mergeCell ref="HWW61:HWX61"/>
    <mergeCell ref="HWA61:HWB61"/>
    <mergeCell ref="HWC61:HWD61"/>
    <mergeCell ref="HWE61:HWF61"/>
    <mergeCell ref="HWG61:HWH61"/>
    <mergeCell ref="HWI61:HWJ61"/>
    <mergeCell ref="HWK61:HWL61"/>
    <mergeCell ref="HVO61:HVP61"/>
    <mergeCell ref="HVQ61:HVR61"/>
    <mergeCell ref="HVS61:HVT61"/>
    <mergeCell ref="HVU61:HVV61"/>
    <mergeCell ref="HVW61:HVX61"/>
    <mergeCell ref="HVY61:HVZ61"/>
    <mergeCell ref="HVC61:HVD61"/>
    <mergeCell ref="HVE61:HVF61"/>
    <mergeCell ref="HVG61:HVH61"/>
    <mergeCell ref="HVI61:HVJ61"/>
    <mergeCell ref="HVK61:HVL61"/>
    <mergeCell ref="HVM61:HVN61"/>
    <mergeCell ref="HUQ61:HUR61"/>
    <mergeCell ref="HUS61:HUT61"/>
    <mergeCell ref="HUU61:HUV61"/>
    <mergeCell ref="HUW61:HUX61"/>
    <mergeCell ref="HUY61:HUZ61"/>
    <mergeCell ref="HVA61:HVB61"/>
    <mergeCell ref="HUE61:HUF61"/>
    <mergeCell ref="HUG61:HUH61"/>
    <mergeCell ref="HUI61:HUJ61"/>
    <mergeCell ref="HUK61:HUL61"/>
    <mergeCell ref="HUM61:HUN61"/>
    <mergeCell ref="HUO61:HUP61"/>
    <mergeCell ref="HZG61:HZH61"/>
    <mergeCell ref="HZI61:HZJ61"/>
    <mergeCell ref="HZK61:HZL61"/>
    <mergeCell ref="HZM61:HZN61"/>
    <mergeCell ref="HZO61:HZP61"/>
    <mergeCell ref="HZQ61:HZR61"/>
    <mergeCell ref="HYU61:HYV61"/>
    <mergeCell ref="HYW61:HYX61"/>
    <mergeCell ref="HYY61:HYZ61"/>
    <mergeCell ref="HZA61:HZB61"/>
    <mergeCell ref="HZC61:HZD61"/>
    <mergeCell ref="HZE61:HZF61"/>
    <mergeCell ref="HYI61:HYJ61"/>
    <mergeCell ref="HYK61:HYL61"/>
    <mergeCell ref="HYM61:HYN61"/>
    <mergeCell ref="HYO61:HYP61"/>
    <mergeCell ref="HYQ61:HYR61"/>
    <mergeCell ref="HYS61:HYT61"/>
    <mergeCell ref="HXW61:HXX61"/>
    <mergeCell ref="HXY61:HXZ61"/>
    <mergeCell ref="HYA61:HYB61"/>
    <mergeCell ref="HYC61:HYD61"/>
    <mergeCell ref="HYE61:HYF61"/>
    <mergeCell ref="HYG61:HYH61"/>
    <mergeCell ref="HXK61:HXL61"/>
    <mergeCell ref="HXM61:HXN61"/>
    <mergeCell ref="HXO61:HXP61"/>
    <mergeCell ref="HXQ61:HXR61"/>
    <mergeCell ref="HXS61:HXT61"/>
    <mergeCell ref="HXU61:HXV61"/>
    <mergeCell ref="HWY61:HWZ61"/>
    <mergeCell ref="HXA61:HXB61"/>
    <mergeCell ref="HXC61:HXD61"/>
    <mergeCell ref="HXE61:HXF61"/>
    <mergeCell ref="HXG61:HXH61"/>
    <mergeCell ref="HXI61:HXJ61"/>
    <mergeCell ref="ICA61:ICB61"/>
    <mergeCell ref="ICC61:ICD61"/>
    <mergeCell ref="ICE61:ICF61"/>
    <mergeCell ref="ICG61:ICH61"/>
    <mergeCell ref="ICI61:ICJ61"/>
    <mergeCell ref="ICK61:ICL61"/>
    <mergeCell ref="IBO61:IBP61"/>
    <mergeCell ref="IBQ61:IBR61"/>
    <mergeCell ref="IBS61:IBT61"/>
    <mergeCell ref="IBU61:IBV61"/>
    <mergeCell ref="IBW61:IBX61"/>
    <mergeCell ref="IBY61:IBZ61"/>
    <mergeCell ref="IBC61:IBD61"/>
    <mergeCell ref="IBE61:IBF61"/>
    <mergeCell ref="IBG61:IBH61"/>
    <mergeCell ref="IBI61:IBJ61"/>
    <mergeCell ref="IBK61:IBL61"/>
    <mergeCell ref="IBM61:IBN61"/>
    <mergeCell ref="IAQ61:IAR61"/>
    <mergeCell ref="IAS61:IAT61"/>
    <mergeCell ref="IAU61:IAV61"/>
    <mergeCell ref="IAW61:IAX61"/>
    <mergeCell ref="IAY61:IAZ61"/>
    <mergeCell ref="IBA61:IBB61"/>
    <mergeCell ref="IAE61:IAF61"/>
    <mergeCell ref="IAG61:IAH61"/>
    <mergeCell ref="IAI61:IAJ61"/>
    <mergeCell ref="IAK61:IAL61"/>
    <mergeCell ref="IAM61:IAN61"/>
    <mergeCell ref="IAO61:IAP61"/>
    <mergeCell ref="HZS61:HZT61"/>
    <mergeCell ref="HZU61:HZV61"/>
    <mergeCell ref="HZW61:HZX61"/>
    <mergeCell ref="HZY61:HZZ61"/>
    <mergeCell ref="IAA61:IAB61"/>
    <mergeCell ref="IAC61:IAD61"/>
    <mergeCell ref="IEU61:IEV61"/>
    <mergeCell ref="IEW61:IEX61"/>
    <mergeCell ref="IEY61:IEZ61"/>
    <mergeCell ref="IFA61:IFB61"/>
    <mergeCell ref="IFC61:IFD61"/>
    <mergeCell ref="IFE61:IFF61"/>
    <mergeCell ref="IEI61:IEJ61"/>
    <mergeCell ref="IEK61:IEL61"/>
    <mergeCell ref="IEM61:IEN61"/>
    <mergeCell ref="IEO61:IEP61"/>
    <mergeCell ref="IEQ61:IER61"/>
    <mergeCell ref="IES61:IET61"/>
    <mergeCell ref="IDW61:IDX61"/>
    <mergeCell ref="IDY61:IDZ61"/>
    <mergeCell ref="IEA61:IEB61"/>
    <mergeCell ref="IEC61:IED61"/>
    <mergeCell ref="IEE61:IEF61"/>
    <mergeCell ref="IEG61:IEH61"/>
    <mergeCell ref="IDK61:IDL61"/>
    <mergeCell ref="IDM61:IDN61"/>
    <mergeCell ref="IDO61:IDP61"/>
    <mergeCell ref="IDQ61:IDR61"/>
    <mergeCell ref="IDS61:IDT61"/>
    <mergeCell ref="IDU61:IDV61"/>
    <mergeCell ref="ICY61:ICZ61"/>
    <mergeCell ref="IDA61:IDB61"/>
    <mergeCell ref="IDC61:IDD61"/>
    <mergeCell ref="IDE61:IDF61"/>
    <mergeCell ref="IDG61:IDH61"/>
    <mergeCell ref="IDI61:IDJ61"/>
    <mergeCell ref="ICM61:ICN61"/>
    <mergeCell ref="ICO61:ICP61"/>
    <mergeCell ref="ICQ61:ICR61"/>
    <mergeCell ref="ICS61:ICT61"/>
    <mergeCell ref="ICU61:ICV61"/>
    <mergeCell ref="ICW61:ICX61"/>
    <mergeCell ref="IHO61:IHP61"/>
    <mergeCell ref="IHQ61:IHR61"/>
    <mergeCell ref="IHS61:IHT61"/>
    <mergeCell ref="IHU61:IHV61"/>
    <mergeCell ref="IHW61:IHX61"/>
    <mergeCell ref="IHY61:IHZ61"/>
    <mergeCell ref="IHC61:IHD61"/>
    <mergeCell ref="IHE61:IHF61"/>
    <mergeCell ref="IHG61:IHH61"/>
    <mergeCell ref="IHI61:IHJ61"/>
    <mergeCell ref="IHK61:IHL61"/>
    <mergeCell ref="IHM61:IHN61"/>
    <mergeCell ref="IGQ61:IGR61"/>
    <mergeCell ref="IGS61:IGT61"/>
    <mergeCell ref="IGU61:IGV61"/>
    <mergeCell ref="IGW61:IGX61"/>
    <mergeCell ref="IGY61:IGZ61"/>
    <mergeCell ref="IHA61:IHB61"/>
    <mergeCell ref="IGE61:IGF61"/>
    <mergeCell ref="IGG61:IGH61"/>
    <mergeCell ref="IGI61:IGJ61"/>
    <mergeCell ref="IGK61:IGL61"/>
    <mergeCell ref="IGM61:IGN61"/>
    <mergeCell ref="IGO61:IGP61"/>
    <mergeCell ref="IFS61:IFT61"/>
    <mergeCell ref="IFU61:IFV61"/>
    <mergeCell ref="IFW61:IFX61"/>
    <mergeCell ref="IFY61:IFZ61"/>
    <mergeCell ref="IGA61:IGB61"/>
    <mergeCell ref="IGC61:IGD61"/>
    <mergeCell ref="IFG61:IFH61"/>
    <mergeCell ref="IFI61:IFJ61"/>
    <mergeCell ref="IFK61:IFL61"/>
    <mergeCell ref="IFM61:IFN61"/>
    <mergeCell ref="IFO61:IFP61"/>
    <mergeCell ref="IFQ61:IFR61"/>
    <mergeCell ref="IKI61:IKJ61"/>
    <mergeCell ref="IKK61:IKL61"/>
    <mergeCell ref="IKM61:IKN61"/>
    <mergeCell ref="IKO61:IKP61"/>
    <mergeCell ref="IKQ61:IKR61"/>
    <mergeCell ref="IKS61:IKT61"/>
    <mergeCell ref="IJW61:IJX61"/>
    <mergeCell ref="IJY61:IJZ61"/>
    <mergeCell ref="IKA61:IKB61"/>
    <mergeCell ref="IKC61:IKD61"/>
    <mergeCell ref="IKE61:IKF61"/>
    <mergeCell ref="IKG61:IKH61"/>
    <mergeCell ref="IJK61:IJL61"/>
    <mergeCell ref="IJM61:IJN61"/>
    <mergeCell ref="IJO61:IJP61"/>
    <mergeCell ref="IJQ61:IJR61"/>
    <mergeCell ref="IJS61:IJT61"/>
    <mergeCell ref="IJU61:IJV61"/>
    <mergeCell ref="IIY61:IIZ61"/>
    <mergeCell ref="IJA61:IJB61"/>
    <mergeCell ref="IJC61:IJD61"/>
    <mergeCell ref="IJE61:IJF61"/>
    <mergeCell ref="IJG61:IJH61"/>
    <mergeCell ref="IJI61:IJJ61"/>
    <mergeCell ref="IIM61:IIN61"/>
    <mergeCell ref="IIO61:IIP61"/>
    <mergeCell ref="IIQ61:IIR61"/>
    <mergeCell ref="IIS61:IIT61"/>
    <mergeCell ref="IIU61:IIV61"/>
    <mergeCell ref="IIW61:IIX61"/>
    <mergeCell ref="IIA61:IIB61"/>
    <mergeCell ref="IIC61:IID61"/>
    <mergeCell ref="IIE61:IIF61"/>
    <mergeCell ref="IIG61:IIH61"/>
    <mergeCell ref="III61:IIJ61"/>
    <mergeCell ref="IIK61:IIL61"/>
    <mergeCell ref="INC61:IND61"/>
    <mergeCell ref="INE61:INF61"/>
    <mergeCell ref="ING61:INH61"/>
    <mergeCell ref="INI61:INJ61"/>
    <mergeCell ref="INK61:INL61"/>
    <mergeCell ref="INM61:INN61"/>
    <mergeCell ref="IMQ61:IMR61"/>
    <mergeCell ref="IMS61:IMT61"/>
    <mergeCell ref="IMU61:IMV61"/>
    <mergeCell ref="IMW61:IMX61"/>
    <mergeCell ref="IMY61:IMZ61"/>
    <mergeCell ref="INA61:INB61"/>
    <mergeCell ref="IME61:IMF61"/>
    <mergeCell ref="IMG61:IMH61"/>
    <mergeCell ref="IMI61:IMJ61"/>
    <mergeCell ref="IMK61:IML61"/>
    <mergeCell ref="IMM61:IMN61"/>
    <mergeCell ref="IMO61:IMP61"/>
    <mergeCell ref="ILS61:ILT61"/>
    <mergeCell ref="ILU61:ILV61"/>
    <mergeCell ref="ILW61:ILX61"/>
    <mergeCell ref="ILY61:ILZ61"/>
    <mergeCell ref="IMA61:IMB61"/>
    <mergeCell ref="IMC61:IMD61"/>
    <mergeCell ref="ILG61:ILH61"/>
    <mergeCell ref="ILI61:ILJ61"/>
    <mergeCell ref="ILK61:ILL61"/>
    <mergeCell ref="ILM61:ILN61"/>
    <mergeCell ref="ILO61:ILP61"/>
    <mergeCell ref="ILQ61:ILR61"/>
    <mergeCell ref="IKU61:IKV61"/>
    <mergeCell ref="IKW61:IKX61"/>
    <mergeCell ref="IKY61:IKZ61"/>
    <mergeCell ref="ILA61:ILB61"/>
    <mergeCell ref="ILC61:ILD61"/>
    <mergeCell ref="ILE61:ILF61"/>
    <mergeCell ref="IPW61:IPX61"/>
    <mergeCell ref="IPY61:IPZ61"/>
    <mergeCell ref="IQA61:IQB61"/>
    <mergeCell ref="IQC61:IQD61"/>
    <mergeCell ref="IQE61:IQF61"/>
    <mergeCell ref="IQG61:IQH61"/>
    <mergeCell ref="IPK61:IPL61"/>
    <mergeCell ref="IPM61:IPN61"/>
    <mergeCell ref="IPO61:IPP61"/>
    <mergeCell ref="IPQ61:IPR61"/>
    <mergeCell ref="IPS61:IPT61"/>
    <mergeCell ref="IPU61:IPV61"/>
    <mergeCell ref="IOY61:IOZ61"/>
    <mergeCell ref="IPA61:IPB61"/>
    <mergeCell ref="IPC61:IPD61"/>
    <mergeCell ref="IPE61:IPF61"/>
    <mergeCell ref="IPG61:IPH61"/>
    <mergeCell ref="IPI61:IPJ61"/>
    <mergeCell ref="IOM61:ION61"/>
    <mergeCell ref="IOO61:IOP61"/>
    <mergeCell ref="IOQ61:IOR61"/>
    <mergeCell ref="IOS61:IOT61"/>
    <mergeCell ref="IOU61:IOV61"/>
    <mergeCell ref="IOW61:IOX61"/>
    <mergeCell ref="IOA61:IOB61"/>
    <mergeCell ref="IOC61:IOD61"/>
    <mergeCell ref="IOE61:IOF61"/>
    <mergeCell ref="IOG61:IOH61"/>
    <mergeCell ref="IOI61:IOJ61"/>
    <mergeCell ref="IOK61:IOL61"/>
    <mergeCell ref="INO61:INP61"/>
    <mergeCell ref="INQ61:INR61"/>
    <mergeCell ref="INS61:INT61"/>
    <mergeCell ref="INU61:INV61"/>
    <mergeCell ref="INW61:INX61"/>
    <mergeCell ref="INY61:INZ61"/>
    <mergeCell ref="ISQ61:ISR61"/>
    <mergeCell ref="ISS61:IST61"/>
    <mergeCell ref="ISU61:ISV61"/>
    <mergeCell ref="ISW61:ISX61"/>
    <mergeCell ref="ISY61:ISZ61"/>
    <mergeCell ref="ITA61:ITB61"/>
    <mergeCell ref="ISE61:ISF61"/>
    <mergeCell ref="ISG61:ISH61"/>
    <mergeCell ref="ISI61:ISJ61"/>
    <mergeCell ref="ISK61:ISL61"/>
    <mergeCell ref="ISM61:ISN61"/>
    <mergeCell ref="ISO61:ISP61"/>
    <mergeCell ref="IRS61:IRT61"/>
    <mergeCell ref="IRU61:IRV61"/>
    <mergeCell ref="IRW61:IRX61"/>
    <mergeCell ref="IRY61:IRZ61"/>
    <mergeCell ref="ISA61:ISB61"/>
    <mergeCell ref="ISC61:ISD61"/>
    <mergeCell ref="IRG61:IRH61"/>
    <mergeCell ref="IRI61:IRJ61"/>
    <mergeCell ref="IRK61:IRL61"/>
    <mergeCell ref="IRM61:IRN61"/>
    <mergeCell ref="IRO61:IRP61"/>
    <mergeCell ref="IRQ61:IRR61"/>
    <mergeCell ref="IQU61:IQV61"/>
    <mergeCell ref="IQW61:IQX61"/>
    <mergeCell ref="IQY61:IQZ61"/>
    <mergeCell ref="IRA61:IRB61"/>
    <mergeCell ref="IRC61:IRD61"/>
    <mergeCell ref="IRE61:IRF61"/>
    <mergeCell ref="IQI61:IQJ61"/>
    <mergeCell ref="IQK61:IQL61"/>
    <mergeCell ref="IQM61:IQN61"/>
    <mergeCell ref="IQO61:IQP61"/>
    <mergeCell ref="IQQ61:IQR61"/>
    <mergeCell ref="IQS61:IQT61"/>
    <mergeCell ref="IVK61:IVL61"/>
    <mergeCell ref="IVM61:IVN61"/>
    <mergeCell ref="IVO61:IVP61"/>
    <mergeCell ref="IVQ61:IVR61"/>
    <mergeCell ref="IVS61:IVT61"/>
    <mergeCell ref="IVU61:IVV61"/>
    <mergeCell ref="IUY61:IUZ61"/>
    <mergeCell ref="IVA61:IVB61"/>
    <mergeCell ref="IVC61:IVD61"/>
    <mergeCell ref="IVE61:IVF61"/>
    <mergeCell ref="IVG61:IVH61"/>
    <mergeCell ref="IVI61:IVJ61"/>
    <mergeCell ref="IUM61:IUN61"/>
    <mergeCell ref="IUO61:IUP61"/>
    <mergeCell ref="IUQ61:IUR61"/>
    <mergeCell ref="IUS61:IUT61"/>
    <mergeCell ref="IUU61:IUV61"/>
    <mergeCell ref="IUW61:IUX61"/>
    <mergeCell ref="IUA61:IUB61"/>
    <mergeCell ref="IUC61:IUD61"/>
    <mergeCell ref="IUE61:IUF61"/>
    <mergeCell ref="IUG61:IUH61"/>
    <mergeCell ref="IUI61:IUJ61"/>
    <mergeCell ref="IUK61:IUL61"/>
    <mergeCell ref="ITO61:ITP61"/>
    <mergeCell ref="ITQ61:ITR61"/>
    <mergeCell ref="ITS61:ITT61"/>
    <mergeCell ref="ITU61:ITV61"/>
    <mergeCell ref="ITW61:ITX61"/>
    <mergeCell ref="ITY61:ITZ61"/>
    <mergeCell ref="ITC61:ITD61"/>
    <mergeCell ref="ITE61:ITF61"/>
    <mergeCell ref="ITG61:ITH61"/>
    <mergeCell ref="ITI61:ITJ61"/>
    <mergeCell ref="ITK61:ITL61"/>
    <mergeCell ref="ITM61:ITN61"/>
    <mergeCell ref="IYE61:IYF61"/>
    <mergeCell ref="IYG61:IYH61"/>
    <mergeCell ref="IYI61:IYJ61"/>
    <mergeCell ref="IYK61:IYL61"/>
    <mergeCell ref="IYM61:IYN61"/>
    <mergeCell ref="IYO61:IYP61"/>
    <mergeCell ref="IXS61:IXT61"/>
    <mergeCell ref="IXU61:IXV61"/>
    <mergeCell ref="IXW61:IXX61"/>
    <mergeCell ref="IXY61:IXZ61"/>
    <mergeCell ref="IYA61:IYB61"/>
    <mergeCell ref="IYC61:IYD61"/>
    <mergeCell ref="IXG61:IXH61"/>
    <mergeCell ref="IXI61:IXJ61"/>
    <mergeCell ref="IXK61:IXL61"/>
    <mergeCell ref="IXM61:IXN61"/>
    <mergeCell ref="IXO61:IXP61"/>
    <mergeCell ref="IXQ61:IXR61"/>
    <mergeCell ref="IWU61:IWV61"/>
    <mergeCell ref="IWW61:IWX61"/>
    <mergeCell ref="IWY61:IWZ61"/>
    <mergeCell ref="IXA61:IXB61"/>
    <mergeCell ref="IXC61:IXD61"/>
    <mergeCell ref="IXE61:IXF61"/>
    <mergeCell ref="IWI61:IWJ61"/>
    <mergeCell ref="IWK61:IWL61"/>
    <mergeCell ref="IWM61:IWN61"/>
    <mergeCell ref="IWO61:IWP61"/>
    <mergeCell ref="IWQ61:IWR61"/>
    <mergeCell ref="IWS61:IWT61"/>
    <mergeCell ref="IVW61:IVX61"/>
    <mergeCell ref="IVY61:IVZ61"/>
    <mergeCell ref="IWA61:IWB61"/>
    <mergeCell ref="IWC61:IWD61"/>
    <mergeCell ref="IWE61:IWF61"/>
    <mergeCell ref="IWG61:IWH61"/>
    <mergeCell ref="JAY61:JAZ61"/>
    <mergeCell ref="JBA61:JBB61"/>
    <mergeCell ref="JBC61:JBD61"/>
    <mergeCell ref="JBE61:JBF61"/>
    <mergeCell ref="JBG61:JBH61"/>
    <mergeCell ref="JBI61:JBJ61"/>
    <mergeCell ref="JAM61:JAN61"/>
    <mergeCell ref="JAO61:JAP61"/>
    <mergeCell ref="JAQ61:JAR61"/>
    <mergeCell ref="JAS61:JAT61"/>
    <mergeCell ref="JAU61:JAV61"/>
    <mergeCell ref="JAW61:JAX61"/>
    <mergeCell ref="JAA61:JAB61"/>
    <mergeCell ref="JAC61:JAD61"/>
    <mergeCell ref="JAE61:JAF61"/>
    <mergeCell ref="JAG61:JAH61"/>
    <mergeCell ref="JAI61:JAJ61"/>
    <mergeCell ref="JAK61:JAL61"/>
    <mergeCell ref="IZO61:IZP61"/>
    <mergeCell ref="IZQ61:IZR61"/>
    <mergeCell ref="IZS61:IZT61"/>
    <mergeCell ref="IZU61:IZV61"/>
    <mergeCell ref="IZW61:IZX61"/>
    <mergeCell ref="IZY61:IZZ61"/>
    <mergeCell ref="IZC61:IZD61"/>
    <mergeCell ref="IZE61:IZF61"/>
    <mergeCell ref="IZG61:IZH61"/>
    <mergeCell ref="IZI61:IZJ61"/>
    <mergeCell ref="IZK61:IZL61"/>
    <mergeCell ref="IZM61:IZN61"/>
    <mergeCell ref="IYQ61:IYR61"/>
    <mergeCell ref="IYS61:IYT61"/>
    <mergeCell ref="IYU61:IYV61"/>
    <mergeCell ref="IYW61:IYX61"/>
    <mergeCell ref="IYY61:IYZ61"/>
    <mergeCell ref="IZA61:IZB61"/>
    <mergeCell ref="JDS61:JDT61"/>
    <mergeCell ref="JDU61:JDV61"/>
    <mergeCell ref="JDW61:JDX61"/>
    <mergeCell ref="JDY61:JDZ61"/>
    <mergeCell ref="JEA61:JEB61"/>
    <mergeCell ref="JEC61:JED61"/>
    <mergeCell ref="JDG61:JDH61"/>
    <mergeCell ref="JDI61:JDJ61"/>
    <mergeCell ref="JDK61:JDL61"/>
    <mergeCell ref="JDM61:JDN61"/>
    <mergeCell ref="JDO61:JDP61"/>
    <mergeCell ref="JDQ61:JDR61"/>
    <mergeCell ref="JCU61:JCV61"/>
    <mergeCell ref="JCW61:JCX61"/>
    <mergeCell ref="JCY61:JCZ61"/>
    <mergeCell ref="JDA61:JDB61"/>
    <mergeCell ref="JDC61:JDD61"/>
    <mergeCell ref="JDE61:JDF61"/>
    <mergeCell ref="JCI61:JCJ61"/>
    <mergeCell ref="JCK61:JCL61"/>
    <mergeCell ref="JCM61:JCN61"/>
    <mergeCell ref="JCO61:JCP61"/>
    <mergeCell ref="JCQ61:JCR61"/>
    <mergeCell ref="JCS61:JCT61"/>
    <mergeCell ref="JBW61:JBX61"/>
    <mergeCell ref="JBY61:JBZ61"/>
    <mergeCell ref="JCA61:JCB61"/>
    <mergeCell ref="JCC61:JCD61"/>
    <mergeCell ref="JCE61:JCF61"/>
    <mergeCell ref="JCG61:JCH61"/>
    <mergeCell ref="JBK61:JBL61"/>
    <mergeCell ref="JBM61:JBN61"/>
    <mergeCell ref="JBO61:JBP61"/>
    <mergeCell ref="JBQ61:JBR61"/>
    <mergeCell ref="JBS61:JBT61"/>
    <mergeCell ref="JBU61:JBV61"/>
    <mergeCell ref="JGM61:JGN61"/>
    <mergeCell ref="JGO61:JGP61"/>
    <mergeCell ref="JGQ61:JGR61"/>
    <mergeCell ref="JGS61:JGT61"/>
    <mergeCell ref="JGU61:JGV61"/>
    <mergeCell ref="JGW61:JGX61"/>
    <mergeCell ref="JGA61:JGB61"/>
    <mergeCell ref="JGC61:JGD61"/>
    <mergeCell ref="JGE61:JGF61"/>
    <mergeCell ref="JGG61:JGH61"/>
    <mergeCell ref="JGI61:JGJ61"/>
    <mergeCell ref="JGK61:JGL61"/>
    <mergeCell ref="JFO61:JFP61"/>
    <mergeCell ref="JFQ61:JFR61"/>
    <mergeCell ref="JFS61:JFT61"/>
    <mergeCell ref="JFU61:JFV61"/>
    <mergeCell ref="JFW61:JFX61"/>
    <mergeCell ref="JFY61:JFZ61"/>
    <mergeCell ref="JFC61:JFD61"/>
    <mergeCell ref="JFE61:JFF61"/>
    <mergeCell ref="JFG61:JFH61"/>
    <mergeCell ref="JFI61:JFJ61"/>
    <mergeCell ref="JFK61:JFL61"/>
    <mergeCell ref="JFM61:JFN61"/>
    <mergeCell ref="JEQ61:JER61"/>
    <mergeCell ref="JES61:JET61"/>
    <mergeCell ref="JEU61:JEV61"/>
    <mergeCell ref="JEW61:JEX61"/>
    <mergeCell ref="JEY61:JEZ61"/>
    <mergeCell ref="JFA61:JFB61"/>
    <mergeCell ref="JEE61:JEF61"/>
    <mergeCell ref="JEG61:JEH61"/>
    <mergeCell ref="JEI61:JEJ61"/>
    <mergeCell ref="JEK61:JEL61"/>
    <mergeCell ref="JEM61:JEN61"/>
    <mergeCell ref="JEO61:JEP61"/>
    <mergeCell ref="JJG61:JJH61"/>
    <mergeCell ref="JJI61:JJJ61"/>
    <mergeCell ref="JJK61:JJL61"/>
    <mergeCell ref="JJM61:JJN61"/>
    <mergeCell ref="JJO61:JJP61"/>
    <mergeCell ref="JJQ61:JJR61"/>
    <mergeCell ref="JIU61:JIV61"/>
    <mergeCell ref="JIW61:JIX61"/>
    <mergeCell ref="JIY61:JIZ61"/>
    <mergeCell ref="JJA61:JJB61"/>
    <mergeCell ref="JJC61:JJD61"/>
    <mergeCell ref="JJE61:JJF61"/>
    <mergeCell ref="JII61:JIJ61"/>
    <mergeCell ref="JIK61:JIL61"/>
    <mergeCell ref="JIM61:JIN61"/>
    <mergeCell ref="JIO61:JIP61"/>
    <mergeCell ref="JIQ61:JIR61"/>
    <mergeCell ref="JIS61:JIT61"/>
    <mergeCell ref="JHW61:JHX61"/>
    <mergeCell ref="JHY61:JHZ61"/>
    <mergeCell ref="JIA61:JIB61"/>
    <mergeCell ref="JIC61:JID61"/>
    <mergeCell ref="JIE61:JIF61"/>
    <mergeCell ref="JIG61:JIH61"/>
    <mergeCell ref="JHK61:JHL61"/>
    <mergeCell ref="JHM61:JHN61"/>
    <mergeCell ref="JHO61:JHP61"/>
    <mergeCell ref="JHQ61:JHR61"/>
    <mergeCell ref="JHS61:JHT61"/>
    <mergeCell ref="JHU61:JHV61"/>
    <mergeCell ref="JGY61:JGZ61"/>
    <mergeCell ref="JHA61:JHB61"/>
    <mergeCell ref="JHC61:JHD61"/>
    <mergeCell ref="JHE61:JHF61"/>
    <mergeCell ref="JHG61:JHH61"/>
    <mergeCell ref="JHI61:JHJ61"/>
    <mergeCell ref="JMA61:JMB61"/>
    <mergeCell ref="JMC61:JMD61"/>
    <mergeCell ref="JME61:JMF61"/>
    <mergeCell ref="JMG61:JMH61"/>
    <mergeCell ref="JMI61:JMJ61"/>
    <mergeCell ref="JMK61:JML61"/>
    <mergeCell ref="JLO61:JLP61"/>
    <mergeCell ref="JLQ61:JLR61"/>
    <mergeCell ref="JLS61:JLT61"/>
    <mergeCell ref="JLU61:JLV61"/>
    <mergeCell ref="JLW61:JLX61"/>
    <mergeCell ref="JLY61:JLZ61"/>
    <mergeCell ref="JLC61:JLD61"/>
    <mergeCell ref="JLE61:JLF61"/>
    <mergeCell ref="JLG61:JLH61"/>
    <mergeCell ref="JLI61:JLJ61"/>
    <mergeCell ref="JLK61:JLL61"/>
    <mergeCell ref="JLM61:JLN61"/>
    <mergeCell ref="JKQ61:JKR61"/>
    <mergeCell ref="JKS61:JKT61"/>
    <mergeCell ref="JKU61:JKV61"/>
    <mergeCell ref="JKW61:JKX61"/>
    <mergeCell ref="JKY61:JKZ61"/>
    <mergeCell ref="JLA61:JLB61"/>
    <mergeCell ref="JKE61:JKF61"/>
    <mergeCell ref="JKG61:JKH61"/>
    <mergeCell ref="JKI61:JKJ61"/>
    <mergeCell ref="JKK61:JKL61"/>
    <mergeCell ref="JKM61:JKN61"/>
    <mergeCell ref="JKO61:JKP61"/>
    <mergeCell ref="JJS61:JJT61"/>
    <mergeCell ref="JJU61:JJV61"/>
    <mergeCell ref="JJW61:JJX61"/>
    <mergeCell ref="JJY61:JJZ61"/>
    <mergeCell ref="JKA61:JKB61"/>
    <mergeCell ref="JKC61:JKD61"/>
    <mergeCell ref="JOU61:JOV61"/>
    <mergeCell ref="JOW61:JOX61"/>
    <mergeCell ref="JOY61:JOZ61"/>
    <mergeCell ref="JPA61:JPB61"/>
    <mergeCell ref="JPC61:JPD61"/>
    <mergeCell ref="JPE61:JPF61"/>
    <mergeCell ref="JOI61:JOJ61"/>
    <mergeCell ref="JOK61:JOL61"/>
    <mergeCell ref="JOM61:JON61"/>
    <mergeCell ref="JOO61:JOP61"/>
    <mergeCell ref="JOQ61:JOR61"/>
    <mergeCell ref="JOS61:JOT61"/>
    <mergeCell ref="JNW61:JNX61"/>
    <mergeCell ref="JNY61:JNZ61"/>
    <mergeCell ref="JOA61:JOB61"/>
    <mergeCell ref="JOC61:JOD61"/>
    <mergeCell ref="JOE61:JOF61"/>
    <mergeCell ref="JOG61:JOH61"/>
    <mergeCell ref="JNK61:JNL61"/>
    <mergeCell ref="JNM61:JNN61"/>
    <mergeCell ref="JNO61:JNP61"/>
    <mergeCell ref="JNQ61:JNR61"/>
    <mergeCell ref="JNS61:JNT61"/>
    <mergeCell ref="JNU61:JNV61"/>
    <mergeCell ref="JMY61:JMZ61"/>
    <mergeCell ref="JNA61:JNB61"/>
    <mergeCell ref="JNC61:JND61"/>
    <mergeCell ref="JNE61:JNF61"/>
    <mergeCell ref="JNG61:JNH61"/>
    <mergeCell ref="JNI61:JNJ61"/>
    <mergeCell ref="JMM61:JMN61"/>
    <mergeCell ref="JMO61:JMP61"/>
    <mergeCell ref="JMQ61:JMR61"/>
    <mergeCell ref="JMS61:JMT61"/>
    <mergeCell ref="JMU61:JMV61"/>
    <mergeCell ref="JMW61:JMX61"/>
    <mergeCell ref="JRO61:JRP61"/>
    <mergeCell ref="JRQ61:JRR61"/>
    <mergeCell ref="JRS61:JRT61"/>
    <mergeCell ref="JRU61:JRV61"/>
    <mergeCell ref="JRW61:JRX61"/>
    <mergeCell ref="JRY61:JRZ61"/>
    <mergeCell ref="JRC61:JRD61"/>
    <mergeCell ref="JRE61:JRF61"/>
    <mergeCell ref="JRG61:JRH61"/>
    <mergeCell ref="JRI61:JRJ61"/>
    <mergeCell ref="JRK61:JRL61"/>
    <mergeCell ref="JRM61:JRN61"/>
    <mergeCell ref="JQQ61:JQR61"/>
    <mergeCell ref="JQS61:JQT61"/>
    <mergeCell ref="JQU61:JQV61"/>
    <mergeCell ref="JQW61:JQX61"/>
    <mergeCell ref="JQY61:JQZ61"/>
    <mergeCell ref="JRA61:JRB61"/>
    <mergeCell ref="JQE61:JQF61"/>
    <mergeCell ref="JQG61:JQH61"/>
    <mergeCell ref="JQI61:JQJ61"/>
    <mergeCell ref="JQK61:JQL61"/>
    <mergeCell ref="JQM61:JQN61"/>
    <mergeCell ref="JQO61:JQP61"/>
    <mergeCell ref="JPS61:JPT61"/>
    <mergeCell ref="JPU61:JPV61"/>
    <mergeCell ref="JPW61:JPX61"/>
    <mergeCell ref="JPY61:JPZ61"/>
    <mergeCell ref="JQA61:JQB61"/>
    <mergeCell ref="JQC61:JQD61"/>
    <mergeCell ref="JPG61:JPH61"/>
    <mergeCell ref="JPI61:JPJ61"/>
    <mergeCell ref="JPK61:JPL61"/>
    <mergeCell ref="JPM61:JPN61"/>
    <mergeCell ref="JPO61:JPP61"/>
    <mergeCell ref="JPQ61:JPR61"/>
    <mergeCell ref="JUI61:JUJ61"/>
    <mergeCell ref="JUK61:JUL61"/>
    <mergeCell ref="JUM61:JUN61"/>
    <mergeCell ref="JUO61:JUP61"/>
    <mergeCell ref="JUQ61:JUR61"/>
    <mergeCell ref="JUS61:JUT61"/>
    <mergeCell ref="JTW61:JTX61"/>
    <mergeCell ref="JTY61:JTZ61"/>
    <mergeCell ref="JUA61:JUB61"/>
    <mergeCell ref="JUC61:JUD61"/>
    <mergeCell ref="JUE61:JUF61"/>
    <mergeCell ref="JUG61:JUH61"/>
    <mergeCell ref="JTK61:JTL61"/>
    <mergeCell ref="JTM61:JTN61"/>
    <mergeCell ref="JTO61:JTP61"/>
    <mergeCell ref="JTQ61:JTR61"/>
    <mergeCell ref="JTS61:JTT61"/>
    <mergeCell ref="JTU61:JTV61"/>
    <mergeCell ref="JSY61:JSZ61"/>
    <mergeCell ref="JTA61:JTB61"/>
    <mergeCell ref="JTC61:JTD61"/>
    <mergeCell ref="JTE61:JTF61"/>
    <mergeCell ref="JTG61:JTH61"/>
    <mergeCell ref="JTI61:JTJ61"/>
    <mergeCell ref="JSM61:JSN61"/>
    <mergeCell ref="JSO61:JSP61"/>
    <mergeCell ref="JSQ61:JSR61"/>
    <mergeCell ref="JSS61:JST61"/>
    <mergeCell ref="JSU61:JSV61"/>
    <mergeCell ref="JSW61:JSX61"/>
    <mergeCell ref="JSA61:JSB61"/>
    <mergeCell ref="JSC61:JSD61"/>
    <mergeCell ref="JSE61:JSF61"/>
    <mergeCell ref="JSG61:JSH61"/>
    <mergeCell ref="JSI61:JSJ61"/>
    <mergeCell ref="JSK61:JSL61"/>
    <mergeCell ref="JXC61:JXD61"/>
    <mergeCell ref="JXE61:JXF61"/>
    <mergeCell ref="JXG61:JXH61"/>
    <mergeCell ref="JXI61:JXJ61"/>
    <mergeCell ref="JXK61:JXL61"/>
    <mergeCell ref="JXM61:JXN61"/>
    <mergeCell ref="JWQ61:JWR61"/>
    <mergeCell ref="JWS61:JWT61"/>
    <mergeCell ref="JWU61:JWV61"/>
    <mergeCell ref="JWW61:JWX61"/>
    <mergeCell ref="JWY61:JWZ61"/>
    <mergeCell ref="JXA61:JXB61"/>
    <mergeCell ref="JWE61:JWF61"/>
    <mergeCell ref="JWG61:JWH61"/>
    <mergeCell ref="JWI61:JWJ61"/>
    <mergeCell ref="JWK61:JWL61"/>
    <mergeCell ref="JWM61:JWN61"/>
    <mergeCell ref="JWO61:JWP61"/>
    <mergeCell ref="JVS61:JVT61"/>
    <mergeCell ref="JVU61:JVV61"/>
    <mergeCell ref="JVW61:JVX61"/>
    <mergeCell ref="JVY61:JVZ61"/>
    <mergeCell ref="JWA61:JWB61"/>
    <mergeCell ref="JWC61:JWD61"/>
    <mergeCell ref="JVG61:JVH61"/>
    <mergeCell ref="JVI61:JVJ61"/>
    <mergeCell ref="JVK61:JVL61"/>
    <mergeCell ref="JVM61:JVN61"/>
    <mergeCell ref="JVO61:JVP61"/>
    <mergeCell ref="JVQ61:JVR61"/>
    <mergeCell ref="JUU61:JUV61"/>
    <mergeCell ref="JUW61:JUX61"/>
    <mergeCell ref="JUY61:JUZ61"/>
    <mergeCell ref="JVA61:JVB61"/>
    <mergeCell ref="JVC61:JVD61"/>
    <mergeCell ref="JVE61:JVF61"/>
    <mergeCell ref="JZW61:JZX61"/>
    <mergeCell ref="JZY61:JZZ61"/>
    <mergeCell ref="KAA61:KAB61"/>
    <mergeCell ref="KAC61:KAD61"/>
    <mergeCell ref="KAE61:KAF61"/>
    <mergeCell ref="KAG61:KAH61"/>
    <mergeCell ref="JZK61:JZL61"/>
    <mergeCell ref="JZM61:JZN61"/>
    <mergeCell ref="JZO61:JZP61"/>
    <mergeCell ref="JZQ61:JZR61"/>
    <mergeCell ref="JZS61:JZT61"/>
    <mergeCell ref="JZU61:JZV61"/>
    <mergeCell ref="JYY61:JYZ61"/>
    <mergeCell ref="JZA61:JZB61"/>
    <mergeCell ref="JZC61:JZD61"/>
    <mergeCell ref="JZE61:JZF61"/>
    <mergeCell ref="JZG61:JZH61"/>
    <mergeCell ref="JZI61:JZJ61"/>
    <mergeCell ref="JYM61:JYN61"/>
    <mergeCell ref="JYO61:JYP61"/>
    <mergeCell ref="JYQ61:JYR61"/>
    <mergeCell ref="JYS61:JYT61"/>
    <mergeCell ref="JYU61:JYV61"/>
    <mergeCell ref="JYW61:JYX61"/>
    <mergeCell ref="JYA61:JYB61"/>
    <mergeCell ref="JYC61:JYD61"/>
    <mergeCell ref="JYE61:JYF61"/>
    <mergeCell ref="JYG61:JYH61"/>
    <mergeCell ref="JYI61:JYJ61"/>
    <mergeCell ref="JYK61:JYL61"/>
    <mergeCell ref="JXO61:JXP61"/>
    <mergeCell ref="JXQ61:JXR61"/>
    <mergeCell ref="JXS61:JXT61"/>
    <mergeCell ref="JXU61:JXV61"/>
    <mergeCell ref="JXW61:JXX61"/>
    <mergeCell ref="JXY61:JXZ61"/>
    <mergeCell ref="KCQ61:KCR61"/>
    <mergeCell ref="KCS61:KCT61"/>
    <mergeCell ref="KCU61:KCV61"/>
    <mergeCell ref="KCW61:KCX61"/>
    <mergeCell ref="KCY61:KCZ61"/>
    <mergeCell ref="KDA61:KDB61"/>
    <mergeCell ref="KCE61:KCF61"/>
    <mergeCell ref="KCG61:KCH61"/>
    <mergeCell ref="KCI61:KCJ61"/>
    <mergeCell ref="KCK61:KCL61"/>
    <mergeCell ref="KCM61:KCN61"/>
    <mergeCell ref="KCO61:KCP61"/>
    <mergeCell ref="KBS61:KBT61"/>
    <mergeCell ref="KBU61:KBV61"/>
    <mergeCell ref="KBW61:KBX61"/>
    <mergeCell ref="KBY61:KBZ61"/>
    <mergeCell ref="KCA61:KCB61"/>
    <mergeCell ref="KCC61:KCD61"/>
    <mergeCell ref="KBG61:KBH61"/>
    <mergeCell ref="KBI61:KBJ61"/>
    <mergeCell ref="KBK61:KBL61"/>
    <mergeCell ref="KBM61:KBN61"/>
    <mergeCell ref="KBO61:KBP61"/>
    <mergeCell ref="KBQ61:KBR61"/>
    <mergeCell ref="KAU61:KAV61"/>
    <mergeCell ref="KAW61:KAX61"/>
    <mergeCell ref="KAY61:KAZ61"/>
    <mergeCell ref="KBA61:KBB61"/>
    <mergeCell ref="KBC61:KBD61"/>
    <mergeCell ref="KBE61:KBF61"/>
    <mergeCell ref="KAI61:KAJ61"/>
    <mergeCell ref="KAK61:KAL61"/>
    <mergeCell ref="KAM61:KAN61"/>
    <mergeCell ref="KAO61:KAP61"/>
    <mergeCell ref="KAQ61:KAR61"/>
    <mergeCell ref="KAS61:KAT61"/>
    <mergeCell ref="KFK61:KFL61"/>
    <mergeCell ref="KFM61:KFN61"/>
    <mergeCell ref="KFO61:KFP61"/>
    <mergeCell ref="KFQ61:KFR61"/>
    <mergeCell ref="KFS61:KFT61"/>
    <mergeCell ref="KFU61:KFV61"/>
    <mergeCell ref="KEY61:KEZ61"/>
    <mergeCell ref="KFA61:KFB61"/>
    <mergeCell ref="KFC61:KFD61"/>
    <mergeCell ref="KFE61:KFF61"/>
    <mergeCell ref="KFG61:KFH61"/>
    <mergeCell ref="KFI61:KFJ61"/>
    <mergeCell ref="KEM61:KEN61"/>
    <mergeCell ref="KEO61:KEP61"/>
    <mergeCell ref="KEQ61:KER61"/>
    <mergeCell ref="KES61:KET61"/>
    <mergeCell ref="KEU61:KEV61"/>
    <mergeCell ref="KEW61:KEX61"/>
    <mergeCell ref="KEA61:KEB61"/>
    <mergeCell ref="KEC61:KED61"/>
    <mergeCell ref="KEE61:KEF61"/>
    <mergeCell ref="KEG61:KEH61"/>
    <mergeCell ref="KEI61:KEJ61"/>
    <mergeCell ref="KEK61:KEL61"/>
    <mergeCell ref="KDO61:KDP61"/>
    <mergeCell ref="KDQ61:KDR61"/>
    <mergeCell ref="KDS61:KDT61"/>
    <mergeCell ref="KDU61:KDV61"/>
    <mergeCell ref="KDW61:KDX61"/>
    <mergeCell ref="KDY61:KDZ61"/>
    <mergeCell ref="KDC61:KDD61"/>
    <mergeCell ref="KDE61:KDF61"/>
    <mergeCell ref="KDG61:KDH61"/>
    <mergeCell ref="KDI61:KDJ61"/>
    <mergeCell ref="KDK61:KDL61"/>
    <mergeCell ref="KDM61:KDN61"/>
    <mergeCell ref="KIE61:KIF61"/>
    <mergeCell ref="KIG61:KIH61"/>
    <mergeCell ref="KII61:KIJ61"/>
    <mergeCell ref="KIK61:KIL61"/>
    <mergeCell ref="KIM61:KIN61"/>
    <mergeCell ref="KIO61:KIP61"/>
    <mergeCell ref="KHS61:KHT61"/>
    <mergeCell ref="KHU61:KHV61"/>
    <mergeCell ref="KHW61:KHX61"/>
    <mergeCell ref="KHY61:KHZ61"/>
    <mergeCell ref="KIA61:KIB61"/>
    <mergeCell ref="KIC61:KID61"/>
    <mergeCell ref="KHG61:KHH61"/>
    <mergeCell ref="KHI61:KHJ61"/>
    <mergeCell ref="KHK61:KHL61"/>
    <mergeCell ref="KHM61:KHN61"/>
    <mergeCell ref="KHO61:KHP61"/>
    <mergeCell ref="KHQ61:KHR61"/>
    <mergeCell ref="KGU61:KGV61"/>
    <mergeCell ref="KGW61:KGX61"/>
    <mergeCell ref="KGY61:KGZ61"/>
    <mergeCell ref="KHA61:KHB61"/>
    <mergeCell ref="KHC61:KHD61"/>
    <mergeCell ref="KHE61:KHF61"/>
    <mergeCell ref="KGI61:KGJ61"/>
    <mergeCell ref="KGK61:KGL61"/>
    <mergeCell ref="KGM61:KGN61"/>
    <mergeCell ref="KGO61:KGP61"/>
    <mergeCell ref="KGQ61:KGR61"/>
    <mergeCell ref="KGS61:KGT61"/>
    <mergeCell ref="KFW61:KFX61"/>
    <mergeCell ref="KFY61:KFZ61"/>
    <mergeCell ref="KGA61:KGB61"/>
    <mergeCell ref="KGC61:KGD61"/>
    <mergeCell ref="KGE61:KGF61"/>
    <mergeCell ref="KGG61:KGH61"/>
    <mergeCell ref="KKY61:KKZ61"/>
    <mergeCell ref="KLA61:KLB61"/>
    <mergeCell ref="KLC61:KLD61"/>
    <mergeCell ref="KLE61:KLF61"/>
    <mergeCell ref="KLG61:KLH61"/>
    <mergeCell ref="KLI61:KLJ61"/>
    <mergeCell ref="KKM61:KKN61"/>
    <mergeCell ref="KKO61:KKP61"/>
    <mergeCell ref="KKQ61:KKR61"/>
    <mergeCell ref="KKS61:KKT61"/>
    <mergeCell ref="KKU61:KKV61"/>
    <mergeCell ref="KKW61:KKX61"/>
    <mergeCell ref="KKA61:KKB61"/>
    <mergeCell ref="KKC61:KKD61"/>
    <mergeCell ref="KKE61:KKF61"/>
    <mergeCell ref="KKG61:KKH61"/>
    <mergeCell ref="KKI61:KKJ61"/>
    <mergeCell ref="KKK61:KKL61"/>
    <mergeCell ref="KJO61:KJP61"/>
    <mergeCell ref="KJQ61:KJR61"/>
    <mergeCell ref="KJS61:KJT61"/>
    <mergeCell ref="KJU61:KJV61"/>
    <mergeCell ref="KJW61:KJX61"/>
    <mergeCell ref="KJY61:KJZ61"/>
    <mergeCell ref="KJC61:KJD61"/>
    <mergeCell ref="KJE61:KJF61"/>
    <mergeCell ref="KJG61:KJH61"/>
    <mergeCell ref="KJI61:KJJ61"/>
    <mergeCell ref="KJK61:KJL61"/>
    <mergeCell ref="KJM61:KJN61"/>
    <mergeCell ref="KIQ61:KIR61"/>
    <mergeCell ref="KIS61:KIT61"/>
    <mergeCell ref="KIU61:KIV61"/>
    <mergeCell ref="KIW61:KIX61"/>
    <mergeCell ref="KIY61:KIZ61"/>
    <mergeCell ref="KJA61:KJB61"/>
    <mergeCell ref="KNS61:KNT61"/>
    <mergeCell ref="KNU61:KNV61"/>
    <mergeCell ref="KNW61:KNX61"/>
    <mergeCell ref="KNY61:KNZ61"/>
    <mergeCell ref="KOA61:KOB61"/>
    <mergeCell ref="KOC61:KOD61"/>
    <mergeCell ref="KNG61:KNH61"/>
    <mergeCell ref="KNI61:KNJ61"/>
    <mergeCell ref="KNK61:KNL61"/>
    <mergeCell ref="KNM61:KNN61"/>
    <mergeCell ref="KNO61:KNP61"/>
    <mergeCell ref="KNQ61:KNR61"/>
    <mergeCell ref="KMU61:KMV61"/>
    <mergeCell ref="KMW61:KMX61"/>
    <mergeCell ref="KMY61:KMZ61"/>
    <mergeCell ref="KNA61:KNB61"/>
    <mergeCell ref="KNC61:KND61"/>
    <mergeCell ref="KNE61:KNF61"/>
    <mergeCell ref="KMI61:KMJ61"/>
    <mergeCell ref="KMK61:KML61"/>
    <mergeCell ref="KMM61:KMN61"/>
    <mergeCell ref="KMO61:KMP61"/>
    <mergeCell ref="KMQ61:KMR61"/>
    <mergeCell ref="KMS61:KMT61"/>
    <mergeCell ref="KLW61:KLX61"/>
    <mergeCell ref="KLY61:KLZ61"/>
    <mergeCell ref="KMA61:KMB61"/>
    <mergeCell ref="KMC61:KMD61"/>
    <mergeCell ref="KME61:KMF61"/>
    <mergeCell ref="KMG61:KMH61"/>
    <mergeCell ref="KLK61:KLL61"/>
    <mergeCell ref="KLM61:KLN61"/>
    <mergeCell ref="KLO61:KLP61"/>
    <mergeCell ref="KLQ61:KLR61"/>
    <mergeCell ref="KLS61:KLT61"/>
    <mergeCell ref="KLU61:KLV61"/>
    <mergeCell ref="KQM61:KQN61"/>
    <mergeCell ref="KQO61:KQP61"/>
    <mergeCell ref="KQQ61:KQR61"/>
    <mergeCell ref="KQS61:KQT61"/>
    <mergeCell ref="KQU61:KQV61"/>
    <mergeCell ref="KQW61:KQX61"/>
    <mergeCell ref="KQA61:KQB61"/>
    <mergeCell ref="KQC61:KQD61"/>
    <mergeCell ref="KQE61:KQF61"/>
    <mergeCell ref="KQG61:KQH61"/>
    <mergeCell ref="KQI61:KQJ61"/>
    <mergeCell ref="KQK61:KQL61"/>
    <mergeCell ref="KPO61:KPP61"/>
    <mergeCell ref="KPQ61:KPR61"/>
    <mergeCell ref="KPS61:KPT61"/>
    <mergeCell ref="KPU61:KPV61"/>
    <mergeCell ref="KPW61:KPX61"/>
    <mergeCell ref="KPY61:KPZ61"/>
    <mergeCell ref="KPC61:KPD61"/>
    <mergeCell ref="KPE61:KPF61"/>
    <mergeCell ref="KPG61:KPH61"/>
    <mergeCell ref="KPI61:KPJ61"/>
    <mergeCell ref="KPK61:KPL61"/>
    <mergeCell ref="KPM61:KPN61"/>
    <mergeCell ref="KOQ61:KOR61"/>
    <mergeCell ref="KOS61:KOT61"/>
    <mergeCell ref="KOU61:KOV61"/>
    <mergeCell ref="KOW61:KOX61"/>
    <mergeCell ref="KOY61:KOZ61"/>
    <mergeCell ref="KPA61:KPB61"/>
    <mergeCell ref="KOE61:KOF61"/>
    <mergeCell ref="KOG61:KOH61"/>
    <mergeCell ref="KOI61:KOJ61"/>
    <mergeCell ref="KOK61:KOL61"/>
    <mergeCell ref="KOM61:KON61"/>
    <mergeCell ref="KOO61:KOP61"/>
    <mergeCell ref="KTG61:KTH61"/>
    <mergeCell ref="KTI61:KTJ61"/>
    <mergeCell ref="KTK61:KTL61"/>
    <mergeCell ref="KTM61:KTN61"/>
    <mergeCell ref="KTO61:KTP61"/>
    <mergeCell ref="KTQ61:KTR61"/>
    <mergeCell ref="KSU61:KSV61"/>
    <mergeCell ref="KSW61:KSX61"/>
    <mergeCell ref="KSY61:KSZ61"/>
    <mergeCell ref="KTA61:KTB61"/>
    <mergeCell ref="KTC61:KTD61"/>
    <mergeCell ref="KTE61:KTF61"/>
    <mergeCell ref="KSI61:KSJ61"/>
    <mergeCell ref="KSK61:KSL61"/>
    <mergeCell ref="KSM61:KSN61"/>
    <mergeCell ref="KSO61:KSP61"/>
    <mergeCell ref="KSQ61:KSR61"/>
    <mergeCell ref="KSS61:KST61"/>
    <mergeCell ref="KRW61:KRX61"/>
    <mergeCell ref="KRY61:KRZ61"/>
    <mergeCell ref="KSA61:KSB61"/>
    <mergeCell ref="KSC61:KSD61"/>
    <mergeCell ref="KSE61:KSF61"/>
    <mergeCell ref="KSG61:KSH61"/>
    <mergeCell ref="KRK61:KRL61"/>
    <mergeCell ref="KRM61:KRN61"/>
    <mergeCell ref="KRO61:KRP61"/>
    <mergeCell ref="KRQ61:KRR61"/>
    <mergeCell ref="KRS61:KRT61"/>
    <mergeCell ref="KRU61:KRV61"/>
    <mergeCell ref="KQY61:KQZ61"/>
    <mergeCell ref="KRA61:KRB61"/>
    <mergeCell ref="KRC61:KRD61"/>
    <mergeCell ref="KRE61:KRF61"/>
    <mergeCell ref="KRG61:KRH61"/>
    <mergeCell ref="KRI61:KRJ61"/>
    <mergeCell ref="KWA61:KWB61"/>
    <mergeCell ref="KWC61:KWD61"/>
    <mergeCell ref="KWE61:KWF61"/>
    <mergeCell ref="KWG61:KWH61"/>
    <mergeCell ref="KWI61:KWJ61"/>
    <mergeCell ref="KWK61:KWL61"/>
    <mergeCell ref="KVO61:KVP61"/>
    <mergeCell ref="KVQ61:KVR61"/>
    <mergeCell ref="KVS61:KVT61"/>
    <mergeCell ref="KVU61:KVV61"/>
    <mergeCell ref="KVW61:KVX61"/>
    <mergeCell ref="KVY61:KVZ61"/>
    <mergeCell ref="KVC61:KVD61"/>
    <mergeCell ref="KVE61:KVF61"/>
    <mergeCell ref="KVG61:KVH61"/>
    <mergeCell ref="KVI61:KVJ61"/>
    <mergeCell ref="KVK61:KVL61"/>
    <mergeCell ref="KVM61:KVN61"/>
    <mergeCell ref="KUQ61:KUR61"/>
    <mergeCell ref="KUS61:KUT61"/>
    <mergeCell ref="KUU61:KUV61"/>
    <mergeCell ref="KUW61:KUX61"/>
    <mergeCell ref="KUY61:KUZ61"/>
    <mergeCell ref="KVA61:KVB61"/>
    <mergeCell ref="KUE61:KUF61"/>
    <mergeCell ref="KUG61:KUH61"/>
    <mergeCell ref="KUI61:KUJ61"/>
    <mergeCell ref="KUK61:KUL61"/>
    <mergeCell ref="KUM61:KUN61"/>
    <mergeCell ref="KUO61:KUP61"/>
    <mergeCell ref="KTS61:KTT61"/>
    <mergeCell ref="KTU61:KTV61"/>
    <mergeCell ref="KTW61:KTX61"/>
    <mergeCell ref="KTY61:KTZ61"/>
    <mergeCell ref="KUA61:KUB61"/>
    <mergeCell ref="KUC61:KUD61"/>
    <mergeCell ref="KYU61:KYV61"/>
    <mergeCell ref="KYW61:KYX61"/>
    <mergeCell ref="KYY61:KYZ61"/>
    <mergeCell ref="KZA61:KZB61"/>
    <mergeCell ref="KZC61:KZD61"/>
    <mergeCell ref="KZE61:KZF61"/>
    <mergeCell ref="KYI61:KYJ61"/>
    <mergeCell ref="KYK61:KYL61"/>
    <mergeCell ref="KYM61:KYN61"/>
    <mergeCell ref="KYO61:KYP61"/>
    <mergeCell ref="KYQ61:KYR61"/>
    <mergeCell ref="KYS61:KYT61"/>
    <mergeCell ref="KXW61:KXX61"/>
    <mergeCell ref="KXY61:KXZ61"/>
    <mergeCell ref="KYA61:KYB61"/>
    <mergeCell ref="KYC61:KYD61"/>
    <mergeCell ref="KYE61:KYF61"/>
    <mergeCell ref="KYG61:KYH61"/>
    <mergeCell ref="KXK61:KXL61"/>
    <mergeCell ref="KXM61:KXN61"/>
    <mergeCell ref="KXO61:KXP61"/>
    <mergeCell ref="KXQ61:KXR61"/>
    <mergeCell ref="KXS61:KXT61"/>
    <mergeCell ref="KXU61:KXV61"/>
    <mergeCell ref="KWY61:KWZ61"/>
    <mergeCell ref="KXA61:KXB61"/>
    <mergeCell ref="KXC61:KXD61"/>
    <mergeCell ref="KXE61:KXF61"/>
    <mergeCell ref="KXG61:KXH61"/>
    <mergeCell ref="KXI61:KXJ61"/>
    <mergeCell ref="KWM61:KWN61"/>
    <mergeCell ref="KWO61:KWP61"/>
    <mergeCell ref="KWQ61:KWR61"/>
    <mergeCell ref="KWS61:KWT61"/>
    <mergeCell ref="KWU61:KWV61"/>
    <mergeCell ref="KWW61:KWX61"/>
    <mergeCell ref="LBO61:LBP61"/>
    <mergeCell ref="LBQ61:LBR61"/>
    <mergeCell ref="LBS61:LBT61"/>
    <mergeCell ref="LBU61:LBV61"/>
    <mergeCell ref="LBW61:LBX61"/>
    <mergeCell ref="LBY61:LBZ61"/>
    <mergeCell ref="LBC61:LBD61"/>
    <mergeCell ref="LBE61:LBF61"/>
    <mergeCell ref="LBG61:LBH61"/>
    <mergeCell ref="LBI61:LBJ61"/>
    <mergeCell ref="LBK61:LBL61"/>
    <mergeCell ref="LBM61:LBN61"/>
    <mergeCell ref="LAQ61:LAR61"/>
    <mergeCell ref="LAS61:LAT61"/>
    <mergeCell ref="LAU61:LAV61"/>
    <mergeCell ref="LAW61:LAX61"/>
    <mergeCell ref="LAY61:LAZ61"/>
    <mergeCell ref="LBA61:LBB61"/>
    <mergeCell ref="LAE61:LAF61"/>
    <mergeCell ref="LAG61:LAH61"/>
    <mergeCell ref="LAI61:LAJ61"/>
    <mergeCell ref="LAK61:LAL61"/>
    <mergeCell ref="LAM61:LAN61"/>
    <mergeCell ref="LAO61:LAP61"/>
    <mergeCell ref="KZS61:KZT61"/>
    <mergeCell ref="KZU61:KZV61"/>
    <mergeCell ref="KZW61:KZX61"/>
    <mergeCell ref="KZY61:KZZ61"/>
    <mergeCell ref="LAA61:LAB61"/>
    <mergeCell ref="LAC61:LAD61"/>
    <mergeCell ref="KZG61:KZH61"/>
    <mergeCell ref="KZI61:KZJ61"/>
    <mergeCell ref="KZK61:KZL61"/>
    <mergeCell ref="KZM61:KZN61"/>
    <mergeCell ref="KZO61:KZP61"/>
    <mergeCell ref="KZQ61:KZR61"/>
    <mergeCell ref="LEI61:LEJ61"/>
    <mergeCell ref="LEK61:LEL61"/>
    <mergeCell ref="LEM61:LEN61"/>
    <mergeCell ref="LEO61:LEP61"/>
    <mergeCell ref="LEQ61:LER61"/>
    <mergeCell ref="LES61:LET61"/>
    <mergeCell ref="LDW61:LDX61"/>
    <mergeCell ref="LDY61:LDZ61"/>
    <mergeCell ref="LEA61:LEB61"/>
    <mergeCell ref="LEC61:LED61"/>
    <mergeCell ref="LEE61:LEF61"/>
    <mergeCell ref="LEG61:LEH61"/>
    <mergeCell ref="LDK61:LDL61"/>
    <mergeCell ref="LDM61:LDN61"/>
    <mergeCell ref="LDO61:LDP61"/>
    <mergeCell ref="LDQ61:LDR61"/>
    <mergeCell ref="LDS61:LDT61"/>
    <mergeCell ref="LDU61:LDV61"/>
    <mergeCell ref="LCY61:LCZ61"/>
    <mergeCell ref="LDA61:LDB61"/>
    <mergeCell ref="LDC61:LDD61"/>
    <mergeCell ref="LDE61:LDF61"/>
    <mergeCell ref="LDG61:LDH61"/>
    <mergeCell ref="LDI61:LDJ61"/>
    <mergeCell ref="LCM61:LCN61"/>
    <mergeCell ref="LCO61:LCP61"/>
    <mergeCell ref="LCQ61:LCR61"/>
    <mergeCell ref="LCS61:LCT61"/>
    <mergeCell ref="LCU61:LCV61"/>
    <mergeCell ref="LCW61:LCX61"/>
    <mergeCell ref="LCA61:LCB61"/>
    <mergeCell ref="LCC61:LCD61"/>
    <mergeCell ref="LCE61:LCF61"/>
    <mergeCell ref="LCG61:LCH61"/>
    <mergeCell ref="LCI61:LCJ61"/>
    <mergeCell ref="LCK61:LCL61"/>
    <mergeCell ref="LHC61:LHD61"/>
    <mergeCell ref="LHE61:LHF61"/>
    <mergeCell ref="LHG61:LHH61"/>
    <mergeCell ref="LHI61:LHJ61"/>
    <mergeCell ref="LHK61:LHL61"/>
    <mergeCell ref="LHM61:LHN61"/>
    <mergeCell ref="LGQ61:LGR61"/>
    <mergeCell ref="LGS61:LGT61"/>
    <mergeCell ref="LGU61:LGV61"/>
    <mergeCell ref="LGW61:LGX61"/>
    <mergeCell ref="LGY61:LGZ61"/>
    <mergeCell ref="LHA61:LHB61"/>
    <mergeCell ref="LGE61:LGF61"/>
    <mergeCell ref="LGG61:LGH61"/>
    <mergeCell ref="LGI61:LGJ61"/>
    <mergeCell ref="LGK61:LGL61"/>
    <mergeCell ref="LGM61:LGN61"/>
    <mergeCell ref="LGO61:LGP61"/>
    <mergeCell ref="LFS61:LFT61"/>
    <mergeCell ref="LFU61:LFV61"/>
    <mergeCell ref="LFW61:LFX61"/>
    <mergeCell ref="LFY61:LFZ61"/>
    <mergeCell ref="LGA61:LGB61"/>
    <mergeCell ref="LGC61:LGD61"/>
    <mergeCell ref="LFG61:LFH61"/>
    <mergeCell ref="LFI61:LFJ61"/>
    <mergeCell ref="LFK61:LFL61"/>
    <mergeCell ref="LFM61:LFN61"/>
    <mergeCell ref="LFO61:LFP61"/>
    <mergeCell ref="LFQ61:LFR61"/>
    <mergeCell ref="LEU61:LEV61"/>
    <mergeCell ref="LEW61:LEX61"/>
    <mergeCell ref="LEY61:LEZ61"/>
    <mergeCell ref="LFA61:LFB61"/>
    <mergeCell ref="LFC61:LFD61"/>
    <mergeCell ref="LFE61:LFF61"/>
    <mergeCell ref="LJW61:LJX61"/>
    <mergeCell ref="LJY61:LJZ61"/>
    <mergeCell ref="LKA61:LKB61"/>
    <mergeCell ref="LKC61:LKD61"/>
    <mergeCell ref="LKE61:LKF61"/>
    <mergeCell ref="LKG61:LKH61"/>
    <mergeCell ref="LJK61:LJL61"/>
    <mergeCell ref="LJM61:LJN61"/>
    <mergeCell ref="LJO61:LJP61"/>
    <mergeCell ref="LJQ61:LJR61"/>
    <mergeCell ref="LJS61:LJT61"/>
    <mergeCell ref="LJU61:LJV61"/>
    <mergeCell ref="LIY61:LIZ61"/>
    <mergeCell ref="LJA61:LJB61"/>
    <mergeCell ref="LJC61:LJD61"/>
    <mergeCell ref="LJE61:LJF61"/>
    <mergeCell ref="LJG61:LJH61"/>
    <mergeCell ref="LJI61:LJJ61"/>
    <mergeCell ref="LIM61:LIN61"/>
    <mergeCell ref="LIO61:LIP61"/>
    <mergeCell ref="LIQ61:LIR61"/>
    <mergeCell ref="LIS61:LIT61"/>
    <mergeCell ref="LIU61:LIV61"/>
    <mergeCell ref="LIW61:LIX61"/>
    <mergeCell ref="LIA61:LIB61"/>
    <mergeCell ref="LIC61:LID61"/>
    <mergeCell ref="LIE61:LIF61"/>
    <mergeCell ref="LIG61:LIH61"/>
    <mergeCell ref="LII61:LIJ61"/>
    <mergeCell ref="LIK61:LIL61"/>
    <mergeCell ref="LHO61:LHP61"/>
    <mergeCell ref="LHQ61:LHR61"/>
    <mergeCell ref="LHS61:LHT61"/>
    <mergeCell ref="LHU61:LHV61"/>
    <mergeCell ref="LHW61:LHX61"/>
    <mergeCell ref="LHY61:LHZ61"/>
    <mergeCell ref="LMQ61:LMR61"/>
    <mergeCell ref="LMS61:LMT61"/>
    <mergeCell ref="LMU61:LMV61"/>
    <mergeCell ref="LMW61:LMX61"/>
    <mergeCell ref="LMY61:LMZ61"/>
    <mergeCell ref="LNA61:LNB61"/>
    <mergeCell ref="LME61:LMF61"/>
    <mergeCell ref="LMG61:LMH61"/>
    <mergeCell ref="LMI61:LMJ61"/>
    <mergeCell ref="LMK61:LML61"/>
    <mergeCell ref="LMM61:LMN61"/>
    <mergeCell ref="LMO61:LMP61"/>
    <mergeCell ref="LLS61:LLT61"/>
    <mergeCell ref="LLU61:LLV61"/>
    <mergeCell ref="LLW61:LLX61"/>
    <mergeCell ref="LLY61:LLZ61"/>
    <mergeCell ref="LMA61:LMB61"/>
    <mergeCell ref="LMC61:LMD61"/>
    <mergeCell ref="LLG61:LLH61"/>
    <mergeCell ref="LLI61:LLJ61"/>
    <mergeCell ref="LLK61:LLL61"/>
    <mergeCell ref="LLM61:LLN61"/>
    <mergeCell ref="LLO61:LLP61"/>
    <mergeCell ref="LLQ61:LLR61"/>
    <mergeCell ref="LKU61:LKV61"/>
    <mergeCell ref="LKW61:LKX61"/>
    <mergeCell ref="LKY61:LKZ61"/>
    <mergeCell ref="LLA61:LLB61"/>
    <mergeCell ref="LLC61:LLD61"/>
    <mergeCell ref="LLE61:LLF61"/>
    <mergeCell ref="LKI61:LKJ61"/>
    <mergeCell ref="LKK61:LKL61"/>
    <mergeCell ref="LKM61:LKN61"/>
    <mergeCell ref="LKO61:LKP61"/>
    <mergeCell ref="LKQ61:LKR61"/>
    <mergeCell ref="LKS61:LKT61"/>
    <mergeCell ref="LPK61:LPL61"/>
    <mergeCell ref="LPM61:LPN61"/>
    <mergeCell ref="LPO61:LPP61"/>
    <mergeCell ref="LPQ61:LPR61"/>
    <mergeCell ref="LPS61:LPT61"/>
    <mergeCell ref="LPU61:LPV61"/>
    <mergeCell ref="LOY61:LOZ61"/>
    <mergeCell ref="LPA61:LPB61"/>
    <mergeCell ref="LPC61:LPD61"/>
    <mergeCell ref="LPE61:LPF61"/>
    <mergeCell ref="LPG61:LPH61"/>
    <mergeCell ref="LPI61:LPJ61"/>
    <mergeCell ref="LOM61:LON61"/>
    <mergeCell ref="LOO61:LOP61"/>
    <mergeCell ref="LOQ61:LOR61"/>
    <mergeCell ref="LOS61:LOT61"/>
    <mergeCell ref="LOU61:LOV61"/>
    <mergeCell ref="LOW61:LOX61"/>
    <mergeCell ref="LOA61:LOB61"/>
    <mergeCell ref="LOC61:LOD61"/>
    <mergeCell ref="LOE61:LOF61"/>
    <mergeCell ref="LOG61:LOH61"/>
    <mergeCell ref="LOI61:LOJ61"/>
    <mergeCell ref="LOK61:LOL61"/>
    <mergeCell ref="LNO61:LNP61"/>
    <mergeCell ref="LNQ61:LNR61"/>
    <mergeCell ref="LNS61:LNT61"/>
    <mergeCell ref="LNU61:LNV61"/>
    <mergeCell ref="LNW61:LNX61"/>
    <mergeCell ref="LNY61:LNZ61"/>
    <mergeCell ref="LNC61:LND61"/>
    <mergeCell ref="LNE61:LNF61"/>
    <mergeCell ref="LNG61:LNH61"/>
    <mergeCell ref="LNI61:LNJ61"/>
    <mergeCell ref="LNK61:LNL61"/>
    <mergeCell ref="LNM61:LNN61"/>
    <mergeCell ref="LSE61:LSF61"/>
    <mergeCell ref="LSG61:LSH61"/>
    <mergeCell ref="LSI61:LSJ61"/>
    <mergeCell ref="LSK61:LSL61"/>
    <mergeCell ref="LSM61:LSN61"/>
    <mergeCell ref="LSO61:LSP61"/>
    <mergeCell ref="LRS61:LRT61"/>
    <mergeCell ref="LRU61:LRV61"/>
    <mergeCell ref="LRW61:LRX61"/>
    <mergeCell ref="LRY61:LRZ61"/>
    <mergeCell ref="LSA61:LSB61"/>
    <mergeCell ref="LSC61:LSD61"/>
    <mergeCell ref="LRG61:LRH61"/>
    <mergeCell ref="LRI61:LRJ61"/>
    <mergeCell ref="LRK61:LRL61"/>
    <mergeCell ref="LRM61:LRN61"/>
    <mergeCell ref="LRO61:LRP61"/>
    <mergeCell ref="LRQ61:LRR61"/>
    <mergeCell ref="LQU61:LQV61"/>
    <mergeCell ref="LQW61:LQX61"/>
    <mergeCell ref="LQY61:LQZ61"/>
    <mergeCell ref="LRA61:LRB61"/>
    <mergeCell ref="LRC61:LRD61"/>
    <mergeCell ref="LRE61:LRF61"/>
    <mergeCell ref="LQI61:LQJ61"/>
    <mergeCell ref="LQK61:LQL61"/>
    <mergeCell ref="LQM61:LQN61"/>
    <mergeCell ref="LQO61:LQP61"/>
    <mergeCell ref="LQQ61:LQR61"/>
    <mergeCell ref="LQS61:LQT61"/>
    <mergeCell ref="LPW61:LPX61"/>
    <mergeCell ref="LPY61:LPZ61"/>
    <mergeCell ref="LQA61:LQB61"/>
    <mergeCell ref="LQC61:LQD61"/>
    <mergeCell ref="LQE61:LQF61"/>
    <mergeCell ref="LQG61:LQH61"/>
    <mergeCell ref="LUY61:LUZ61"/>
    <mergeCell ref="LVA61:LVB61"/>
    <mergeCell ref="LVC61:LVD61"/>
    <mergeCell ref="LVE61:LVF61"/>
    <mergeCell ref="LVG61:LVH61"/>
    <mergeCell ref="LVI61:LVJ61"/>
    <mergeCell ref="LUM61:LUN61"/>
    <mergeCell ref="LUO61:LUP61"/>
    <mergeCell ref="LUQ61:LUR61"/>
    <mergeCell ref="LUS61:LUT61"/>
    <mergeCell ref="LUU61:LUV61"/>
    <mergeCell ref="LUW61:LUX61"/>
    <mergeCell ref="LUA61:LUB61"/>
    <mergeCell ref="LUC61:LUD61"/>
    <mergeCell ref="LUE61:LUF61"/>
    <mergeCell ref="LUG61:LUH61"/>
    <mergeCell ref="LUI61:LUJ61"/>
    <mergeCell ref="LUK61:LUL61"/>
    <mergeCell ref="LTO61:LTP61"/>
    <mergeCell ref="LTQ61:LTR61"/>
    <mergeCell ref="LTS61:LTT61"/>
    <mergeCell ref="LTU61:LTV61"/>
    <mergeCell ref="LTW61:LTX61"/>
    <mergeCell ref="LTY61:LTZ61"/>
    <mergeCell ref="LTC61:LTD61"/>
    <mergeCell ref="LTE61:LTF61"/>
    <mergeCell ref="LTG61:LTH61"/>
    <mergeCell ref="LTI61:LTJ61"/>
    <mergeCell ref="LTK61:LTL61"/>
    <mergeCell ref="LTM61:LTN61"/>
    <mergeCell ref="LSQ61:LSR61"/>
    <mergeCell ref="LSS61:LST61"/>
    <mergeCell ref="LSU61:LSV61"/>
    <mergeCell ref="LSW61:LSX61"/>
    <mergeCell ref="LSY61:LSZ61"/>
    <mergeCell ref="LTA61:LTB61"/>
    <mergeCell ref="LXS61:LXT61"/>
    <mergeCell ref="LXU61:LXV61"/>
    <mergeCell ref="LXW61:LXX61"/>
    <mergeCell ref="LXY61:LXZ61"/>
    <mergeCell ref="LYA61:LYB61"/>
    <mergeCell ref="LYC61:LYD61"/>
    <mergeCell ref="LXG61:LXH61"/>
    <mergeCell ref="LXI61:LXJ61"/>
    <mergeCell ref="LXK61:LXL61"/>
    <mergeCell ref="LXM61:LXN61"/>
    <mergeCell ref="LXO61:LXP61"/>
    <mergeCell ref="LXQ61:LXR61"/>
    <mergeCell ref="LWU61:LWV61"/>
    <mergeCell ref="LWW61:LWX61"/>
    <mergeCell ref="LWY61:LWZ61"/>
    <mergeCell ref="LXA61:LXB61"/>
    <mergeCell ref="LXC61:LXD61"/>
    <mergeCell ref="LXE61:LXF61"/>
    <mergeCell ref="LWI61:LWJ61"/>
    <mergeCell ref="LWK61:LWL61"/>
    <mergeCell ref="LWM61:LWN61"/>
    <mergeCell ref="LWO61:LWP61"/>
    <mergeCell ref="LWQ61:LWR61"/>
    <mergeCell ref="LWS61:LWT61"/>
    <mergeCell ref="LVW61:LVX61"/>
    <mergeCell ref="LVY61:LVZ61"/>
    <mergeCell ref="LWA61:LWB61"/>
    <mergeCell ref="LWC61:LWD61"/>
    <mergeCell ref="LWE61:LWF61"/>
    <mergeCell ref="LWG61:LWH61"/>
    <mergeCell ref="LVK61:LVL61"/>
    <mergeCell ref="LVM61:LVN61"/>
    <mergeCell ref="LVO61:LVP61"/>
    <mergeCell ref="LVQ61:LVR61"/>
    <mergeCell ref="LVS61:LVT61"/>
    <mergeCell ref="LVU61:LVV61"/>
    <mergeCell ref="MAM61:MAN61"/>
    <mergeCell ref="MAO61:MAP61"/>
    <mergeCell ref="MAQ61:MAR61"/>
    <mergeCell ref="MAS61:MAT61"/>
    <mergeCell ref="MAU61:MAV61"/>
    <mergeCell ref="MAW61:MAX61"/>
    <mergeCell ref="MAA61:MAB61"/>
    <mergeCell ref="MAC61:MAD61"/>
    <mergeCell ref="MAE61:MAF61"/>
    <mergeCell ref="MAG61:MAH61"/>
    <mergeCell ref="MAI61:MAJ61"/>
    <mergeCell ref="MAK61:MAL61"/>
    <mergeCell ref="LZO61:LZP61"/>
    <mergeCell ref="LZQ61:LZR61"/>
    <mergeCell ref="LZS61:LZT61"/>
    <mergeCell ref="LZU61:LZV61"/>
    <mergeCell ref="LZW61:LZX61"/>
    <mergeCell ref="LZY61:LZZ61"/>
    <mergeCell ref="LZC61:LZD61"/>
    <mergeCell ref="LZE61:LZF61"/>
    <mergeCell ref="LZG61:LZH61"/>
    <mergeCell ref="LZI61:LZJ61"/>
    <mergeCell ref="LZK61:LZL61"/>
    <mergeCell ref="LZM61:LZN61"/>
    <mergeCell ref="LYQ61:LYR61"/>
    <mergeCell ref="LYS61:LYT61"/>
    <mergeCell ref="LYU61:LYV61"/>
    <mergeCell ref="LYW61:LYX61"/>
    <mergeCell ref="LYY61:LYZ61"/>
    <mergeCell ref="LZA61:LZB61"/>
    <mergeCell ref="LYE61:LYF61"/>
    <mergeCell ref="LYG61:LYH61"/>
    <mergeCell ref="LYI61:LYJ61"/>
    <mergeCell ref="LYK61:LYL61"/>
    <mergeCell ref="LYM61:LYN61"/>
    <mergeCell ref="LYO61:LYP61"/>
    <mergeCell ref="MDG61:MDH61"/>
    <mergeCell ref="MDI61:MDJ61"/>
    <mergeCell ref="MDK61:MDL61"/>
    <mergeCell ref="MDM61:MDN61"/>
    <mergeCell ref="MDO61:MDP61"/>
    <mergeCell ref="MDQ61:MDR61"/>
    <mergeCell ref="MCU61:MCV61"/>
    <mergeCell ref="MCW61:MCX61"/>
    <mergeCell ref="MCY61:MCZ61"/>
    <mergeCell ref="MDA61:MDB61"/>
    <mergeCell ref="MDC61:MDD61"/>
    <mergeCell ref="MDE61:MDF61"/>
    <mergeCell ref="MCI61:MCJ61"/>
    <mergeCell ref="MCK61:MCL61"/>
    <mergeCell ref="MCM61:MCN61"/>
    <mergeCell ref="MCO61:MCP61"/>
    <mergeCell ref="MCQ61:MCR61"/>
    <mergeCell ref="MCS61:MCT61"/>
    <mergeCell ref="MBW61:MBX61"/>
    <mergeCell ref="MBY61:MBZ61"/>
    <mergeCell ref="MCA61:MCB61"/>
    <mergeCell ref="MCC61:MCD61"/>
    <mergeCell ref="MCE61:MCF61"/>
    <mergeCell ref="MCG61:MCH61"/>
    <mergeCell ref="MBK61:MBL61"/>
    <mergeCell ref="MBM61:MBN61"/>
    <mergeCell ref="MBO61:MBP61"/>
    <mergeCell ref="MBQ61:MBR61"/>
    <mergeCell ref="MBS61:MBT61"/>
    <mergeCell ref="MBU61:MBV61"/>
    <mergeCell ref="MAY61:MAZ61"/>
    <mergeCell ref="MBA61:MBB61"/>
    <mergeCell ref="MBC61:MBD61"/>
    <mergeCell ref="MBE61:MBF61"/>
    <mergeCell ref="MBG61:MBH61"/>
    <mergeCell ref="MBI61:MBJ61"/>
    <mergeCell ref="MGA61:MGB61"/>
    <mergeCell ref="MGC61:MGD61"/>
    <mergeCell ref="MGE61:MGF61"/>
    <mergeCell ref="MGG61:MGH61"/>
    <mergeCell ref="MGI61:MGJ61"/>
    <mergeCell ref="MGK61:MGL61"/>
    <mergeCell ref="MFO61:MFP61"/>
    <mergeCell ref="MFQ61:MFR61"/>
    <mergeCell ref="MFS61:MFT61"/>
    <mergeCell ref="MFU61:MFV61"/>
    <mergeCell ref="MFW61:MFX61"/>
    <mergeCell ref="MFY61:MFZ61"/>
    <mergeCell ref="MFC61:MFD61"/>
    <mergeCell ref="MFE61:MFF61"/>
    <mergeCell ref="MFG61:MFH61"/>
    <mergeCell ref="MFI61:MFJ61"/>
    <mergeCell ref="MFK61:MFL61"/>
    <mergeCell ref="MFM61:MFN61"/>
    <mergeCell ref="MEQ61:MER61"/>
    <mergeCell ref="MES61:MET61"/>
    <mergeCell ref="MEU61:MEV61"/>
    <mergeCell ref="MEW61:MEX61"/>
    <mergeCell ref="MEY61:MEZ61"/>
    <mergeCell ref="MFA61:MFB61"/>
    <mergeCell ref="MEE61:MEF61"/>
    <mergeCell ref="MEG61:MEH61"/>
    <mergeCell ref="MEI61:MEJ61"/>
    <mergeCell ref="MEK61:MEL61"/>
    <mergeCell ref="MEM61:MEN61"/>
    <mergeCell ref="MEO61:MEP61"/>
    <mergeCell ref="MDS61:MDT61"/>
    <mergeCell ref="MDU61:MDV61"/>
    <mergeCell ref="MDW61:MDX61"/>
    <mergeCell ref="MDY61:MDZ61"/>
    <mergeCell ref="MEA61:MEB61"/>
    <mergeCell ref="MEC61:MED61"/>
    <mergeCell ref="MIU61:MIV61"/>
    <mergeCell ref="MIW61:MIX61"/>
    <mergeCell ref="MIY61:MIZ61"/>
    <mergeCell ref="MJA61:MJB61"/>
    <mergeCell ref="MJC61:MJD61"/>
    <mergeCell ref="MJE61:MJF61"/>
    <mergeCell ref="MII61:MIJ61"/>
    <mergeCell ref="MIK61:MIL61"/>
    <mergeCell ref="MIM61:MIN61"/>
    <mergeCell ref="MIO61:MIP61"/>
    <mergeCell ref="MIQ61:MIR61"/>
    <mergeCell ref="MIS61:MIT61"/>
    <mergeCell ref="MHW61:MHX61"/>
    <mergeCell ref="MHY61:MHZ61"/>
    <mergeCell ref="MIA61:MIB61"/>
    <mergeCell ref="MIC61:MID61"/>
    <mergeCell ref="MIE61:MIF61"/>
    <mergeCell ref="MIG61:MIH61"/>
    <mergeCell ref="MHK61:MHL61"/>
    <mergeCell ref="MHM61:MHN61"/>
    <mergeCell ref="MHO61:MHP61"/>
    <mergeCell ref="MHQ61:MHR61"/>
    <mergeCell ref="MHS61:MHT61"/>
    <mergeCell ref="MHU61:MHV61"/>
    <mergeCell ref="MGY61:MGZ61"/>
    <mergeCell ref="MHA61:MHB61"/>
    <mergeCell ref="MHC61:MHD61"/>
    <mergeCell ref="MHE61:MHF61"/>
    <mergeCell ref="MHG61:MHH61"/>
    <mergeCell ref="MHI61:MHJ61"/>
    <mergeCell ref="MGM61:MGN61"/>
    <mergeCell ref="MGO61:MGP61"/>
    <mergeCell ref="MGQ61:MGR61"/>
    <mergeCell ref="MGS61:MGT61"/>
    <mergeCell ref="MGU61:MGV61"/>
    <mergeCell ref="MGW61:MGX61"/>
    <mergeCell ref="MLO61:MLP61"/>
    <mergeCell ref="MLQ61:MLR61"/>
    <mergeCell ref="MLS61:MLT61"/>
    <mergeCell ref="MLU61:MLV61"/>
    <mergeCell ref="MLW61:MLX61"/>
    <mergeCell ref="MLY61:MLZ61"/>
    <mergeCell ref="MLC61:MLD61"/>
    <mergeCell ref="MLE61:MLF61"/>
    <mergeCell ref="MLG61:MLH61"/>
    <mergeCell ref="MLI61:MLJ61"/>
    <mergeCell ref="MLK61:MLL61"/>
    <mergeCell ref="MLM61:MLN61"/>
    <mergeCell ref="MKQ61:MKR61"/>
    <mergeCell ref="MKS61:MKT61"/>
    <mergeCell ref="MKU61:MKV61"/>
    <mergeCell ref="MKW61:MKX61"/>
    <mergeCell ref="MKY61:MKZ61"/>
    <mergeCell ref="MLA61:MLB61"/>
    <mergeCell ref="MKE61:MKF61"/>
    <mergeCell ref="MKG61:MKH61"/>
    <mergeCell ref="MKI61:MKJ61"/>
    <mergeCell ref="MKK61:MKL61"/>
    <mergeCell ref="MKM61:MKN61"/>
    <mergeCell ref="MKO61:MKP61"/>
    <mergeCell ref="MJS61:MJT61"/>
    <mergeCell ref="MJU61:MJV61"/>
    <mergeCell ref="MJW61:MJX61"/>
    <mergeCell ref="MJY61:MJZ61"/>
    <mergeCell ref="MKA61:MKB61"/>
    <mergeCell ref="MKC61:MKD61"/>
    <mergeCell ref="MJG61:MJH61"/>
    <mergeCell ref="MJI61:MJJ61"/>
    <mergeCell ref="MJK61:MJL61"/>
    <mergeCell ref="MJM61:MJN61"/>
    <mergeCell ref="MJO61:MJP61"/>
    <mergeCell ref="MJQ61:MJR61"/>
    <mergeCell ref="MOI61:MOJ61"/>
    <mergeCell ref="MOK61:MOL61"/>
    <mergeCell ref="MOM61:MON61"/>
    <mergeCell ref="MOO61:MOP61"/>
    <mergeCell ref="MOQ61:MOR61"/>
    <mergeCell ref="MOS61:MOT61"/>
    <mergeCell ref="MNW61:MNX61"/>
    <mergeCell ref="MNY61:MNZ61"/>
    <mergeCell ref="MOA61:MOB61"/>
    <mergeCell ref="MOC61:MOD61"/>
    <mergeCell ref="MOE61:MOF61"/>
    <mergeCell ref="MOG61:MOH61"/>
    <mergeCell ref="MNK61:MNL61"/>
    <mergeCell ref="MNM61:MNN61"/>
    <mergeCell ref="MNO61:MNP61"/>
    <mergeCell ref="MNQ61:MNR61"/>
    <mergeCell ref="MNS61:MNT61"/>
    <mergeCell ref="MNU61:MNV61"/>
    <mergeCell ref="MMY61:MMZ61"/>
    <mergeCell ref="MNA61:MNB61"/>
    <mergeCell ref="MNC61:MND61"/>
    <mergeCell ref="MNE61:MNF61"/>
    <mergeCell ref="MNG61:MNH61"/>
    <mergeCell ref="MNI61:MNJ61"/>
    <mergeCell ref="MMM61:MMN61"/>
    <mergeCell ref="MMO61:MMP61"/>
    <mergeCell ref="MMQ61:MMR61"/>
    <mergeCell ref="MMS61:MMT61"/>
    <mergeCell ref="MMU61:MMV61"/>
    <mergeCell ref="MMW61:MMX61"/>
    <mergeCell ref="MMA61:MMB61"/>
    <mergeCell ref="MMC61:MMD61"/>
    <mergeCell ref="MME61:MMF61"/>
    <mergeCell ref="MMG61:MMH61"/>
    <mergeCell ref="MMI61:MMJ61"/>
    <mergeCell ref="MMK61:MML61"/>
    <mergeCell ref="MRC61:MRD61"/>
    <mergeCell ref="MRE61:MRF61"/>
    <mergeCell ref="MRG61:MRH61"/>
    <mergeCell ref="MRI61:MRJ61"/>
    <mergeCell ref="MRK61:MRL61"/>
    <mergeCell ref="MRM61:MRN61"/>
    <mergeCell ref="MQQ61:MQR61"/>
    <mergeCell ref="MQS61:MQT61"/>
    <mergeCell ref="MQU61:MQV61"/>
    <mergeCell ref="MQW61:MQX61"/>
    <mergeCell ref="MQY61:MQZ61"/>
    <mergeCell ref="MRA61:MRB61"/>
    <mergeCell ref="MQE61:MQF61"/>
    <mergeCell ref="MQG61:MQH61"/>
    <mergeCell ref="MQI61:MQJ61"/>
    <mergeCell ref="MQK61:MQL61"/>
    <mergeCell ref="MQM61:MQN61"/>
    <mergeCell ref="MQO61:MQP61"/>
    <mergeCell ref="MPS61:MPT61"/>
    <mergeCell ref="MPU61:MPV61"/>
    <mergeCell ref="MPW61:MPX61"/>
    <mergeCell ref="MPY61:MPZ61"/>
    <mergeCell ref="MQA61:MQB61"/>
    <mergeCell ref="MQC61:MQD61"/>
    <mergeCell ref="MPG61:MPH61"/>
    <mergeCell ref="MPI61:MPJ61"/>
    <mergeCell ref="MPK61:MPL61"/>
    <mergeCell ref="MPM61:MPN61"/>
    <mergeCell ref="MPO61:MPP61"/>
    <mergeCell ref="MPQ61:MPR61"/>
    <mergeCell ref="MOU61:MOV61"/>
    <mergeCell ref="MOW61:MOX61"/>
    <mergeCell ref="MOY61:MOZ61"/>
    <mergeCell ref="MPA61:MPB61"/>
    <mergeCell ref="MPC61:MPD61"/>
    <mergeCell ref="MPE61:MPF61"/>
    <mergeCell ref="MTW61:MTX61"/>
    <mergeCell ref="MTY61:MTZ61"/>
    <mergeCell ref="MUA61:MUB61"/>
    <mergeCell ref="MUC61:MUD61"/>
    <mergeCell ref="MUE61:MUF61"/>
    <mergeCell ref="MUG61:MUH61"/>
    <mergeCell ref="MTK61:MTL61"/>
    <mergeCell ref="MTM61:MTN61"/>
    <mergeCell ref="MTO61:MTP61"/>
    <mergeCell ref="MTQ61:MTR61"/>
    <mergeCell ref="MTS61:MTT61"/>
    <mergeCell ref="MTU61:MTV61"/>
    <mergeCell ref="MSY61:MSZ61"/>
    <mergeCell ref="MTA61:MTB61"/>
    <mergeCell ref="MTC61:MTD61"/>
    <mergeCell ref="MTE61:MTF61"/>
    <mergeCell ref="MTG61:MTH61"/>
    <mergeCell ref="MTI61:MTJ61"/>
    <mergeCell ref="MSM61:MSN61"/>
    <mergeCell ref="MSO61:MSP61"/>
    <mergeCell ref="MSQ61:MSR61"/>
    <mergeCell ref="MSS61:MST61"/>
    <mergeCell ref="MSU61:MSV61"/>
    <mergeCell ref="MSW61:MSX61"/>
    <mergeCell ref="MSA61:MSB61"/>
    <mergeCell ref="MSC61:MSD61"/>
    <mergeCell ref="MSE61:MSF61"/>
    <mergeCell ref="MSG61:MSH61"/>
    <mergeCell ref="MSI61:MSJ61"/>
    <mergeCell ref="MSK61:MSL61"/>
    <mergeCell ref="MRO61:MRP61"/>
    <mergeCell ref="MRQ61:MRR61"/>
    <mergeCell ref="MRS61:MRT61"/>
    <mergeCell ref="MRU61:MRV61"/>
    <mergeCell ref="MRW61:MRX61"/>
    <mergeCell ref="MRY61:MRZ61"/>
    <mergeCell ref="MWQ61:MWR61"/>
    <mergeCell ref="MWS61:MWT61"/>
    <mergeCell ref="MWU61:MWV61"/>
    <mergeCell ref="MWW61:MWX61"/>
    <mergeCell ref="MWY61:MWZ61"/>
    <mergeCell ref="MXA61:MXB61"/>
    <mergeCell ref="MWE61:MWF61"/>
    <mergeCell ref="MWG61:MWH61"/>
    <mergeCell ref="MWI61:MWJ61"/>
    <mergeCell ref="MWK61:MWL61"/>
    <mergeCell ref="MWM61:MWN61"/>
    <mergeCell ref="MWO61:MWP61"/>
    <mergeCell ref="MVS61:MVT61"/>
    <mergeCell ref="MVU61:MVV61"/>
    <mergeCell ref="MVW61:MVX61"/>
    <mergeCell ref="MVY61:MVZ61"/>
    <mergeCell ref="MWA61:MWB61"/>
    <mergeCell ref="MWC61:MWD61"/>
    <mergeCell ref="MVG61:MVH61"/>
    <mergeCell ref="MVI61:MVJ61"/>
    <mergeCell ref="MVK61:MVL61"/>
    <mergeCell ref="MVM61:MVN61"/>
    <mergeCell ref="MVO61:MVP61"/>
    <mergeCell ref="MVQ61:MVR61"/>
    <mergeCell ref="MUU61:MUV61"/>
    <mergeCell ref="MUW61:MUX61"/>
    <mergeCell ref="MUY61:MUZ61"/>
    <mergeCell ref="MVA61:MVB61"/>
    <mergeCell ref="MVC61:MVD61"/>
    <mergeCell ref="MVE61:MVF61"/>
    <mergeCell ref="MUI61:MUJ61"/>
    <mergeCell ref="MUK61:MUL61"/>
    <mergeCell ref="MUM61:MUN61"/>
    <mergeCell ref="MUO61:MUP61"/>
    <mergeCell ref="MUQ61:MUR61"/>
    <mergeCell ref="MUS61:MUT61"/>
    <mergeCell ref="MZK61:MZL61"/>
    <mergeCell ref="MZM61:MZN61"/>
    <mergeCell ref="MZO61:MZP61"/>
    <mergeCell ref="MZQ61:MZR61"/>
    <mergeCell ref="MZS61:MZT61"/>
    <mergeCell ref="MZU61:MZV61"/>
    <mergeCell ref="MYY61:MYZ61"/>
    <mergeCell ref="MZA61:MZB61"/>
    <mergeCell ref="MZC61:MZD61"/>
    <mergeCell ref="MZE61:MZF61"/>
    <mergeCell ref="MZG61:MZH61"/>
    <mergeCell ref="MZI61:MZJ61"/>
    <mergeCell ref="MYM61:MYN61"/>
    <mergeCell ref="MYO61:MYP61"/>
    <mergeCell ref="MYQ61:MYR61"/>
    <mergeCell ref="MYS61:MYT61"/>
    <mergeCell ref="MYU61:MYV61"/>
    <mergeCell ref="MYW61:MYX61"/>
    <mergeCell ref="MYA61:MYB61"/>
    <mergeCell ref="MYC61:MYD61"/>
    <mergeCell ref="MYE61:MYF61"/>
    <mergeCell ref="MYG61:MYH61"/>
    <mergeCell ref="MYI61:MYJ61"/>
    <mergeCell ref="MYK61:MYL61"/>
    <mergeCell ref="MXO61:MXP61"/>
    <mergeCell ref="MXQ61:MXR61"/>
    <mergeCell ref="MXS61:MXT61"/>
    <mergeCell ref="MXU61:MXV61"/>
    <mergeCell ref="MXW61:MXX61"/>
    <mergeCell ref="MXY61:MXZ61"/>
    <mergeCell ref="MXC61:MXD61"/>
    <mergeCell ref="MXE61:MXF61"/>
    <mergeCell ref="MXG61:MXH61"/>
    <mergeCell ref="MXI61:MXJ61"/>
    <mergeCell ref="MXK61:MXL61"/>
    <mergeCell ref="MXM61:MXN61"/>
    <mergeCell ref="NCE61:NCF61"/>
    <mergeCell ref="NCG61:NCH61"/>
    <mergeCell ref="NCI61:NCJ61"/>
    <mergeCell ref="NCK61:NCL61"/>
    <mergeCell ref="NCM61:NCN61"/>
    <mergeCell ref="NCO61:NCP61"/>
    <mergeCell ref="NBS61:NBT61"/>
    <mergeCell ref="NBU61:NBV61"/>
    <mergeCell ref="NBW61:NBX61"/>
    <mergeCell ref="NBY61:NBZ61"/>
    <mergeCell ref="NCA61:NCB61"/>
    <mergeCell ref="NCC61:NCD61"/>
    <mergeCell ref="NBG61:NBH61"/>
    <mergeCell ref="NBI61:NBJ61"/>
    <mergeCell ref="NBK61:NBL61"/>
    <mergeCell ref="NBM61:NBN61"/>
    <mergeCell ref="NBO61:NBP61"/>
    <mergeCell ref="NBQ61:NBR61"/>
    <mergeCell ref="NAU61:NAV61"/>
    <mergeCell ref="NAW61:NAX61"/>
    <mergeCell ref="NAY61:NAZ61"/>
    <mergeCell ref="NBA61:NBB61"/>
    <mergeCell ref="NBC61:NBD61"/>
    <mergeCell ref="NBE61:NBF61"/>
    <mergeCell ref="NAI61:NAJ61"/>
    <mergeCell ref="NAK61:NAL61"/>
    <mergeCell ref="NAM61:NAN61"/>
    <mergeCell ref="NAO61:NAP61"/>
    <mergeCell ref="NAQ61:NAR61"/>
    <mergeCell ref="NAS61:NAT61"/>
    <mergeCell ref="MZW61:MZX61"/>
    <mergeCell ref="MZY61:MZZ61"/>
    <mergeCell ref="NAA61:NAB61"/>
    <mergeCell ref="NAC61:NAD61"/>
    <mergeCell ref="NAE61:NAF61"/>
    <mergeCell ref="NAG61:NAH61"/>
    <mergeCell ref="NEY61:NEZ61"/>
    <mergeCell ref="NFA61:NFB61"/>
    <mergeCell ref="NFC61:NFD61"/>
    <mergeCell ref="NFE61:NFF61"/>
    <mergeCell ref="NFG61:NFH61"/>
    <mergeCell ref="NFI61:NFJ61"/>
    <mergeCell ref="NEM61:NEN61"/>
    <mergeCell ref="NEO61:NEP61"/>
    <mergeCell ref="NEQ61:NER61"/>
    <mergeCell ref="NES61:NET61"/>
    <mergeCell ref="NEU61:NEV61"/>
    <mergeCell ref="NEW61:NEX61"/>
    <mergeCell ref="NEA61:NEB61"/>
    <mergeCell ref="NEC61:NED61"/>
    <mergeCell ref="NEE61:NEF61"/>
    <mergeCell ref="NEG61:NEH61"/>
    <mergeCell ref="NEI61:NEJ61"/>
    <mergeCell ref="NEK61:NEL61"/>
    <mergeCell ref="NDO61:NDP61"/>
    <mergeCell ref="NDQ61:NDR61"/>
    <mergeCell ref="NDS61:NDT61"/>
    <mergeCell ref="NDU61:NDV61"/>
    <mergeCell ref="NDW61:NDX61"/>
    <mergeCell ref="NDY61:NDZ61"/>
    <mergeCell ref="NDC61:NDD61"/>
    <mergeCell ref="NDE61:NDF61"/>
    <mergeCell ref="NDG61:NDH61"/>
    <mergeCell ref="NDI61:NDJ61"/>
    <mergeCell ref="NDK61:NDL61"/>
    <mergeCell ref="NDM61:NDN61"/>
    <mergeCell ref="NCQ61:NCR61"/>
    <mergeCell ref="NCS61:NCT61"/>
    <mergeCell ref="NCU61:NCV61"/>
    <mergeCell ref="NCW61:NCX61"/>
    <mergeCell ref="NCY61:NCZ61"/>
    <mergeCell ref="NDA61:NDB61"/>
    <mergeCell ref="NHS61:NHT61"/>
    <mergeCell ref="NHU61:NHV61"/>
    <mergeCell ref="NHW61:NHX61"/>
    <mergeCell ref="NHY61:NHZ61"/>
    <mergeCell ref="NIA61:NIB61"/>
    <mergeCell ref="NIC61:NID61"/>
    <mergeCell ref="NHG61:NHH61"/>
    <mergeCell ref="NHI61:NHJ61"/>
    <mergeCell ref="NHK61:NHL61"/>
    <mergeCell ref="NHM61:NHN61"/>
    <mergeCell ref="NHO61:NHP61"/>
    <mergeCell ref="NHQ61:NHR61"/>
    <mergeCell ref="NGU61:NGV61"/>
    <mergeCell ref="NGW61:NGX61"/>
    <mergeCell ref="NGY61:NGZ61"/>
    <mergeCell ref="NHA61:NHB61"/>
    <mergeCell ref="NHC61:NHD61"/>
    <mergeCell ref="NHE61:NHF61"/>
    <mergeCell ref="NGI61:NGJ61"/>
    <mergeCell ref="NGK61:NGL61"/>
    <mergeCell ref="NGM61:NGN61"/>
    <mergeCell ref="NGO61:NGP61"/>
    <mergeCell ref="NGQ61:NGR61"/>
    <mergeCell ref="NGS61:NGT61"/>
    <mergeCell ref="NFW61:NFX61"/>
    <mergeCell ref="NFY61:NFZ61"/>
    <mergeCell ref="NGA61:NGB61"/>
    <mergeCell ref="NGC61:NGD61"/>
    <mergeCell ref="NGE61:NGF61"/>
    <mergeCell ref="NGG61:NGH61"/>
    <mergeCell ref="NFK61:NFL61"/>
    <mergeCell ref="NFM61:NFN61"/>
    <mergeCell ref="NFO61:NFP61"/>
    <mergeCell ref="NFQ61:NFR61"/>
    <mergeCell ref="NFS61:NFT61"/>
    <mergeCell ref="NFU61:NFV61"/>
    <mergeCell ref="NKM61:NKN61"/>
    <mergeCell ref="NKO61:NKP61"/>
    <mergeCell ref="NKQ61:NKR61"/>
    <mergeCell ref="NKS61:NKT61"/>
    <mergeCell ref="NKU61:NKV61"/>
    <mergeCell ref="NKW61:NKX61"/>
    <mergeCell ref="NKA61:NKB61"/>
    <mergeCell ref="NKC61:NKD61"/>
    <mergeCell ref="NKE61:NKF61"/>
    <mergeCell ref="NKG61:NKH61"/>
    <mergeCell ref="NKI61:NKJ61"/>
    <mergeCell ref="NKK61:NKL61"/>
    <mergeCell ref="NJO61:NJP61"/>
    <mergeCell ref="NJQ61:NJR61"/>
    <mergeCell ref="NJS61:NJT61"/>
    <mergeCell ref="NJU61:NJV61"/>
    <mergeCell ref="NJW61:NJX61"/>
    <mergeCell ref="NJY61:NJZ61"/>
    <mergeCell ref="NJC61:NJD61"/>
    <mergeCell ref="NJE61:NJF61"/>
    <mergeCell ref="NJG61:NJH61"/>
    <mergeCell ref="NJI61:NJJ61"/>
    <mergeCell ref="NJK61:NJL61"/>
    <mergeCell ref="NJM61:NJN61"/>
    <mergeCell ref="NIQ61:NIR61"/>
    <mergeCell ref="NIS61:NIT61"/>
    <mergeCell ref="NIU61:NIV61"/>
    <mergeCell ref="NIW61:NIX61"/>
    <mergeCell ref="NIY61:NIZ61"/>
    <mergeCell ref="NJA61:NJB61"/>
    <mergeCell ref="NIE61:NIF61"/>
    <mergeCell ref="NIG61:NIH61"/>
    <mergeCell ref="NII61:NIJ61"/>
    <mergeCell ref="NIK61:NIL61"/>
    <mergeCell ref="NIM61:NIN61"/>
    <mergeCell ref="NIO61:NIP61"/>
    <mergeCell ref="NNG61:NNH61"/>
    <mergeCell ref="NNI61:NNJ61"/>
    <mergeCell ref="NNK61:NNL61"/>
    <mergeCell ref="NNM61:NNN61"/>
    <mergeCell ref="NNO61:NNP61"/>
    <mergeCell ref="NNQ61:NNR61"/>
    <mergeCell ref="NMU61:NMV61"/>
    <mergeCell ref="NMW61:NMX61"/>
    <mergeCell ref="NMY61:NMZ61"/>
    <mergeCell ref="NNA61:NNB61"/>
    <mergeCell ref="NNC61:NND61"/>
    <mergeCell ref="NNE61:NNF61"/>
    <mergeCell ref="NMI61:NMJ61"/>
    <mergeCell ref="NMK61:NML61"/>
    <mergeCell ref="NMM61:NMN61"/>
    <mergeCell ref="NMO61:NMP61"/>
    <mergeCell ref="NMQ61:NMR61"/>
    <mergeCell ref="NMS61:NMT61"/>
    <mergeCell ref="NLW61:NLX61"/>
    <mergeCell ref="NLY61:NLZ61"/>
    <mergeCell ref="NMA61:NMB61"/>
    <mergeCell ref="NMC61:NMD61"/>
    <mergeCell ref="NME61:NMF61"/>
    <mergeCell ref="NMG61:NMH61"/>
    <mergeCell ref="NLK61:NLL61"/>
    <mergeCell ref="NLM61:NLN61"/>
    <mergeCell ref="NLO61:NLP61"/>
    <mergeCell ref="NLQ61:NLR61"/>
    <mergeCell ref="NLS61:NLT61"/>
    <mergeCell ref="NLU61:NLV61"/>
    <mergeCell ref="NKY61:NKZ61"/>
    <mergeCell ref="NLA61:NLB61"/>
    <mergeCell ref="NLC61:NLD61"/>
    <mergeCell ref="NLE61:NLF61"/>
    <mergeCell ref="NLG61:NLH61"/>
    <mergeCell ref="NLI61:NLJ61"/>
    <mergeCell ref="NQA61:NQB61"/>
    <mergeCell ref="NQC61:NQD61"/>
    <mergeCell ref="NQE61:NQF61"/>
    <mergeCell ref="NQG61:NQH61"/>
    <mergeCell ref="NQI61:NQJ61"/>
    <mergeCell ref="NQK61:NQL61"/>
    <mergeCell ref="NPO61:NPP61"/>
    <mergeCell ref="NPQ61:NPR61"/>
    <mergeCell ref="NPS61:NPT61"/>
    <mergeCell ref="NPU61:NPV61"/>
    <mergeCell ref="NPW61:NPX61"/>
    <mergeCell ref="NPY61:NPZ61"/>
    <mergeCell ref="NPC61:NPD61"/>
    <mergeCell ref="NPE61:NPF61"/>
    <mergeCell ref="NPG61:NPH61"/>
    <mergeCell ref="NPI61:NPJ61"/>
    <mergeCell ref="NPK61:NPL61"/>
    <mergeCell ref="NPM61:NPN61"/>
    <mergeCell ref="NOQ61:NOR61"/>
    <mergeCell ref="NOS61:NOT61"/>
    <mergeCell ref="NOU61:NOV61"/>
    <mergeCell ref="NOW61:NOX61"/>
    <mergeCell ref="NOY61:NOZ61"/>
    <mergeCell ref="NPA61:NPB61"/>
    <mergeCell ref="NOE61:NOF61"/>
    <mergeCell ref="NOG61:NOH61"/>
    <mergeCell ref="NOI61:NOJ61"/>
    <mergeCell ref="NOK61:NOL61"/>
    <mergeCell ref="NOM61:NON61"/>
    <mergeCell ref="NOO61:NOP61"/>
    <mergeCell ref="NNS61:NNT61"/>
    <mergeCell ref="NNU61:NNV61"/>
    <mergeCell ref="NNW61:NNX61"/>
    <mergeCell ref="NNY61:NNZ61"/>
    <mergeCell ref="NOA61:NOB61"/>
    <mergeCell ref="NOC61:NOD61"/>
    <mergeCell ref="NSU61:NSV61"/>
    <mergeCell ref="NSW61:NSX61"/>
    <mergeCell ref="NSY61:NSZ61"/>
    <mergeCell ref="NTA61:NTB61"/>
    <mergeCell ref="NTC61:NTD61"/>
    <mergeCell ref="NTE61:NTF61"/>
    <mergeCell ref="NSI61:NSJ61"/>
    <mergeCell ref="NSK61:NSL61"/>
    <mergeCell ref="NSM61:NSN61"/>
    <mergeCell ref="NSO61:NSP61"/>
    <mergeCell ref="NSQ61:NSR61"/>
    <mergeCell ref="NSS61:NST61"/>
    <mergeCell ref="NRW61:NRX61"/>
    <mergeCell ref="NRY61:NRZ61"/>
    <mergeCell ref="NSA61:NSB61"/>
    <mergeCell ref="NSC61:NSD61"/>
    <mergeCell ref="NSE61:NSF61"/>
    <mergeCell ref="NSG61:NSH61"/>
    <mergeCell ref="NRK61:NRL61"/>
    <mergeCell ref="NRM61:NRN61"/>
    <mergeCell ref="NRO61:NRP61"/>
    <mergeCell ref="NRQ61:NRR61"/>
    <mergeCell ref="NRS61:NRT61"/>
    <mergeCell ref="NRU61:NRV61"/>
    <mergeCell ref="NQY61:NQZ61"/>
    <mergeCell ref="NRA61:NRB61"/>
    <mergeCell ref="NRC61:NRD61"/>
    <mergeCell ref="NRE61:NRF61"/>
    <mergeCell ref="NRG61:NRH61"/>
    <mergeCell ref="NRI61:NRJ61"/>
    <mergeCell ref="NQM61:NQN61"/>
    <mergeCell ref="NQO61:NQP61"/>
    <mergeCell ref="NQQ61:NQR61"/>
    <mergeCell ref="NQS61:NQT61"/>
    <mergeCell ref="NQU61:NQV61"/>
    <mergeCell ref="NQW61:NQX61"/>
    <mergeCell ref="NVO61:NVP61"/>
    <mergeCell ref="NVQ61:NVR61"/>
    <mergeCell ref="NVS61:NVT61"/>
    <mergeCell ref="NVU61:NVV61"/>
    <mergeCell ref="NVW61:NVX61"/>
    <mergeCell ref="NVY61:NVZ61"/>
    <mergeCell ref="NVC61:NVD61"/>
    <mergeCell ref="NVE61:NVF61"/>
    <mergeCell ref="NVG61:NVH61"/>
    <mergeCell ref="NVI61:NVJ61"/>
    <mergeCell ref="NVK61:NVL61"/>
    <mergeCell ref="NVM61:NVN61"/>
    <mergeCell ref="NUQ61:NUR61"/>
    <mergeCell ref="NUS61:NUT61"/>
    <mergeCell ref="NUU61:NUV61"/>
    <mergeCell ref="NUW61:NUX61"/>
    <mergeCell ref="NUY61:NUZ61"/>
    <mergeCell ref="NVA61:NVB61"/>
    <mergeCell ref="NUE61:NUF61"/>
    <mergeCell ref="NUG61:NUH61"/>
    <mergeCell ref="NUI61:NUJ61"/>
    <mergeCell ref="NUK61:NUL61"/>
    <mergeCell ref="NUM61:NUN61"/>
    <mergeCell ref="NUO61:NUP61"/>
    <mergeCell ref="NTS61:NTT61"/>
    <mergeCell ref="NTU61:NTV61"/>
    <mergeCell ref="NTW61:NTX61"/>
    <mergeCell ref="NTY61:NTZ61"/>
    <mergeCell ref="NUA61:NUB61"/>
    <mergeCell ref="NUC61:NUD61"/>
    <mergeCell ref="NTG61:NTH61"/>
    <mergeCell ref="NTI61:NTJ61"/>
    <mergeCell ref="NTK61:NTL61"/>
    <mergeCell ref="NTM61:NTN61"/>
    <mergeCell ref="NTO61:NTP61"/>
    <mergeCell ref="NTQ61:NTR61"/>
    <mergeCell ref="NYI61:NYJ61"/>
    <mergeCell ref="NYK61:NYL61"/>
    <mergeCell ref="NYM61:NYN61"/>
    <mergeCell ref="NYO61:NYP61"/>
    <mergeCell ref="NYQ61:NYR61"/>
    <mergeCell ref="NYS61:NYT61"/>
    <mergeCell ref="NXW61:NXX61"/>
    <mergeCell ref="NXY61:NXZ61"/>
    <mergeCell ref="NYA61:NYB61"/>
    <mergeCell ref="NYC61:NYD61"/>
    <mergeCell ref="NYE61:NYF61"/>
    <mergeCell ref="NYG61:NYH61"/>
    <mergeCell ref="NXK61:NXL61"/>
    <mergeCell ref="NXM61:NXN61"/>
    <mergeCell ref="NXO61:NXP61"/>
    <mergeCell ref="NXQ61:NXR61"/>
    <mergeCell ref="NXS61:NXT61"/>
    <mergeCell ref="NXU61:NXV61"/>
    <mergeCell ref="NWY61:NWZ61"/>
    <mergeCell ref="NXA61:NXB61"/>
    <mergeCell ref="NXC61:NXD61"/>
    <mergeCell ref="NXE61:NXF61"/>
    <mergeCell ref="NXG61:NXH61"/>
    <mergeCell ref="NXI61:NXJ61"/>
    <mergeCell ref="NWM61:NWN61"/>
    <mergeCell ref="NWO61:NWP61"/>
    <mergeCell ref="NWQ61:NWR61"/>
    <mergeCell ref="NWS61:NWT61"/>
    <mergeCell ref="NWU61:NWV61"/>
    <mergeCell ref="NWW61:NWX61"/>
    <mergeCell ref="NWA61:NWB61"/>
    <mergeCell ref="NWC61:NWD61"/>
    <mergeCell ref="NWE61:NWF61"/>
    <mergeCell ref="NWG61:NWH61"/>
    <mergeCell ref="NWI61:NWJ61"/>
    <mergeCell ref="NWK61:NWL61"/>
    <mergeCell ref="OBC61:OBD61"/>
    <mergeCell ref="OBE61:OBF61"/>
    <mergeCell ref="OBG61:OBH61"/>
    <mergeCell ref="OBI61:OBJ61"/>
    <mergeCell ref="OBK61:OBL61"/>
    <mergeCell ref="OBM61:OBN61"/>
    <mergeCell ref="OAQ61:OAR61"/>
    <mergeCell ref="OAS61:OAT61"/>
    <mergeCell ref="OAU61:OAV61"/>
    <mergeCell ref="OAW61:OAX61"/>
    <mergeCell ref="OAY61:OAZ61"/>
    <mergeCell ref="OBA61:OBB61"/>
    <mergeCell ref="OAE61:OAF61"/>
    <mergeCell ref="OAG61:OAH61"/>
    <mergeCell ref="OAI61:OAJ61"/>
    <mergeCell ref="OAK61:OAL61"/>
    <mergeCell ref="OAM61:OAN61"/>
    <mergeCell ref="OAO61:OAP61"/>
    <mergeCell ref="NZS61:NZT61"/>
    <mergeCell ref="NZU61:NZV61"/>
    <mergeCell ref="NZW61:NZX61"/>
    <mergeCell ref="NZY61:NZZ61"/>
    <mergeCell ref="OAA61:OAB61"/>
    <mergeCell ref="OAC61:OAD61"/>
    <mergeCell ref="NZG61:NZH61"/>
    <mergeCell ref="NZI61:NZJ61"/>
    <mergeCell ref="NZK61:NZL61"/>
    <mergeCell ref="NZM61:NZN61"/>
    <mergeCell ref="NZO61:NZP61"/>
    <mergeCell ref="NZQ61:NZR61"/>
    <mergeCell ref="NYU61:NYV61"/>
    <mergeCell ref="NYW61:NYX61"/>
    <mergeCell ref="NYY61:NYZ61"/>
    <mergeCell ref="NZA61:NZB61"/>
    <mergeCell ref="NZC61:NZD61"/>
    <mergeCell ref="NZE61:NZF61"/>
    <mergeCell ref="ODW61:ODX61"/>
    <mergeCell ref="ODY61:ODZ61"/>
    <mergeCell ref="OEA61:OEB61"/>
    <mergeCell ref="OEC61:OED61"/>
    <mergeCell ref="OEE61:OEF61"/>
    <mergeCell ref="OEG61:OEH61"/>
    <mergeCell ref="ODK61:ODL61"/>
    <mergeCell ref="ODM61:ODN61"/>
    <mergeCell ref="ODO61:ODP61"/>
    <mergeCell ref="ODQ61:ODR61"/>
    <mergeCell ref="ODS61:ODT61"/>
    <mergeCell ref="ODU61:ODV61"/>
    <mergeCell ref="OCY61:OCZ61"/>
    <mergeCell ref="ODA61:ODB61"/>
    <mergeCell ref="ODC61:ODD61"/>
    <mergeCell ref="ODE61:ODF61"/>
    <mergeCell ref="ODG61:ODH61"/>
    <mergeCell ref="ODI61:ODJ61"/>
    <mergeCell ref="OCM61:OCN61"/>
    <mergeCell ref="OCO61:OCP61"/>
    <mergeCell ref="OCQ61:OCR61"/>
    <mergeCell ref="OCS61:OCT61"/>
    <mergeCell ref="OCU61:OCV61"/>
    <mergeCell ref="OCW61:OCX61"/>
    <mergeCell ref="OCA61:OCB61"/>
    <mergeCell ref="OCC61:OCD61"/>
    <mergeCell ref="OCE61:OCF61"/>
    <mergeCell ref="OCG61:OCH61"/>
    <mergeCell ref="OCI61:OCJ61"/>
    <mergeCell ref="OCK61:OCL61"/>
    <mergeCell ref="OBO61:OBP61"/>
    <mergeCell ref="OBQ61:OBR61"/>
    <mergeCell ref="OBS61:OBT61"/>
    <mergeCell ref="OBU61:OBV61"/>
    <mergeCell ref="OBW61:OBX61"/>
    <mergeCell ref="OBY61:OBZ61"/>
    <mergeCell ref="OGQ61:OGR61"/>
    <mergeCell ref="OGS61:OGT61"/>
    <mergeCell ref="OGU61:OGV61"/>
    <mergeCell ref="OGW61:OGX61"/>
    <mergeCell ref="OGY61:OGZ61"/>
    <mergeCell ref="OHA61:OHB61"/>
    <mergeCell ref="OGE61:OGF61"/>
    <mergeCell ref="OGG61:OGH61"/>
    <mergeCell ref="OGI61:OGJ61"/>
    <mergeCell ref="OGK61:OGL61"/>
    <mergeCell ref="OGM61:OGN61"/>
    <mergeCell ref="OGO61:OGP61"/>
    <mergeCell ref="OFS61:OFT61"/>
    <mergeCell ref="OFU61:OFV61"/>
    <mergeCell ref="OFW61:OFX61"/>
    <mergeCell ref="OFY61:OFZ61"/>
    <mergeCell ref="OGA61:OGB61"/>
    <mergeCell ref="OGC61:OGD61"/>
    <mergeCell ref="OFG61:OFH61"/>
    <mergeCell ref="OFI61:OFJ61"/>
    <mergeCell ref="OFK61:OFL61"/>
    <mergeCell ref="OFM61:OFN61"/>
    <mergeCell ref="OFO61:OFP61"/>
    <mergeCell ref="OFQ61:OFR61"/>
    <mergeCell ref="OEU61:OEV61"/>
    <mergeCell ref="OEW61:OEX61"/>
    <mergeCell ref="OEY61:OEZ61"/>
    <mergeCell ref="OFA61:OFB61"/>
    <mergeCell ref="OFC61:OFD61"/>
    <mergeCell ref="OFE61:OFF61"/>
    <mergeCell ref="OEI61:OEJ61"/>
    <mergeCell ref="OEK61:OEL61"/>
    <mergeCell ref="OEM61:OEN61"/>
    <mergeCell ref="OEO61:OEP61"/>
    <mergeCell ref="OEQ61:OER61"/>
    <mergeCell ref="OES61:OET61"/>
    <mergeCell ref="OJK61:OJL61"/>
    <mergeCell ref="OJM61:OJN61"/>
    <mergeCell ref="OJO61:OJP61"/>
    <mergeCell ref="OJQ61:OJR61"/>
    <mergeCell ref="OJS61:OJT61"/>
    <mergeCell ref="OJU61:OJV61"/>
    <mergeCell ref="OIY61:OIZ61"/>
    <mergeCell ref="OJA61:OJB61"/>
    <mergeCell ref="OJC61:OJD61"/>
    <mergeCell ref="OJE61:OJF61"/>
    <mergeCell ref="OJG61:OJH61"/>
    <mergeCell ref="OJI61:OJJ61"/>
    <mergeCell ref="OIM61:OIN61"/>
    <mergeCell ref="OIO61:OIP61"/>
    <mergeCell ref="OIQ61:OIR61"/>
    <mergeCell ref="OIS61:OIT61"/>
    <mergeCell ref="OIU61:OIV61"/>
    <mergeCell ref="OIW61:OIX61"/>
    <mergeCell ref="OIA61:OIB61"/>
    <mergeCell ref="OIC61:OID61"/>
    <mergeCell ref="OIE61:OIF61"/>
    <mergeCell ref="OIG61:OIH61"/>
    <mergeCell ref="OII61:OIJ61"/>
    <mergeCell ref="OIK61:OIL61"/>
    <mergeCell ref="OHO61:OHP61"/>
    <mergeCell ref="OHQ61:OHR61"/>
    <mergeCell ref="OHS61:OHT61"/>
    <mergeCell ref="OHU61:OHV61"/>
    <mergeCell ref="OHW61:OHX61"/>
    <mergeCell ref="OHY61:OHZ61"/>
    <mergeCell ref="OHC61:OHD61"/>
    <mergeCell ref="OHE61:OHF61"/>
    <mergeCell ref="OHG61:OHH61"/>
    <mergeCell ref="OHI61:OHJ61"/>
    <mergeCell ref="OHK61:OHL61"/>
    <mergeCell ref="OHM61:OHN61"/>
    <mergeCell ref="OME61:OMF61"/>
    <mergeCell ref="OMG61:OMH61"/>
    <mergeCell ref="OMI61:OMJ61"/>
    <mergeCell ref="OMK61:OML61"/>
    <mergeCell ref="OMM61:OMN61"/>
    <mergeCell ref="OMO61:OMP61"/>
    <mergeCell ref="OLS61:OLT61"/>
    <mergeCell ref="OLU61:OLV61"/>
    <mergeCell ref="OLW61:OLX61"/>
    <mergeCell ref="OLY61:OLZ61"/>
    <mergeCell ref="OMA61:OMB61"/>
    <mergeCell ref="OMC61:OMD61"/>
    <mergeCell ref="OLG61:OLH61"/>
    <mergeCell ref="OLI61:OLJ61"/>
    <mergeCell ref="OLK61:OLL61"/>
    <mergeCell ref="OLM61:OLN61"/>
    <mergeCell ref="OLO61:OLP61"/>
    <mergeCell ref="OLQ61:OLR61"/>
    <mergeCell ref="OKU61:OKV61"/>
    <mergeCell ref="OKW61:OKX61"/>
    <mergeCell ref="OKY61:OKZ61"/>
    <mergeCell ref="OLA61:OLB61"/>
    <mergeCell ref="OLC61:OLD61"/>
    <mergeCell ref="OLE61:OLF61"/>
    <mergeCell ref="OKI61:OKJ61"/>
    <mergeCell ref="OKK61:OKL61"/>
    <mergeCell ref="OKM61:OKN61"/>
    <mergeCell ref="OKO61:OKP61"/>
    <mergeCell ref="OKQ61:OKR61"/>
    <mergeCell ref="OKS61:OKT61"/>
    <mergeCell ref="OJW61:OJX61"/>
    <mergeCell ref="OJY61:OJZ61"/>
    <mergeCell ref="OKA61:OKB61"/>
    <mergeCell ref="OKC61:OKD61"/>
    <mergeCell ref="OKE61:OKF61"/>
    <mergeCell ref="OKG61:OKH61"/>
    <mergeCell ref="OOY61:OOZ61"/>
    <mergeCell ref="OPA61:OPB61"/>
    <mergeCell ref="OPC61:OPD61"/>
    <mergeCell ref="OPE61:OPF61"/>
    <mergeCell ref="OPG61:OPH61"/>
    <mergeCell ref="OPI61:OPJ61"/>
    <mergeCell ref="OOM61:OON61"/>
    <mergeCell ref="OOO61:OOP61"/>
    <mergeCell ref="OOQ61:OOR61"/>
    <mergeCell ref="OOS61:OOT61"/>
    <mergeCell ref="OOU61:OOV61"/>
    <mergeCell ref="OOW61:OOX61"/>
    <mergeCell ref="OOA61:OOB61"/>
    <mergeCell ref="OOC61:OOD61"/>
    <mergeCell ref="OOE61:OOF61"/>
    <mergeCell ref="OOG61:OOH61"/>
    <mergeCell ref="OOI61:OOJ61"/>
    <mergeCell ref="OOK61:OOL61"/>
    <mergeCell ref="ONO61:ONP61"/>
    <mergeCell ref="ONQ61:ONR61"/>
    <mergeCell ref="ONS61:ONT61"/>
    <mergeCell ref="ONU61:ONV61"/>
    <mergeCell ref="ONW61:ONX61"/>
    <mergeCell ref="ONY61:ONZ61"/>
    <mergeCell ref="ONC61:OND61"/>
    <mergeCell ref="ONE61:ONF61"/>
    <mergeCell ref="ONG61:ONH61"/>
    <mergeCell ref="ONI61:ONJ61"/>
    <mergeCell ref="ONK61:ONL61"/>
    <mergeCell ref="ONM61:ONN61"/>
    <mergeCell ref="OMQ61:OMR61"/>
    <mergeCell ref="OMS61:OMT61"/>
    <mergeCell ref="OMU61:OMV61"/>
    <mergeCell ref="OMW61:OMX61"/>
    <mergeCell ref="OMY61:OMZ61"/>
    <mergeCell ref="ONA61:ONB61"/>
    <mergeCell ref="ORS61:ORT61"/>
    <mergeCell ref="ORU61:ORV61"/>
    <mergeCell ref="ORW61:ORX61"/>
    <mergeCell ref="ORY61:ORZ61"/>
    <mergeCell ref="OSA61:OSB61"/>
    <mergeCell ref="OSC61:OSD61"/>
    <mergeCell ref="ORG61:ORH61"/>
    <mergeCell ref="ORI61:ORJ61"/>
    <mergeCell ref="ORK61:ORL61"/>
    <mergeCell ref="ORM61:ORN61"/>
    <mergeCell ref="ORO61:ORP61"/>
    <mergeCell ref="ORQ61:ORR61"/>
    <mergeCell ref="OQU61:OQV61"/>
    <mergeCell ref="OQW61:OQX61"/>
    <mergeCell ref="OQY61:OQZ61"/>
    <mergeCell ref="ORA61:ORB61"/>
    <mergeCell ref="ORC61:ORD61"/>
    <mergeCell ref="ORE61:ORF61"/>
    <mergeCell ref="OQI61:OQJ61"/>
    <mergeCell ref="OQK61:OQL61"/>
    <mergeCell ref="OQM61:OQN61"/>
    <mergeCell ref="OQO61:OQP61"/>
    <mergeCell ref="OQQ61:OQR61"/>
    <mergeCell ref="OQS61:OQT61"/>
    <mergeCell ref="OPW61:OPX61"/>
    <mergeCell ref="OPY61:OPZ61"/>
    <mergeCell ref="OQA61:OQB61"/>
    <mergeCell ref="OQC61:OQD61"/>
    <mergeCell ref="OQE61:OQF61"/>
    <mergeCell ref="OQG61:OQH61"/>
    <mergeCell ref="OPK61:OPL61"/>
    <mergeCell ref="OPM61:OPN61"/>
    <mergeCell ref="OPO61:OPP61"/>
    <mergeCell ref="OPQ61:OPR61"/>
    <mergeCell ref="OPS61:OPT61"/>
    <mergeCell ref="OPU61:OPV61"/>
    <mergeCell ref="OUM61:OUN61"/>
    <mergeCell ref="OUO61:OUP61"/>
    <mergeCell ref="OUQ61:OUR61"/>
    <mergeCell ref="OUS61:OUT61"/>
    <mergeCell ref="OUU61:OUV61"/>
    <mergeCell ref="OUW61:OUX61"/>
    <mergeCell ref="OUA61:OUB61"/>
    <mergeCell ref="OUC61:OUD61"/>
    <mergeCell ref="OUE61:OUF61"/>
    <mergeCell ref="OUG61:OUH61"/>
    <mergeCell ref="OUI61:OUJ61"/>
    <mergeCell ref="OUK61:OUL61"/>
    <mergeCell ref="OTO61:OTP61"/>
    <mergeCell ref="OTQ61:OTR61"/>
    <mergeCell ref="OTS61:OTT61"/>
    <mergeCell ref="OTU61:OTV61"/>
    <mergeCell ref="OTW61:OTX61"/>
    <mergeCell ref="OTY61:OTZ61"/>
    <mergeCell ref="OTC61:OTD61"/>
    <mergeCell ref="OTE61:OTF61"/>
    <mergeCell ref="OTG61:OTH61"/>
    <mergeCell ref="OTI61:OTJ61"/>
    <mergeCell ref="OTK61:OTL61"/>
    <mergeCell ref="OTM61:OTN61"/>
    <mergeCell ref="OSQ61:OSR61"/>
    <mergeCell ref="OSS61:OST61"/>
    <mergeCell ref="OSU61:OSV61"/>
    <mergeCell ref="OSW61:OSX61"/>
    <mergeCell ref="OSY61:OSZ61"/>
    <mergeCell ref="OTA61:OTB61"/>
    <mergeCell ref="OSE61:OSF61"/>
    <mergeCell ref="OSG61:OSH61"/>
    <mergeCell ref="OSI61:OSJ61"/>
    <mergeCell ref="OSK61:OSL61"/>
    <mergeCell ref="OSM61:OSN61"/>
    <mergeCell ref="OSO61:OSP61"/>
    <mergeCell ref="OXG61:OXH61"/>
    <mergeCell ref="OXI61:OXJ61"/>
    <mergeCell ref="OXK61:OXL61"/>
    <mergeCell ref="OXM61:OXN61"/>
    <mergeCell ref="OXO61:OXP61"/>
    <mergeCell ref="OXQ61:OXR61"/>
    <mergeCell ref="OWU61:OWV61"/>
    <mergeCell ref="OWW61:OWX61"/>
    <mergeCell ref="OWY61:OWZ61"/>
    <mergeCell ref="OXA61:OXB61"/>
    <mergeCell ref="OXC61:OXD61"/>
    <mergeCell ref="OXE61:OXF61"/>
    <mergeCell ref="OWI61:OWJ61"/>
    <mergeCell ref="OWK61:OWL61"/>
    <mergeCell ref="OWM61:OWN61"/>
    <mergeCell ref="OWO61:OWP61"/>
    <mergeCell ref="OWQ61:OWR61"/>
    <mergeCell ref="OWS61:OWT61"/>
    <mergeCell ref="OVW61:OVX61"/>
    <mergeCell ref="OVY61:OVZ61"/>
    <mergeCell ref="OWA61:OWB61"/>
    <mergeCell ref="OWC61:OWD61"/>
    <mergeCell ref="OWE61:OWF61"/>
    <mergeCell ref="OWG61:OWH61"/>
    <mergeCell ref="OVK61:OVL61"/>
    <mergeCell ref="OVM61:OVN61"/>
    <mergeCell ref="OVO61:OVP61"/>
    <mergeCell ref="OVQ61:OVR61"/>
    <mergeCell ref="OVS61:OVT61"/>
    <mergeCell ref="OVU61:OVV61"/>
    <mergeCell ref="OUY61:OUZ61"/>
    <mergeCell ref="OVA61:OVB61"/>
    <mergeCell ref="OVC61:OVD61"/>
    <mergeCell ref="OVE61:OVF61"/>
    <mergeCell ref="OVG61:OVH61"/>
    <mergeCell ref="OVI61:OVJ61"/>
    <mergeCell ref="PAA61:PAB61"/>
    <mergeCell ref="PAC61:PAD61"/>
    <mergeCell ref="PAE61:PAF61"/>
    <mergeCell ref="PAG61:PAH61"/>
    <mergeCell ref="PAI61:PAJ61"/>
    <mergeCell ref="PAK61:PAL61"/>
    <mergeCell ref="OZO61:OZP61"/>
    <mergeCell ref="OZQ61:OZR61"/>
    <mergeCell ref="OZS61:OZT61"/>
    <mergeCell ref="OZU61:OZV61"/>
    <mergeCell ref="OZW61:OZX61"/>
    <mergeCell ref="OZY61:OZZ61"/>
    <mergeCell ref="OZC61:OZD61"/>
    <mergeCell ref="OZE61:OZF61"/>
    <mergeCell ref="OZG61:OZH61"/>
    <mergeCell ref="OZI61:OZJ61"/>
    <mergeCell ref="OZK61:OZL61"/>
    <mergeCell ref="OZM61:OZN61"/>
    <mergeCell ref="OYQ61:OYR61"/>
    <mergeCell ref="OYS61:OYT61"/>
    <mergeCell ref="OYU61:OYV61"/>
    <mergeCell ref="OYW61:OYX61"/>
    <mergeCell ref="OYY61:OYZ61"/>
    <mergeCell ref="OZA61:OZB61"/>
    <mergeCell ref="OYE61:OYF61"/>
    <mergeCell ref="OYG61:OYH61"/>
    <mergeCell ref="OYI61:OYJ61"/>
    <mergeCell ref="OYK61:OYL61"/>
    <mergeCell ref="OYM61:OYN61"/>
    <mergeCell ref="OYO61:OYP61"/>
    <mergeCell ref="OXS61:OXT61"/>
    <mergeCell ref="OXU61:OXV61"/>
    <mergeCell ref="OXW61:OXX61"/>
    <mergeCell ref="OXY61:OXZ61"/>
    <mergeCell ref="OYA61:OYB61"/>
    <mergeCell ref="OYC61:OYD61"/>
    <mergeCell ref="PCU61:PCV61"/>
    <mergeCell ref="PCW61:PCX61"/>
    <mergeCell ref="PCY61:PCZ61"/>
    <mergeCell ref="PDA61:PDB61"/>
    <mergeCell ref="PDC61:PDD61"/>
    <mergeCell ref="PDE61:PDF61"/>
    <mergeCell ref="PCI61:PCJ61"/>
    <mergeCell ref="PCK61:PCL61"/>
    <mergeCell ref="PCM61:PCN61"/>
    <mergeCell ref="PCO61:PCP61"/>
    <mergeCell ref="PCQ61:PCR61"/>
    <mergeCell ref="PCS61:PCT61"/>
    <mergeCell ref="PBW61:PBX61"/>
    <mergeCell ref="PBY61:PBZ61"/>
    <mergeCell ref="PCA61:PCB61"/>
    <mergeCell ref="PCC61:PCD61"/>
    <mergeCell ref="PCE61:PCF61"/>
    <mergeCell ref="PCG61:PCH61"/>
    <mergeCell ref="PBK61:PBL61"/>
    <mergeCell ref="PBM61:PBN61"/>
    <mergeCell ref="PBO61:PBP61"/>
    <mergeCell ref="PBQ61:PBR61"/>
    <mergeCell ref="PBS61:PBT61"/>
    <mergeCell ref="PBU61:PBV61"/>
    <mergeCell ref="PAY61:PAZ61"/>
    <mergeCell ref="PBA61:PBB61"/>
    <mergeCell ref="PBC61:PBD61"/>
    <mergeCell ref="PBE61:PBF61"/>
    <mergeCell ref="PBG61:PBH61"/>
    <mergeCell ref="PBI61:PBJ61"/>
    <mergeCell ref="PAM61:PAN61"/>
    <mergeCell ref="PAO61:PAP61"/>
    <mergeCell ref="PAQ61:PAR61"/>
    <mergeCell ref="PAS61:PAT61"/>
    <mergeCell ref="PAU61:PAV61"/>
    <mergeCell ref="PAW61:PAX61"/>
    <mergeCell ref="PFO61:PFP61"/>
    <mergeCell ref="PFQ61:PFR61"/>
    <mergeCell ref="PFS61:PFT61"/>
    <mergeCell ref="PFU61:PFV61"/>
    <mergeCell ref="PFW61:PFX61"/>
    <mergeCell ref="PFY61:PFZ61"/>
    <mergeCell ref="PFC61:PFD61"/>
    <mergeCell ref="PFE61:PFF61"/>
    <mergeCell ref="PFG61:PFH61"/>
    <mergeCell ref="PFI61:PFJ61"/>
    <mergeCell ref="PFK61:PFL61"/>
    <mergeCell ref="PFM61:PFN61"/>
    <mergeCell ref="PEQ61:PER61"/>
    <mergeCell ref="PES61:PET61"/>
    <mergeCell ref="PEU61:PEV61"/>
    <mergeCell ref="PEW61:PEX61"/>
    <mergeCell ref="PEY61:PEZ61"/>
    <mergeCell ref="PFA61:PFB61"/>
    <mergeCell ref="PEE61:PEF61"/>
    <mergeCell ref="PEG61:PEH61"/>
    <mergeCell ref="PEI61:PEJ61"/>
    <mergeCell ref="PEK61:PEL61"/>
    <mergeCell ref="PEM61:PEN61"/>
    <mergeCell ref="PEO61:PEP61"/>
    <mergeCell ref="PDS61:PDT61"/>
    <mergeCell ref="PDU61:PDV61"/>
    <mergeCell ref="PDW61:PDX61"/>
    <mergeCell ref="PDY61:PDZ61"/>
    <mergeCell ref="PEA61:PEB61"/>
    <mergeCell ref="PEC61:PED61"/>
    <mergeCell ref="PDG61:PDH61"/>
    <mergeCell ref="PDI61:PDJ61"/>
    <mergeCell ref="PDK61:PDL61"/>
    <mergeCell ref="PDM61:PDN61"/>
    <mergeCell ref="PDO61:PDP61"/>
    <mergeCell ref="PDQ61:PDR61"/>
    <mergeCell ref="PII61:PIJ61"/>
    <mergeCell ref="PIK61:PIL61"/>
    <mergeCell ref="PIM61:PIN61"/>
    <mergeCell ref="PIO61:PIP61"/>
    <mergeCell ref="PIQ61:PIR61"/>
    <mergeCell ref="PIS61:PIT61"/>
    <mergeCell ref="PHW61:PHX61"/>
    <mergeCell ref="PHY61:PHZ61"/>
    <mergeCell ref="PIA61:PIB61"/>
    <mergeCell ref="PIC61:PID61"/>
    <mergeCell ref="PIE61:PIF61"/>
    <mergeCell ref="PIG61:PIH61"/>
    <mergeCell ref="PHK61:PHL61"/>
    <mergeCell ref="PHM61:PHN61"/>
    <mergeCell ref="PHO61:PHP61"/>
    <mergeCell ref="PHQ61:PHR61"/>
    <mergeCell ref="PHS61:PHT61"/>
    <mergeCell ref="PHU61:PHV61"/>
    <mergeCell ref="PGY61:PGZ61"/>
    <mergeCell ref="PHA61:PHB61"/>
    <mergeCell ref="PHC61:PHD61"/>
    <mergeCell ref="PHE61:PHF61"/>
    <mergeCell ref="PHG61:PHH61"/>
    <mergeCell ref="PHI61:PHJ61"/>
    <mergeCell ref="PGM61:PGN61"/>
    <mergeCell ref="PGO61:PGP61"/>
    <mergeCell ref="PGQ61:PGR61"/>
    <mergeCell ref="PGS61:PGT61"/>
    <mergeCell ref="PGU61:PGV61"/>
    <mergeCell ref="PGW61:PGX61"/>
    <mergeCell ref="PGA61:PGB61"/>
    <mergeCell ref="PGC61:PGD61"/>
    <mergeCell ref="PGE61:PGF61"/>
    <mergeCell ref="PGG61:PGH61"/>
    <mergeCell ref="PGI61:PGJ61"/>
    <mergeCell ref="PGK61:PGL61"/>
    <mergeCell ref="PLC61:PLD61"/>
    <mergeCell ref="PLE61:PLF61"/>
    <mergeCell ref="PLG61:PLH61"/>
    <mergeCell ref="PLI61:PLJ61"/>
    <mergeCell ref="PLK61:PLL61"/>
    <mergeCell ref="PLM61:PLN61"/>
    <mergeCell ref="PKQ61:PKR61"/>
    <mergeCell ref="PKS61:PKT61"/>
    <mergeCell ref="PKU61:PKV61"/>
    <mergeCell ref="PKW61:PKX61"/>
    <mergeCell ref="PKY61:PKZ61"/>
    <mergeCell ref="PLA61:PLB61"/>
    <mergeCell ref="PKE61:PKF61"/>
    <mergeCell ref="PKG61:PKH61"/>
    <mergeCell ref="PKI61:PKJ61"/>
    <mergeCell ref="PKK61:PKL61"/>
    <mergeCell ref="PKM61:PKN61"/>
    <mergeCell ref="PKO61:PKP61"/>
    <mergeCell ref="PJS61:PJT61"/>
    <mergeCell ref="PJU61:PJV61"/>
    <mergeCell ref="PJW61:PJX61"/>
    <mergeCell ref="PJY61:PJZ61"/>
    <mergeCell ref="PKA61:PKB61"/>
    <mergeCell ref="PKC61:PKD61"/>
    <mergeCell ref="PJG61:PJH61"/>
    <mergeCell ref="PJI61:PJJ61"/>
    <mergeCell ref="PJK61:PJL61"/>
    <mergeCell ref="PJM61:PJN61"/>
    <mergeCell ref="PJO61:PJP61"/>
    <mergeCell ref="PJQ61:PJR61"/>
    <mergeCell ref="PIU61:PIV61"/>
    <mergeCell ref="PIW61:PIX61"/>
    <mergeCell ref="PIY61:PIZ61"/>
    <mergeCell ref="PJA61:PJB61"/>
    <mergeCell ref="PJC61:PJD61"/>
    <mergeCell ref="PJE61:PJF61"/>
    <mergeCell ref="PNW61:PNX61"/>
    <mergeCell ref="PNY61:PNZ61"/>
    <mergeCell ref="POA61:POB61"/>
    <mergeCell ref="POC61:POD61"/>
    <mergeCell ref="POE61:POF61"/>
    <mergeCell ref="POG61:POH61"/>
    <mergeCell ref="PNK61:PNL61"/>
    <mergeCell ref="PNM61:PNN61"/>
    <mergeCell ref="PNO61:PNP61"/>
    <mergeCell ref="PNQ61:PNR61"/>
    <mergeCell ref="PNS61:PNT61"/>
    <mergeCell ref="PNU61:PNV61"/>
    <mergeCell ref="PMY61:PMZ61"/>
    <mergeCell ref="PNA61:PNB61"/>
    <mergeCell ref="PNC61:PND61"/>
    <mergeCell ref="PNE61:PNF61"/>
    <mergeCell ref="PNG61:PNH61"/>
    <mergeCell ref="PNI61:PNJ61"/>
    <mergeCell ref="PMM61:PMN61"/>
    <mergeCell ref="PMO61:PMP61"/>
    <mergeCell ref="PMQ61:PMR61"/>
    <mergeCell ref="PMS61:PMT61"/>
    <mergeCell ref="PMU61:PMV61"/>
    <mergeCell ref="PMW61:PMX61"/>
    <mergeCell ref="PMA61:PMB61"/>
    <mergeCell ref="PMC61:PMD61"/>
    <mergeCell ref="PME61:PMF61"/>
    <mergeCell ref="PMG61:PMH61"/>
    <mergeCell ref="PMI61:PMJ61"/>
    <mergeCell ref="PMK61:PML61"/>
    <mergeCell ref="PLO61:PLP61"/>
    <mergeCell ref="PLQ61:PLR61"/>
    <mergeCell ref="PLS61:PLT61"/>
    <mergeCell ref="PLU61:PLV61"/>
    <mergeCell ref="PLW61:PLX61"/>
    <mergeCell ref="PLY61:PLZ61"/>
    <mergeCell ref="PQQ61:PQR61"/>
    <mergeCell ref="PQS61:PQT61"/>
    <mergeCell ref="PQU61:PQV61"/>
    <mergeCell ref="PQW61:PQX61"/>
    <mergeCell ref="PQY61:PQZ61"/>
    <mergeCell ref="PRA61:PRB61"/>
    <mergeCell ref="PQE61:PQF61"/>
    <mergeCell ref="PQG61:PQH61"/>
    <mergeCell ref="PQI61:PQJ61"/>
    <mergeCell ref="PQK61:PQL61"/>
    <mergeCell ref="PQM61:PQN61"/>
    <mergeCell ref="PQO61:PQP61"/>
    <mergeCell ref="PPS61:PPT61"/>
    <mergeCell ref="PPU61:PPV61"/>
    <mergeCell ref="PPW61:PPX61"/>
    <mergeCell ref="PPY61:PPZ61"/>
    <mergeCell ref="PQA61:PQB61"/>
    <mergeCell ref="PQC61:PQD61"/>
    <mergeCell ref="PPG61:PPH61"/>
    <mergeCell ref="PPI61:PPJ61"/>
    <mergeCell ref="PPK61:PPL61"/>
    <mergeCell ref="PPM61:PPN61"/>
    <mergeCell ref="PPO61:PPP61"/>
    <mergeCell ref="PPQ61:PPR61"/>
    <mergeCell ref="POU61:POV61"/>
    <mergeCell ref="POW61:POX61"/>
    <mergeCell ref="POY61:POZ61"/>
    <mergeCell ref="PPA61:PPB61"/>
    <mergeCell ref="PPC61:PPD61"/>
    <mergeCell ref="PPE61:PPF61"/>
    <mergeCell ref="POI61:POJ61"/>
    <mergeCell ref="POK61:POL61"/>
    <mergeCell ref="POM61:PON61"/>
    <mergeCell ref="POO61:POP61"/>
    <mergeCell ref="POQ61:POR61"/>
    <mergeCell ref="POS61:POT61"/>
    <mergeCell ref="PTK61:PTL61"/>
    <mergeCell ref="PTM61:PTN61"/>
    <mergeCell ref="PTO61:PTP61"/>
    <mergeCell ref="PTQ61:PTR61"/>
    <mergeCell ref="PTS61:PTT61"/>
    <mergeCell ref="PTU61:PTV61"/>
    <mergeCell ref="PSY61:PSZ61"/>
    <mergeCell ref="PTA61:PTB61"/>
    <mergeCell ref="PTC61:PTD61"/>
    <mergeCell ref="PTE61:PTF61"/>
    <mergeCell ref="PTG61:PTH61"/>
    <mergeCell ref="PTI61:PTJ61"/>
    <mergeCell ref="PSM61:PSN61"/>
    <mergeCell ref="PSO61:PSP61"/>
    <mergeCell ref="PSQ61:PSR61"/>
    <mergeCell ref="PSS61:PST61"/>
    <mergeCell ref="PSU61:PSV61"/>
    <mergeCell ref="PSW61:PSX61"/>
    <mergeCell ref="PSA61:PSB61"/>
    <mergeCell ref="PSC61:PSD61"/>
    <mergeCell ref="PSE61:PSF61"/>
    <mergeCell ref="PSG61:PSH61"/>
    <mergeCell ref="PSI61:PSJ61"/>
    <mergeCell ref="PSK61:PSL61"/>
    <mergeCell ref="PRO61:PRP61"/>
    <mergeCell ref="PRQ61:PRR61"/>
    <mergeCell ref="PRS61:PRT61"/>
    <mergeCell ref="PRU61:PRV61"/>
    <mergeCell ref="PRW61:PRX61"/>
    <mergeCell ref="PRY61:PRZ61"/>
    <mergeCell ref="PRC61:PRD61"/>
    <mergeCell ref="PRE61:PRF61"/>
    <mergeCell ref="PRG61:PRH61"/>
    <mergeCell ref="PRI61:PRJ61"/>
    <mergeCell ref="PRK61:PRL61"/>
    <mergeCell ref="PRM61:PRN61"/>
    <mergeCell ref="PWE61:PWF61"/>
    <mergeCell ref="PWG61:PWH61"/>
    <mergeCell ref="PWI61:PWJ61"/>
    <mergeCell ref="PWK61:PWL61"/>
    <mergeCell ref="PWM61:PWN61"/>
    <mergeCell ref="PWO61:PWP61"/>
    <mergeCell ref="PVS61:PVT61"/>
    <mergeCell ref="PVU61:PVV61"/>
    <mergeCell ref="PVW61:PVX61"/>
    <mergeCell ref="PVY61:PVZ61"/>
    <mergeCell ref="PWA61:PWB61"/>
    <mergeCell ref="PWC61:PWD61"/>
    <mergeCell ref="PVG61:PVH61"/>
    <mergeCell ref="PVI61:PVJ61"/>
    <mergeCell ref="PVK61:PVL61"/>
    <mergeCell ref="PVM61:PVN61"/>
    <mergeCell ref="PVO61:PVP61"/>
    <mergeCell ref="PVQ61:PVR61"/>
    <mergeCell ref="PUU61:PUV61"/>
    <mergeCell ref="PUW61:PUX61"/>
    <mergeCell ref="PUY61:PUZ61"/>
    <mergeCell ref="PVA61:PVB61"/>
    <mergeCell ref="PVC61:PVD61"/>
    <mergeCell ref="PVE61:PVF61"/>
    <mergeCell ref="PUI61:PUJ61"/>
    <mergeCell ref="PUK61:PUL61"/>
    <mergeCell ref="PUM61:PUN61"/>
    <mergeCell ref="PUO61:PUP61"/>
    <mergeCell ref="PUQ61:PUR61"/>
    <mergeCell ref="PUS61:PUT61"/>
    <mergeCell ref="PTW61:PTX61"/>
    <mergeCell ref="PTY61:PTZ61"/>
    <mergeCell ref="PUA61:PUB61"/>
    <mergeCell ref="PUC61:PUD61"/>
    <mergeCell ref="PUE61:PUF61"/>
    <mergeCell ref="PUG61:PUH61"/>
    <mergeCell ref="PYY61:PYZ61"/>
    <mergeCell ref="PZA61:PZB61"/>
    <mergeCell ref="PZC61:PZD61"/>
    <mergeCell ref="PZE61:PZF61"/>
    <mergeCell ref="PZG61:PZH61"/>
    <mergeCell ref="PZI61:PZJ61"/>
    <mergeCell ref="PYM61:PYN61"/>
    <mergeCell ref="PYO61:PYP61"/>
    <mergeCell ref="PYQ61:PYR61"/>
    <mergeCell ref="PYS61:PYT61"/>
    <mergeCell ref="PYU61:PYV61"/>
    <mergeCell ref="PYW61:PYX61"/>
    <mergeCell ref="PYA61:PYB61"/>
    <mergeCell ref="PYC61:PYD61"/>
    <mergeCell ref="PYE61:PYF61"/>
    <mergeCell ref="PYG61:PYH61"/>
    <mergeCell ref="PYI61:PYJ61"/>
    <mergeCell ref="PYK61:PYL61"/>
    <mergeCell ref="PXO61:PXP61"/>
    <mergeCell ref="PXQ61:PXR61"/>
    <mergeCell ref="PXS61:PXT61"/>
    <mergeCell ref="PXU61:PXV61"/>
    <mergeCell ref="PXW61:PXX61"/>
    <mergeCell ref="PXY61:PXZ61"/>
    <mergeCell ref="PXC61:PXD61"/>
    <mergeCell ref="PXE61:PXF61"/>
    <mergeCell ref="PXG61:PXH61"/>
    <mergeCell ref="PXI61:PXJ61"/>
    <mergeCell ref="PXK61:PXL61"/>
    <mergeCell ref="PXM61:PXN61"/>
    <mergeCell ref="PWQ61:PWR61"/>
    <mergeCell ref="PWS61:PWT61"/>
    <mergeCell ref="PWU61:PWV61"/>
    <mergeCell ref="PWW61:PWX61"/>
    <mergeCell ref="PWY61:PWZ61"/>
    <mergeCell ref="PXA61:PXB61"/>
    <mergeCell ref="QBS61:QBT61"/>
    <mergeCell ref="QBU61:QBV61"/>
    <mergeCell ref="QBW61:QBX61"/>
    <mergeCell ref="QBY61:QBZ61"/>
    <mergeCell ref="QCA61:QCB61"/>
    <mergeCell ref="QCC61:QCD61"/>
    <mergeCell ref="QBG61:QBH61"/>
    <mergeCell ref="QBI61:QBJ61"/>
    <mergeCell ref="QBK61:QBL61"/>
    <mergeCell ref="QBM61:QBN61"/>
    <mergeCell ref="QBO61:QBP61"/>
    <mergeCell ref="QBQ61:QBR61"/>
    <mergeCell ref="QAU61:QAV61"/>
    <mergeCell ref="QAW61:QAX61"/>
    <mergeCell ref="QAY61:QAZ61"/>
    <mergeCell ref="QBA61:QBB61"/>
    <mergeCell ref="QBC61:QBD61"/>
    <mergeCell ref="QBE61:QBF61"/>
    <mergeCell ref="QAI61:QAJ61"/>
    <mergeCell ref="QAK61:QAL61"/>
    <mergeCell ref="QAM61:QAN61"/>
    <mergeCell ref="QAO61:QAP61"/>
    <mergeCell ref="QAQ61:QAR61"/>
    <mergeCell ref="QAS61:QAT61"/>
    <mergeCell ref="PZW61:PZX61"/>
    <mergeCell ref="PZY61:PZZ61"/>
    <mergeCell ref="QAA61:QAB61"/>
    <mergeCell ref="QAC61:QAD61"/>
    <mergeCell ref="QAE61:QAF61"/>
    <mergeCell ref="QAG61:QAH61"/>
    <mergeCell ref="PZK61:PZL61"/>
    <mergeCell ref="PZM61:PZN61"/>
    <mergeCell ref="PZO61:PZP61"/>
    <mergeCell ref="PZQ61:PZR61"/>
    <mergeCell ref="PZS61:PZT61"/>
    <mergeCell ref="PZU61:PZV61"/>
    <mergeCell ref="QEM61:QEN61"/>
    <mergeCell ref="QEO61:QEP61"/>
    <mergeCell ref="QEQ61:QER61"/>
    <mergeCell ref="QES61:QET61"/>
    <mergeCell ref="QEU61:QEV61"/>
    <mergeCell ref="QEW61:QEX61"/>
    <mergeCell ref="QEA61:QEB61"/>
    <mergeCell ref="QEC61:QED61"/>
    <mergeCell ref="QEE61:QEF61"/>
    <mergeCell ref="QEG61:QEH61"/>
    <mergeCell ref="QEI61:QEJ61"/>
    <mergeCell ref="QEK61:QEL61"/>
    <mergeCell ref="QDO61:QDP61"/>
    <mergeCell ref="QDQ61:QDR61"/>
    <mergeCell ref="QDS61:QDT61"/>
    <mergeCell ref="QDU61:QDV61"/>
    <mergeCell ref="QDW61:QDX61"/>
    <mergeCell ref="QDY61:QDZ61"/>
    <mergeCell ref="QDC61:QDD61"/>
    <mergeCell ref="QDE61:QDF61"/>
    <mergeCell ref="QDG61:QDH61"/>
    <mergeCell ref="QDI61:QDJ61"/>
    <mergeCell ref="QDK61:QDL61"/>
    <mergeCell ref="QDM61:QDN61"/>
    <mergeCell ref="QCQ61:QCR61"/>
    <mergeCell ref="QCS61:QCT61"/>
    <mergeCell ref="QCU61:QCV61"/>
    <mergeCell ref="QCW61:QCX61"/>
    <mergeCell ref="QCY61:QCZ61"/>
    <mergeCell ref="QDA61:QDB61"/>
    <mergeCell ref="QCE61:QCF61"/>
    <mergeCell ref="QCG61:QCH61"/>
    <mergeCell ref="QCI61:QCJ61"/>
    <mergeCell ref="QCK61:QCL61"/>
    <mergeCell ref="QCM61:QCN61"/>
    <mergeCell ref="QCO61:QCP61"/>
    <mergeCell ref="QHG61:QHH61"/>
    <mergeCell ref="QHI61:QHJ61"/>
    <mergeCell ref="QHK61:QHL61"/>
    <mergeCell ref="QHM61:QHN61"/>
    <mergeCell ref="QHO61:QHP61"/>
    <mergeCell ref="QHQ61:QHR61"/>
    <mergeCell ref="QGU61:QGV61"/>
    <mergeCell ref="QGW61:QGX61"/>
    <mergeCell ref="QGY61:QGZ61"/>
    <mergeCell ref="QHA61:QHB61"/>
    <mergeCell ref="QHC61:QHD61"/>
    <mergeCell ref="QHE61:QHF61"/>
    <mergeCell ref="QGI61:QGJ61"/>
    <mergeCell ref="QGK61:QGL61"/>
    <mergeCell ref="QGM61:QGN61"/>
    <mergeCell ref="QGO61:QGP61"/>
    <mergeCell ref="QGQ61:QGR61"/>
    <mergeCell ref="QGS61:QGT61"/>
    <mergeCell ref="QFW61:QFX61"/>
    <mergeCell ref="QFY61:QFZ61"/>
    <mergeCell ref="QGA61:QGB61"/>
    <mergeCell ref="QGC61:QGD61"/>
    <mergeCell ref="QGE61:QGF61"/>
    <mergeCell ref="QGG61:QGH61"/>
    <mergeCell ref="QFK61:QFL61"/>
    <mergeCell ref="QFM61:QFN61"/>
    <mergeCell ref="QFO61:QFP61"/>
    <mergeCell ref="QFQ61:QFR61"/>
    <mergeCell ref="QFS61:QFT61"/>
    <mergeCell ref="QFU61:QFV61"/>
    <mergeCell ref="QEY61:QEZ61"/>
    <mergeCell ref="QFA61:QFB61"/>
    <mergeCell ref="QFC61:QFD61"/>
    <mergeCell ref="QFE61:QFF61"/>
    <mergeCell ref="QFG61:QFH61"/>
    <mergeCell ref="QFI61:QFJ61"/>
    <mergeCell ref="QKA61:QKB61"/>
    <mergeCell ref="QKC61:QKD61"/>
    <mergeCell ref="QKE61:QKF61"/>
    <mergeCell ref="QKG61:QKH61"/>
    <mergeCell ref="QKI61:QKJ61"/>
    <mergeCell ref="QKK61:QKL61"/>
    <mergeCell ref="QJO61:QJP61"/>
    <mergeCell ref="QJQ61:QJR61"/>
    <mergeCell ref="QJS61:QJT61"/>
    <mergeCell ref="QJU61:QJV61"/>
    <mergeCell ref="QJW61:QJX61"/>
    <mergeCell ref="QJY61:QJZ61"/>
    <mergeCell ref="QJC61:QJD61"/>
    <mergeCell ref="QJE61:QJF61"/>
    <mergeCell ref="QJG61:QJH61"/>
    <mergeCell ref="QJI61:QJJ61"/>
    <mergeCell ref="QJK61:QJL61"/>
    <mergeCell ref="QJM61:QJN61"/>
    <mergeCell ref="QIQ61:QIR61"/>
    <mergeCell ref="QIS61:QIT61"/>
    <mergeCell ref="QIU61:QIV61"/>
    <mergeCell ref="QIW61:QIX61"/>
    <mergeCell ref="QIY61:QIZ61"/>
    <mergeCell ref="QJA61:QJB61"/>
    <mergeCell ref="QIE61:QIF61"/>
    <mergeCell ref="QIG61:QIH61"/>
    <mergeCell ref="QII61:QIJ61"/>
    <mergeCell ref="QIK61:QIL61"/>
    <mergeCell ref="QIM61:QIN61"/>
    <mergeCell ref="QIO61:QIP61"/>
    <mergeCell ref="QHS61:QHT61"/>
    <mergeCell ref="QHU61:QHV61"/>
    <mergeCell ref="QHW61:QHX61"/>
    <mergeCell ref="QHY61:QHZ61"/>
    <mergeCell ref="QIA61:QIB61"/>
    <mergeCell ref="QIC61:QID61"/>
    <mergeCell ref="QMU61:QMV61"/>
    <mergeCell ref="QMW61:QMX61"/>
    <mergeCell ref="QMY61:QMZ61"/>
    <mergeCell ref="QNA61:QNB61"/>
    <mergeCell ref="QNC61:QND61"/>
    <mergeCell ref="QNE61:QNF61"/>
    <mergeCell ref="QMI61:QMJ61"/>
    <mergeCell ref="QMK61:QML61"/>
    <mergeCell ref="QMM61:QMN61"/>
    <mergeCell ref="QMO61:QMP61"/>
    <mergeCell ref="QMQ61:QMR61"/>
    <mergeCell ref="QMS61:QMT61"/>
    <mergeCell ref="QLW61:QLX61"/>
    <mergeCell ref="QLY61:QLZ61"/>
    <mergeCell ref="QMA61:QMB61"/>
    <mergeCell ref="QMC61:QMD61"/>
    <mergeCell ref="QME61:QMF61"/>
    <mergeCell ref="QMG61:QMH61"/>
    <mergeCell ref="QLK61:QLL61"/>
    <mergeCell ref="QLM61:QLN61"/>
    <mergeCell ref="QLO61:QLP61"/>
    <mergeCell ref="QLQ61:QLR61"/>
    <mergeCell ref="QLS61:QLT61"/>
    <mergeCell ref="QLU61:QLV61"/>
    <mergeCell ref="QKY61:QKZ61"/>
    <mergeCell ref="QLA61:QLB61"/>
    <mergeCell ref="QLC61:QLD61"/>
    <mergeCell ref="QLE61:QLF61"/>
    <mergeCell ref="QLG61:QLH61"/>
    <mergeCell ref="QLI61:QLJ61"/>
    <mergeCell ref="QKM61:QKN61"/>
    <mergeCell ref="QKO61:QKP61"/>
    <mergeCell ref="QKQ61:QKR61"/>
    <mergeCell ref="QKS61:QKT61"/>
    <mergeCell ref="QKU61:QKV61"/>
    <mergeCell ref="QKW61:QKX61"/>
    <mergeCell ref="QPO61:QPP61"/>
    <mergeCell ref="QPQ61:QPR61"/>
    <mergeCell ref="QPS61:QPT61"/>
    <mergeCell ref="QPU61:QPV61"/>
    <mergeCell ref="QPW61:QPX61"/>
    <mergeCell ref="QPY61:QPZ61"/>
    <mergeCell ref="QPC61:QPD61"/>
    <mergeCell ref="QPE61:QPF61"/>
    <mergeCell ref="QPG61:QPH61"/>
    <mergeCell ref="QPI61:QPJ61"/>
    <mergeCell ref="QPK61:QPL61"/>
    <mergeCell ref="QPM61:QPN61"/>
    <mergeCell ref="QOQ61:QOR61"/>
    <mergeCell ref="QOS61:QOT61"/>
    <mergeCell ref="QOU61:QOV61"/>
    <mergeCell ref="QOW61:QOX61"/>
    <mergeCell ref="QOY61:QOZ61"/>
    <mergeCell ref="QPA61:QPB61"/>
    <mergeCell ref="QOE61:QOF61"/>
    <mergeCell ref="QOG61:QOH61"/>
    <mergeCell ref="QOI61:QOJ61"/>
    <mergeCell ref="QOK61:QOL61"/>
    <mergeCell ref="QOM61:QON61"/>
    <mergeCell ref="QOO61:QOP61"/>
    <mergeCell ref="QNS61:QNT61"/>
    <mergeCell ref="QNU61:QNV61"/>
    <mergeCell ref="QNW61:QNX61"/>
    <mergeCell ref="QNY61:QNZ61"/>
    <mergeCell ref="QOA61:QOB61"/>
    <mergeCell ref="QOC61:QOD61"/>
    <mergeCell ref="QNG61:QNH61"/>
    <mergeCell ref="QNI61:QNJ61"/>
    <mergeCell ref="QNK61:QNL61"/>
    <mergeCell ref="QNM61:QNN61"/>
    <mergeCell ref="QNO61:QNP61"/>
    <mergeCell ref="QNQ61:QNR61"/>
    <mergeCell ref="QSI61:QSJ61"/>
    <mergeCell ref="QSK61:QSL61"/>
    <mergeCell ref="QSM61:QSN61"/>
    <mergeCell ref="QSO61:QSP61"/>
    <mergeCell ref="QSQ61:QSR61"/>
    <mergeCell ref="QSS61:QST61"/>
    <mergeCell ref="QRW61:QRX61"/>
    <mergeCell ref="QRY61:QRZ61"/>
    <mergeCell ref="QSA61:QSB61"/>
    <mergeCell ref="QSC61:QSD61"/>
    <mergeCell ref="QSE61:QSF61"/>
    <mergeCell ref="QSG61:QSH61"/>
    <mergeCell ref="QRK61:QRL61"/>
    <mergeCell ref="QRM61:QRN61"/>
    <mergeCell ref="QRO61:QRP61"/>
    <mergeCell ref="QRQ61:QRR61"/>
    <mergeCell ref="QRS61:QRT61"/>
    <mergeCell ref="QRU61:QRV61"/>
    <mergeCell ref="QQY61:QQZ61"/>
    <mergeCell ref="QRA61:QRB61"/>
    <mergeCell ref="QRC61:QRD61"/>
    <mergeCell ref="QRE61:QRF61"/>
    <mergeCell ref="QRG61:QRH61"/>
    <mergeCell ref="QRI61:QRJ61"/>
    <mergeCell ref="QQM61:QQN61"/>
    <mergeCell ref="QQO61:QQP61"/>
    <mergeCell ref="QQQ61:QQR61"/>
    <mergeCell ref="QQS61:QQT61"/>
    <mergeCell ref="QQU61:QQV61"/>
    <mergeCell ref="QQW61:QQX61"/>
    <mergeCell ref="QQA61:QQB61"/>
    <mergeCell ref="QQC61:QQD61"/>
    <mergeCell ref="QQE61:QQF61"/>
    <mergeCell ref="QQG61:QQH61"/>
    <mergeCell ref="QQI61:QQJ61"/>
    <mergeCell ref="QQK61:QQL61"/>
    <mergeCell ref="QVC61:QVD61"/>
    <mergeCell ref="QVE61:QVF61"/>
    <mergeCell ref="QVG61:QVH61"/>
    <mergeCell ref="QVI61:QVJ61"/>
    <mergeCell ref="QVK61:QVL61"/>
    <mergeCell ref="QVM61:QVN61"/>
    <mergeCell ref="QUQ61:QUR61"/>
    <mergeCell ref="QUS61:QUT61"/>
    <mergeCell ref="QUU61:QUV61"/>
    <mergeCell ref="QUW61:QUX61"/>
    <mergeCell ref="QUY61:QUZ61"/>
    <mergeCell ref="QVA61:QVB61"/>
    <mergeCell ref="QUE61:QUF61"/>
    <mergeCell ref="QUG61:QUH61"/>
    <mergeCell ref="QUI61:QUJ61"/>
    <mergeCell ref="QUK61:QUL61"/>
    <mergeCell ref="QUM61:QUN61"/>
    <mergeCell ref="QUO61:QUP61"/>
    <mergeCell ref="QTS61:QTT61"/>
    <mergeCell ref="QTU61:QTV61"/>
    <mergeCell ref="QTW61:QTX61"/>
    <mergeCell ref="QTY61:QTZ61"/>
    <mergeCell ref="QUA61:QUB61"/>
    <mergeCell ref="QUC61:QUD61"/>
    <mergeCell ref="QTG61:QTH61"/>
    <mergeCell ref="QTI61:QTJ61"/>
    <mergeCell ref="QTK61:QTL61"/>
    <mergeCell ref="QTM61:QTN61"/>
    <mergeCell ref="QTO61:QTP61"/>
    <mergeCell ref="QTQ61:QTR61"/>
    <mergeCell ref="QSU61:QSV61"/>
    <mergeCell ref="QSW61:QSX61"/>
    <mergeCell ref="QSY61:QSZ61"/>
    <mergeCell ref="QTA61:QTB61"/>
    <mergeCell ref="QTC61:QTD61"/>
    <mergeCell ref="QTE61:QTF61"/>
    <mergeCell ref="QXW61:QXX61"/>
    <mergeCell ref="QXY61:QXZ61"/>
    <mergeCell ref="QYA61:QYB61"/>
    <mergeCell ref="QYC61:QYD61"/>
    <mergeCell ref="QYE61:QYF61"/>
    <mergeCell ref="QYG61:QYH61"/>
    <mergeCell ref="QXK61:QXL61"/>
    <mergeCell ref="QXM61:QXN61"/>
    <mergeCell ref="QXO61:QXP61"/>
    <mergeCell ref="QXQ61:QXR61"/>
    <mergeCell ref="QXS61:QXT61"/>
    <mergeCell ref="QXU61:QXV61"/>
    <mergeCell ref="QWY61:QWZ61"/>
    <mergeCell ref="QXA61:QXB61"/>
    <mergeCell ref="QXC61:QXD61"/>
    <mergeCell ref="QXE61:QXF61"/>
    <mergeCell ref="QXG61:QXH61"/>
    <mergeCell ref="QXI61:QXJ61"/>
    <mergeCell ref="QWM61:QWN61"/>
    <mergeCell ref="QWO61:QWP61"/>
    <mergeCell ref="QWQ61:QWR61"/>
    <mergeCell ref="QWS61:QWT61"/>
    <mergeCell ref="QWU61:QWV61"/>
    <mergeCell ref="QWW61:QWX61"/>
    <mergeCell ref="QWA61:QWB61"/>
    <mergeCell ref="QWC61:QWD61"/>
    <mergeCell ref="QWE61:QWF61"/>
    <mergeCell ref="QWG61:QWH61"/>
    <mergeCell ref="QWI61:QWJ61"/>
    <mergeCell ref="QWK61:QWL61"/>
    <mergeCell ref="QVO61:QVP61"/>
    <mergeCell ref="QVQ61:QVR61"/>
    <mergeCell ref="QVS61:QVT61"/>
    <mergeCell ref="QVU61:QVV61"/>
    <mergeCell ref="QVW61:QVX61"/>
    <mergeCell ref="QVY61:QVZ61"/>
    <mergeCell ref="RAQ61:RAR61"/>
    <mergeCell ref="RAS61:RAT61"/>
    <mergeCell ref="RAU61:RAV61"/>
    <mergeCell ref="RAW61:RAX61"/>
    <mergeCell ref="RAY61:RAZ61"/>
    <mergeCell ref="RBA61:RBB61"/>
    <mergeCell ref="RAE61:RAF61"/>
    <mergeCell ref="RAG61:RAH61"/>
    <mergeCell ref="RAI61:RAJ61"/>
    <mergeCell ref="RAK61:RAL61"/>
    <mergeCell ref="RAM61:RAN61"/>
    <mergeCell ref="RAO61:RAP61"/>
    <mergeCell ref="QZS61:QZT61"/>
    <mergeCell ref="QZU61:QZV61"/>
    <mergeCell ref="QZW61:QZX61"/>
    <mergeCell ref="QZY61:QZZ61"/>
    <mergeCell ref="RAA61:RAB61"/>
    <mergeCell ref="RAC61:RAD61"/>
    <mergeCell ref="QZG61:QZH61"/>
    <mergeCell ref="QZI61:QZJ61"/>
    <mergeCell ref="QZK61:QZL61"/>
    <mergeCell ref="QZM61:QZN61"/>
    <mergeCell ref="QZO61:QZP61"/>
    <mergeCell ref="QZQ61:QZR61"/>
    <mergeCell ref="QYU61:QYV61"/>
    <mergeCell ref="QYW61:QYX61"/>
    <mergeCell ref="QYY61:QYZ61"/>
    <mergeCell ref="QZA61:QZB61"/>
    <mergeCell ref="QZC61:QZD61"/>
    <mergeCell ref="QZE61:QZF61"/>
    <mergeCell ref="QYI61:QYJ61"/>
    <mergeCell ref="QYK61:QYL61"/>
    <mergeCell ref="QYM61:QYN61"/>
    <mergeCell ref="QYO61:QYP61"/>
    <mergeCell ref="QYQ61:QYR61"/>
    <mergeCell ref="QYS61:QYT61"/>
    <mergeCell ref="RDK61:RDL61"/>
    <mergeCell ref="RDM61:RDN61"/>
    <mergeCell ref="RDO61:RDP61"/>
    <mergeCell ref="RDQ61:RDR61"/>
    <mergeCell ref="RDS61:RDT61"/>
    <mergeCell ref="RDU61:RDV61"/>
    <mergeCell ref="RCY61:RCZ61"/>
    <mergeCell ref="RDA61:RDB61"/>
    <mergeCell ref="RDC61:RDD61"/>
    <mergeCell ref="RDE61:RDF61"/>
    <mergeCell ref="RDG61:RDH61"/>
    <mergeCell ref="RDI61:RDJ61"/>
    <mergeCell ref="RCM61:RCN61"/>
    <mergeCell ref="RCO61:RCP61"/>
    <mergeCell ref="RCQ61:RCR61"/>
    <mergeCell ref="RCS61:RCT61"/>
    <mergeCell ref="RCU61:RCV61"/>
    <mergeCell ref="RCW61:RCX61"/>
    <mergeCell ref="RCA61:RCB61"/>
    <mergeCell ref="RCC61:RCD61"/>
    <mergeCell ref="RCE61:RCF61"/>
    <mergeCell ref="RCG61:RCH61"/>
    <mergeCell ref="RCI61:RCJ61"/>
    <mergeCell ref="RCK61:RCL61"/>
    <mergeCell ref="RBO61:RBP61"/>
    <mergeCell ref="RBQ61:RBR61"/>
    <mergeCell ref="RBS61:RBT61"/>
    <mergeCell ref="RBU61:RBV61"/>
    <mergeCell ref="RBW61:RBX61"/>
    <mergeCell ref="RBY61:RBZ61"/>
    <mergeCell ref="RBC61:RBD61"/>
    <mergeCell ref="RBE61:RBF61"/>
    <mergeCell ref="RBG61:RBH61"/>
    <mergeCell ref="RBI61:RBJ61"/>
    <mergeCell ref="RBK61:RBL61"/>
    <mergeCell ref="RBM61:RBN61"/>
    <mergeCell ref="RGE61:RGF61"/>
    <mergeCell ref="RGG61:RGH61"/>
    <mergeCell ref="RGI61:RGJ61"/>
    <mergeCell ref="RGK61:RGL61"/>
    <mergeCell ref="RGM61:RGN61"/>
    <mergeCell ref="RGO61:RGP61"/>
    <mergeCell ref="RFS61:RFT61"/>
    <mergeCell ref="RFU61:RFV61"/>
    <mergeCell ref="RFW61:RFX61"/>
    <mergeCell ref="RFY61:RFZ61"/>
    <mergeCell ref="RGA61:RGB61"/>
    <mergeCell ref="RGC61:RGD61"/>
    <mergeCell ref="RFG61:RFH61"/>
    <mergeCell ref="RFI61:RFJ61"/>
    <mergeCell ref="RFK61:RFL61"/>
    <mergeCell ref="RFM61:RFN61"/>
    <mergeCell ref="RFO61:RFP61"/>
    <mergeCell ref="RFQ61:RFR61"/>
    <mergeCell ref="REU61:REV61"/>
    <mergeCell ref="REW61:REX61"/>
    <mergeCell ref="REY61:REZ61"/>
    <mergeCell ref="RFA61:RFB61"/>
    <mergeCell ref="RFC61:RFD61"/>
    <mergeCell ref="RFE61:RFF61"/>
    <mergeCell ref="REI61:REJ61"/>
    <mergeCell ref="REK61:REL61"/>
    <mergeCell ref="REM61:REN61"/>
    <mergeCell ref="REO61:REP61"/>
    <mergeCell ref="REQ61:RER61"/>
    <mergeCell ref="RES61:RET61"/>
    <mergeCell ref="RDW61:RDX61"/>
    <mergeCell ref="RDY61:RDZ61"/>
    <mergeCell ref="REA61:REB61"/>
    <mergeCell ref="REC61:RED61"/>
    <mergeCell ref="REE61:REF61"/>
    <mergeCell ref="REG61:REH61"/>
    <mergeCell ref="RIY61:RIZ61"/>
    <mergeCell ref="RJA61:RJB61"/>
    <mergeCell ref="RJC61:RJD61"/>
    <mergeCell ref="RJE61:RJF61"/>
    <mergeCell ref="RJG61:RJH61"/>
    <mergeCell ref="RJI61:RJJ61"/>
    <mergeCell ref="RIM61:RIN61"/>
    <mergeCell ref="RIO61:RIP61"/>
    <mergeCell ref="RIQ61:RIR61"/>
    <mergeCell ref="RIS61:RIT61"/>
    <mergeCell ref="RIU61:RIV61"/>
    <mergeCell ref="RIW61:RIX61"/>
    <mergeCell ref="RIA61:RIB61"/>
    <mergeCell ref="RIC61:RID61"/>
    <mergeCell ref="RIE61:RIF61"/>
    <mergeCell ref="RIG61:RIH61"/>
    <mergeCell ref="RII61:RIJ61"/>
    <mergeCell ref="RIK61:RIL61"/>
    <mergeCell ref="RHO61:RHP61"/>
    <mergeCell ref="RHQ61:RHR61"/>
    <mergeCell ref="RHS61:RHT61"/>
    <mergeCell ref="RHU61:RHV61"/>
    <mergeCell ref="RHW61:RHX61"/>
    <mergeCell ref="RHY61:RHZ61"/>
    <mergeCell ref="RHC61:RHD61"/>
    <mergeCell ref="RHE61:RHF61"/>
    <mergeCell ref="RHG61:RHH61"/>
    <mergeCell ref="RHI61:RHJ61"/>
    <mergeCell ref="RHK61:RHL61"/>
    <mergeCell ref="RHM61:RHN61"/>
    <mergeCell ref="RGQ61:RGR61"/>
    <mergeCell ref="RGS61:RGT61"/>
    <mergeCell ref="RGU61:RGV61"/>
    <mergeCell ref="RGW61:RGX61"/>
    <mergeCell ref="RGY61:RGZ61"/>
    <mergeCell ref="RHA61:RHB61"/>
    <mergeCell ref="RLS61:RLT61"/>
    <mergeCell ref="RLU61:RLV61"/>
    <mergeCell ref="RLW61:RLX61"/>
    <mergeCell ref="RLY61:RLZ61"/>
    <mergeCell ref="RMA61:RMB61"/>
    <mergeCell ref="RMC61:RMD61"/>
    <mergeCell ref="RLG61:RLH61"/>
    <mergeCell ref="RLI61:RLJ61"/>
    <mergeCell ref="RLK61:RLL61"/>
    <mergeCell ref="RLM61:RLN61"/>
    <mergeCell ref="RLO61:RLP61"/>
    <mergeCell ref="RLQ61:RLR61"/>
    <mergeCell ref="RKU61:RKV61"/>
    <mergeCell ref="RKW61:RKX61"/>
    <mergeCell ref="RKY61:RKZ61"/>
    <mergeCell ref="RLA61:RLB61"/>
    <mergeCell ref="RLC61:RLD61"/>
    <mergeCell ref="RLE61:RLF61"/>
    <mergeCell ref="RKI61:RKJ61"/>
    <mergeCell ref="RKK61:RKL61"/>
    <mergeCell ref="RKM61:RKN61"/>
    <mergeCell ref="RKO61:RKP61"/>
    <mergeCell ref="RKQ61:RKR61"/>
    <mergeCell ref="RKS61:RKT61"/>
    <mergeCell ref="RJW61:RJX61"/>
    <mergeCell ref="RJY61:RJZ61"/>
    <mergeCell ref="RKA61:RKB61"/>
    <mergeCell ref="RKC61:RKD61"/>
    <mergeCell ref="RKE61:RKF61"/>
    <mergeCell ref="RKG61:RKH61"/>
    <mergeCell ref="RJK61:RJL61"/>
    <mergeCell ref="RJM61:RJN61"/>
    <mergeCell ref="RJO61:RJP61"/>
    <mergeCell ref="RJQ61:RJR61"/>
    <mergeCell ref="RJS61:RJT61"/>
    <mergeCell ref="RJU61:RJV61"/>
    <mergeCell ref="ROM61:RON61"/>
    <mergeCell ref="ROO61:ROP61"/>
    <mergeCell ref="ROQ61:ROR61"/>
    <mergeCell ref="ROS61:ROT61"/>
    <mergeCell ref="ROU61:ROV61"/>
    <mergeCell ref="ROW61:ROX61"/>
    <mergeCell ref="ROA61:ROB61"/>
    <mergeCell ref="ROC61:ROD61"/>
    <mergeCell ref="ROE61:ROF61"/>
    <mergeCell ref="ROG61:ROH61"/>
    <mergeCell ref="ROI61:ROJ61"/>
    <mergeCell ref="ROK61:ROL61"/>
    <mergeCell ref="RNO61:RNP61"/>
    <mergeCell ref="RNQ61:RNR61"/>
    <mergeCell ref="RNS61:RNT61"/>
    <mergeCell ref="RNU61:RNV61"/>
    <mergeCell ref="RNW61:RNX61"/>
    <mergeCell ref="RNY61:RNZ61"/>
    <mergeCell ref="RNC61:RND61"/>
    <mergeCell ref="RNE61:RNF61"/>
    <mergeCell ref="RNG61:RNH61"/>
    <mergeCell ref="RNI61:RNJ61"/>
    <mergeCell ref="RNK61:RNL61"/>
    <mergeCell ref="RNM61:RNN61"/>
    <mergeCell ref="RMQ61:RMR61"/>
    <mergeCell ref="RMS61:RMT61"/>
    <mergeCell ref="RMU61:RMV61"/>
    <mergeCell ref="RMW61:RMX61"/>
    <mergeCell ref="RMY61:RMZ61"/>
    <mergeCell ref="RNA61:RNB61"/>
    <mergeCell ref="RME61:RMF61"/>
    <mergeCell ref="RMG61:RMH61"/>
    <mergeCell ref="RMI61:RMJ61"/>
    <mergeCell ref="RMK61:RML61"/>
    <mergeCell ref="RMM61:RMN61"/>
    <mergeCell ref="RMO61:RMP61"/>
    <mergeCell ref="RRG61:RRH61"/>
    <mergeCell ref="RRI61:RRJ61"/>
    <mergeCell ref="RRK61:RRL61"/>
    <mergeCell ref="RRM61:RRN61"/>
    <mergeCell ref="RRO61:RRP61"/>
    <mergeCell ref="RRQ61:RRR61"/>
    <mergeCell ref="RQU61:RQV61"/>
    <mergeCell ref="RQW61:RQX61"/>
    <mergeCell ref="RQY61:RQZ61"/>
    <mergeCell ref="RRA61:RRB61"/>
    <mergeCell ref="RRC61:RRD61"/>
    <mergeCell ref="RRE61:RRF61"/>
    <mergeCell ref="RQI61:RQJ61"/>
    <mergeCell ref="RQK61:RQL61"/>
    <mergeCell ref="RQM61:RQN61"/>
    <mergeCell ref="RQO61:RQP61"/>
    <mergeCell ref="RQQ61:RQR61"/>
    <mergeCell ref="RQS61:RQT61"/>
    <mergeCell ref="RPW61:RPX61"/>
    <mergeCell ref="RPY61:RPZ61"/>
    <mergeCell ref="RQA61:RQB61"/>
    <mergeCell ref="RQC61:RQD61"/>
    <mergeCell ref="RQE61:RQF61"/>
    <mergeCell ref="RQG61:RQH61"/>
    <mergeCell ref="RPK61:RPL61"/>
    <mergeCell ref="RPM61:RPN61"/>
    <mergeCell ref="RPO61:RPP61"/>
    <mergeCell ref="RPQ61:RPR61"/>
    <mergeCell ref="RPS61:RPT61"/>
    <mergeCell ref="RPU61:RPV61"/>
    <mergeCell ref="ROY61:ROZ61"/>
    <mergeCell ref="RPA61:RPB61"/>
    <mergeCell ref="RPC61:RPD61"/>
    <mergeCell ref="RPE61:RPF61"/>
    <mergeCell ref="RPG61:RPH61"/>
    <mergeCell ref="RPI61:RPJ61"/>
    <mergeCell ref="RUA61:RUB61"/>
    <mergeCell ref="RUC61:RUD61"/>
    <mergeCell ref="RUE61:RUF61"/>
    <mergeCell ref="RUG61:RUH61"/>
    <mergeCell ref="RUI61:RUJ61"/>
    <mergeCell ref="RUK61:RUL61"/>
    <mergeCell ref="RTO61:RTP61"/>
    <mergeCell ref="RTQ61:RTR61"/>
    <mergeCell ref="RTS61:RTT61"/>
    <mergeCell ref="RTU61:RTV61"/>
    <mergeCell ref="RTW61:RTX61"/>
    <mergeCell ref="RTY61:RTZ61"/>
    <mergeCell ref="RTC61:RTD61"/>
    <mergeCell ref="RTE61:RTF61"/>
    <mergeCell ref="RTG61:RTH61"/>
    <mergeCell ref="RTI61:RTJ61"/>
    <mergeCell ref="RTK61:RTL61"/>
    <mergeCell ref="RTM61:RTN61"/>
    <mergeCell ref="RSQ61:RSR61"/>
    <mergeCell ref="RSS61:RST61"/>
    <mergeCell ref="RSU61:RSV61"/>
    <mergeCell ref="RSW61:RSX61"/>
    <mergeCell ref="RSY61:RSZ61"/>
    <mergeCell ref="RTA61:RTB61"/>
    <mergeCell ref="RSE61:RSF61"/>
    <mergeCell ref="RSG61:RSH61"/>
    <mergeCell ref="RSI61:RSJ61"/>
    <mergeCell ref="RSK61:RSL61"/>
    <mergeCell ref="RSM61:RSN61"/>
    <mergeCell ref="RSO61:RSP61"/>
    <mergeCell ref="RRS61:RRT61"/>
    <mergeCell ref="RRU61:RRV61"/>
    <mergeCell ref="RRW61:RRX61"/>
    <mergeCell ref="RRY61:RRZ61"/>
    <mergeCell ref="RSA61:RSB61"/>
    <mergeCell ref="RSC61:RSD61"/>
    <mergeCell ref="RWU61:RWV61"/>
    <mergeCell ref="RWW61:RWX61"/>
    <mergeCell ref="RWY61:RWZ61"/>
    <mergeCell ref="RXA61:RXB61"/>
    <mergeCell ref="RXC61:RXD61"/>
    <mergeCell ref="RXE61:RXF61"/>
    <mergeCell ref="RWI61:RWJ61"/>
    <mergeCell ref="RWK61:RWL61"/>
    <mergeCell ref="RWM61:RWN61"/>
    <mergeCell ref="RWO61:RWP61"/>
    <mergeCell ref="RWQ61:RWR61"/>
    <mergeCell ref="RWS61:RWT61"/>
    <mergeCell ref="RVW61:RVX61"/>
    <mergeCell ref="RVY61:RVZ61"/>
    <mergeCell ref="RWA61:RWB61"/>
    <mergeCell ref="RWC61:RWD61"/>
    <mergeCell ref="RWE61:RWF61"/>
    <mergeCell ref="RWG61:RWH61"/>
    <mergeCell ref="RVK61:RVL61"/>
    <mergeCell ref="RVM61:RVN61"/>
    <mergeCell ref="RVO61:RVP61"/>
    <mergeCell ref="RVQ61:RVR61"/>
    <mergeCell ref="RVS61:RVT61"/>
    <mergeCell ref="RVU61:RVV61"/>
    <mergeCell ref="RUY61:RUZ61"/>
    <mergeCell ref="RVA61:RVB61"/>
    <mergeCell ref="RVC61:RVD61"/>
    <mergeCell ref="RVE61:RVF61"/>
    <mergeCell ref="RVG61:RVH61"/>
    <mergeCell ref="RVI61:RVJ61"/>
    <mergeCell ref="RUM61:RUN61"/>
    <mergeCell ref="RUO61:RUP61"/>
    <mergeCell ref="RUQ61:RUR61"/>
    <mergeCell ref="RUS61:RUT61"/>
    <mergeCell ref="RUU61:RUV61"/>
    <mergeCell ref="RUW61:RUX61"/>
    <mergeCell ref="RZO61:RZP61"/>
    <mergeCell ref="RZQ61:RZR61"/>
    <mergeCell ref="RZS61:RZT61"/>
    <mergeCell ref="RZU61:RZV61"/>
    <mergeCell ref="RZW61:RZX61"/>
    <mergeCell ref="RZY61:RZZ61"/>
    <mergeCell ref="RZC61:RZD61"/>
    <mergeCell ref="RZE61:RZF61"/>
    <mergeCell ref="RZG61:RZH61"/>
    <mergeCell ref="RZI61:RZJ61"/>
    <mergeCell ref="RZK61:RZL61"/>
    <mergeCell ref="RZM61:RZN61"/>
    <mergeCell ref="RYQ61:RYR61"/>
    <mergeCell ref="RYS61:RYT61"/>
    <mergeCell ref="RYU61:RYV61"/>
    <mergeCell ref="RYW61:RYX61"/>
    <mergeCell ref="RYY61:RYZ61"/>
    <mergeCell ref="RZA61:RZB61"/>
    <mergeCell ref="RYE61:RYF61"/>
    <mergeCell ref="RYG61:RYH61"/>
    <mergeCell ref="RYI61:RYJ61"/>
    <mergeCell ref="RYK61:RYL61"/>
    <mergeCell ref="RYM61:RYN61"/>
    <mergeCell ref="RYO61:RYP61"/>
    <mergeCell ref="RXS61:RXT61"/>
    <mergeCell ref="RXU61:RXV61"/>
    <mergeCell ref="RXW61:RXX61"/>
    <mergeCell ref="RXY61:RXZ61"/>
    <mergeCell ref="RYA61:RYB61"/>
    <mergeCell ref="RYC61:RYD61"/>
    <mergeCell ref="RXG61:RXH61"/>
    <mergeCell ref="RXI61:RXJ61"/>
    <mergeCell ref="RXK61:RXL61"/>
    <mergeCell ref="RXM61:RXN61"/>
    <mergeCell ref="RXO61:RXP61"/>
    <mergeCell ref="RXQ61:RXR61"/>
    <mergeCell ref="SCI61:SCJ61"/>
    <mergeCell ref="SCK61:SCL61"/>
    <mergeCell ref="SCM61:SCN61"/>
    <mergeCell ref="SCO61:SCP61"/>
    <mergeCell ref="SCQ61:SCR61"/>
    <mergeCell ref="SCS61:SCT61"/>
    <mergeCell ref="SBW61:SBX61"/>
    <mergeCell ref="SBY61:SBZ61"/>
    <mergeCell ref="SCA61:SCB61"/>
    <mergeCell ref="SCC61:SCD61"/>
    <mergeCell ref="SCE61:SCF61"/>
    <mergeCell ref="SCG61:SCH61"/>
    <mergeCell ref="SBK61:SBL61"/>
    <mergeCell ref="SBM61:SBN61"/>
    <mergeCell ref="SBO61:SBP61"/>
    <mergeCell ref="SBQ61:SBR61"/>
    <mergeCell ref="SBS61:SBT61"/>
    <mergeCell ref="SBU61:SBV61"/>
    <mergeCell ref="SAY61:SAZ61"/>
    <mergeCell ref="SBA61:SBB61"/>
    <mergeCell ref="SBC61:SBD61"/>
    <mergeCell ref="SBE61:SBF61"/>
    <mergeCell ref="SBG61:SBH61"/>
    <mergeCell ref="SBI61:SBJ61"/>
    <mergeCell ref="SAM61:SAN61"/>
    <mergeCell ref="SAO61:SAP61"/>
    <mergeCell ref="SAQ61:SAR61"/>
    <mergeCell ref="SAS61:SAT61"/>
    <mergeCell ref="SAU61:SAV61"/>
    <mergeCell ref="SAW61:SAX61"/>
    <mergeCell ref="SAA61:SAB61"/>
    <mergeCell ref="SAC61:SAD61"/>
    <mergeCell ref="SAE61:SAF61"/>
    <mergeCell ref="SAG61:SAH61"/>
    <mergeCell ref="SAI61:SAJ61"/>
    <mergeCell ref="SAK61:SAL61"/>
    <mergeCell ref="SFC61:SFD61"/>
    <mergeCell ref="SFE61:SFF61"/>
    <mergeCell ref="SFG61:SFH61"/>
    <mergeCell ref="SFI61:SFJ61"/>
    <mergeCell ref="SFK61:SFL61"/>
    <mergeCell ref="SFM61:SFN61"/>
    <mergeCell ref="SEQ61:SER61"/>
    <mergeCell ref="SES61:SET61"/>
    <mergeCell ref="SEU61:SEV61"/>
    <mergeCell ref="SEW61:SEX61"/>
    <mergeCell ref="SEY61:SEZ61"/>
    <mergeCell ref="SFA61:SFB61"/>
    <mergeCell ref="SEE61:SEF61"/>
    <mergeCell ref="SEG61:SEH61"/>
    <mergeCell ref="SEI61:SEJ61"/>
    <mergeCell ref="SEK61:SEL61"/>
    <mergeCell ref="SEM61:SEN61"/>
    <mergeCell ref="SEO61:SEP61"/>
    <mergeCell ref="SDS61:SDT61"/>
    <mergeCell ref="SDU61:SDV61"/>
    <mergeCell ref="SDW61:SDX61"/>
    <mergeCell ref="SDY61:SDZ61"/>
    <mergeCell ref="SEA61:SEB61"/>
    <mergeCell ref="SEC61:SED61"/>
    <mergeCell ref="SDG61:SDH61"/>
    <mergeCell ref="SDI61:SDJ61"/>
    <mergeCell ref="SDK61:SDL61"/>
    <mergeCell ref="SDM61:SDN61"/>
    <mergeCell ref="SDO61:SDP61"/>
    <mergeCell ref="SDQ61:SDR61"/>
    <mergeCell ref="SCU61:SCV61"/>
    <mergeCell ref="SCW61:SCX61"/>
    <mergeCell ref="SCY61:SCZ61"/>
    <mergeCell ref="SDA61:SDB61"/>
    <mergeCell ref="SDC61:SDD61"/>
    <mergeCell ref="SDE61:SDF61"/>
    <mergeCell ref="SHW61:SHX61"/>
    <mergeCell ref="SHY61:SHZ61"/>
    <mergeCell ref="SIA61:SIB61"/>
    <mergeCell ref="SIC61:SID61"/>
    <mergeCell ref="SIE61:SIF61"/>
    <mergeCell ref="SIG61:SIH61"/>
    <mergeCell ref="SHK61:SHL61"/>
    <mergeCell ref="SHM61:SHN61"/>
    <mergeCell ref="SHO61:SHP61"/>
    <mergeCell ref="SHQ61:SHR61"/>
    <mergeCell ref="SHS61:SHT61"/>
    <mergeCell ref="SHU61:SHV61"/>
    <mergeCell ref="SGY61:SGZ61"/>
    <mergeCell ref="SHA61:SHB61"/>
    <mergeCell ref="SHC61:SHD61"/>
    <mergeCell ref="SHE61:SHF61"/>
    <mergeCell ref="SHG61:SHH61"/>
    <mergeCell ref="SHI61:SHJ61"/>
    <mergeCell ref="SGM61:SGN61"/>
    <mergeCell ref="SGO61:SGP61"/>
    <mergeCell ref="SGQ61:SGR61"/>
    <mergeCell ref="SGS61:SGT61"/>
    <mergeCell ref="SGU61:SGV61"/>
    <mergeCell ref="SGW61:SGX61"/>
    <mergeCell ref="SGA61:SGB61"/>
    <mergeCell ref="SGC61:SGD61"/>
    <mergeCell ref="SGE61:SGF61"/>
    <mergeCell ref="SGG61:SGH61"/>
    <mergeCell ref="SGI61:SGJ61"/>
    <mergeCell ref="SGK61:SGL61"/>
    <mergeCell ref="SFO61:SFP61"/>
    <mergeCell ref="SFQ61:SFR61"/>
    <mergeCell ref="SFS61:SFT61"/>
    <mergeCell ref="SFU61:SFV61"/>
    <mergeCell ref="SFW61:SFX61"/>
    <mergeCell ref="SFY61:SFZ61"/>
    <mergeCell ref="SKQ61:SKR61"/>
    <mergeCell ref="SKS61:SKT61"/>
    <mergeCell ref="SKU61:SKV61"/>
    <mergeCell ref="SKW61:SKX61"/>
    <mergeCell ref="SKY61:SKZ61"/>
    <mergeCell ref="SLA61:SLB61"/>
    <mergeCell ref="SKE61:SKF61"/>
    <mergeCell ref="SKG61:SKH61"/>
    <mergeCell ref="SKI61:SKJ61"/>
    <mergeCell ref="SKK61:SKL61"/>
    <mergeCell ref="SKM61:SKN61"/>
    <mergeCell ref="SKO61:SKP61"/>
    <mergeCell ref="SJS61:SJT61"/>
    <mergeCell ref="SJU61:SJV61"/>
    <mergeCell ref="SJW61:SJX61"/>
    <mergeCell ref="SJY61:SJZ61"/>
    <mergeCell ref="SKA61:SKB61"/>
    <mergeCell ref="SKC61:SKD61"/>
    <mergeCell ref="SJG61:SJH61"/>
    <mergeCell ref="SJI61:SJJ61"/>
    <mergeCell ref="SJK61:SJL61"/>
    <mergeCell ref="SJM61:SJN61"/>
    <mergeCell ref="SJO61:SJP61"/>
    <mergeCell ref="SJQ61:SJR61"/>
    <mergeCell ref="SIU61:SIV61"/>
    <mergeCell ref="SIW61:SIX61"/>
    <mergeCell ref="SIY61:SIZ61"/>
    <mergeCell ref="SJA61:SJB61"/>
    <mergeCell ref="SJC61:SJD61"/>
    <mergeCell ref="SJE61:SJF61"/>
    <mergeCell ref="SII61:SIJ61"/>
    <mergeCell ref="SIK61:SIL61"/>
    <mergeCell ref="SIM61:SIN61"/>
    <mergeCell ref="SIO61:SIP61"/>
    <mergeCell ref="SIQ61:SIR61"/>
    <mergeCell ref="SIS61:SIT61"/>
    <mergeCell ref="SNK61:SNL61"/>
    <mergeCell ref="SNM61:SNN61"/>
    <mergeCell ref="SNO61:SNP61"/>
    <mergeCell ref="SNQ61:SNR61"/>
    <mergeCell ref="SNS61:SNT61"/>
    <mergeCell ref="SNU61:SNV61"/>
    <mergeCell ref="SMY61:SMZ61"/>
    <mergeCell ref="SNA61:SNB61"/>
    <mergeCell ref="SNC61:SND61"/>
    <mergeCell ref="SNE61:SNF61"/>
    <mergeCell ref="SNG61:SNH61"/>
    <mergeCell ref="SNI61:SNJ61"/>
    <mergeCell ref="SMM61:SMN61"/>
    <mergeCell ref="SMO61:SMP61"/>
    <mergeCell ref="SMQ61:SMR61"/>
    <mergeCell ref="SMS61:SMT61"/>
    <mergeCell ref="SMU61:SMV61"/>
    <mergeCell ref="SMW61:SMX61"/>
    <mergeCell ref="SMA61:SMB61"/>
    <mergeCell ref="SMC61:SMD61"/>
    <mergeCell ref="SME61:SMF61"/>
    <mergeCell ref="SMG61:SMH61"/>
    <mergeCell ref="SMI61:SMJ61"/>
    <mergeCell ref="SMK61:SML61"/>
    <mergeCell ref="SLO61:SLP61"/>
    <mergeCell ref="SLQ61:SLR61"/>
    <mergeCell ref="SLS61:SLT61"/>
    <mergeCell ref="SLU61:SLV61"/>
    <mergeCell ref="SLW61:SLX61"/>
    <mergeCell ref="SLY61:SLZ61"/>
    <mergeCell ref="SLC61:SLD61"/>
    <mergeCell ref="SLE61:SLF61"/>
    <mergeCell ref="SLG61:SLH61"/>
    <mergeCell ref="SLI61:SLJ61"/>
    <mergeCell ref="SLK61:SLL61"/>
    <mergeCell ref="SLM61:SLN61"/>
    <mergeCell ref="SQE61:SQF61"/>
    <mergeCell ref="SQG61:SQH61"/>
    <mergeCell ref="SQI61:SQJ61"/>
    <mergeCell ref="SQK61:SQL61"/>
    <mergeCell ref="SQM61:SQN61"/>
    <mergeCell ref="SQO61:SQP61"/>
    <mergeCell ref="SPS61:SPT61"/>
    <mergeCell ref="SPU61:SPV61"/>
    <mergeCell ref="SPW61:SPX61"/>
    <mergeCell ref="SPY61:SPZ61"/>
    <mergeCell ref="SQA61:SQB61"/>
    <mergeCell ref="SQC61:SQD61"/>
    <mergeCell ref="SPG61:SPH61"/>
    <mergeCell ref="SPI61:SPJ61"/>
    <mergeCell ref="SPK61:SPL61"/>
    <mergeCell ref="SPM61:SPN61"/>
    <mergeCell ref="SPO61:SPP61"/>
    <mergeCell ref="SPQ61:SPR61"/>
    <mergeCell ref="SOU61:SOV61"/>
    <mergeCell ref="SOW61:SOX61"/>
    <mergeCell ref="SOY61:SOZ61"/>
    <mergeCell ref="SPA61:SPB61"/>
    <mergeCell ref="SPC61:SPD61"/>
    <mergeCell ref="SPE61:SPF61"/>
    <mergeCell ref="SOI61:SOJ61"/>
    <mergeCell ref="SOK61:SOL61"/>
    <mergeCell ref="SOM61:SON61"/>
    <mergeCell ref="SOO61:SOP61"/>
    <mergeCell ref="SOQ61:SOR61"/>
    <mergeCell ref="SOS61:SOT61"/>
    <mergeCell ref="SNW61:SNX61"/>
    <mergeCell ref="SNY61:SNZ61"/>
    <mergeCell ref="SOA61:SOB61"/>
    <mergeCell ref="SOC61:SOD61"/>
    <mergeCell ref="SOE61:SOF61"/>
    <mergeCell ref="SOG61:SOH61"/>
    <mergeCell ref="SSY61:SSZ61"/>
    <mergeCell ref="STA61:STB61"/>
    <mergeCell ref="STC61:STD61"/>
    <mergeCell ref="STE61:STF61"/>
    <mergeCell ref="STG61:STH61"/>
    <mergeCell ref="STI61:STJ61"/>
    <mergeCell ref="SSM61:SSN61"/>
    <mergeCell ref="SSO61:SSP61"/>
    <mergeCell ref="SSQ61:SSR61"/>
    <mergeCell ref="SSS61:SST61"/>
    <mergeCell ref="SSU61:SSV61"/>
    <mergeCell ref="SSW61:SSX61"/>
    <mergeCell ref="SSA61:SSB61"/>
    <mergeCell ref="SSC61:SSD61"/>
    <mergeCell ref="SSE61:SSF61"/>
    <mergeCell ref="SSG61:SSH61"/>
    <mergeCell ref="SSI61:SSJ61"/>
    <mergeCell ref="SSK61:SSL61"/>
    <mergeCell ref="SRO61:SRP61"/>
    <mergeCell ref="SRQ61:SRR61"/>
    <mergeCell ref="SRS61:SRT61"/>
    <mergeCell ref="SRU61:SRV61"/>
    <mergeCell ref="SRW61:SRX61"/>
    <mergeCell ref="SRY61:SRZ61"/>
    <mergeCell ref="SRC61:SRD61"/>
    <mergeCell ref="SRE61:SRF61"/>
    <mergeCell ref="SRG61:SRH61"/>
    <mergeCell ref="SRI61:SRJ61"/>
    <mergeCell ref="SRK61:SRL61"/>
    <mergeCell ref="SRM61:SRN61"/>
    <mergeCell ref="SQQ61:SQR61"/>
    <mergeCell ref="SQS61:SQT61"/>
    <mergeCell ref="SQU61:SQV61"/>
    <mergeCell ref="SQW61:SQX61"/>
    <mergeCell ref="SQY61:SQZ61"/>
    <mergeCell ref="SRA61:SRB61"/>
    <mergeCell ref="SVS61:SVT61"/>
    <mergeCell ref="SVU61:SVV61"/>
    <mergeCell ref="SVW61:SVX61"/>
    <mergeCell ref="SVY61:SVZ61"/>
    <mergeCell ref="SWA61:SWB61"/>
    <mergeCell ref="SWC61:SWD61"/>
    <mergeCell ref="SVG61:SVH61"/>
    <mergeCell ref="SVI61:SVJ61"/>
    <mergeCell ref="SVK61:SVL61"/>
    <mergeCell ref="SVM61:SVN61"/>
    <mergeCell ref="SVO61:SVP61"/>
    <mergeCell ref="SVQ61:SVR61"/>
    <mergeCell ref="SUU61:SUV61"/>
    <mergeCell ref="SUW61:SUX61"/>
    <mergeCell ref="SUY61:SUZ61"/>
    <mergeCell ref="SVA61:SVB61"/>
    <mergeCell ref="SVC61:SVD61"/>
    <mergeCell ref="SVE61:SVF61"/>
    <mergeCell ref="SUI61:SUJ61"/>
    <mergeCell ref="SUK61:SUL61"/>
    <mergeCell ref="SUM61:SUN61"/>
    <mergeCell ref="SUO61:SUP61"/>
    <mergeCell ref="SUQ61:SUR61"/>
    <mergeCell ref="SUS61:SUT61"/>
    <mergeCell ref="STW61:STX61"/>
    <mergeCell ref="STY61:STZ61"/>
    <mergeCell ref="SUA61:SUB61"/>
    <mergeCell ref="SUC61:SUD61"/>
    <mergeCell ref="SUE61:SUF61"/>
    <mergeCell ref="SUG61:SUH61"/>
    <mergeCell ref="STK61:STL61"/>
    <mergeCell ref="STM61:STN61"/>
    <mergeCell ref="STO61:STP61"/>
    <mergeCell ref="STQ61:STR61"/>
    <mergeCell ref="STS61:STT61"/>
    <mergeCell ref="STU61:STV61"/>
    <mergeCell ref="SYM61:SYN61"/>
    <mergeCell ref="SYO61:SYP61"/>
    <mergeCell ref="SYQ61:SYR61"/>
    <mergeCell ref="SYS61:SYT61"/>
    <mergeCell ref="SYU61:SYV61"/>
    <mergeCell ref="SYW61:SYX61"/>
    <mergeCell ref="SYA61:SYB61"/>
    <mergeCell ref="SYC61:SYD61"/>
    <mergeCell ref="SYE61:SYF61"/>
    <mergeCell ref="SYG61:SYH61"/>
    <mergeCell ref="SYI61:SYJ61"/>
    <mergeCell ref="SYK61:SYL61"/>
    <mergeCell ref="SXO61:SXP61"/>
    <mergeCell ref="SXQ61:SXR61"/>
    <mergeCell ref="SXS61:SXT61"/>
    <mergeCell ref="SXU61:SXV61"/>
    <mergeCell ref="SXW61:SXX61"/>
    <mergeCell ref="SXY61:SXZ61"/>
    <mergeCell ref="SXC61:SXD61"/>
    <mergeCell ref="SXE61:SXF61"/>
    <mergeCell ref="SXG61:SXH61"/>
    <mergeCell ref="SXI61:SXJ61"/>
    <mergeCell ref="SXK61:SXL61"/>
    <mergeCell ref="SXM61:SXN61"/>
    <mergeCell ref="SWQ61:SWR61"/>
    <mergeCell ref="SWS61:SWT61"/>
    <mergeCell ref="SWU61:SWV61"/>
    <mergeCell ref="SWW61:SWX61"/>
    <mergeCell ref="SWY61:SWZ61"/>
    <mergeCell ref="SXA61:SXB61"/>
    <mergeCell ref="SWE61:SWF61"/>
    <mergeCell ref="SWG61:SWH61"/>
    <mergeCell ref="SWI61:SWJ61"/>
    <mergeCell ref="SWK61:SWL61"/>
    <mergeCell ref="SWM61:SWN61"/>
    <mergeCell ref="SWO61:SWP61"/>
    <mergeCell ref="TBG61:TBH61"/>
    <mergeCell ref="TBI61:TBJ61"/>
    <mergeCell ref="TBK61:TBL61"/>
    <mergeCell ref="TBM61:TBN61"/>
    <mergeCell ref="TBO61:TBP61"/>
    <mergeCell ref="TBQ61:TBR61"/>
    <mergeCell ref="TAU61:TAV61"/>
    <mergeCell ref="TAW61:TAX61"/>
    <mergeCell ref="TAY61:TAZ61"/>
    <mergeCell ref="TBA61:TBB61"/>
    <mergeCell ref="TBC61:TBD61"/>
    <mergeCell ref="TBE61:TBF61"/>
    <mergeCell ref="TAI61:TAJ61"/>
    <mergeCell ref="TAK61:TAL61"/>
    <mergeCell ref="TAM61:TAN61"/>
    <mergeCell ref="TAO61:TAP61"/>
    <mergeCell ref="TAQ61:TAR61"/>
    <mergeCell ref="TAS61:TAT61"/>
    <mergeCell ref="SZW61:SZX61"/>
    <mergeCell ref="SZY61:SZZ61"/>
    <mergeCell ref="TAA61:TAB61"/>
    <mergeCell ref="TAC61:TAD61"/>
    <mergeCell ref="TAE61:TAF61"/>
    <mergeCell ref="TAG61:TAH61"/>
    <mergeCell ref="SZK61:SZL61"/>
    <mergeCell ref="SZM61:SZN61"/>
    <mergeCell ref="SZO61:SZP61"/>
    <mergeCell ref="SZQ61:SZR61"/>
    <mergeCell ref="SZS61:SZT61"/>
    <mergeCell ref="SZU61:SZV61"/>
    <mergeCell ref="SYY61:SYZ61"/>
    <mergeCell ref="SZA61:SZB61"/>
    <mergeCell ref="SZC61:SZD61"/>
    <mergeCell ref="SZE61:SZF61"/>
    <mergeCell ref="SZG61:SZH61"/>
    <mergeCell ref="SZI61:SZJ61"/>
    <mergeCell ref="TEA61:TEB61"/>
    <mergeCell ref="TEC61:TED61"/>
    <mergeCell ref="TEE61:TEF61"/>
    <mergeCell ref="TEG61:TEH61"/>
    <mergeCell ref="TEI61:TEJ61"/>
    <mergeCell ref="TEK61:TEL61"/>
    <mergeCell ref="TDO61:TDP61"/>
    <mergeCell ref="TDQ61:TDR61"/>
    <mergeCell ref="TDS61:TDT61"/>
    <mergeCell ref="TDU61:TDV61"/>
    <mergeCell ref="TDW61:TDX61"/>
    <mergeCell ref="TDY61:TDZ61"/>
    <mergeCell ref="TDC61:TDD61"/>
    <mergeCell ref="TDE61:TDF61"/>
    <mergeCell ref="TDG61:TDH61"/>
    <mergeCell ref="TDI61:TDJ61"/>
    <mergeCell ref="TDK61:TDL61"/>
    <mergeCell ref="TDM61:TDN61"/>
    <mergeCell ref="TCQ61:TCR61"/>
    <mergeCell ref="TCS61:TCT61"/>
    <mergeCell ref="TCU61:TCV61"/>
    <mergeCell ref="TCW61:TCX61"/>
    <mergeCell ref="TCY61:TCZ61"/>
    <mergeCell ref="TDA61:TDB61"/>
    <mergeCell ref="TCE61:TCF61"/>
    <mergeCell ref="TCG61:TCH61"/>
    <mergeCell ref="TCI61:TCJ61"/>
    <mergeCell ref="TCK61:TCL61"/>
    <mergeCell ref="TCM61:TCN61"/>
    <mergeCell ref="TCO61:TCP61"/>
    <mergeCell ref="TBS61:TBT61"/>
    <mergeCell ref="TBU61:TBV61"/>
    <mergeCell ref="TBW61:TBX61"/>
    <mergeCell ref="TBY61:TBZ61"/>
    <mergeCell ref="TCA61:TCB61"/>
    <mergeCell ref="TCC61:TCD61"/>
    <mergeCell ref="TGU61:TGV61"/>
    <mergeCell ref="TGW61:TGX61"/>
    <mergeCell ref="TGY61:TGZ61"/>
    <mergeCell ref="THA61:THB61"/>
    <mergeCell ref="THC61:THD61"/>
    <mergeCell ref="THE61:THF61"/>
    <mergeCell ref="TGI61:TGJ61"/>
    <mergeCell ref="TGK61:TGL61"/>
    <mergeCell ref="TGM61:TGN61"/>
    <mergeCell ref="TGO61:TGP61"/>
    <mergeCell ref="TGQ61:TGR61"/>
    <mergeCell ref="TGS61:TGT61"/>
    <mergeCell ref="TFW61:TFX61"/>
    <mergeCell ref="TFY61:TFZ61"/>
    <mergeCell ref="TGA61:TGB61"/>
    <mergeCell ref="TGC61:TGD61"/>
    <mergeCell ref="TGE61:TGF61"/>
    <mergeCell ref="TGG61:TGH61"/>
    <mergeCell ref="TFK61:TFL61"/>
    <mergeCell ref="TFM61:TFN61"/>
    <mergeCell ref="TFO61:TFP61"/>
    <mergeCell ref="TFQ61:TFR61"/>
    <mergeCell ref="TFS61:TFT61"/>
    <mergeCell ref="TFU61:TFV61"/>
    <mergeCell ref="TEY61:TEZ61"/>
    <mergeCell ref="TFA61:TFB61"/>
    <mergeCell ref="TFC61:TFD61"/>
    <mergeCell ref="TFE61:TFF61"/>
    <mergeCell ref="TFG61:TFH61"/>
    <mergeCell ref="TFI61:TFJ61"/>
    <mergeCell ref="TEM61:TEN61"/>
    <mergeCell ref="TEO61:TEP61"/>
    <mergeCell ref="TEQ61:TER61"/>
    <mergeCell ref="TES61:TET61"/>
    <mergeCell ref="TEU61:TEV61"/>
    <mergeCell ref="TEW61:TEX61"/>
    <mergeCell ref="TJO61:TJP61"/>
    <mergeCell ref="TJQ61:TJR61"/>
    <mergeCell ref="TJS61:TJT61"/>
    <mergeCell ref="TJU61:TJV61"/>
    <mergeCell ref="TJW61:TJX61"/>
    <mergeCell ref="TJY61:TJZ61"/>
    <mergeCell ref="TJC61:TJD61"/>
    <mergeCell ref="TJE61:TJF61"/>
    <mergeCell ref="TJG61:TJH61"/>
    <mergeCell ref="TJI61:TJJ61"/>
    <mergeCell ref="TJK61:TJL61"/>
    <mergeCell ref="TJM61:TJN61"/>
    <mergeCell ref="TIQ61:TIR61"/>
    <mergeCell ref="TIS61:TIT61"/>
    <mergeCell ref="TIU61:TIV61"/>
    <mergeCell ref="TIW61:TIX61"/>
    <mergeCell ref="TIY61:TIZ61"/>
    <mergeCell ref="TJA61:TJB61"/>
    <mergeCell ref="TIE61:TIF61"/>
    <mergeCell ref="TIG61:TIH61"/>
    <mergeCell ref="TII61:TIJ61"/>
    <mergeCell ref="TIK61:TIL61"/>
    <mergeCell ref="TIM61:TIN61"/>
    <mergeCell ref="TIO61:TIP61"/>
    <mergeCell ref="THS61:THT61"/>
    <mergeCell ref="THU61:THV61"/>
    <mergeCell ref="THW61:THX61"/>
    <mergeCell ref="THY61:THZ61"/>
    <mergeCell ref="TIA61:TIB61"/>
    <mergeCell ref="TIC61:TID61"/>
    <mergeCell ref="THG61:THH61"/>
    <mergeCell ref="THI61:THJ61"/>
    <mergeCell ref="THK61:THL61"/>
    <mergeCell ref="THM61:THN61"/>
    <mergeCell ref="THO61:THP61"/>
    <mergeCell ref="THQ61:THR61"/>
    <mergeCell ref="TMI61:TMJ61"/>
    <mergeCell ref="TMK61:TML61"/>
    <mergeCell ref="TMM61:TMN61"/>
    <mergeCell ref="TMO61:TMP61"/>
    <mergeCell ref="TMQ61:TMR61"/>
    <mergeCell ref="TMS61:TMT61"/>
    <mergeCell ref="TLW61:TLX61"/>
    <mergeCell ref="TLY61:TLZ61"/>
    <mergeCell ref="TMA61:TMB61"/>
    <mergeCell ref="TMC61:TMD61"/>
    <mergeCell ref="TME61:TMF61"/>
    <mergeCell ref="TMG61:TMH61"/>
    <mergeCell ref="TLK61:TLL61"/>
    <mergeCell ref="TLM61:TLN61"/>
    <mergeCell ref="TLO61:TLP61"/>
    <mergeCell ref="TLQ61:TLR61"/>
    <mergeCell ref="TLS61:TLT61"/>
    <mergeCell ref="TLU61:TLV61"/>
    <mergeCell ref="TKY61:TKZ61"/>
    <mergeCell ref="TLA61:TLB61"/>
    <mergeCell ref="TLC61:TLD61"/>
    <mergeCell ref="TLE61:TLF61"/>
    <mergeCell ref="TLG61:TLH61"/>
    <mergeCell ref="TLI61:TLJ61"/>
    <mergeCell ref="TKM61:TKN61"/>
    <mergeCell ref="TKO61:TKP61"/>
    <mergeCell ref="TKQ61:TKR61"/>
    <mergeCell ref="TKS61:TKT61"/>
    <mergeCell ref="TKU61:TKV61"/>
    <mergeCell ref="TKW61:TKX61"/>
    <mergeCell ref="TKA61:TKB61"/>
    <mergeCell ref="TKC61:TKD61"/>
    <mergeCell ref="TKE61:TKF61"/>
    <mergeCell ref="TKG61:TKH61"/>
    <mergeCell ref="TKI61:TKJ61"/>
    <mergeCell ref="TKK61:TKL61"/>
    <mergeCell ref="TPC61:TPD61"/>
    <mergeCell ref="TPE61:TPF61"/>
    <mergeCell ref="TPG61:TPH61"/>
    <mergeCell ref="TPI61:TPJ61"/>
    <mergeCell ref="TPK61:TPL61"/>
    <mergeCell ref="TPM61:TPN61"/>
    <mergeCell ref="TOQ61:TOR61"/>
    <mergeCell ref="TOS61:TOT61"/>
    <mergeCell ref="TOU61:TOV61"/>
    <mergeCell ref="TOW61:TOX61"/>
    <mergeCell ref="TOY61:TOZ61"/>
    <mergeCell ref="TPA61:TPB61"/>
    <mergeCell ref="TOE61:TOF61"/>
    <mergeCell ref="TOG61:TOH61"/>
    <mergeCell ref="TOI61:TOJ61"/>
    <mergeCell ref="TOK61:TOL61"/>
    <mergeCell ref="TOM61:TON61"/>
    <mergeCell ref="TOO61:TOP61"/>
    <mergeCell ref="TNS61:TNT61"/>
    <mergeCell ref="TNU61:TNV61"/>
    <mergeCell ref="TNW61:TNX61"/>
    <mergeCell ref="TNY61:TNZ61"/>
    <mergeCell ref="TOA61:TOB61"/>
    <mergeCell ref="TOC61:TOD61"/>
    <mergeCell ref="TNG61:TNH61"/>
    <mergeCell ref="TNI61:TNJ61"/>
    <mergeCell ref="TNK61:TNL61"/>
    <mergeCell ref="TNM61:TNN61"/>
    <mergeCell ref="TNO61:TNP61"/>
    <mergeCell ref="TNQ61:TNR61"/>
    <mergeCell ref="TMU61:TMV61"/>
    <mergeCell ref="TMW61:TMX61"/>
    <mergeCell ref="TMY61:TMZ61"/>
    <mergeCell ref="TNA61:TNB61"/>
    <mergeCell ref="TNC61:TND61"/>
    <mergeCell ref="TNE61:TNF61"/>
    <mergeCell ref="TRW61:TRX61"/>
    <mergeCell ref="TRY61:TRZ61"/>
    <mergeCell ref="TSA61:TSB61"/>
    <mergeCell ref="TSC61:TSD61"/>
    <mergeCell ref="TSE61:TSF61"/>
    <mergeCell ref="TSG61:TSH61"/>
    <mergeCell ref="TRK61:TRL61"/>
    <mergeCell ref="TRM61:TRN61"/>
    <mergeCell ref="TRO61:TRP61"/>
    <mergeCell ref="TRQ61:TRR61"/>
    <mergeCell ref="TRS61:TRT61"/>
    <mergeCell ref="TRU61:TRV61"/>
    <mergeCell ref="TQY61:TQZ61"/>
    <mergeCell ref="TRA61:TRB61"/>
    <mergeCell ref="TRC61:TRD61"/>
    <mergeCell ref="TRE61:TRF61"/>
    <mergeCell ref="TRG61:TRH61"/>
    <mergeCell ref="TRI61:TRJ61"/>
    <mergeCell ref="TQM61:TQN61"/>
    <mergeCell ref="TQO61:TQP61"/>
    <mergeCell ref="TQQ61:TQR61"/>
    <mergeCell ref="TQS61:TQT61"/>
    <mergeCell ref="TQU61:TQV61"/>
    <mergeCell ref="TQW61:TQX61"/>
    <mergeCell ref="TQA61:TQB61"/>
    <mergeCell ref="TQC61:TQD61"/>
    <mergeCell ref="TQE61:TQF61"/>
    <mergeCell ref="TQG61:TQH61"/>
    <mergeCell ref="TQI61:TQJ61"/>
    <mergeCell ref="TQK61:TQL61"/>
    <mergeCell ref="TPO61:TPP61"/>
    <mergeCell ref="TPQ61:TPR61"/>
    <mergeCell ref="TPS61:TPT61"/>
    <mergeCell ref="TPU61:TPV61"/>
    <mergeCell ref="TPW61:TPX61"/>
    <mergeCell ref="TPY61:TPZ61"/>
    <mergeCell ref="TUQ61:TUR61"/>
    <mergeCell ref="TUS61:TUT61"/>
    <mergeCell ref="TUU61:TUV61"/>
    <mergeCell ref="TUW61:TUX61"/>
    <mergeCell ref="TUY61:TUZ61"/>
    <mergeCell ref="TVA61:TVB61"/>
    <mergeCell ref="TUE61:TUF61"/>
    <mergeCell ref="TUG61:TUH61"/>
    <mergeCell ref="TUI61:TUJ61"/>
    <mergeCell ref="TUK61:TUL61"/>
    <mergeCell ref="TUM61:TUN61"/>
    <mergeCell ref="TUO61:TUP61"/>
    <mergeCell ref="TTS61:TTT61"/>
    <mergeCell ref="TTU61:TTV61"/>
    <mergeCell ref="TTW61:TTX61"/>
    <mergeCell ref="TTY61:TTZ61"/>
    <mergeCell ref="TUA61:TUB61"/>
    <mergeCell ref="TUC61:TUD61"/>
    <mergeCell ref="TTG61:TTH61"/>
    <mergeCell ref="TTI61:TTJ61"/>
    <mergeCell ref="TTK61:TTL61"/>
    <mergeCell ref="TTM61:TTN61"/>
    <mergeCell ref="TTO61:TTP61"/>
    <mergeCell ref="TTQ61:TTR61"/>
    <mergeCell ref="TSU61:TSV61"/>
    <mergeCell ref="TSW61:TSX61"/>
    <mergeCell ref="TSY61:TSZ61"/>
    <mergeCell ref="TTA61:TTB61"/>
    <mergeCell ref="TTC61:TTD61"/>
    <mergeCell ref="TTE61:TTF61"/>
    <mergeCell ref="TSI61:TSJ61"/>
    <mergeCell ref="TSK61:TSL61"/>
    <mergeCell ref="TSM61:TSN61"/>
    <mergeCell ref="TSO61:TSP61"/>
    <mergeCell ref="TSQ61:TSR61"/>
    <mergeCell ref="TSS61:TST61"/>
    <mergeCell ref="TXK61:TXL61"/>
    <mergeCell ref="TXM61:TXN61"/>
    <mergeCell ref="TXO61:TXP61"/>
    <mergeCell ref="TXQ61:TXR61"/>
    <mergeCell ref="TXS61:TXT61"/>
    <mergeCell ref="TXU61:TXV61"/>
    <mergeCell ref="TWY61:TWZ61"/>
    <mergeCell ref="TXA61:TXB61"/>
    <mergeCell ref="TXC61:TXD61"/>
    <mergeCell ref="TXE61:TXF61"/>
    <mergeCell ref="TXG61:TXH61"/>
    <mergeCell ref="TXI61:TXJ61"/>
    <mergeCell ref="TWM61:TWN61"/>
    <mergeCell ref="TWO61:TWP61"/>
    <mergeCell ref="TWQ61:TWR61"/>
    <mergeCell ref="TWS61:TWT61"/>
    <mergeCell ref="TWU61:TWV61"/>
    <mergeCell ref="TWW61:TWX61"/>
    <mergeCell ref="TWA61:TWB61"/>
    <mergeCell ref="TWC61:TWD61"/>
    <mergeCell ref="TWE61:TWF61"/>
    <mergeCell ref="TWG61:TWH61"/>
    <mergeCell ref="TWI61:TWJ61"/>
    <mergeCell ref="TWK61:TWL61"/>
    <mergeCell ref="TVO61:TVP61"/>
    <mergeCell ref="TVQ61:TVR61"/>
    <mergeCell ref="TVS61:TVT61"/>
    <mergeCell ref="TVU61:TVV61"/>
    <mergeCell ref="TVW61:TVX61"/>
    <mergeCell ref="TVY61:TVZ61"/>
    <mergeCell ref="TVC61:TVD61"/>
    <mergeCell ref="TVE61:TVF61"/>
    <mergeCell ref="TVG61:TVH61"/>
    <mergeCell ref="TVI61:TVJ61"/>
    <mergeCell ref="TVK61:TVL61"/>
    <mergeCell ref="TVM61:TVN61"/>
    <mergeCell ref="UAE61:UAF61"/>
    <mergeCell ref="UAG61:UAH61"/>
    <mergeCell ref="UAI61:UAJ61"/>
    <mergeCell ref="UAK61:UAL61"/>
    <mergeCell ref="UAM61:UAN61"/>
    <mergeCell ref="UAO61:UAP61"/>
    <mergeCell ref="TZS61:TZT61"/>
    <mergeCell ref="TZU61:TZV61"/>
    <mergeCell ref="TZW61:TZX61"/>
    <mergeCell ref="TZY61:TZZ61"/>
    <mergeCell ref="UAA61:UAB61"/>
    <mergeCell ref="UAC61:UAD61"/>
    <mergeCell ref="TZG61:TZH61"/>
    <mergeCell ref="TZI61:TZJ61"/>
    <mergeCell ref="TZK61:TZL61"/>
    <mergeCell ref="TZM61:TZN61"/>
    <mergeCell ref="TZO61:TZP61"/>
    <mergeCell ref="TZQ61:TZR61"/>
    <mergeCell ref="TYU61:TYV61"/>
    <mergeCell ref="TYW61:TYX61"/>
    <mergeCell ref="TYY61:TYZ61"/>
    <mergeCell ref="TZA61:TZB61"/>
    <mergeCell ref="TZC61:TZD61"/>
    <mergeCell ref="TZE61:TZF61"/>
    <mergeCell ref="TYI61:TYJ61"/>
    <mergeCell ref="TYK61:TYL61"/>
    <mergeCell ref="TYM61:TYN61"/>
    <mergeCell ref="TYO61:TYP61"/>
    <mergeCell ref="TYQ61:TYR61"/>
    <mergeCell ref="TYS61:TYT61"/>
    <mergeCell ref="TXW61:TXX61"/>
    <mergeCell ref="TXY61:TXZ61"/>
    <mergeCell ref="TYA61:TYB61"/>
    <mergeCell ref="TYC61:TYD61"/>
    <mergeCell ref="TYE61:TYF61"/>
    <mergeCell ref="TYG61:TYH61"/>
    <mergeCell ref="UCY61:UCZ61"/>
    <mergeCell ref="UDA61:UDB61"/>
    <mergeCell ref="UDC61:UDD61"/>
    <mergeCell ref="UDE61:UDF61"/>
    <mergeCell ref="UDG61:UDH61"/>
    <mergeCell ref="UDI61:UDJ61"/>
    <mergeCell ref="UCM61:UCN61"/>
    <mergeCell ref="UCO61:UCP61"/>
    <mergeCell ref="UCQ61:UCR61"/>
    <mergeCell ref="UCS61:UCT61"/>
    <mergeCell ref="UCU61:UCV61"/>
    <mergeCell ref="UCW61:UCX61"/>
    <mergeCell ref="UCA61:UCB61"/>
    <mergeCell ref="UCC61:UCD61"/>
    <mergeCell ref="UCE61:UCF61"/>
    <mergeCell ref="UCG61:UCH61"/>
    <mergeCell ref="UCI61:UCJ61"/>
    <mergeCell ref="UCK61:UCL61"/>
    <mergeCell ref="UBO61:UBP61"/>
    <mergeCell ref="UBQ61:UBR61"/>
    <mergeCell ref="UBS61:UBT61"/>
    <mergeCell ref="UBU61:UBV61"/>
    <mergeCell ref="UBW61:UBX61"/>
    <mergeCell ref="UBY61:UBZ61"/>
    <mergeCell ref="UBC61:UBD61"/>
    <mergeCell ref="UBE61:UBF61"/>
    <mergeCell ref="UBG61:UBH61"/>
    <mergeCell ref="UBI61:UBJ61"/>
    <mergeCell ref="UBK61:UBL61"/>
    <mergeCell ref="UBM61:UBN61"/>
    <mergeCell ref="UAQ61:UAR61"/>
    <mergeCell ref="UAS61:UAT61"/>
    <mergeCell ref="UAU61:UAV61"/>
    <mergeCell ref="UAW61:UAX61"/>
    <mergeCell ref="UAY61:UAZ61"/>
    <mergeCell ref="UBA61:UBB61"/>
    <mergeCell ref="UFS61:UFT61"/>
    <mergeCell ref="UFU61:UFV61"/>
    <mergeCell ref="UFW61:UFX61"/>
    <mergeCell ref="UFY61:UFZ61"/>
    <mergeCell ref="UGA61:UGB61"/>
    <mergeCell ref="UGC61:UGD61"/>
    <mergeCell ref="UFG61:UFH61"/>
    <mergeCell ref="UFI61:UFJ61"/>
    <mergeCell ref="UFK61:UFL61"/>
    <mergeCell ref="UFM61:UFN61"/>
    <mergeCell ref="UFO61:UFP61"/>
    <mergeCell ref="UFQ61:UFR61"/>
    <mergeCell ref="UEU61:UEV61"/>
    <mergeCell ref="UEW61:UEX61"/>
    <mergeCell ref="UEY61:UEZ61"/>
    <mergeCell ref="UFA61:UFB61"/>
    <mergeCell ref="UFC61:UFD61"/>
    <mergeCell ref="UFE61:UFF61"/>
    <mergeCell ref="UEI61:UEJ61"/>
    <mergeCell ref="UEK61:UEL61"/>
    <mergeCell ref="UEM61:UEN61"/>
    <mergeCell ref="UEO61:UEP61"/>
    <mergeCell ref="UEQ61:UER61"/>
    <mergeCell ref="UES61:UET61"/>
    <mergeCell ref="UDW61:UDX61"/>
    <mergeCell ref="UDY61:UDZ61"/>
    <mergeCell ref="UEA61:UEB61"/>
    <mergeCell ref="UEC61:UED61"/>
    <mergeCell ref="UEE61:UEF61"/>
    <mergeCell ref="UEG61:UEH61"/>
    <mergeCell ref="UDK61:UDL61"/>
    <mergeCell ref="UDM61:UDN61"/>
    <mergeCell ref="UDO61:UDP61"/>
    <mergeCell ref="UDQ61:UDR61"/>
    <mergeCell ref="UDS61:UDT61"/>
    <mergeCell ref="UDU61:UDV61"/>
    <mergeCell ref="UIM61:UIN61"/>
    <mergeCell ref="UIO61:UIP61"/>
    <mergeCell ref="UIQ61:UIR61"/>
    <mergeCell ref="UIS61:UIT61"/>
    <mergeCell ref="UIU61:UIV61"/>
    <mergeCell ref="UIW61:UIX61"/>
    <mergeCell ref="UIA61:UIB61"/>
    <mergeCell ref="UIC61:UID61"/>
    <mergeCell ref="UIE61:UIF61"/>
    <mergeCell ref="UIG61:UIH61"/>
    <mergeCell ref="UII61:UIJ61"/>
    <mergeCell ref="UIK61:UIL61"/>
    <mergeCell ref="UHO61:UHP61"/>
    <mergeCell ref="UHQ61:UHR61"/>
    <mergeCell ref="UHS61:UHT61"/>
    <mergeCell ref="UHU61:UHV61"/>
    <mergeCell ref="UHW61:UHX61"/>
    <mergeCell ref="UHY61:UHZ61"/>
    <mergeCell ref="UHC61:UHD61"/>
    <mergeCell ref="UHE61:UHF61"/>
    <mergeCell ref="UHG61:UHH61"/>
    <mergeCell ref="UHI61:UHJ61"/>
    <mergeCell ref="UHK61:UHL61"/>
    <mergeCell ref="UHM61:UHN61"/>
    <mergeCell ref="UGQ61:UGR61"/>
    <mergeCell ref="UGS61:UGT61"/>
    <mergeCell ref="UGU61:UGV61"/>
    <mergeCell ref="UGW61:UGX61"/>
    <mergeCell ref="UGY61:UGZ61"/>
    <mergeCell ref="UHA61:UHB61"/>
    <mergeCell ref="UGE61:UGF61"/>
    <mergeCell ref="UGG61:UGH61"/>
    <mergeCell ref="UGI61:UGJ61"/>
    <mergeCell ref="UGK61:UGL61"/>
    <mergeCell ref="UGM61:UGN61"/>
    <mergeCell ref="UGO61:UGP61"/>
    <mergeCell ref="ULG61:ULH61"/>
    <mergeCell ref="ULI61:ULJ61"/>
    <mergeCell ref="ULK61:ULL61"/>
    <mergeCell ref="ULM61:ULN61"/>
    <mergeCell ref="ULO61:ULP61"/>
    <mergeCell ref="ULQ61:ULR61"/>
    <mergeCell ref="UKU61:UKV61"/>
    <mergeCell ref="UKW61:UKX61"/>
    <mergeCell ref="UKY61:UKZ61"/>
    <mergeCell ref="ULA61:ULB61"/>
    <mergeCell ref="ULC61:ULD61"/>
    <mergeCell ref="ULE61:ULF61"/>
    <mergeCell ref="UKI61:UKJ61"/>
    <mergeCell ref="UKK61:UKL61"/>
    <mergeCell ref="UKM61:UKN61"/>
    <mergeCell ref="UKO61:UKP61"/>
    <mergeCell ref="UKQ61:UKR61"/>
    <mergeCell ref="UKS61:UKT61"/>
    <mergeCell ref="UJW61:UJX61"/>
    <mergeCell ref="UJY61:UJZ61"/>
    <mergeCell ref="UKA61:UKB61"/>
    <mergeCell ref="UKC61:UKD61"/>
    <mergeCell ref="UKE61:UKF61"/>
    <mergeCell ref="UKG61:UKH61"/>
    <mergeCell ref="UJK61:UJL61"/>
    <mergeCell ref="UJM61:UJN61"/>
    <mergeCell ref="UJO61:UJP61"/>
    <mergeCell ref="UJQ61:UJR61"/>
    <mergeCell ref="UJS61:UJT61"/>
    <mergeCell ref="UJU61:UJV61"/>
    <mergeCell ref="UIY61:UIZ61"/>
    <mergeCell ref="UJA61:UJB61"/>
    <mergeCell ref="UJC61:UJD61"/>
    <mergeCell ref="UJE61:UJF61"/>
    <mergeCell ref="UJG61:UJH61"/>
    <mergeCell ref="UJI61:UJJ61"/>
    <mergeCell ref="UOA61:UOB61"/>
    <mergeCell ref="UOC61:UOD61"/>
    <mergeCell ref="UOE61:UOF61"/>
    <mergeCell ref="UOG61:UOH61"/>
    <mergeCell ref="UOI61:UOJ61"/>
    <mergeCell ref="UOK61:UOL61"/>
    <mergeCell ref="UNO61:UNP61"/>
    <mergeCell ref="UNQ61:UNR61"/>
    <mergeCell ref="UNS61:UNT61"/>
    <mergeCell ref="UNU61:UNV61"/>
    <mergeCell ref="UNW61:UNX61"/>
    <mergeCell ref="UNY61:UNZ61"/>
    <mergeCell ref="UNC61:UND61"/>
    <mergeCell ref="UNE61:UNF61"/>
    <mergeCell ref="UNG61:UNH61"/>
    <mergeCell ref="UNI61:UNJ61"/>
    <mergeCell ref="UNK61:UNL61"/>
    <mergeCell ref="UNM61:UNN61"/>
    <mergeCell ref="UMQ61:UMR61"/>
    <mergeCell ref="UMS61:UMT61"/>
    <mergeCell ref="UMU61:UMV61"/>
    <mergeCell ref="UMW61:UMX61"/>
    <mergeCell ref="UMY61:UMZ61"/>
    <mergeCell ref="UNA61:UNB61"/>
    <mergeCell ref="UME61:UMF61"/>
    <mergeCell ref="UMG61:UMH61"/>
    <mergeCell ref="UMI61:UMJ61"/>
    <mergeCell ref="UMK61:UML61"/>
    <mergeCell ref="UMM61:UMN61"/>
    <mergeCell ref="UMO61:UMP61"/>
    <mergeCell ref="ULS61:ULT61"/>
    <mergeCell ref="ULU61:ULV61"/>
    <mergeCell ref="ULW61:ULX61"/>
    <mergeCell ref="ULY61:ULZ61"/>
    <mergeCell ref="UMA61:UMB61"/>
    <mergeCell ref="UMC61:UMD61"/>
    <mergeCell ref="UQU61:UQV61"/>
    <mergeCell ref="UQW61:UQX61"/>
    <mergeCell ref="UQY61:UQZ61"/>
    <mergeCell ref="URA61:URB61"/>
    <mergeCell ref="URC61:URD61"/>
    <mergeCell ref="URE61:URF61"/>
    <mergeCell ref="UQI61:UQJ61"/>
    <mergeCell ref="UQK61:UQL61"/>
    <mergeCell ref="UQM61:UQN61"/>
    <mergeCell ref="UQO61:UQP61"/>
    <mergeCell ref="UQQ61:UQR61"/>
    <mergeCell ref="UQS61:UQT61"/>
    <mergeCell ref="UPW61:UPX61"/>
    <mergeCell ref="UPY61:UPZ61"/>
    <mergeCell ref="UQA61:UQB61"/>
    <mergeCell ref="UQC61:UQD61"/>
    <mergeCell ref="UQE61:UQF61"/>
    <mergeCell ref="UQG61:UQH61"/>
    <mergeCell ref="UPK61:UPL61"/>
    <mergeCell ref="UPM61:UPN61"/>
    <mergeCell ref="UPO61:UPP61"/>
    <mergeCell ref="UPQ61:UPR61"/>
    <mergeCell ref="UPS61:UPT61"/>
    <mergeCell ref="UPU61:UPV61"/>
    <mergeCell ref="UOY61:UOZ61"/>
    <mergeCell ref="UPA61:UPB61"/>
    <mergeCell ref="UPC61:UPD61"/>
    <mergeCell ref="UPE61:UPF61"/>
    <mergeCell ref="UPG61:UPH61"/>
    <mergeCell ref="UPI61:UPJ61"/>
    <mergeCell ref="UOM61:UON61"/>
    <mergeCell ref="UOO61:UOP61"/>
    <mergeCell ref="UOQ61:UOR61"/>
    <mergeCell ref="UOS61:UOT61"/>
    <mergeCell ref="UOU61:UOV61"/>
    <mergeCell ref="UOW61:UOX61"/>
    <mergeCell ref="UTO61:UTP61"/>
    <mergeCell ref="UTQ61:UTR61"/>
    <mergeCell ref="UTS61:UTT61"/>
    <mergeCell ref="UTU61:UTV61"/>
    <mergeCell ref="UTW61:UTX61"/>
    <mergeCell ref="UTY61:UTZ61"/>
    <mergeCell ref="UTC61:UTD61"/>
    <mergeCell ref="UTE61:UTF61"/>
    <mergeCell ref="UTG61:UTH61"/>
    <mergeCell ref="UTI61:UTJ61"/>
    <mergeCell ref="UTK61:UTL61"/>
    <mergeCell ref="UTM61:UTN61"/>
    <mergeCell ref="USQ61:USR61"/>
    <mergeCell ref="USS61:UST61"/>
    <mergeCell ref="USU61:USV61"/>
    <mergeCell ref="USW61:USX61"/>
    <mergeCell ref="USY61:USZ61"/>
    <mergeCell ref="UTA61:UTB61"/>
    <mergeCell ref="USE61:USF61"/>
    <mergeCell ref="USG61:USH61"/>
    <mergeCell ref="USI61:USJ61"/>
    <mergeCell ref="USK61:USL61"/>
    <mergeCell ref="USM61:USN61"/>
    <mergeCell ref="USO61:USP61"/>
    <mergeCell ref="URS61:URT61"/>
    <mergeCell ref="URU61:URV61"/>
    <mergeCell ref="URW61:URX61"/>
    <mergeCell ref="URY61:URZ61"/>
    <mergeCell ref="USA61:USB61"/>
    <mergeCell ref="USC61:USD61"/>
    <mergeCell ref="URG61:URH61"/>
    <mergeCell ref="URI61:URJ61"/>
    <mergeCell ref="URK61:URL61"/>
    <mergeCell ref="URM61:URN61"/>
    <mergeCell ref="URO61:URP61"/>
    <mergeCell ref="URQ61:URR61"/>
    <mergeCell ref="UWI61:UWJ61"/>
    <mergeCell ref="UWK61:UWL61"/>
    <mergeCell ref="UWM61:UWN61"/>
    <mergeCell ref="UWO61:UWP61"/>
    <mergeCell ref="UWQ61:UWR61"/>
    <mergeCell ref="UWS61:UWT61"/>
    <mergeCell ref="UVW61:UVX61"/>
    <mergeCell ref="UVY61:UVZ61"/>
    <mergeCell ref="UWA61:UWB61"/>
    <mergeCell ref="UWC61:UWD61"/>
    <mergeCell ref="UWE61:UWF61"/>
    <mergeCell ref="UWG61:UWH61"/>
    <mergeCell ref="UVK61:UVL61"/>
    <mergeCell ref="UVM61:UVN61"/>
    <mergeCell ref="UVO61:UVP61"/>
    <mergeCell ref="UVQ61:UVR61"/>
    <mergeCell ref="UVS61:UVT61"/>
    <mergeCell ref="UVU61:UVV61"/>
    <mergeCell ref="UUY61:UUZ61"/>
    <mergeCell ref="UVA61:UVB61"/>
    <mergeCell ref="UVC61:UVD61"/>
    <mergeCell ref="UVE61:UVF61"/>
    <mergeCell ref="UVG61:UVH61"/>
    <mergeCell ref="UVI61:UVJ61"/>
    <mergeCell ref="UUM61:UUN61"/>
    <mergeCell ref="UUO61:UUP61"/>
    <mergeCell ref="UUQ61:UUR61"/>
    <mergeCell ref="UUS61:UUT61"/>
    <mergeCell ref="UUU61:UUV61"/>
    <mergeCell ref="UUW61:UUX61"/>
    <mergeCell ref="UUA61:UUB61"/>
    <mergeCell ref="UUC61:UUD61"/>
    <mergeCell ref="UUE61:UUF61"/>
    <mergeCell ref="UUG61:UUH61"/>
    <mergeCell ref="UUI61:UUJ61"/>
    <mergeCell ref="UUK61:UUL61"/>
    <mergeCell ref="UZC61:UZD61"/>
    <mergeCell ref="UZE61:UZF61"/>
    <mergeCell ref="UZG61:UZH61"/>
    <mergeCell ref="UZI61:UZJ61"/>
    <mergeCell ref="UZK61:UZL61"/>
    <mergeCell ref="UZM61:UZN61"/>
    <mergeCell ref="UYQ61:UYR61"/>
    <mergeCell ref="UYS61:UYT61"/>
    <mergeCell ref="UYU61:UYV61"/>
    <mergeCell ref="UYW61:UYX61"/>
    <mergeCell ref="UYY61:UYZ61"/>
    <mergeCell ref="UZA61:UZB61"/>
    <mergeCell ref="UYE61:UYF61"/>
    <mergeCell ref="UYG61:UYH61"/>
    <mergeCell ref="UYI61:UYJ61"/>
    <mergeCell ref="UYK61:UYL61"/>
    <mergeCell ref="UYM61:UYN61"/>
    <mergeCell ref="UYO61:UYP61"/>
    <mergeCell ref="UXS61:UXT61"/>
    <mergeCell ref="UXU61:UXV61"/>
    <mergeCell ref="UXW61:UXX61"/>
    <mergeCell ref="UXY61:UXZ61"/>
    <mergeCell ref="UYA61:UYB61"/>
    <mergeCell ref="UYC61:UYD61"/>
    <mergeCell ref="UXG61:UXH61"/>
    <mergeCell ref="UXI61:UXJ61"/>
    <mergeCell ref="UXK61:UXL61"/>
    <mergeCell ref="UXM61:UXN61"/>
    <mergeCell ref="UXO61:UXP61"/>
    <mergeCell ref="UXQ61:UXR61"/>
    <mergeCell ref="UWU61:UWV61"/>
    <mergeCell ref="UWW61:UWX61"/>
    <mergeCell ref="UWY61:UWZ61"/>
    <mergeCell ref="UXA61:UXB61"/>
    <mergeCell ref="UXC61:UXD61"/>
    <mergeCell ref="UXE61:UXF61"/>
    <mergeCell ref="VBW61:VBX61"/>
    <mergeCell ref="VBY61:VBZ61"/>
    <mergeCell ref="VCA61:VCB61"/>
    <mergeCell ref="VCC61:VCD61"/>
    <mergeCell ref="VCE61:VCF61"/>
    <mergeCell ref="VCG61:VCH61"/>
    <mergeCell ref="VBK61:VBL61"/>
    <mergeCell ref="VBM61:VBN61"/>
    <mergeCell ref="VBO61:VBP61"/>
    <mergeCell ref="VBQ61:VBR61"/>
    <mergeCell ref="VBS61:VBT61"/>
    <mergeCell ref="VBU61:VBV61"/>
    <mergeCell ref="VAY61:VAZ61"/>
    <mergeCell ref="VBA61:VBB61"/>
    <mergeCell ref="VBC61:VBD61"/>
    <mergeCell ref="VBE61:VBF61"/>
    <mergeCell ref="VBG61:VBH61"/>
    <mergeCell ref="VBI61:VBJ61"/>
    <mergeCell ref="VAM61:VAN61"/>
    <mergeCell ref="VAO61:VAP61"/>
    <mergeCell ref="VAQ61:VAR61"/>
    <mergeCell ref="VAS61:VAT61"/>
    <mergeCell ref="VAU61:VAV61"/>
    <mergeCell ref="VAW61:VAX61"/>
    <mergeCell ref="VAA61:VAB61"/>
    <mergeCell ref="VAC61:VAD61"/>
    <mergeCell ref="VAE61:VAF61"/>
    <mergeCell ref="VAG61:VAH61"/>
    <mergeCell ref="VAI61:VAJ61"/>
    <mergeCell ref="VAK61:VAL61"/>
    <mergeCell ref="UZO61:UZP61"/>
    <mergeCell ref="UZQ61:UZR61"/>
    <mergeCell ref="UZS61:UZT61"/>
    <mergeCell ref="UZU61:UZV61"/>
    <mergeCell ref="UZW61:UZX61"/>
    <mergeCell ref="UZY61:UZZ61"/>
    <mergeCell ref="VEQ61:VER61"/>
    <mergeCell ref="VES61:VET61"/>
    <mergeCell ref="VEU61:VEV61"/>
    <mergeCell ref="VEW61:VEX61"/>
    <mergeCell ref="VEY61:VEZ61"/>
    <mergeCell ref="VFA61:VFB61"/>
    <mergeCell ref="VEE61:VEF61"/>
    <mergeCell ref="VEG61:VEH61"/>
    <mergeCell ref="VEI61:VEJ61"/>
    <mergeCell ref="VEK61:VEL61"/>
    <mergeCell ref="VEM61:VEN61"/>
    <mergeCell ref="VEO61:VEP61"/>
    <mergeCell ref="VDS61:VDT61"/>
    <mergeCell ref="VDU61:VDV61"/>
    <mergeCell ref="VDW61:VDX61"/>
    <mergeCell ref="VDY61:VDZ61"/>
    <mergeCell ref="VEA61:VEB61"/>
    <mergeCell ref="VEC61:VED61"/>
    <mergeCell ref="VDG61:VDH61"/>
    <mergeCell ref="VDI61:VDJ61"/>
    <mergeCell ref="VDK61:VDL61"/>
    <mergeCell ref="VDM61:VDN61"/>
    <mergeCell ref="VDO61:VDP61"/>
    <mergeCell ref="VDQ61:VDR61"/>
    <mergeCell ref="VCU61:VCV61"/>
    <mergeCell ref="VCW61:VCX61"/>
    <mergeCell ref="VCY61:VCZ61"/>
    <mergeCell ref="VDA61:VDB61"/>
    <mergeCell ref="VDC61:VDD61"/>
    <mergeCell ref="VDE61:VDF61"/>
    <mergeCell ref="VCI61:VCJ61"/>
    <mergeCell ref="VCK61:VCL61"/>
    <mergeCell ref="VCM61:VCN61"/>
    <mergeCell ref="VCO61:VCP61"/>
    <mergeCell ref="VCQ61:VCR61"/>
    <mergeCell ref="VCS61:VCT61"/>
    <mergeCell ref="VHK61:VHL61"/>
    <mergeCell ref="VHM61:VHN61"/>
    <mergeCell ref="VHO61:VHP61"/>
    <mergeCell ref="VHQ61:VHR61"/>
    <mergeCell ref="VHS61:VHT61"/>
    <mergeCell ref="VHU61:VHV61"/>
    <mergeCell ref="VGY61:VGZ61"/>
    <mergeCell ref="VHA61:VHB61"/>
    <mergeCell ref="VHC61:VHD61"/>
    <mergeCell ref="VHE61:VHF61"/>
    <mergeCell ref="VHG61:VHH61"/>
    <mergeCell ref="VHI61:VHJ61"/>
    <mergeCell ref="VGM61:VGN61"/>
    <mergeCell ref="VGO61:VGP61"/>
    <mergeCell ref="VGQ61:VGR61"/>
    <mergeCell ref="VGS61:VGT61"/>
    <mergeCell ref="VGU61:VGV61"/>
    <mergeCell ref="VGW61:VGX61"/>
    <mergeCell ref="VGA61:VGB61"/>
    <mergeCell ref="VGC61:VGD61"/>
    <mergeCell ref="VGE61:VGF61"/>
    <mergeCell ref="VGG61:VGH61"/>
    <mergeCell ref="VGI61:VGJ61"/>
    <mergeCell ref="VGK61:VGL61"/>
    <mergeCell ref="VFO61:VFP61"/>
    <mergeCell ref="VFQ61:VFR61"/>
    <mergeCell ref="VFS61:VFT61"/>
    <mergeCell ref="VFU61:VFV61"/>
    <mergeCell ref="VFW61:VFX61"/>
    <mergeCell ref="VFY61:VFZ61"/>
    <mergeCell ref="VFC61:VFD61"/>
    <mergeCell ref="VFE61:VFF61"/>
    <mergeCell ref="VFG61:VFH61"/>
    <mergeCell ref="VFI61:VFJ61"/>
    <mergeCell ref="VFK61:VFL61"/>
    <mergeCell ref="VFM61:VFN61"/>
    <mergeCell ref="VKE61:VKF61"/>
    <mergeCell ref="VKG61:VKH61"/>
    <mergeCell ref="VKI61:VKJ61"/>
    <mergeCell ref="VKK61:VKL61"/>
    <mergeCell ref="VKM61:VKN61"/>
    <mergeCell ref="VKO61:VKP61"/>
    <mergeCell ref="VJS61:VJT61"/>
    <mergeCell ref="VJU61:VJV61"/>
    <mergeCell ref="VJW61:VJX61"/>
    <mergeCell ref="VJY61:VJZ61"/>
    <mergeCell ref="VKA61:VKB61"/>
    <mergeCell ref="VKC61:VKD61"/>
    <mergeCell ref="VJG61:VJH61"/>
    <mergeCell ref="VJI61:VJJ61"/>
    <mergeCell ref="VJK61:VJL61"/>
    <mergeCell ref="VJM61:VJN61"/>
    <mergeCell ref="VJO61:VJP61"/>
    <mergeCell ref="VJQ61:VJR61"/>
    <mergeCell ref="VIU61:VIV61"/>
    <mergeCell ref="VIW61:VIX61"/>
    <mergeCell ref="VIY61:VIZ61"/>
    <mergeCell ref="VJA61:VJB61"/>
    <mergeCell ref="VJC61:VJD61"/>
    <mergeCell ref="VJE61:VJF61"/>
    <mergeCell ref="VII61:VIJ61"/>
    <mergeCell ref="VIK61:VIL61"/>
    <mergeCell ref="VIM61:VIN61"/>
    <mergeCell ref="VIO61:VIP61"/>
    <mergeCell ref="VIQ61:VIR61"/>
    <mergeCell ref="VIS61:VIT61"/>
    <mergeCell ref="VHW61:VHX61"/>
    <mergeCell ref="VHY61:VHZ61"/>
    <mergeCell ref="VIA61:VIB61"/>
    <mergeCell ref="VIC61:VID61"/>
    <mergeCell ref="VIE61:VIF61"/>
    <mergeCell ref="VIG61:VIH61"/>
    <mergeCell ref="VMY61:VMZ61"/>
    <mergeCell ref="VNA61:VNB61"/>
    <mergeCell ref="VNC61:VND61"/>
    <mergeCell ref="VNE61:VNF61"/>
    <mergeCell ref="VNG61:VNH61"/>
    <mergeCell ref="VNI61:VNJ61"/>
    <mergeCell ref="VMM61:VMN61"/>
    <mergeCell ref="VMO61:VMP61"/>
    <mergeCell ref="VMQ61:VMR61"/>
    <mergeCell ref="VMS61:VMT61"/>
    <mergeCell ref="VMU61:VMV61"/>
    <mergeCell ref="VMW61:VMX61"/>
    <mergeCell ref="VMA61:VMB61"/>
    <mergeCell ref="VMC61:VMD61"/>
    <mergeCell ref="VME61:VMF61"/>
    <mergeCell ref="VMG61:VMH61"/>
    <mergeCell ref="VMI61:VMJ61"/>
    <mergeCell ref="VMK61:VML61"/>
    <mergeCell ref="VLO61:VLP61"/>
    <mergeCell ref="VLQ61:VLR61"/>
    <mergeCell ref="VLS61:VLT61"/>
    <mergeCell ref="VLU61:VLV61"/>
    <mergeCell ref="VLW61:VLX61"/>
    <mergeCell ref="VLY61:VLZ61"/>
    <mergeCell ref="VLC61:VLD61"/>
    <mergeCell ref="VLE61:VLF61"/>
    <mergeCell ref="VLG61:VLH61"/>
    <mergeCell ref="VLI61:VLJ61"/>
    <mergeCell ref="VLK61:VLL61"/>
    <mergeCell ref="VLM61:VLN61"/>
    <mergeCell ref="VKQ61:VKR61"/>
    <mergeCell ref="VKS61:VKT61"/>
    <mergeCell ref="VKU61:VKV61"/>
    <mergeCell ref="VKW61:VKX61"/>
    <mergeCell ref="VKY61:VKZ61"/>
    <mergeCell ref="VLA61:VLB61"/>
    <mergeCell ref="VPS61:VPT61"/>
    <mergeCell ref="VPU61:VPV61"/>
    <mergeCell ref="VPW61:VPX61"/>
    <mergeCell ref="VPY61:VPZ61"/>
    <mergeCell ref="VQA61:VQB61"/>
    <mergeCell ref="VQC61:VQD61"/>
    <mergeCell ref="VPG61:VPH61"/>
    <mergeCell ref="VPI61:VPJ61"/>
    <mergeCell ref="VPK61:VPL61"/>
    <mergeCell ref="VPM61:VPN61"/>
    <mergeCell ref="VPO61:VPP61"/>
    <mergeCell ref="VPQ61:VPR61"/>
    <mergeCell ref="VOU61:VOV61"/>
    <mergeCell ref="VOW61:VOX61"/>
    <mergeCell ref="VOY61:VOZ61"/>
    <mergeCell ref="VPA61:VPB61"/>
    <mergeCell ref="VPC61:VPD61"/>
    <mergeCell ref="VPE61:VPF61"/>
    <mergeCell ref="VOI61:VOJ61"/>
    <mergeCell ref="VOK61:VOL61"/>
    <mergeCell ref="VOM61:VON61"/>
    <mergeCell ref="VOO61:VOP61"/>
    <mergeCell ref="VOQ61:VOR61"/>
    <mergeCell ref="VOS61:VOT61"/>
    <mergeCell ref="VNW61:VNX61"/>
    <mergeCell ref="VNY61:VNZ61"/>
    <mergeCell ref="VOA61:VOB61"/>
    <mergeCell ref="VOC61:VOD61"/>
    <mergeCell ref="VOE61:VOF61"/>
    <mergeCell ref="VOG61:VOH61"/>
    <mergeCell ref="VNK61:VNL61"/>
    <mergeCell ref="VNM61:VNN61"/>
    <mergeCell ref="VNO61:VNP61"/>
    <mergeCell ref="VNQ61:VNR61"/>
    <mergeCell ref="VNS61:VNT61"/>
    <mergeCell ref="VNU61:VNV61"/>
    <mergeCell ref="VSM61:VSN61"/>
    <mergeCell ref="VSO61:VSP61"/>
    <mergeCell ref="VSQ61:VSR61"/>
    <mergeCell ref="VSS61:VST61"/>
    <mergeCell ref="VSU61:VSV61"/>
    <mergeCell ref="VSW61:VSX61"/>
    <mergeCell ref="VSA61:VSB61"/>
    <mergeCell ref="VSC61:VSD61"/>
    <mergeCell ref="VSE61:VSF61"/>
    <mergeCell ref="VSG61:VSH61"/>
    <mergeCell ref="VSI61:VSJ61"/>
    <mergeCell ref="VSK61:VSL61"/>
    <mergeCell ref="VRO61:VRP61"/>
    <mergeCell ref="VRQ61:VRR61"/>
    <mergeCell ref="VRS61:VRT61"/>
    <mergeCell ref="VRU61:VRV61"/>
    <mergeCell ref="VRW61:VRX61"/>
    <mergeCell ref="VRY61:VRZ61"/>
    <mergeCell ref="VRC61:VRD61"/>
    <mergeCell ref="VRE61:VRF61"/>
    <mergeCell ref="VRG61:VRH61"/>
    <mergeCell ref="VRI61:VRJ61"/>
    <mergeCell ref="VRK61:VRL61"/>
    <mergeCell ref="VRM61:VRN61"/>
    <mergeCell ref="VQQ61:VQR61"/>
    <mergeCell ref="VQS61:VQT61"/>
    <mergeCell ref="VQU61:VQV61"/>
    <mergeCell ref="VQW61:VQX61"/>
    <mergeCell ref="VQY61:VQZ61"/>
    <mergeCell ref="VRA61:VRB61"/>
    <mergeCell ref="VQE61:VQF61"/>
    <mergeCell ref="VQG61:VQH61"/>
    <mergeCell ref="VQI61:VQJ61"/>
    <mergeCell ref="VQK61:VQL61"/>
    <mergeCell ref="VQM61:VQN61"/>
    <mergeCell ref="VQO61:VQP61"/>
    <mergeCell ref="VVG61:VVH61"/>
    <mergeCell ref="VVI61:VVJ61"/>
    <mergeCell ref="VVK61:VVL61"/>
    <mergeCell ref="VVM61:VVN61"/>
    <mergeCell ref="VVO61:VVP61"/>
    <mergeCell ref="VVQ61:VVR61"/>
    <mergeCell ref="VUU61:VUV61"/>
    <mergeCell ref="VUW61:VUX61"/>
    <mergeCell ref="VUY61:VUZ61"/>
    <mergeCell ref="VVA61:VVB61"/>
    <mergeCell ref="VVC61:VVD61"/>
    <mergeCell ref="VVE61:VVF61"/>
    <mergeCell ref="VUI61:VUJ61"/>
    <mergeCell ref="VUK61:VUL61"/>
    <mergeCell ref="VUM61:VUN61"/>
    <mergeCell ref="VUO61:VUP61"/>
    <mergeCell ref="VUQ61:VUR61"/>
    <mergeCell ref="VUS61:VUT61"/>
    <mergeCell ref="VTW61:VTX61"/>
    <mergeCell ref="VTY61:VTZ61"/>
    <mergeCell ref="VUA61:VUB61"/>
    <mergeCell ref="VUC61:VUD61"/>
    <mergeCell ref="VUE61:VUF61"/>
    <mergeCell ref="VUG61:VUH61"/>
    <mergeCell ref="VTK61:VTL61"/>
    <mergeCell ref="VTM61:VTN61"/>
    <mergeCell ref="VTO61:VTP61"/>
    <mergeCell ref="VTQ61:VTR61"/>
    <mergeCell ref="VTS61:VTT61"/>
    <mergeCell ref="VTU61:VTV61"/>
    <mergeCell ref="VSY61:VSZ61"/>
    <mergeCell ref="VTA61:VTB61"/>
    <mergeCell ref="VTC61:VTD61"/>
    <mergeCell ref="VTE61:VTF61"/>
    <mergeCell ref="VTG61:VTH61"/>
    <mergeCell ref="VTI61:VTJ61"/>
    <mergeCell ref="VYA61:VYB61"/>
    <mergeCell ref="VYC61:VYD61"/>
    <mergeCell ref="VYE61:VYF61"/>
    <mergeCell ref="VYG61:VYH61"/>
    <mergeCell ref="VYI61:VYJ61"/>
    <mergeCell ref="VYK61:VYL61"/>
    <mergeCell ref="VXO61:VXP61"/>
    <mergeCell ref="VXQ61:VXR61"/>
    <mergeCell ref="VXS61:VXT61"/>
    <mergeCell ref="VXU61:VXV61"/>
    <mergeCell ref="VXW61:VXX61"/>
    <mergeCell ref="VXY61:VXZ61"/>
    <mergeCell ref="VXC61:VXD61"/>
    <mergeCell ref="VXE61:VXF61"/>
    <mergeCell ref="VXG61:VXH61"/>
    <mergeCell ref="VXI61:VXJ61"/>
    <mergeCell ref="VXK61:VXL61"/>
    <mergeCell ref="VXM61:VXN61"/>
    <mergeCell ref="VWQ61:VWR61"/>
    <mergeCell ref="VWS61:VWT61"/>
    <mergeCell ref="VWU61:VWV61"/>
    <mergeCell ref="VWW61:VWX61"/>
    <mergeCell ref="VWY61:VWZ61"/>
    <mergeCell ref="VXA61:VXB61"/>
    <mergeCell ref="VWE61:VWF61"/>
    <mergeCell ref="VWG61:VWH61"/>
    <mergeCell ref="VWI61:VWJ61"/>
    <mergeCell ref="VWK61:VWL61"/>
    <mergeCell ref="VWM61:VWN61"/>
    <mergeCell ref="VWO61:VWP61"/>
    <mergeCell ref="VVS61:VVT61"/>
    <mergeCell ref="VVU61:VVV61"/>
    <mergeCell ref="VVW61:VVX61"/>
    <mergeCell ref="VVY61:VVZ61"/>
    <mergeCell ref="VWA61:VWB61"/>
    <mergeCell ref="VWC61:VWD61"/>
    <mergeCell ref="WAU61:WAV61"/>
    <mergeCell ref="WAW61:WAX61"/>
    <mergeCell ref="WAY61:WAZ61"/>
    <mergeCell ref="WBA61:WBB61"/>
    <mergeCell ref="WBC61:WBD61"/>
    <mergeCell ref="WBE61:WBF61"/>
    <mergeCell ref="WAI61:WAJ61"/>
    <mergeCell ref="WAK61:WAL61"/>
    <mergeCell ref="WAM61:WAN61"/>
    <mergeCell ref="WAO61:WAP61"/>
    <mergeCell ref="WAQ61:WAR61"/>
    <mergeCell ref="WAS61:WAT61"/>
    <mergeCell ref="VZW61:VZX61"/>
    <mergeCell ref="VZY61:VZZ61"/>
    <mergeCell ref="WAA61:WAB61"/>
    <mergeCell ref="WAC61:WAD61"/>
    <mergeCell ref="WAE61:WAF61"/>
    <mergeCell ref="WAG61:WAH61"/>
    <mergeCell ref="VZK61:VZL61"/>
    <mergeCell ref="VZM61:VZN61"/>
    <mergeCell ref="VZO61:VZP61"/>
    <mergeCell ref="VZQ61:VZR61"/>
    <mergeCell ref="VZS61:VZT61"/>
    <mergeCell ref="VZU61:VZV61"/>
    <mergeCell ref="VYY61:VYZ61"/>
    <mergeCell ref="VZA61:VZB61"/>
    <mergeCell ref="VZC61:VZD61"/>
    <mergeCell ref="VZE61:VZF61"/>
    <mergeCell ref="VZG61:VZH61"/>
    <mergeCell ref="VZI61:VZJ61"/>
    <mergeCell ref="VYM61:VYN61"/>
    <mergeCell ref="VYO61:VYP61"/>
    <mergeCell ref="VYQ61:VYR61"/>
    <mergeCell ref="VYS61:VYT61"/>
    <mergeCell ref="VYU61:VYV61"/>
    <mergeCell ref="VYW61:VYX61"/>
    <mergeCell ref="WDO61:WDP61"/>
    <mergeCell ref="WDQ61:WDR61"/>
    <mergeCell ref="WDS61:WDT61"/>
    <mergeCell ref="WDU61:WDV61"/>
    <mergeCell ref="WDW61:WDX61"/>
    <mergeCell ref="WDY61:WDZ61"/>
    <mergeCell ref="WDC61:WDD61"/>
    <mergeCell ref="WDE61:WDF61"/>
    <mergeCell ref="WDG61:WDH61"/>
    <mergeCell ref="WDI61:WDJ61"/>
    <mergeCell ref="WDK61:WDL61"/>
    <mergeCell ref="WDM61:WDN61"/>
    <mergeCell ref="WCQ61:WCR61"/>
    <mergeCell ref="WCS61:WCT61"/>
    <mergeCell ref="WCU61:WCV61"/>
    <mergeCell ref="WCW61:WCX61"/>
    <mergeCell ref="WCY61:WCZ61"/>
    <mergeCell ref="WDA61:WDB61"/>
    <mergeCell ref="WCE61:WCF61"/>
    <mergeCell ref="WCG61:WCH61"/>
    <mergeCell ref="WCI61:WCJ61"/>
    <mergeCell ref="WCK61:WCL61"/>
    <mergeCell ref="WCM61:WCN61"/>
    <mergeCell ref="WCO61:WCP61"/>
    <mergeCell ref="WBS61:WBT61"/>
    <mergeCell ref="WBU61:WBV61"/>
    <mergeCell ref="WBW61:WBX61"/>
    <mergeCell ref="WBY61:WBZ61"/>
    <mergeCell ref="WCA61:WCB61"/>
    <mergeCell ref="WCC61:WCD61"/>
    <mergeCell ref="WBG61:WBH61"/>
    <mergeCell ref="WBI61:WBJ61"/>
    <mergeCell ref="WBK61:WBL61"/>
    <mergeCell ref="WBM61:WBN61"/>
    <mergeCell ref="WBO61:WBP61"/>
    <mergeCell ref="WBQ61:WBR61"/>
    <mergeCell ref="WGI61:WGJ61"/>
    <mergeCell ref="WGK61:WGL61"/>
    <mergeCell ref="WGM61:WGN61"/>
    <mergeCell ref="WGO61:WGP61"/>
    <mergeCell ref="WGQ61:WGR61"/>
    <mergeCell ref="WGS61:WGT61"/>
    <mergeCell ref="WFW61:WFX61"/>
    <mergeCell ref="WFY61:WFZ61"/>
    <mergeCell ref="WGA61:WGB61"/>
    <mergeCell ref="WGC61:WGD61"/>
    <mergeCell ref="WGE61:WGF61"/>
    <mergeCell ref="WGG61:WGH61"/>
    <mergeCell ref="WFK61:WFL61"/>
    <mergeCell ref="WFM61:WFN61"/>
    <mergeCell ref="WFO61:WFP61"/>
    <mergeCell ref="WFQ61:WFR61"/>
    <mergeCell ref="WFS61:WFT61"/>
    <mergeCell ref="WFU61:WFV61"/>
    <mergeCell ref="WEY61:WEZ61"/>
    <mergeCell ref="WFA61:WFB61"/>
    <mergeCell ref="WFC61:WFD61"/>
    <mergeCell ref="WFE61:WFF61"/>
    <mergeCell ref="WFG61:WFH61"/>
    <mergeCell ref="WFI61:WFJ61"/>
    <mergeCell ref="WEM61:WEN61"/>
    <mergeCell ref="WEO61:WEP61"/>
    <mergeCell ref="WEQ61:WER61"/>
    <mergeCell ref="WES61:WET61"/>
    <mergeCell ref="WEU61:WEV61"/>
    <mergeCell ref="WEW61:WEX61"/>
    <mergeCell ref="WEA61:WEB61"/>
    <mergeCell ref="WEC61:WED61"/>
    <mergeCell ref="WEE61:WEF61"/>
    <mergeCell ref="WEG61:WEH61"/>
    <mergeCell ref="WEI61:WEJ61"/>
    <mergeCell ref="WEK61:WEL61"/>
    <mergeCell ref="WJC61:WJD61"/>
    <mergeCell ref="WJE61:WJF61"/>
    <mergeCell ref="WJG61:WJH61"/>
    <mergeCell ref="WJI61:WJJ61"/>
    <mergeCell ref="WJK61:WJL61"/>
    <mergeCell ref="WJM61:WJN61"/>
    <mergeCell ref="WIQ61:WIR61"/>
    <mergeCell ref="WIS61:WIT61"/>
    <mergeCell ref="WIU61:WIV61"/>
    <mergeCell ref="WIW61:WIX61"/>
    <mergeCell ref="WIY61:WIZ61"/>
    <mergeCell ref="WJA61:WJB61"/>
    <mergeCell ref="WIE61:WIF61"/>
    <mergeCell ref="WIG61:WIH61"/>
    <mergeCell ref="WII61:WIJ61"/>
    <mergeCell ref="WIK61:WIL61"/>
    <mergeCell ref="WIM61:WIN61"/>
    <mergeCell ref="WIO61:WIP61"/>
    <mergeCell ref="WHS61:WHT61"/>
    <mergeCell ref="WHU61:WHV61"/>
    <mergeCell ref="WHW61:WHX61"/>
    <mergeCell ref="WHY61:WHZ61"/>
    <mergeCell ref="WIA61:WIB61"/>
    <mergeCell ref="WIC61:WID61"/>
    <mergeCell ref="WHG61:WHH61"/>
    <mergeCell ref="WHI61:WHJ61"/>
    <mergeCell ref="WHK61:WHL61"/>
    <mergeCell ref="WHM61:WHN61"/>
    <mergeCell ref="WHO61:WHP61"/>
    <mergeCell ref="WHQ61:WHR61"/>
    <mergeCell ref="WGU61:WGV61"/>
    <mergeCell ref="WGW61:WGX61"/>
    <mergeCell ref="WGY61:WGZ61"/>
    <mergeCell ref="WHA61:WHB61"/>
    <mergeCell ref="WHC61:WHD61"/>
    <mergeCell ref="WHE61:WHF61"/>
    <mergeCell ref="WLW61:WLX61"/>
    <mergeCell ref="WLY61:WLZ61"/>
    <mergeCell ref="WMA61:WMB61"/>
    <mergeCell ref="WMC61:WMD61"/>
    <mergeCell ref="WME61:WMF61"/>
    <mergeCell ref="WMG61:WMH61"/>
    <mergeCell ref="WLK61:WLL61"/>
    <mergeCell ref="WLM61:WLN61"/>
    <mergeCell ref="WLO61:WLP61"/>
    <mergeCell ref="WLQ61:WLR61"/>
    <mergeCell ref="WLS61:WLT61"/>
    <mergeCell ref="WLU61:WLV61"/>
    <mergeCell ref="WKY61:WKZ61"/>
    <mergeCell ref="WLA61:WLB61"/>
    <mergeCell ref="WLC61:WLD61"/>
    <mergeCell ref="WLE61:WLF61"/>
    <mergeCell ref="WLG61:WLH61"/>
    <mergeCell ref="WLI61:WLJ61"/>
    <mergeCell ref="WKM61:WKN61"/>
    <mergeCell ref="WKO61:WKP61"/>
    <mergeCell ref="WKQ61:WKR61"/>
    <mergeCell ref="WKS61:WKT61"/>
    <mergeCell ref="WKU61:WKV61"/>
    <mergeCell ref="WKW61:WKX61"/>
    <mergeCell ref="WKA61:WKB61"/>
    <mergeCell ref="WKC61:WKD61"/>
    <mergeCell ref="WKE61:WKF61"/>
    <mergeCell ref="WKG61:WKH61"/>
    <mergeCell ref="WKI61:WKJ61"/>
    <mergeCell ref="WKK61:WKL61"/>
    <mergeCell ref="WJO61:WJP61"/>
    <mergeCell ref="WJQ61:WJR61"/>
    <mergeCell ref="WJS61:WJT61"/>
    <mergeCell ref="WJU61:WJV61"/>
    <mergeCell ref="WJW61:WJX61"/>
    <mergeCell ref="WJY61:WJZ61"/>
    <mergeCell ref="WOQ61:WOR61"/>
    <mergeCell ref="WOS61:WOT61"/>
    <mergeCell ref="WOU61:WOV61"/>
    <mergeCell ref="WOW61:WOX61"/>
    <mergeCell ref="WOY61:WOZ61"/>
    <mergeCell ref="WPA61:WPB61"/>
    <mergeCell ref="WOE61:WOF61"/>
    <mergeCell ref="WOG61:WOH61"/>
    <mergeCell ref="WOI61:WOJ61"/>
    <mergeCell ref="WOK61:WOL61"/>
    <mergeCell ref="WOM61:WON61"/>
    <mergeCell ref="WOO61:WOP61"/>
    <mergeCell ref="WNS61:WNT61"/>
    <mergeCell ref="WNU61:WNV61"/>
    <mergeCell ref="WNW61:WNX61"/>
    <mergeCell ref="WNY61:WNZ61"/>
    <mergeCell ref="WOA61:WOB61"/>
    <mergeCell ref="WOC61:WOD61"/>
    <mergeCell ref="WNG61:WNH61"/>
    <mergeCell ref="WNI61:WNJ61"/>
    <mergeCell ref="WNK61:WNL61"/>
    <mergeCell ref="WNM61:WNN61"/>
    <mergeCell ref="WNO61:WNP61"/>
    <mergeCell ref="WNQ61:WNR61"/>
    <mergeCell ref="WMU61:WMV61"/>
    <mergeCell ref="WMW61:WMX61"/>
    <mergeCell ref="WMY61:WMZ61"/>
    <mergeCell ref="WNA61:WNB61"/>
    <mergeCell ref="WNC61:WND61"/>
    <mergeCell ref="WNE61:WNF61"/>
    <mergeCell ref="WMI61:WMJ61"/>
    <mergeCell ref="WMK61:WML61"/>
    <mergeCell ref="WMM61:WMN61"/>
    <mergeCell ref="WMO61:WMP61"/>
    <mergeCell ref="WMQ61:WMR61"/>
    <mergeCell ref="WMS61:WMT61"/>
    <mergeCell ref="WRK61:WRL61"/>
    <mergeCell ref="WRM61:WRN61"/>
    <mergeCell ref="WRO61:WRP61"/>
    <mergeCell ref="WRQ61:WRR61"/>
    <mergeCell ref="WRS61:WRT61"/>
    <mergeCell ref="WRU61:WRV61"/>
    <mergeCell ref="WQY61:WQZ61"/>
    <mergeCell ref="WRA61:WRB61"/>
    <mergeCell ref="WRC61:WRD61"/>
    <mergeCell ref="WRE61:WRF61"/>
    <mergeCell ref="WRG61:WRH61"/>
    <mergeCell ref="WRI61:WRJ61"/>
    <mergeCell ref="WQM61:WQN61"/>
    <mergeCell ref="WQO61:WQP61"/>
    <mergeCell ref="WQQ61:WQR61"/>
    <mergeCell ref="WQS61:WQT61"/>
    <mergeCell ref="WQU61:WQV61"/>
    <mergeCell ref="WQW61:WQX61"/>
    <mergeCell ref="WQA61:WQB61"/>
    <mergeCell ref="WQC61:WQD61"/>
    <mergeCell ref="WQE61:WQF61"/>
    <mergeCell ref="WQG61:WQH61"/>
    <mergeCell ref="WQI61:WQJ61"/>
    <mergeCell ref="WQK61:WQL61"/>
    <mergeCell ref="WPO61:WPP61"/>
    <mergeCell ref="WPQ61:WPR61"/>
    <mergeCell ref="WPS61:WPT61"/>
    <mergeCell ref="WPU61:WPV61"/>
    <mergeCell ref="WPW61:WPX61"/>
    <mergeCell ref="WPY61:WPZ61"/>
    <mergeCell ref="WPC61:WPD61"/>
    <mergeCell ref="WPE61:WPF61"/>
    <mergeCell ref="WPG61:WPH61"/>
    <mergeCell ref="WPI61:WPJ61"/>
    <mergeCell ref="WPK61:WPL61"/>
    <mergeCell ref="WPM61:WPN61"/>
    <mergeCell ref="WUE61:WUF61"/>
    <mergeCell ref="WUG61:WUH61"/>
    <mergeCell ref="WUI61:WUJ61"/>
    <mergeCell ref="WUK61:WUL61"/>
    <mergeCell ref="WUM61:WUN61"/>
    <mergeCell ref="WUO61:WUP61"/>
    <mergeCell ref="WTS61:WTT61"/>
    <mergeCell ref="WTU61:WTV61"/>
    <mergeCell ref="WTW61:WTX61"/>
    <mergeCell ref="WTY61:WTZ61"/>
    <mergeCell ref="WUA61:WUB61"/>
    <mergeCell ref="WUC61:WUD61"/>
    <mergeCell ref="WTG61:WTH61"/>
    <mergeCell ref="WTI61:WTJ61"/>
    <mergeCell ref="WTK61:WTL61"/>
    <mergeCell ref="WTM61:WTN61"/>
    <mergeCell ref="WTO61:WTP61"/>
    <mergeCell ref="WTQ61:WTR61"/>
    <mergeCell ref="WSU61:WSV61"/>
    <mergeCell ref="WSW61:WSX61"/>
    <mergeCell ref="WSY61:WSZ61"/>
    <mergeCell ref="WTA61:WTB61"/>
    <mergeCell ref="WTC61:WTD61"/>
    <mergeCell ref="WTE61:WTF61"/>
    <mergeCell ref="WSI61:WSJ61"/>
    <mergeCell ref="WSK61:WSL61"/>
    <mergeCell ref="WSM61:WSN61"/>
    <mergeCell ref="WSO61:WSP61"/>
    <mergeCell ref="WSQ61:WSR61"/>
    <mergeCell ref="WSS61:WST61"/>
    <mergeCell ref="WRW61:WRX61"/>
    <mergeCell ref="WRY61:WRZ61"/>
    <mergeCell ref="WSA61:WSB61"/>
    <mergeCell ref="WSC61:WSD61"/>
    <mergeCell ref="WSE61:WSF61"/>
    <mergeCell ref="WSG61:WSH61"/>
    <mergeCell ref="WWY61:WWZ61"/>
    <mergeCell ref="WXA61:WXB61"/>
    <mergeCell ref="WXC61:WXD61"/>
    <mergeCell ref="WXE61:WXF61"/>
    <mergeCell ref="WXG61:WXH61"/>
    <mergeCell ref="WXI61:WXJ61"/>
    <mergeCell ref="WWM61:WWN61"/>
    <mergeCell ref="WWO61:WWP61"/>
    <mergeCell ref="WWQ61:WWR61"/>
    <mergeCell ref="WWS61:WWT61"/>
    <mergeCell ref="WWU61:WWV61"/>
    <mergeCell ref="WWW61:WWX61"/>
    <mergeCell ref="WWA61:WWB61"/>
    <mergeCell ref="WWC61:WWD61"/>
    <mergeCell ref="WWE61:WWF61"/>
    <mergeCell ref="WWG61:WWH61"/>
    <mergeCell ref="WWI61:WWJ61"/>
    <mergeCell ref="WWK61:WWL61"/>
    <mergeCell ref="WVO61:WVP61"/>
    <mergeCell ref="WVQ61:WVR61"/>
    <mergeCell ref="WVS61:WVT61"/>
    <mergeCell ref="WVU61:WVV61"/>
    <mergeCell ref="WVW61:WVX61"/>
    <mergeCell ref="WVY61:WVZ61"/>
    <mergeCell ref="WVC61:WVD61"/>
    <mergeCell ref="WVE61:WVF61"/>
    <mergeCell ref="WVG61:WVH61"/>
    <mergeCell ref="WVI61:WVJ61"/>
    <mergeCell ref="WVK61:WVL61"/>
    <mergeCell ref="WVM61:WVN61"/>
    <mergeCell ref="WUQ61:WUR61"/>
    <mergeCell ref="WUS61:WUT61"/>
    <mergeCell ref="WUU61:WUV61"/>
    <mergeCell ref="WUW61:WUX61"/>
    <mergeCell ref="WUY61:WUZ61"/>
    <mergeCell ref="WVA61:WVB61"/>
    <mergeCell ref="WZY61:WZZ61"/>
    <mergeCell ref="XAA61:XAB61"/>
    <mergeCell ref="XAC61:XAD61"/>
    <mergeCell ref="WZG61:WZH61"/>
    <mergeCell ref="WZI61:WZJ61"/>
    <mergeCell ref="WZK61:WZL61"/>
    <mergeCell ref="WZM61:WZN61"/>
    <mergeCell ref="WZO61:WZP61"/>
    <mergeCell ref="WZQ61:WZR61"/>
    <mergeCell ref="WYU61:WYV61"/>
    <mergeCell ref="WYW61:WYX61"/>
    <mergeCell ref="WYY61:WYZ61"/>
    <mergeCell ref="WZA61:WZB61"/>
    <mergeCell ref="WZC61:WZD61"/>
    <mergeCell ref="WZE61:WZF61"/>
    <mergeCell ref="WYI61:WYJ61"/>
    <mergeCell ref="WYK61:WYL61"/>
    <mergeCell ref="WYM61:WYN61"/>
    <mergeCell ref="WYO61:WYP61"/>
    <mergeCell ref="WYQ61:WYR61"/>
    <mergeCell ref="WYS61:WYT61"/>
    <mergeCell ref="WXW61:WXX61"/>
    <mergeCell ref="WXY61:WXZ61"/>
    <mergeCell ref="WYA61:WYB61"/>
    <mergeCell ref="WYC61:WYD61"/>
    <mergeCell ref="WYE61:WYF61"/>
    <mergeCell ref="WYG61:WYH61"/>
    <mergeCell ref="WXK61:WXL61"/>
    <mergeCell ref="WXM61:WXN61"/>
    <mergeCell ref="WXO61:WXP61"/>
    <mergeCell ref="WXQ61:WXR61"/>
    <mergeCell ref="WXS61:WXT61"/>
    <mergeCell ref="WXU61:WXV61"/>
    <mergeCell ref="A151:B151"/>
    <mergeCell ref="W40:Z40"/>
    <mergeCell ref="W50:Z50"/>
    <mergeCell ref="W61:Z61"/>
    <mergeCell ref="XEI61:XEJ61"/>
    <mergeCell ref="XEK61:XEL61"/>
    <mergeCell ref="XEM61:XEN61"/>
    <mergeCell ref="XDW61:XDX61"/>
    <mergeCell ref="XDY61:XDZ61"/>
    <mergeCell ref="XEA61:XEB61"/>
    <mergeCell ref="XEC61:XED61"/>
    <mergeCell ref="XEE61:XEF61"/>
    <mergeCell ref="XEG61:XEH61"/>
    <mergeCell ref="XDK61:XDL61"/>
    <mergeCell ref="XDM61:XDN61"/>
    <mergeCell ref="XDO61:XDP61"/>
    <mergeCell ref="XDQ61:XDR61"/>
    <mergeCell ref="XDS61:XDT61"/>
    <mergeCell ref="XDU61:XDV61"/>
    <mergeCell ref="XCY61:XCZ61"/>
    <mergeCell ref="XDA61:XDB61"/>
    <mergeCell ref="XDC61:XDD61"/>
    <mergeCell ref="XDE61:XDF61"/>
    <mergeCell ref="XDG61:XDH61"/>
    <mergeCell ref="XDI61:XDJ61"/>
    <mergeCell ref="XCM61:XCN61"/>
    <mergeCell ref="XCO61:XCP61"/>
    <mergeCell ref="XCQ61:XCR61"/>
    <mergeCell ref="XCS61:XCT61"/>
    <mergeCell ref="XCU61:XCV61"/>
    <mergeCell ref="XCW61:XCX61"/>
    <mergeCell ref="XCA61:XCB61"/>
    <mergeCell ref="XCC61:XCD61"/>
    <mergeCell ref="XCE61:XCF61"/>
    <mergeCell ref="XCG61:XCH61"/>
    <mergeCell ref="XCI61:XCJ61"/>
    <mergeCell ref="XCK61:XCL61"/>
    <mergeCell ref="XBO61:XBP61"/>
    <mergeCell ref="XBQ61:XBR61"/>
    <mergeCell ref="XBS61:XBT61"/>
    <mergeCell ref="XBU61:XBV61"/>
    <mergeCell ref="XBW61:XBX61"/>
    <mergeCell ref="XBY61:XBZ61"/>
    <mergeCell ref="XBC61:XBD61"/>
    <mergeCell ref="XBE61:XBF61"/>
    <mergeCell ref="XBG61:XBH61"/>
    <mergeCell ref="XBI61:XBJ61"/>
    <mergeCell ref="XBK61:XBL61"/>
    <mergeCell ref="XBM61:XBN61"/>
    <mergeCell ref="XAQ61:XAR61"/>
    <mergeCell ref="XAS61:XAT61"/>
    <mergeCell ref="XAU61:XAV61"/>
    <mergeCell ref="XAW61:XAX61"/>
    <mergeCell ref="XAY61:XAZ61"/>
    <mergeCell ref="XBA61:XBB61"/>
    <mergeCell ref="XAE61:XAF61"/>
    <mergeCell ref="XAG61:XAH61"/>
    <mergeCell ref="XAI61:XAJ61"/>
    <mergeCell ref="XAK61:XAL61"/>
    <mergeCell ref="XAM61:XAN61"/>
    <mergeCell ref="XAO61:XAP61"/>
    <mergeCell ref="WZS61:WZT61"/>
    <mergeCell ref="WZU61:WZV61"/>
    <mergeCell ref="WZW61:WZX61"/>
  </mergeCells>
  <printOptions horizontalCentered="1"/>
  <pageMargins left="0.25" right="0.25" top="1" bottom="0.75" header="0.3" footer="0.3"/>
  <pageSetup paperSize="5" fitToWidth="0" orientation="portrait" r:id="rId1"/>
  <headerFooter alignWithMargins="0">
    <oddHeader xml:space="preserve">&amp;L&amp;"-,Bold"&amp;14&amp;K07-044
San Bernardino CCD&amp;C&amp;"-,Bold"&amp;14Unrestricted General Fund
Multi-Year Forecast&amp;R&amp;"-,Bold"&amp;K05+000
&amp;A
</oddHeader>
    <oddFooter>&amp;L&amp;F
Printed: &amp;D  &amp;T&amp;CPage &amp;P</oddFooter>
  </headerFooter>
  <colBreaks count="2" manualBreakCount="2">
    <brk id="10" max="78" man="1"/>
    <brk id="18" max="78"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6"/>
  <sheetViews>
    <sheetView topLeftCell="A58" workbookViewId="0">
      <selection activeCell="H72" sqref="H72"/>
    </sheetView>
  </sheetViews>
  <sheetFormatPr defaultRowHeight="15" x14ac:dyDescent="0.25"/>
  <cols>
    <col min="2" max="2" width="24.140625" bestFit="1" customWidth="1"/>
    <col min="3" max="3" width="14.28515625" bestFit="1" customWidth="1"/>
    <col min="4" max="5" width="10" bestFit="1" customWidth="1"/>
    <col min="6" max="6" width="15.140625" customWidth="1"/>
    <col min="7" max="7" width="14.42578125" customWidth="1"/>
    <col min="8" max="8" width="12.28515625" bestFit="1" customWidth="1"/>
    <col min="9" max="10" width="10.28515625" bestFit="1" customWidth="1"/>
    <col min="11" max="11" width="10" bestFit="1" customWidth="1"/>
    <col min="12" max="12" width="10" style="48" bestFit="1" customWidth="1"/>
  </cols>
  <sheetData>
    <row r="1" spans="1:12" ht="19.5" thickBot="1" x14ac:dyDescent="0.3">
      <c r="A1" s="394" t="s">
        <v>2462</v>
      </c>
      <c r="B1" s="394"/>
      <c r="C1" s="394"/>
      <c r="D1" s="395"/>
      <c r="E1" s="395"/>
      <c r="F1" s="395"/>
      <c r="G1" s="395"/>
      <c r="H1" s="395"/>
      <c r="I1" s="395"/>
      <c r="J1" s="395"/>
    </row>
    <row r="2" spans="1:12" ht="18.75" x14ac:dyDescent="0.3">
      <c r="A2" s="396"/>
      <c r="B2" s="397"/>
      <c r="C2" s="397"/>
      <c r="D2" s="398"/>
      <c r="E2" s="399"/>
      <c r="F2" s="399"/>
      <c r="G2" s="399"/>
      <c r="H2" s="399"/>
      <c r="I2" s="399"/>
      <c r="J2" s="399"/>
    </row>
    <row r="3" spans="1:12" ht="15.75" x14ac:dyDescent="0.25">
      <c r="A3" s="400" t="str">
        <f>[1]Assumptions!B3</f>
        <v xml:space="preserve">District Code: </v>
      </c>
      <c r="B3" s="553" t="str">
        <f>IF([1]Assumptions!$D$3="(select a District)","(select a District on Assumptions)",[1]Assumptions!$D$3)</f>
        <v>San Bernardino</v>
      </c>
      <c r="C3" s="554"/>
      <c r="D3" s="401"/>
      <c r="E3" s="402"/>
      <c r="F3" s="402"/>
      <c r="G3" s="402"/>
      <c r="H3" s="402"/>
      <c r="I3" s="402"/>
      <c r="J3" s="402"/>
    </row>
    <row r="4" spans="1:12" x14ac:dyDescent="0.25">
      <c r="A4" s="403"/>
      <c r="B4" s="403"/>
      <c r="C4" s="404"/>
      <c r="D4" s="405"/>
      <c r="E4" s="405"/>
      <c r="F4" s="405" t="s">
        <v>2463</v>
      </c>
      <c r="G4" s="406" t="str">
        <f>[1]Assumptions!D7</f>
        <v>Growth Target</v>
      </c>
      <c r="H4" s="406">
        <v>5.4999999999999997E-3</v>
      </c>
      <c r="I4" s="406">
        <f>[1]Assumptions!H7</f>
        <v>0</v>
      </c>
      <c r="J4" s="406">
        <f>[1]Assumptions!I7</f>
        <v>0</v>
      </c>
      <c r="K4" s="406">
        <f>[1]Assumptions!J7</f>
        <v>0</v>
      </c>
      <c r="L4" s="406">
        <f>[1]Assumptions!K7</f>
        <v>0</v>
      </c>
    </row>
    <row r="5" spans="1:12" ht="15.75" x14ac:dyDescent="0.25">
      <c r="A5" s="407"/>
      <c r="B5" s="408"/>
      <c r="C5" s="402"/>
      <c r="D5" s="409"/>
      <c r="E5" s="410"/>
      <c r="F5" s="411" t="s">
        <v>2464</v>
      </c>
      <c r="G5" s="412">
        <f t="shared" ref="G5:L5" si="0">G62</f>
        <v>0</v>
      </c>
      <c r="H5" s="412">
        <f t="shared" si="0"/>
        <v>-3.8489999948069453E-2</v>
      </c>
      <c r="I5" s="412">
        <f t="shared" si="0"/>
        <v>0</v>
      </c>
      <c r="J5" s="412">
        <f t="shared" si="0"/>
        <v>0</v>
      </c>
      <c r="K5" s="412">
        <f t="shared" si="0"/>
        <v>0</v>
      </c>
      <c r="L5" s="412">
        <f t="shared" si="0"/>
        <v>0</v>
      </c>
    </row>
    <row r="6" spans="1:12" x14ac:dyDescent="0.25">
      <c r="A6" s="413"/>
      <c r="B6" s="414"/>
      <c r="C6" s="414"/>
      <c r="D6" s="415" t="s">
        <v>2465</v>
      </c>
      <c r="E6" s="415" t="s">
        <v>2466</v>
      </c>
      <c r="F6" s="415" t="s">
        <v>2467</v>
      </c>
      <c r="G6" s="415" t="s">
        <v>2468</v>
      </c>
      <c r="H6" s="415" t="s">
        <v>2469</v>
      </c>
      <c r="I6" s="415" t="s">
        <v>2470</v>
      </c>
      <c r="J6" s="416" t="s">
        <v>2471</v>
      </c>
      <c r="K6" s="416" t="s">
        <v>2514</v>
      </c>
      <c r="L6" s="416" t="s">
        <v>2513</v>
      </c>
    </row>
    <row r="7" spans="1:12" ht="19.5" thickBot="1" x14ac:dyDescent="0.35">
      <c r="A7" s="417" t="s">
        <v>2472</v>
      </c>
      <c r="B7" s="418"/>
      <c r="C7" s="419"/>
      <c r="D7" s="420"/>
      <c r="E7" s="420"/>
      <c r="F7" s="420"/>
      <c r="G7" s="421"/>
      <c r="H7" s="421"/>
      <c r="I7" s="421"/>
      <c r="J7" s="422"/>
    </row>
    <row r="8" spans="1:12" x14ac:dyDescent="0.25">
      <c r="A8" s="423"/>
      <c r="B8" s="424"/>
      <c r="C8" s="424"/>
      <c r="D8" s="425"/>
      <c r="E8" s="425"/>
      <c r="F8" s="425"/>
      <c r="G8" s="425"/>
      <c r="H8" s="425"/>
      <c r="I8" s="425"/>
      <c r="J8" s="426"/>
    </row>
    <row r="9" spans="1:12" x14ac:dyDescent="0.25">
      <c r="A9" s="427" t="s">
        <v>2473</v>
      </c>
      <c r="B9" s="428" t="s">
        <v>2474</v>
      </c>
      <c r="C9" s="428"/>
      <c r="D9" s="429">
        <f>IFERROR(VLOOKUP([1]Assumptions!$D$3,'[1]1516 Final 320'!$B$9:$F$80,MATCH("Credit ",'[1]1516 Final 320'!$B$7:$F$7,0),FALSE),0)</f>
        <v>15275.66</v>
      </c>
      <c r="E9" s="429">
        <v>14114.1</v>
      </c>
      <c r="F9" s="429">
        <v>15055.1</v>
      </c>
      <c r="G9" s="429">
        <v>14962.46</v>
      </c>
      <c r="H9" s="429">
        <v>15232.73</v>
      </c>
      <c r="I9" s="429">
        <v>15508.73</v>
      </c>
      <c r="J9" s="429">
        <v>15789.73</v>
      </c>
      <c r="K9" s="429">
        <v>15790.73</v>
      </c>
      <c r="L9" s="429">
        <v>15792.31</v>
      </c>
    </row>
    <row r="10" spans="1:12" x14ac:dyDescent="0.25">
      <c r="A10" s="430"/>
      <c r="B10" s="431" t="s">
        <v>2475</v>
      </c>
      <c r="C10" s="432"/>
      <c r="D10" s="433"/>
      <c r="E10" s="434">
        <f>IFERROR((E9-D9)/D9,0)</f>
        <v>-7.6039922333961313E-2</v>
      </c>
      <c r="F10" s="434">
        <f>IFERROR((F9-E9)/E9,0)</f>
        <v>6.6670917734747523E-2</v>
      </c>
      <c r="G10" s="434">
        <f t="shared" ref="G10:L10" si="1">IFERROR((G9-F9)/F9,0)</f>
        <v>-6.1533965234373223E-3</v>
      </c>
      <c r="H10" s="434">
        <f t="shared" si="1"/>
        <v>1.8063206184009879E-2</v>
      </c>
      <c r="I10" s="434">
        <f t="shared" si="1"/>
        <v>1.8118879544244532E-2</v>
      </c>
      <c r="J10" s="434">
        <f t="shared" si="1"/>
        <v>1.8118827266965124E-2</v>
      </c>
      <c r="K10" s="434">
        <f t="shared" si="1"/>
        <v>6.333230523891163E-5</v>
      </c>
      <c r="L10" s="434">
        <f t="shared" si="1"/>
        <v>1.0005870532900805E-4</v>
      </c>
    </row>
    <row r="11" spans="1:12" ht="26.25" x14ac:dyDescent="0.25">
      <c r="A11" s="427" t="s">
        <v>2476</v>
      </c>
      <c r="B11" s="435" t="s">
        <v>2477</v>
      </c>
      <c r="C11" s="435"/>
      <c r="D11" s="436">
        <v>15275.66</v>
      </c>
      <c r="E11" s="436">
        <v>15275.66</v>
      </c>
      <c r="F11" s="436">
        <v>15275.66</v>
      </c>
      <c r="G11" s="436">
        <v>15275.66</v>
      </c>
      <c r="H11" s="436">
        <v>15055.1</v>
      </c>
      <c r="I11" s="436">
        <v>15055.1</v>
      </c>
      <c r="J11" s="436">
        <v>15055.1</v>
      </c>
      <c r="K11" s="436">
        <f>IFERROR(MAX(H12+H23,I12+I23,J12+J23),0)</f>
        <v>15137.73321</v>
      </c>
      <c r="L11" s="436">
        <f>IFERROR(MAX(I12+I23,J12+J23,K12+K23),0)</f>
        <v>15137.73321</v>
      </c>
    </row>
    <row r="12" spans="1:12" x14ac:dyDescent="0.25">
      <c r="A12" s="437" t="s">
        <v>2478</v>
      </c>
      <c r="B12" s="438" t="s">
        <v>2479</v>
      </c>
      <c r="C12" s="438"/>
      <c r="D12" s="439">
        <v>15275.66</v>
      </c>
      <c r="E12" s="439">
        <v>14114.1</v>
      </c>
      <c r="F12" s="439">
        <v>15055.1</v>
      </c>
      <c r="G12" s="439">
        <v>14962.46</v>
      </c>
      <c r="H12" s="439">
        <v>15055.1</v>
      </c>
      <c r="I12" s="439">
        <v>15055.1</v>
      </c>
      <c r="J12" s="439">
        <v>15055.1</v>
      </c>
      <c r="K12" s="439">
        <f t="shared" ref="K12:L12" si="2">IF(ISBLANK(K9),0,MIN(K9,K11))</f>
        <v>15137.73321</v>
      </c>
      <c r="L12" s="439">
        <f t="shared" si="2"/>
        <v>15137.73321</v>
      </c>
    </row>
    <row r="13" spans="1:12" ht="15.75" x14ac:dyDescent="0.25">
      <c r="A13" s="440"/>
      <c r="B13" s="441"/>
      <c r="C13" s="441"/>
      <c r="D13" s="441"/>
      <c r="E13" s="441"/>
      <c r="F13" s="441"/>
      <c r="G13" s="441"/>
      <c r="H13" s="441"/>
      <c r="I13" s="441"/>
      <c r="J13" s="441"/>
    </row>
    <row r="14" spans="1:12" x14ac:dyDescent="0.25">
      <c r="A14" s="423"/>
      <c r="B14" s="424"/>
      <c r="C14" s="424"/>
      <c r="D14" s="425"/>
      <c r="E14" s="425"/>
      <c r="F14" s="425"/>
      <c r="G14" s="425"/>
      <c r="H14" s="425"/>
      <c r="I14" s="425"/>
      <c r="J14" s="426"/>
    </row>
    <row r="15" spans="1:12" x14ac:dyDescent="0.25">
      <c r="A15" s="555" t="s">
        <v>2480</v>
      </c>
      <c r="B15" s="442" t="s">
        <v>2481</v>
      </c>
      <c r="C15" s="443"/>
      <c r="D15" s="444"/>
      <c r="E15" s="444"/>
      <c r="F15" s="444"/>
      <c r="G15" s="445">
        <v>14962.46</v>
      </c>
      <c r="H15" s="446">
        <v>15055.1</v>
      </c>
      <c r="I15" s="446">
        <v>15055.1</v>
      </c>
      <c r="J15" s="447">
        <v>15055.1</v>
      </c>
      <c r="K15" s="447">
        <f>K12</f>
        <v>15137.73321</v>
      </c>
      <c r="L15" s="447">
        <f>L12</f>
        <v>15137.73321</v>
      </c>
    </row>
    <row r="16" spans="1:12" x14ac:dyDescent="0.25">
      <c r="A16" s="555"/>
      <c r="B16" s="448" t="s">
        <v>2482</v>
      </c>
      <c r="C16" s="443"/>
      <c r="D16" s="449"/>
      <c r="E16" s="449"/>
      <c r="F16" s="449"/>
      <c r="G16" s="445">
        <v>15055.1</v>
      </c>
      <c r="H16" s="445">
        <v>14962.46</v>
      </c>
      <c r="I16" s="445">
        <v>15055.1</v>
      </c>
      <c r="J16" s="445">
        <v>15055.1</v>
      </c>
      <c r="K16" s="445">
        <f>+J15+J23</f>
        <v>15055.1</v>
      </c>
      <c r="L16" s="445">
        <f>+K15+K23</f>
        <v>15137.73321</v>
      </c>
    </row>
    <row r="17" spans="1:12" x14ac:dyDescent="0.25">
      <c r="A17" s="555"/>
      <c r="B17" s="450" t="s">
        <v>2483</v>
      </c>
      <c r="C17" s="451"/>
      <c r="D17" s="452"/>
      <c r="E17" s="452"/>
      <c r="F17" s="452"/>
      <c r="G17" s="453">
        <v>14114.1</v>
      </c>
      <c r="H17" s="445">
        <v>15055.1</v>
      </c>
      <c r="I17" s="445">
        <v>14962.46</v>
      </c>
      <c r="J17" s="445">
        <v>15055.1</v>
      </c>
      <c r="K17" s="445">
        <f>J16</f>
        <v>15055.1</v>
      </c>
      <c r="L17" s="445">
        <f>K16</f>
        <v>15055.1</v>
      </c>
    </row>
    <row r="18" spans="1:12" x14ac:dyDescent="0.25">
      <c r="A18" s="555"/>
      <c r="B18" s="454" t="s">
        <v>2484</v>
      </c>
      <c r="C18" s="455"/>
      <c r="D18" s="456"/>
      <c r="E18" s="456"/>
      <c r="F18" s="456"/>
      <c r="G18" s="457">
        <f>ROUND(AVERAGE(G15:G17),4)</f>
        <v>14710.5533</v>
      </c>
      <c r="H18" s="457">
        <f>IF(ISBLANK(H9),0,ROUND(AVERAGE(H15:H17),4))</f>
        <v>15024.22</v>
      </c>
      <c r="I18" s="457">
        <f>IF(ISBLANK(I9),0,ROUND(AVERAGE(I15:I17),4))</f>
        <v>15024.22</v>
      </c>
      <c r="J18" s="457">
        <f>IF(ISBLANK(J9),0,ROUND(AVERAGE(J15:J17),4))</f>
        <v>15055.1</v>
      </c>
      <c r="K18" s="457">
        <f>IF(ISBLANK(K9),0,ROUND(AVERAGE(K15:K17),4))</f>
        <v>15082.644399999999</v>
      </c>
      <c r="L18" s="457">
        <f>IF(ISBLANK(L9),0,ROUND(AVERAGE(L15:L17),4))</f>
        <v>15110.1888</v>
      </c>
    </row>
    <row r="19" spans="1:12" x14ac:dyDescent="0.25">
      <c r="A19" s="458"/>
      <c r="B19" s="431" t="s">
        <v>2475</v>
      </c>
      <c r="C19" s="432"/>
      <c r="D19" s="459"/>
      <c r="E19" s="459"/>
      <c r="F19" s="459"/>
      <c r="G19" s="460"/>
      <c r="H19" s="434">
        <f>IFERROR((H18-G18)/G18,0)</f>
        <v>2.132256303370994E-2</v>
      </c>
      <c r="I19" s="434">
        <f t="shared" ref="I19:L19" si="3">IFERROR((I18-H18)/H18,0)</f>
        <v>0</v>
      </c>
      <c r="J19" s="434">
        <f t="shared" si="3"/>
        <v>2.0553479648195393E-3</v>
      </c>
      <c r="K19" s="434">
        <f t="shared" si="3"/>
        <v>1.8295727029377991E-3</v>
      </c>
      <c r="L19" s="434">
        <f t="shared" si="3"/>
        <v>1.8262314796734637E-3</v>
      </c>
    </row>
    <row r="20" spans="1:12" x14ac:dyDescent="0.25">
      <c r="A20" s="423"/>
      <c r="B20" s="461"/>
      <c r="C20" s="462"/>
      <c r="D20" s="463"/>
      <c r="E20" s="463"/>
      <c r="F20" s="463"/>
      <c r="G20" s="464"/>
      <c r="H20" s="464"/>
      <c r="I20" s="464"/>
      <c r="J20" s="464"/>
    </row>
    <row r="21" spans="1:12" x14ac:dyDescent="0.25">
      <c r="A21" s="465"/>
      <c r="B21" s="466" t="s">
        <v>2485</v>
      </c>
      <c r="C21" s="467"/>
      <c r="D21" s="468"/>
      <c r="E21" s="469"/>
      <c r="F21" s="468"/>
      <c r="G21" s="439">
        <f>ROUND(G9-G12,4)</f>
        <v>0</v>
      </c>
      <c r="H21" s="439">
        <f t="shared" ref="H21:J21" si="4">ROUND(H9-H12,4)</f>
        <v>177.63</v>
      </c>
      <c r="I21" s="439">
        <f t="shared" si="4"/>
        <v>453.63</v>
      </c>
      <c r="J21" s="439">
        <f t="shared" si="4"/>
        <v>734.63</v>
      </c>
      <c r="K21" s="439">
        <f t="shared" ref="K21:L21" si="5">ROUND(K9-K12,4)</f>
        <v>652.99680000000001</v>
      </c>
      <c r="L21" s="439">
        <f t="shared" si="5"/>
        <v>654.57680000000005</v>
      </c>
    </row>
    <row r="22" spans="1:12" x14ac:dyDescent="0.25">
      <c r="A22" s="555" t="s">
        <v>2486</v>
      </c>
      <c r="B22" s="470" t="s">
        <v>2487</v>
      </c>
      <c r="C22" s="471"/>
      <c r="D22" s="449"/>
      <c r="E22" s="472"/>
      <c r="F22" s="449"/>
      <c r="G22" s="446">
        <f>H18*H4</f>
        <v>82.633209999999991</v>
      </c>
      <c r="H22" s="446">
        <f>H18*H$4</f>
        <v>82.633209999999991</v>
      </c>
      <c r="I22" s="446">
        <f>I18*I$4</f>
        <v>0</v>
      </c>
      <c r="J22" s="446">
        <f>J18*J$4</f>
        <v>0</v>
      </c>
      <c r="K22" s="446">
        <f t="shared" ref="K22:L22" si="6">K18*K$4</f>
        <v>0</v>
      </c>
      <c r="L22" s="446">
        <f t="shared" si="6"/>
        <v>0</v>
      </c>
    </row>
    <row r="23" spans="1:12" x14ac:dyDescent="0.25">
      <c r="A23" s="555"/>
      <c r="B23" s="442" t="s">
        <v>2488</v>
      </c>
      <c r="C23" s="443"/>
      <c r="D23" s="473"/>
      <c r="E23" s="473"/>
      <c r="F23" s="473"/>
      <c r="G23" s="474">
        <f>IF(G$9&gt;G$11,MIN(ROUND(G$9-G$11,4),G22),0)</f>
        <v>0</v>
      </c>
      <c r="H23" s="474">
        <f>IF(H$9&gt;H$11,MIN(ROUND(H$9-H$11,4),H22),0)</f>
        <v>82.633209999999991</v>
      </c>
      <c r="I23" s="474">
        <f>IF(I$9&gt;I$11,MIN(ROUND(I$9-I$11,4),I22),0)</f>
        <v>0</v>
      </c>
      <c r="J23" s="474">
        <f>IF(J$9&gt;J$11,MIN(ROUND(J$9-J$11,4),J22),0)</f>
        <v>0</v>
      </c>
      <c r="K23" s="474">
        <f t="shared" ref="K23:L23" si="7">IF(K$9&gt;K$11,MIN(ROUND(K$9-K$11,4),K22),0)</f>
        <v>0</v>
      </c>
      <c r="L23" s="474">
        <f t="shared" si="7"/>
        <v>0</v>
      </c>
    </row>
    <row r="24" spans="1:12" x14ac:dyDescent="0.25">
      <c r="A24" s="555"/>
      <c r="B24" s="475" t="s">
        <v>2489</v>
      </c>
      <c r="C24" s="476"/>
      <c r="D24" s="477"/>
      <c r="E24" s="477"/>
      <c r="F24" s="477"/>
      <c r="G24" s="478">
        <f>IF(G21&gt;G23,G21-G23,0)</f>
        <v>0</v>
      </c>
      <c r="H24" s="478">
        <f>IF(H21&gt;H23,H21-H23,0)</f>
        <v>94.996790000000004</v>
      </c>
      <c r="I24" s="478">
        <f>IF(I21&gt;I23,I21-I23,0)</f>
        <v>453.63</v>
      </c>
      <c r="J24" s="478">
        <f>IF(J21&gt;J23,J21-J23,0)</f>
        <v>734.63</v>
      </c>
      <c r="K24" s="478">
        <f t="shared" ref="K24:L24" si="8">IF(K21&gt;K23,K21-K23,0)</f>
        <v>652.99680000000001</v>
      </c>
      <c r="L24" s="478">
        <f t="shared" si="8"/>
        <v>654.57680000000005</v>
      </c>
    </row>
    <row r="25" spans="1:12" ht="15.75" x14ac:dyDescent="0.25">
      <c r="A25" s="555"/>
      <c r="B25" s="479" t="s">
        <v>2490</v>
      </c>
      <c r="C25" s="480"/>
      <c r="D25" s="481"/>
      <c r="E25" s="481"/>
      <c r="F25" s="481"/>
      <c r="G25" s="482">
        <f>IF(ISBLANK(G9),0,G18+G23)</f>
        <v>14710.5533</v>
      </c>
      <c r="H25" s="482">
        <f>IF(ISBLANK(H9),0,H18+H23)</f>
        <v>15106.853209999999</v>
      </c>
      <c r="I25" s="482">
        <f>IF(ISBLANK(I9),0,I18+I23)</f>
        <v>15024.22</v>
      </c>
      <c r="J25" s="482">
        <f>IF(ISBLANK(J9),0,J18+J23)</f>
        <v>15055.1</v>
      </c>
      <c r="K25" s="482">
        <f t="shared" ref="K25:L25" si="9">IF(ISBLANK(K9),0,K18+K23)</f>
        <v>15082.644399999999</v>
      </c>
      <c r="L25" s="482">
        <f t="shared" si="9"/>
        <v>15110.1888</v>
      </c>
    </row>
    <row r="26" spans="1:12" x14ac:dyDescent="0.25">
      <c r="A26" s="458"/>
      <c r="B26" s="483" t="s">
        <v>2475</v>
      </c>
      <c r="C26" s="484"/>
      <c r="D26" s="485"/>
      <c r="E26" s="485"/>
      <c r="F26" s="485"/>
      <c r="G26" s="486"/>
      <c r="H26" s="487">
        <f>IFERROR((H25-G25)/G25,0)</f>
        <v>2.6939837130395342E-2</v>
      </c>
      <c r="I26" s="487">
        <f t="shared" ref="I26:J26" si="10">IFERROR((I25-H25)/H25,0)</f>
        <v>-5.4699154649428122E-3</v>
      </c>
      <c r="J26" s="487">
        <f t="shared" si="10"/>
        <v>2.0553479648195393E-3</v>
      </c>
      <c r="K26" s="487">
        <f t="shared" ref="K26" si="11">IFERROR((K25-J25)/J25,0)</f>
        <v>1.8295727029377991E-3</v>
      </c>
      <c r="L26" s="487">
        <f t="shared" ref="L26" si="12">IFERROR((L25-K25)/K25,0)</f>
        <v>1.8262314796734637E-3</v>
      </c>
    </row>
    <row r="27" spans="1:12" x14ac:dyDescent="0.25">
      <c r="A27" s="458"/>
      <c r="B27" s="431"/>
      <c r="C27" s="432"/>
      <c r="D27" s="459"/>
      <c r="E27" s="459"/>
      <c r="F27" s="459"/>
      <c r="G27" s="460"/>
      <c r="H27" s="434"/>
      <c r="I27" s="434"/>
      <c r="J27" s="434"/>
    </row>
    <row r="28" spans="1:12" ht="19.5" thickBot="1" x14ac:dyDescent="0.35">
      <c r="A28" s="488" t="s">
        <v>2491</v>
      </c>
      <c r="B28" s="489"/>
      <c r="C28" s="490"/>
      <c r="D28" s="426"/>
      <c r="E28" s="426"/>
      <c r="F28" s="426"/>
      <c r="G28" s="426"/>
      <c r="H28" s="426"/>
      <c r="I28" s="426"/>
      <c r="J28" s="426"/>
    </row>
    <row r="29" spans="1:12" x14ac:dyDescent="0.25">
      <c r="A29" s="403"/>
      <c r="B29" s="403"/>
      <c r="C29" s="403"/>
      <c r="D29" s="405"/>
      <c r="E29" s="405"/>
      <c r="F29" s="405"/>
      <c r="G29" s="405"/>
      <c r="H29" s="405"/>
      <c r="I29" s="405"/>
      <c r="J29" s="491"/>
    </row>
    <row r="30" spans="1:12" x14ac:dyDescent="0.25">
      <c r="A30" s="556" t="s">
        <v>2492</v>
      </c>
      <c r="B30" s="557" t="s">
        <v>2493</v>
      </c>
      <c r="C30" s="492" t="s">
        <v>2494</v>
      </c>
      <c r="D30" s="493"/>
      <c r="E30" s="494"/>
      <c r="F30" s="495">
        <f>IFERROR(VLOOKUP([1]Assumptions!C3,'[1]FTES Data Source'!$A$9:$R$80,17,FALSE),0)</f>
        <v>0</v>
      </c>
      <c r="G30" s="495"/>
      <c r="H30" s="495"/>
      <c r="I30" s="495"/>
      <c r="J30" s="495"/>
    </row>
    <row r="31" spans="1:12" x14ac:dyDescent="0.25">
      <c r="A31" s="556"/>
      <c r="B31" s="557"/>
      <c r="C31" s="496" t="s">
        <v>2487</v>
      </c>
      <c r="D31" s="497"/>
      <c r="E31" s="498"/>
      <c r="F31" s="497"/>
      <c r="G31" s="499" t="e">
        <f>G71</f>
        <v>#VALUE!</v>
      </c>
      <c r="H31" s="499">
        <f t="shared" ref="H31:J31" si="13">H71</f>
        <v>0</v>
      </c>
      <c r="I31" s="499">
        <f t="shared" si="13"/>
        <v>0</v>
      </c>
      <c r="J31" s="499">
        <f t="shared" si="13"/>
        <v>0</v>
      </c>
    </row>
    <row r="32" spans="1:12" x14ac:dyDescent="0.25">
      <c r="A32" s="556"/>
      <c r="B32" s="557"/>
      <c r="C32" s="492" t="s">
        <v>2488</v>
      </c>
      <c r="D32" s="493"/>
      <c r="E32" s="494"/>
      <c r="F32" s="493"/>
      <c r="G32" s="474" t="e">
        <f>IF(G30&gt;SUM(F30,G31),G31,IF(G30&gt;F30,G30-F30,0))</f>
        <v>#VALUE!</v>
      </c>
      <c r="H32" s="474">
        <f t="shared" ref="H32:J32" si="14">IF(H30&gt;SUM(G30,H31),H31,IF(H30&gt;G30,H30-G30,0))</f>
        <v>0</v>
      </c>
      <c r="I32" s="474">
        <f t="shared" si="14"/>
        <v>0</v>
      </c>
      <c r="J32" s="474">
        <f t="shared" si="14"/>
        <v>0</v>
      </c>
    </row>
    <row r="33" spans="1:10" x14ac:dyDescent="0.25">
      <c r="A33" s="556"/>
      <c r="B33" s="557"/>
      <c r="C33" s="496" t="s">
        <v>2489</v>
      </c>
      <c r="D33" s="497"/>
      <c r="E33" s="498"/>
      <c r="F33" s="497"/>
      <c r="G33" s="499" t="e">
        <f>IF(ROUND(G30,2)&gt;SUM(F30,G32),G30-SUM(F30,G32),0)</f>
        <v>#VALUE!</v>
      </c>
      <c r="H33" s="499">
        <f>IF(ROUND(H30,2)&gt;SUM(G30,H32),H30-SUM(G30,H32),0)</f>
        <v>0</v>
      </c>
      <c r="I33" s="499">
        <f>IF(ROUND(I30,2)&gt;SUM(H30,I32),I30-SUM(H30,I32),0)</f>
        <v>0</v>
      </c>
      <c r="J33" s="499">
        <f>IF(ROUND(J30,2)&gt;SUM(I30,J32),J30-SUM(I30,J32),0)</f>
        <v>0</v>
      </c>
    </row>
    <row r="34" spans="1:10" x14ac:dyDescent="0.25">
      <c r="A34" s="556"/>
      <c r="B34" s="557"/>
      <c r="C34" s="500" t="s">
        <v>2490</v>
      </c>
      <c r="D34" s="498"/>
      <c r="E34" s="498"/>
      <c r="F34" s="498"/>
      <c r="G34" s="501" t="e">
        <f>IF(G30&gt;SUM(F30,G32),SUM(F30,G32),G30)</f>
        <v>#VALUE!</v>
      </c>
      <c r="H34" s="501">
        <f>IF(H30&gt;SUM(G30,H32),SUM(G30,H32),H30)</f>
        <v>0</v>
      </c>
      <c r="I34" s="501">
        <f>IF(I30&gt;SUM(H30,I32),SUM(H30,I32),I30)</f>
        <v>0</v>
      </c>
      <c r="J34" s="501">
        <f>IF(J30&gt;SUM(I30,J32),SUM(I30,J32),J30)</f>
        <v>0</v>
      </c>
    </row>
    <row r="35" spans="1:10" x14ac:dyDescent="0.25">
      <c r="A35" s="556"/>
      <c r="B35" s="502"/>
      <c r="C35" s="503"/>
      <c r="D35" s="504"/>
      <c r="E35" s="505"/>
      <c r="F35" s="504"/>
      <c r="G35" s="504"/>
      <c r="H35" s="504"/>
      <c r="I35" s="504"/>
      <c r="J35" s="504"/>
    </row>
    <row r="36" spans="1:10" x14ac:dyDescent="0.25">
      <c r="A36" s="556"/>
      <c r="B36" s="557" t="s">
        <v>2495</v>
      </c>
      <c r="C36" s="492" t="s">
        <v>2494</v>
      </c>
      <c r="D36" s="493"/>
      <c r="E36" s="494"/>
      <c r="F36" s="495">
        <f>IFERROR(VLOOKUP([1]Assumptions!C3,'[1]FTES Data Source'!#REF!,15,FALSE),0)</f>
        <v>0</v>
      </c>
      <c r="G36" s="495"/>
      <c r="H36" s="495"/>
      <c r="I36" s="495"/>
      <c r="J36" s="495"/>
    </row>
    <row r="37" spans="1:10" x14ac:dyDescent="0.25">
      <c r="A37" s="556"/>
      <c r="B37" s="557"/>
      <c r="C37" s="496" t="s">
        <v>2487</v>
      </c>
      <c r="D37" s="497"/>
      <c r="E37" s="498"/>
      <c r="F37" s="497"/>
      <c r="G37" s="499" t="e">
        <f>G76</f>
        <v>#VALUE!</v>
      </c>
      <c r="H37" s="499">
        <f t="shared" ref="H37:J37" si="15">H76</f>
        <v>0</v>
      </c>
      <c r="I37" s="499">
        <f t="shared" si="15"/>
        <v>0</v>
      </c>
      <c r="J37" s="499">
        <f t="shared" si="15"/>
        <v>0</v>
      </c>
    </row>
    <row r="38" spans="1:10" x14ac:dyDescent="0.25">
      <c r="A38" s="556"/>
      <c r="B38" s="557"/>
      <c r="C38" s="492" t="s">
        <v>2488</v>
      </c>
      <c r="D38" s="493"/>
      <c r="E38" s="494"/>
      <c r="F38" s="493"/>
      <c r="G38" s="474" t="e">
        <f>IF(G36&gt;SUM(F36,G37),G37,IF(G36&gt;F36,G36-F36,0))</f>
        <v>#VALUE!</v>
      </c>
      <c r="H38" s="474">
        <f t="shared" ref="H38:J38" si="16">IF(H36&gt;SUM(G36,H37),H37,IF(H36&gt;G36,H36-G36,0))</f>
        <v>0</v>
      </c>
      <c r="I38" s="474">
        <f t="shared" si="16"/>
        <v>0</v>
      </c>
      <c r="J38" s="474">
        <f t="shared" si="16"/>
        <v>0</v>
      </c>
    </row>
    <row r="39" spans="1:10" x14ac:dyDescent="0.25">
      <c r="A39" s="556"/>
      <c r="B39" s="557"/>
      <c r="C39" s="496" t="s">
        <v>2489</v>
      </c>
      <c r="D39" s="497"/>
      <c r="E39" s="498"/>
      <c r="F39" s="497"/>
      <c r="G39" s="499" t="e">
        <f>IF(ROUND(G36,2)&gt;SUM(F36,G38),G36-SUM(F36,G38),0)</f>
        <v>#VALUE!</v>
      </c>
      <c r="H39" s="499">
        <f>IF(ROUND(H36,2)&gt;SUM(G36,H38),H36-SUM(G36,H38),0)</f>
        <v>0</v>
      </c>
      <c r="I39" s="499">
        <f>IF(ROUND(I36,2)&gt;SUM(H36,I38),I36-SUM(H36,I38),0)</f>
        <v>0</v>
      </c>
      <c r="J39" s="499">
        <f>IF(ROUND(J36,2)&gt;SUM(I36,J38),J36-SUM(I36,J38),0)</f>
        <v>0</v>
      </c>
    </row>
    <row r="40" spans="1:10" x14ac:dyDescent="0.25">
      <c r="A40" s="556"/>
      <c r="B40" s="557"/>
      <c r="C40" s="500" t="s">
        <v>2490</v>
      </c>
      <c r="D40" s="498"/>
      <c r="E40" s="498"/>
      <c r="F40" s="498"/>
      <c r="G40" s="501" t="e">
        <f>IF(G36&gt;SUM(F36,G38),SUM(F36,G38),G36)</f>
        <v>#VALUE!</v>
      </c>
      <c r="H40" s="501">
        <f>IF(H36&gt;SUM(G36,H38),SUM(G36,H38),H36)</f>
        <v>0</v>
      </c>
      <c r="I40" s="501">
        <f>IF(I36&gt;SUM(H36,I38),SUM(H36,I38),I36)</f>
        <v>0</v>
      </c>
      <c r="J40" s="501">
        <f>IF(J36&gt;SUM(I36,J38),SUM(I36,J38),J36)</f>
        <v>0</v>
      </c>
    </row>
    <row r="41" spans="1:10" x14ac:dyDescent="0.25">
      <c r="A41" s="506"/>
      <c r="B41" s="507"/>
      <c r="C41" s="503"/>
      <c r="D41" s="504"/>
      <c r="E41" s="505"/>
      <c r="F41" s="504"/>
      <c r="G41" s="504"/>
      <c r="H41" s="504"/>
      <c r="I41" s="504"/>
      <c r="J41" s="504"/>
    </row>
    <row r="42" spans="1:10" x14ac:dyDescent="0.25">
      <c r="A42" s="556" t="s">
        <v>2496</v>
      </c>
      <c r="B42" s="557" t="s">
        <v>2497</v>
      </c>
      <c r="C42" s="492" t="s">
        <v>2494</v>
      </c>
      <c r="D42" s="493"/>
      <c r="E42" s="494"/>
      <c r="F42" s="495">
        <f>IFERROR(VLOOKUP([1]Assumptions!C3,'[1]FTES Data Source'!#REF!,7,FALSE),0)</f>
        <v>0</v>
      </c>
      <c r="G42" s="495"/>
      <c r="H42" s="495"/>
      <c r="I42" s="495"/>
      <c r="J42" s="495"/>
    </row>
    <row r="43" spans="1:10" x14ac:dyDescent="0.25">
      <c r="A43" s="556"/>
      <c r="B43" s="557"/>
      <c r="C43" s="496" t="s">
        <v>2487</v>
      </c>
      <c r="D43" s="497"/>
      <c r="E43" s="498"/>
      <c r="F43" s="497"/>
      <c r="G43" s="499" t="e">
        <f>G81</f>
        <v>#VALUE!</v>
      </c>
      <c r="H43" s="499">
        <f t="shared" ref="H43:J43" si="17">H81</f>
        <v>0</v>
      </c>
      <c r="I43" s="499">
        <f t="shared" si="17"/>
        <v>0</v>
      </c>
      <c r="J43" s="499">
        <f t="shared" si="17"/>
        <v>0</v>
      </c>
    </row>
    <row r="44" spans="1:10" x14ac:dyDescent="0.25">
      <c r="A44" s="556"/>
      <c r="B44" s="557"/>
      <c r="C44" s="492" t="s">
        <v>2488</v>
      </c>
      <c r="D44" s="493"/>
      <c r="E44" s="494"/>
      <c r="F44" s="493"/>
      <c r="G44" s="474" t="e">
        <f>IF(G42&gt;SUM(F42,G43),G43,IF(G42&gt;F42,G42-F42,0))</f>
        <v>#VALUE!</v>
      </c>
      <c r="H44" s="474">
        <f t="shared" ref="H44:J44" si="18">IF(H42&gt;SUM(G42,H43),H43,IF(H42&gt;G42,H42-G42,0))</f>
        <v>0</v>
      </c>
      <c r="I44" s="474">
        <f t="shared" si="18"/>
        <v>0</v>
      </c>
      <c r="J44" s="474">
        <f t="shared" si="18"/>
        <v>0</v>
      </c>
    </row>
    <row r="45" spans="1:10" x14ac:dyDescent="0.25">
      <c r="A45" s="556"/>
      <c r="B45" s="557"/>
      <c r="C45" s="496" t="s">
        <v>2489</v>
      </c>
      <c r="D45" s="497"/>
      <c r="E45" s="498"/>
      <c r="F45" s="497"/>
      <c r="G45" s="499" t="e">
        <f>IF(ROUND(G42,2)&gt;SUM(F42,G44),G42-SUM(F42,G44),0)</f>
        <v>#VALUE!</v>
      </c>
      <c r="H45" s="499">
        <f>IF(ROUND(H42,2)&gt;SUM(G42,H44),H42-SUM(G42,H44),0)</f>
        <v>0</v>
      </c>
      <c r="I45" s="499">
        <f>IF(ROUND(I42,2)&gt;SUM(H42,I44),I42-SUM(H42,I44),0)</f>
        <v>0</v>
      </c>
      <c r="J45" s="499">
        <f>IF(ROUND(J42,2)&gt;SUM(I42,J44),J42-SUM(I42,J44),0)</f>
        <v>0</v>
      </c>
    </row>
    <row r="46" spans="1:10" x14ac:dyDescent="0.25">
      <c r="A46" s="556"/>
      <c r="B46" s="557"/>
      <c r="C46" s="500" t="s">
        <v>2490</v>
      </c>
      <c r="D46" s="498"/>
      <c r="E46" s="498"/>
      <c r="F46" s="498"/>
      <c r="G46" s="501" t="e">
        <f>IF(G42&gt;SUM(F42,G44),SUM(F42,G44),G42)</f>
        <v>#VALUE!</v>
      </c>
      <c r="H46" s="501">
        <f>IF(H42&gt;SUM(G42,H44),SUM(G42,H44),H42)</f>
        <v>0</v>
      </c>
      <c r="I46" s="501">
        <f>IF(I42&gt;SUM(H42,I44),SUM(H42,I44),I42)</f>
        <v>0</v>
      </c>
      <c r="J46" s="501">
        <f>IF(J42&gt;SUM(I42,J44),SUM(I42,J44),J42)</f>
        <v>0</v>
      </c>
    </row>
    <row r="47" spans="1:10" x14ac:dyDescent="0.25">
      <c r="A47" s="556"/>
      <c r="B47" s="502"/>
      <c r="C47" s="503"/>
      <c r="D47" s="504"/>
      <c r="E47" s="505"/>
      <c r="F47" s="504"/>
      <c r="G47" s="504"/>
      <c r="H47" s="504"/>
      <c r="I47" s="504"/>
      <c r="J47" s="504"/>
    </row>
    <row r="48" spans="1:10" x14ac:dyDescent="0.25">
      <c r="A48" s="556"/>
      <c r="B48" s="559" t="s">
        <v>2498</v>
      </c>
      <c r="C48" s="492" t="s">
        <v>2494</v>
      </c>
      <c r="D48" s="493"/>
      <c r="E48" s="494"/>
      <c r="F48" s="495">
        <f>IFERROR(VLOOKUP([1]Assumptions!C3,'[1]FTES Data Source'!#REF!,8,FALSE),0)</f>
        <v>0</v>
      </c>
      <c r="G48" s="495"/>
      <c r="H48" s="495"/>
      <c r="I48" s="495"/>
      <c r="J48" s="495"/>
    </row>
    <row r="49" spans="1:10" x14ac:dyDescent="0.25">
      <c r="A49" s="556"/>
      <c r="B49" s="559"/>
      <c r="C49" s="496" t="s">
        <v>2487</v>
      </c>
      <c r="D49" s="497"/>
      <c r="E49" s="498"/>
      <c r="F49" s="497"/>
      <c r="G49" s="499" t="e">
        <f>G86</f>
        <v>#VALUE!</v>
      </c>
      <c r="H49" s="499">
        <f t="shared" ref="H49:J49" si="19">H86</f>
        <v>0</v>
      </c>
      <c r="I49" s="499">
        <f t="shared" si="19"/>
        <v>0</v>
      </c>
      <c r="J49" s="499">
        <f t="shared" si="19"/>
        <v>0</v>
      </c>
    </row>
    <row r="50" spans="1:10" x14ac:dyDescent="0.25">
      <c r="A50" s="556"/>
      <c r="B50" s="559"/>
      <c r="C50" s="492" t="s">
        <v>2488</v>
      </c>
      <c r="D50" s="493"/>
      <c r="E50" s="494"/>
      <c r="F50" s="493"/>
      <c r="G50" s="474" t="e">
        <f>IF(G48&gt;SUM(F48,G49),G49,IF(G48&gt;F48,G48-F48,0))</f>
        <v>#VALUE!</v>
      </c>
      <c r="H50" s="474">
        <f t="shared" ref="H50:J50" si="20">IF(H48&gt;SUM(G48,H49),H49,IF(H48&gt;G48,H48-G48,0))</f>
        <v>0</v>
      </c>
      <c r="I50" s="474">
        <f t="shared" si="20"/>
        <v>0</v>
      </c>
      <c r="J50" s="474">
        <f t="shared" si="20"/>
        <v>0</v>
      </c>
    </row>
    <row r="51" spans="1:10" x14ac:dyDescent="0.25">
      <c r="A51" s="556"/>
      <c r="B51" s="559"/>
      <c r="C51" s="496" t="s">
        <v>2489</v>
      </c>
      <c r="D51" s="497"/>
      <c r="E51" s="498"/>
      <c r="F51" s="497"/>
      <c r="G51" s="499" t="e">
        <f>IF(ROUND(G48,2)&gt;SUM(F48,G50),G48-SUM(F48,G50),0)</f>
        <v>#VALUE!</v>
      </c>
      <c r="H51" s="499">
        <f>IF(ROUND(H48,2)&gt;SUM(G48,H50),H48-SUM(G48,H50),0)</f>
        <v>0</v>
      </c>
      <c r="I51" s="499">
        <f>IF(ROUND(I48,2)&gt;SUM(H48,I50),I48-SUM(H48,I50),0)</f>
        <v>0</v>
      </c>
      <c r="J51" s="499">
        <f>IF(ROUND(J48,2)&gt;SUM(I48,J50),J48-SUM(I48,J50),0)</f>
        <v>0</v>
      </c>
    </row>
    <row r="52" spans="1:10" x14ac:dyDescent="0.25">
      <c r="A52" s="556"/>
      <c r="B52" s="559"/>
      <c r="C52" s="500" t="s">
        <v>2490</v>
      </c>
      <c r="D52" s="498"/>
      <c r="E52" s="498"/>
      <c r="F52" s="498"/>
      <c r="G52" s="501" t="e">
        <f>IF(G48&gt;SUM(F48,G50),SUM(F48,G50),G48)</f>
        <v>#VALUE!</v>
      </c>
      <c r="H52" s="501">
        <f>IF(H48&gt;SUM(G48,H50),SUM(G48,H50),H48)</f>
        <v>0</v>
      </c>
      <c r="I52" s="501">
        <f>IF(I48&gt;SUM(H48,I50),SUM(H48,I50),I48)</f>
        <v>0</v>
      </c>
      <c r="J52" s="501">
        <f>IF(J48&gt;SUM(I48,J50),SUM(I48,J50),J48)</f>
        <v>0</v>
      </c>
    </row>
    <row r="53" spans="1:10" x14ac:dyDescent="0.25">
      <c r="A53" s="556"/>
      <c r="B53" s="502"/>
      <c r="C53" s="503"/>
      <c r="D53" s="504"/>
      <c r="E53" s="505"/>
      <c r="F53" s="504"/>
      <c r="G53" s="504"/>
      <c r="H53" s="504"/>
      <c r="I53" s="504"/>
      <c r="J53" s="504"/>
    </row>
    <row r="54" spans="1:10" x14ac:dyDescent="0.25">
      <c r="A54" s="556"/>
      <c r="B54" s="557" t="s">
        <v>2499</v>
      </c>
      <c r="C54" s="492" t="s">
        <v>2494</v>
      </c>
      <c r="D54" s="493"/>
      <c r="E54" s="494"/>
      <c r="F54" s="495">
        <f>IFERROR(VLOOKUP([1]Assumptions!C3,'[1]FTES Data Source'!#REF!,16,FALSE),0)</f>
        <v>0</v>
      </c>
      <c r="G54" s="495"/>
      <c r="H54" s="495"/>
      <c r="I54" s="495"/>
      <c r="J54" s="495"/>
    </row>
    <row r="55" spans="1:10" x14ac:dyDescent="0.25">
      <c r="A55" s="556"/>
      <c r="B55" s="557"/>
      <c r="C55" s="496" t="s">
        <v>2487</v>
      </c>
      <c r="D55" s="497"/>
      <c r="E55" s="498"/>
      <c r="F55" s="497"/>
      <c r="G55" s="499" t="e">
        <f>G91</f>
        <v>#VALUE!</v>
      </c>
      <c r="H55" s="499">
        <f t="shared" ref="H55:J55" si="21">H91</f>
        <v>0</v>
      </c>
      <c r="I55" s="499">
        <f t="shared" si="21"/>
        <v>0</v>
      </c>
      <c r="J55" s="499">
        <f t="shared" si="21"/>
        <v>0</v>
      </c>
    </row>
    <row r="56" spans="1:10" x14ac:dyDescent="0.25">
      <c r="A56" s="556"/>
      <c r="B56" s="557"/>
      <c r="C56" s="492" t="s">
        <v>2488</v>
      </c>
      <c r="D56" s="493"/>
      <c r="E56" s="494"/>
      <c r="F56" s="493"/>
      <c r="G56" s="474" t="e">
        <f>IF(G54&gt;SUM(F54,G55),G55,IF(G54&gt;F54,G54-F54,0))</f>
        <v>#VALUE!</v>
      </c>
      <c r="H56" s="474">
        <f t="shared" ref="H56:J56" si="22">IF(H54&gt;SUM(G54,H55),H55,IF(H54&gt;G54,H54-G54,0))</f>
        <v>0</v>
      </c>
      <c r="I56" s="474">
        <f t="shared" si="22"/>
        <v>0</v>
      </c>
      <c r="J56" s="474">
        <f t="shared" si="22"/>
        <v>0</v>
      </c>
    </row>
    <row r="57" spans="1:10" x14ac:dyDescent="0.25">
      <c r="A57" s="556"/>
      <c r="B57" s="557"/>
      <c r="C57" s="496" t="s">
        <v>2489</v>
      </c>
      <c r="D57" s="497"/>
      <c r="E57" s="498"/>
      <c r="F57" s="497"/>
      <c r="G57" s="499" t="e">
        <f>IF(ROUND(G54,2)&gt;SUM(F54,G56),G54-SUM(F54,G56),0)</f>
        <v>#VALUE!</v>
      </c>
      <c r="H57" s="499">
        <f>IF(ROUND(H54,2)&gt;SUM(G54,H56),H54-SUM(G54,H56),0)</f>
        <v>0</v>
      </c>
      <c r="I57" s="499">
        <f>IF(ROUND(I54,2)&gt;SUM(H54,I56),I54-SUM(H54,I56),0)</f>
        <v>0</v>
      </c>
      <c r="J57" s="499">
        <f>IF(ROUND(J54,2)&gt;SUM(I54,J56),J54-SUM(I54,J56),0)</f>
        <v>0</v>
      </c>
    </row>
    <row r="58" spans="1:10" x14ac:dyDescent="0.25">
      <c r="A58" s="556"/>
      <c r="B58" s="557"/>
      <c r="C58" s="500" t="s">
        <v>2490</v>
      </c>
      <c r="D58" s="498"/>
      <c r="E58" s="498"/>
      <c r="F58" s="498"/>
      <c r="G58" s="501" t="e">
        <f>IF(G54&gt;SUM(F54,G56),SUM(F54,G56),G54)</f>
        <v>#VALUE!</v>
      </c>
      <c r="H58" s="501">
        <f>IF(H54&gt;SUM(G54,H56),SUM(G54,H56),H54)</f>
        <v>0</v>
      </c>
      <c r="I58" s="501">
        <f>IF(I54&gt;SUM(H54,I56),SUM(H54,I56),I54)</f>
        <v>0</v>
      </c>
      <c r="J58" s="501">
        <f>IF(J54&gt;SUM(I54,J56),SUM(I54,J56),J54)</f>
        <v>0</v>
      </c>
    </row>
    <row r="59" spans="1:10" ht="19.5" thickBot="1" x14ac:dyDescent="0.35">
      <c r="A59" s="488" t="s">
        <v>2500</v>
      </c>
      <c r="B59" s="489"/>
      <c r="C59" s="508"/>
      <c r="D59" s="508"/>
      <c r="E59" s="508"/>
      <c r="F59" s="508"/>
      <c r="G59" s="508"/>
      <c r="H59" s="508"/>
      <c r="I59" s="422"/>
      <c r="J59" s="422"/>
    </row>
    <row r="60" spans="1:10" x14ac:dyDescent="0.25">
      <c r="A60" s="509"/>
      <c r="B60" s="426" t="s">
        <v>2501</v>
      </c>
      <c r="C60" s="414"/>
      <c r="D60" s="414"/>
      <c r="E60" s="414"/>
      <c r="F60" s="414"/>
      <c r="G60" s="510">
        <f>IFERROR(SUM(G68,G73,G78,G83,G88,G93),0)</f>
        <v>0</v>
      </c>
      <c r="H60" s="510">
        <f t="shared" ref="H60:J60" si="23">IFERROR(SUM(H68,H73,H78,H83,H88,H93),0)</f>
        <v>318055.18680000002</v>
      </c>
      <c r="I60" s="510">
        <f t="shared" si="23"/>
        <v>0</v>
      </c>
      <c r="J60" s="510">
        <f t="shared" si="23"/>
        <v>0</v>
      </c>
    </row>
    <row r="61" spans="1:10" x14ac:dyDescent="0.25">
      <c r="A61" s="509"/>
      <c r="B61" s="511" t="s">
        <v>2502</v>
      </c>
      <c r="C61" s="512"/>
      <c r="D61" s="512"/>
      <c r="E61" s="512"/>
      <c r="F61" s="512"/>
      <c r="G61" s="513">
        <f>IFERROR(G23*G67
+G32*G72
+G38*G77
+G44*G82
+G50*G87
+G56*G92,
0)</f>
        <v>0</v>
      </c>
      <c r="H61" s="513">
        <f>IFERROR(H23*H67
+H32*H72
+H38*H77
+H44*H82
+H50*H87
+H56*H92,
0)</f>
        <v>318055.22528999997</v>
      </c>
      <c r="I61" s="513">
        <f>IFERROR(I23*I67
+I32*I72
+I38*I77
+I44*I82
+I50*I87
+I56*I92,
0)</f>
        <v>0</v>
      </c>
      <c r="J61" s="513">
        <f>IFERROR(J23*J67
+J32*J72
+J38*J77
+J44*J82
+J50*J87
+J56*J92,
0)</f>
        <v>0</v>
      </c>
    </row>
    <row r="62" spans="1:10" x14ac:dyDescent="0.25">
      <c r="A62" s="509"/>
      <c r="B62" s="490" t="s">
        <v>2503</v>
      </c>
      <c r="C62" s="413"/>
      <c r="D62" s="413"/>
      <c r="E62" s="413"/>
      <c r="F62" s="413"/>
      <c r="G62" s="514">
        <f>G60-G61</f>
        <v>0</v>
      </c>
      <c r="H62" s="514">
        <f t="shared" ref="H62:J62" si="24">H60-H61</f>
        <v>-3.8489999948069453E-2</v>
      </c>
      <c r="I62" s="514">
        <f t="shared" si="24"/>
        <v>0</v>
      </c>
      <c r="J62" s="514">
        <f t="shared" si="24"/>
        <v>0</v>
      </c>
    </row>
    <row r="63" spans="1:10" x14ac:dyDescent="0.25">
      <c r="A63" s="403"/>
      <c r="B63" s="507"/>
      <c r="C63" s="515"/>
      <c r="D63" s="504"/>
      <c r="E63" s="505"/>
      <c r="F63" s="504"/>
      <c r="G63" s="504"/>
      <c r="H63" s="504"/>
      <c r="I63" s="504"/>
      <c r="J63" s="504"/>
    </row>
    <row r="64" spans="1:10" x14ac:dyDescent="0.25">
      <c r="A64" s="403"/>
      <c r="B64" s="507"/>
      <c r="C64" s="515"/>
      <c r="D64" s="504"/>
      <c r="E64" s="505"/>
      <c r="F64" s="504"/>
      <c r="G64" s="504"/>
      <c r="H64" s="504"/>
      <c r="I64" s="504"/>
      <c r="J64" s="504"/>
    </row>
    <row r="65" spans="1:10" x14ac:dyDescent="0.25">
      <c r="A65" s="558" t="s">
        <v>2492</v>
      </c>
      <c r="B65" s="557" t="s">
        <v>2504</v>
      </c>
      <c r="C65" s="516" t="s">
        <v>2505</v>
      </c>
      <c r="D65" s="517"/>
      <c r="E65" s="517"/>
      <c r="F65" s="517"/>
      <c r="G65" s="499">
        <f>G18</f>
        <v>14710.5533</v>
      </c>
      <c r="H65" s="499">
        <f>H18</f>
        <v>15024.22</v>
      </c>
      <c r="I65" s="499">
        <f>I18</f>
        <v>15024.22</v>
      </c>
      <c r="J65" s="499">
        <f>J18</f>
        <v>15055.1</v>
      </c>
    </row>
    <row r="66" spans="1:10" x14ac:dyDescent="0.25">
      <c r="A66" s="558"/>
      <c r="B66" s="557"/>
      <c r="C66" s="516" t="s">
        <v>2487</v>
      </c>
      <c r="D66" s="517"/>
      <c r="E66" s="517"/>
      <c r="F66" s="517"/>
      <c r="G66" s="499" t="e">
        <f>ROUND(G65*G$4,4)</f>
        <v>#VALUE!</v>
      </c>
      <c r="H66" s="499">
        <f>ROUND(H65*H$4,4)</f>
        <v>82.633200000000002</v>
      </c>
      <c r="I66" s="499">
        <f>ROUND(I65*I$4,4)</f>
        <v>0</v>
      </c>
      <c r="J66" s="499">
        <f>ROUND(J65*J$4,4)</f>
        <v>0</v>
      </c>
    </row>
    <row r="67" spans="1:10" x14ac:dyDescent="0.25">
      <c r="A67" s="558"/>
      <c r="B67" s="557"/>
      <c r="C67" s="516" t="s">
        <v>2506</v>
      </c>
      <c r="D67" s="517"/>
      <c r="E67" s="517"/>
      <c r="F67" s="517"/>
      <c r="G67" s="518">
        <v>3727</v>
      </c>
      <c r="H67" s="521">
        <v>3849</v>
      </c>
      <c r="I67" s="518">
        <f>[1]Assumptions!F15</f>
        <v>3387</v>
      </c>
      <c r="J67" s="518">
        <f>[1]Assumptions!G15</f>
        <v>3474.05</v>
      </c>
    </row>
    <row r="68" spans="1:10" x14ac:dyDescent="0.25">
      <c r="A68" s="558"/>
      <c r="B68" s="557"/>
      <c r="C68" s="516" t="s">
        <v>2507</v>
      </c>
      <c r="D68" s="517"/>
      <c r="E68" s="517"/>
      <c r="F68" s="517"/>
      <c r="G68" s="514" t="e">
        <f>G66*G67</f>
        <v>#VALUE!</v>
      </c>
      <c r="H68" s="514">
        <f t="shared" ref="H68:J68" si="25">H66*H67</f>
        <v>318055.18680000002</v>
      </c>
      <c r="I68" s="514">
        <f t="shared" si="25"/>
        <v>0</v>
      </c>
      <c r="J68" s="514">
        <f t="shared" si="25"/>
        <v>0</v>
      </c>
    </row>
    <row r="69" spans="1:10" x14ac:dyDescent="0.25">
      <c r="A69" s="558"/>
      <c r="B69" s="507"/>
      <c r="C69" s="515"/>
      <c r="D69" s="504"/>
      <c r="E69" s="505"/>
      <c r="F69" s="504"/>
      <c r="G69" s="499"/>
      <c r="H69" s="499"/>
      <c r="I69" s="499"/>
      <c r="J69" s="499"/>
    </row>
    <row r="70" spans="1:10" x14ac:dyDescent="0.25">
      <c r="A70" s="558"/>
      <c r="B70" s="559" t="s">
        <v>2493</v>
      </c>
      <c r="C70" s="519" t="s">
        <v>2508</v>
      </c>
      <c r="D70" s="517"/>
      <c r="E70" s="517"/>
      <c r="F70" s="517"/>
      <c r="G70" s="499">
        <f>F30</f>
        <v>0</v>
      </c>
      <c r="H70" s="499">
        <f>G30</f>
        <v>0</v>
      </c>
      <c r="I70" s="499">
        <f>H30</f>
        <v>0</v>
      </c>
      <c r="J70" s="499">
        <f>I30</f>
        <v>0</v>
      </c>
    </row>
    <row r="71" spans="1:10" x14ac:dyDescent="0.25">
      <c r="A71" s="558"/>
      <c r="B71" s="559"/>
      <c r="C71" s="516" t="s">
        <v>2487</v>
      </c>
      <c r="D71" s="517"/>
      <c r="E71" s="517"/>
      <c r="F71" s="517"/>
      <c r="G71" s="499" t="e">
        <f>ROUND(G70*G$4,4)</f>
        <v>#VALUE!</v>
      </c>
      <c r="H71" s="499">
        <f>ROUND(H70*H$4,4)</f>
        <v>0</v>
      </c>
      <c r="I71" s="499">
        <f>ROUND(I70*I$4,4)</f>
        <v>0</v>
      </c>
      <c r="J71" s="499">
        <f>ROUND(J70*J$4,4)</f>
        <v>0</v>
      </c>
    </row>
    <row r="72" spans="1:10" x14ac:dyDescent="0.25">
      <c r="A72" s="558"/>
      <c r="B72" s="559"/>
      <c r="C72" s="516" t="s">
        <v>2506</v>
      </c>
      <c r="D72" s="517"/>
      <c r="E72" s="517"/>
      <c r="F72" s="517"/>
      <c r="G72" s="518" t="str">
        <f>[1]Assumptions!D16</f>
        <v>Special Admit</v>
      </c>
      <c r="H72" s="521">
        <v>5635</v>
      </c>
      <c r="I72" s="518">
        <f>[1]Assumptions!H16</f>
        <v>0</v>
      </c>
      <c r="J72" s="518">
        <f>[1]Assumptions!I16</f>
        <v>5746.69</v>
      </c>
    </row>
    <row r="73" spans="1:10" x14ac:dyDescent="0.25">
      <c r="A73" s="558"/>
      <c r="B73" s="559"/>
      <c r="C73" s="516" t="s">
        <v>2507</v>
      </c>
      <c r="D73" s="517"/>
      <c r="E73" s="517"/>
      <c r="F73" s="517"/>
      <c r="G73" s="514" t="e">
        <f>G71*G72</f>
        <v>#VALUE!</v>
      </c>
      <c r="H73" s="514">
        <f t="shared" ref="H73:J73" si="26">H71*H72</f>
        <v>0</v>
      </c>
      <c r="I73" s="514">
        <f t="shared" si="26"/>
        <v>0</v>
      </c>
      <c r="J73" s="514">
        <f t="shared" si="26"/>
        <v>0</v>
      </c>
    </row>
    <row r="74" spans="1:10" x14ac:dyDescent="0.25">
      <c r="A74" s="558"/>
      <c r="B74" s="507"/>
      <c r="C74" s="515"/>
      <c r="D74" s="504"/>
      <c r="E74" s="505"/>
      <c r="F74" s="504"/>
      <c r="G74" s="504"/>
      <c r="H74" s="504"/>
      <c r="I74" s="504"/>
      <c r="J74" s="504"/>
    </row>
    <row r="75" spans="1:10" x14ac:dyDescent="0.25">
      <c r="A75" s="558"/>
      <c r="B75" s="557" t="s">
        <v>2509</v>
      </c>
      <c r="C75" s="516" t="s">
        <v>2508</v>
      </c>
      <c r="D75" s="517"/>
      <c r="E75" s="517"/>
      <c r="F75" s="517"/>
      <c r="G75" s="499">
        <f>F36</f>
        <v>0</v>
      </c>
      <c r="H75" s="499">
        <f>G36</f>
        <v>0</v>
      </c>
      <c r="I75" s="499">
        <f>H36</f>
        <v>0</v>
      </c>
      <c r="J75" s="499">
        <f>I36</f>
        <v>0</v>
      </c>
    </row>
    <row r="76" spans="1:10" x14ac:dyDescent="0.25">
      <c r="A76" s="558"/>
      <c r="B76" s="557"/>
      <c r="C76" s="516" t="s">
        <v>2487</v>
      </c>
      <c r="D76" s="517"/>
      <c r="E76" s="517"/>
      <c r="F76" s="517"/>
      <c r="G76" s="499" t="e">
        <f>ROUND(G75*G$4,4)</f>
        <v>#VALUE!</v>
      </c>
      <c r="H76" s="499">
        <f>ROUND(H75*H$4,4)</f>
        <v>0</v>
      </c>
      <c r="I76" s="499">
        <f>ROUND(I75*I$4,4)</f>
        <v>0</v>
      </c>
      <c r="J76" s="499">
        <f>ROUND(J75*J$4,4)</f>
        <v>0</v>
      </c>
    </row>
    <row r="77" spans="1:10" x14ac:dyDescent="0.25">
      <c r="A77" s="558"/>
      <c r="B77" s="557"/>
      <c r="C77" s="516" t="s">
        <v>2506</v>
      </c>
      <c r="D77" s="517"/>
      <c r="E77" s="517"/>
      <c r="F77" s="517"/>
      <c r="G77" s="518" t="str">
        <f>[1]Assumptions!D17</f>
        <v>Incarcerated Credit</v>
      </c>
      <c r="H77" s="521">
        <v>5635</v>
      </c>
      <c r="I77" s="518">
        <f>[1]Assumptions!H17</f>
        <v>0</v>
      </c>
      <c r="J77" s="518">
        <f>[1]Assumptions!I17</f>
        <v>5746.69</v>
      </c>
    </row>
    <row r="78" spans="1:10" x14ac:dyDescent="0.25">
      <c r="A78" s="558"/>
      <c r="B78" s="557"/>
      <c r="C78" s="516" t="s">
        <v>2507</v>
      </c>
      <c r="D78" s="517"/>
      <c r="E78" s="517"/>
      <c r="F78" s="517"/>
      <c r="G78" s="514" t="e">
        <f>G76*G77</f>
        <v>#VALUE!</v>
      </c>
      <c r="H78" s="514">
        <f t="shared" ref="H78:J78" si="27">H76*H77</f>
        <v>0</v>
      </c>
      <c r="I78" s="514">
        <f t="shared" si="27"/>
        <v>0</v>
      </c>
      <c r="J78" s="514">
        <f t="shared" si="27"/>
        <v>0</v>
      </c>
    </row>
    <row r="79" spans="1:10" x14ac:dyDescent="0.25">
      <c r="A79" s="465"/>
      <c r="B79" s="507"/>
      <c r="C79" s="515"/>
      <c r="D79" s="504"/>
      <c r="E79" s="505"/>
      <c r="F79" s="504"/>
      <c r="G79" s="499"/>
      <c r="H79" s="499"/>
      <c r="I79" s="499"/>
      <c r="J79" s="499"/>
    </row>
    <row r="80" spans="1:10" x14ac:dyDescent="0.25">
      <c r="A80" s="558" t="s">
        <v>2496</v>
      </c>
      <c r="B80" s="559" t="s">
        <v>2504</v>
      </c>
      <c r="C80" s="516" t="s">
        <v>2508</v>
      </c>
      <c r="D80" s="517"/>
      <c r="E80" s="517"/>
      <c r="F80" s="517"/>
      <c r="G80" s="499">
        <f>F42</f>
        <v>0</v>
      </c>
      <c r="H80" s="499">
        <f>G42</f>
        <v>0</v>
      </c>
      <c r="I80" s="499">
        <f>H42</f>
        <v>0</v>
      </c>
      <c r="J80" s="499">
        <f>I42</f>
        <v>0</v>
      </c>
    </row>
    <row r="81" spans="1:10" x14ac:dyDescent="0.25">
      <c r="A81" s="558"/>
      <c r="B81" s="559"/>
      <c r="C81" s="516" t="s">
        <v>2487</v>
      </c>
      <c r="D81" s="517"/>
      <c r="E81" s="517"/>
      <c r="F81" s="517"/>
      <c r="G81" s="499" t="e">
        <f>ROUND(G80*G$4,4)</f>
        <v>#VALUE!</v>
      </c>
      <c r="H81" s="499">
        <f>ROUND(H80*H$4,4)</f>
        <v>0</v>
      </c>
      <c r="I81" s="499">
        <f>ROUND(I80*I$4,4)</f>
        <v>0</v>
      </c>
      <c r="J81" s="499">
        <f>ROUND(J80*J$4,4)</f>
        <v>0</v>
      </c>
    </row>
    <row r="82" spans="1:10" x14ac:dyDescent="0.25">
      <c r="A82" s="558"/>
      <c r="B82" s="559"/>
      <c r="C82" s="516" t="s">
        <v>2506</v>
      </c>
      <c r="D82" s="517"/>
      <c r="E82" s="517"/>
      <c r="F82" s="517"/>
      <c r="G82" s="518" t="str">
        <f>[1]Assumptions!D19</f>
        <v>Traditional Non-Credit</v>
      </c>
      <c r="H82" s="521">
        <v>3456</v>
      </c>
      <c r="I82" s="518">
        <f>[1]Assumptions!H19</f>
        <v>0</v>
      </c>
      <c r="J82" s="518">
        <f>[1]Assumptions!I19</f>
        <v>3524.68</v>
      </c>
    </row>
    <row r="83" spans="1:10" x14ac:dyDescent="0.25">
      <c r="A83" s="558"/>
      <c r="B83" s="559"/>
      <c r="C83" s="516" t="s">
        <v>2507</v>
      </c>
      <c r="D83" s="517"/>
      <c r="E83" s="517"/>
      <c r="F83" s="517"/>
      <c r="G83" s="514" t="e">
        <f>G81*G82</f>
        <v>#VALUE!</v>
      </c>
      <c r="H83" s="514">
        <f t="shared" ref="H83:J83" si="28">H81*H82</f>
        <v>0</v>
      </c>
      <c r="I83" s="514">
        <f t="shared" si="28"/>
        <v>0</v>
      </c>
      <c r="J83" s="514">
        <f t="shared" si="28"/>
        <v>0</v>
      </c>
    </row>
    <row r="84" spans="1:10" x14ac:dyDescent="0.25">
      <c r="A84" s="558"/>
      <c r="B84" s="507"/>
      <c r="C84" s="515"/>
      <c r="D84" s="504"/>
      <c r="E84" s="505"/>
      <c r="F84" s="504"/>
      <c r="G84" s="504"/>
      <c r="H84" s="504"/>
      <c r="I84" s="504"/>
      <c r="J84" s="504"/>
    </row>
    <row r="85" spans="1:10" x14ac:dyDescent="0.25">
      <c r="A85" s="558"/>
      <c r="B85" s="559" t="s">
        <v>2498</v>
      </c>
      <c r="C85" s="516" t="s">
        <v>2508</v>
      </c>
      <c r="D85" s="517"/>
      <c r="E85" s="517"/>
      <c r="F85" s="517"/>
      <c r="G85" s="499">
        <f>F48</f>
        <v>0</v>
      </c>
      <c r="H85" s="499">
        <f>G48</f>
        <v>0</v>
      </c>
      <c r="I85" s="499">
        <f>H48</f>
        <v>0</v>
      </c>
      <c r="J85" s="499">
        <f>I48</f>
        <v>0</v>
      </c>
    </row>
    <row r="86" spans="1:10" x14ac:dyDescent="0.25">
      <c r="A86" s="558"/>
      <c r="B86" s="559"/>
      <c r="C86" s="516" t="s">
        <v>2487</v>
      </c>
      <c r="D86" s="517"/>
      <c r="E86" s="517"/>
      <c r="F86" s="517"/>
      <c r="G86" s="499" t="e">
        <f>ROUND(G85*G$4,4)</f>
        <v>#VALUE!</v>
      </c>
      <c r="H86" s="499">
        <f>ROUND(H85*H$4,4)</f>
        <v>0</v>
      </c>
      <c r="I86" s="499">
        <f>ROUND(I85*I$4,4)</f>
        <v>0</v>
      </c>
      <c r="J86" s="499">
        <f>ROUND(J85*J$4,4)</f>
        <v>0</v>
      </c>
    </row>
    <row r="87" spans="1:10" x14ac:dyDescent="0.25">
      <c r="A87" s="558"/>
      <c r="B87" s="559"/>
      <c r="C87" s="516" t="s">
        <v>2506</v>
      </c>
      <c r="D87" s="517"/>
      <c r="E87" s="517"/>
      <c r="F87" s="517"/>
      <c r="G87" s="518" t="str">
        <f>[1]Assumptions!D20</f>
        <v>CDCP</v>
      </c>
      <c r="H87" s="521">
        <v>5635</v>
      </c>
      <c r="I87" s="518">
        <f>[1]Assumptions!H20</f>
        <v>0</v>
      </c>
      <c r="J87" s="518">
        <f>[1]Assumptions!I20</f>
        <v>5746.69</v>
      </c>
    </row>
    <row r="88" spans="1:10" x14ac:dyDescent="0.25">
      <c r="A88" s="558"/>
      <c r="B88" s="559"/>
      <c r="C88" s="516" t="s">
        <v>2507</v>
      </c>
      <c r="D88" s="517"/>
      <c r="E88" s="517"/>
      <c r="F88" s="517"/>
      <c r="G88" s="514" t="e">
        <f>G86*G87</f>
        <v>#VALUE!</v>
      </c>
      <c r="H88" s="514">
        <f t="shared" ref="H88:J88" si="29">H86*H87</f>
        <v>0</v>
      </c>
      <c r="I88" s="514">
        <f t="shared" si="29"/>
        <v>0</v>
      </c>
      <c r="J88" s="514">
        <f t="shared" si="29"/>
        <v>0</v>
      </c>
    </row>
    <row r="89" spans="1:10" x14ac:dyDescent="0.25">
      <c r="A89" s="558"/>
      <c r="B89" s="507"/>
      <c r="C89" s="515"/>
      <c r="D89" s="504"/>
      <c r="E89" s="505"/>
      <c r="F89" s="504"/>
      <c r="G89" s="499"/>
      <c r="H89" s="499"/>
      <c r="I89" s="499"/>
      <c r="J89" s="499"/>
    </row>
    <row r="90" spans="1:10" x14ac:dyDescent="0.25">
      <c r="A90" s="558"/>
      <c r="B90" s="559" t="s">
        <v>2509</v>
      </c>
      <c r="C90" s="516" t="s">
        <v>2508</v>
      </c>
      <c r="D90" s="517"/>
      <c r="E90" s="517"/>
      <c r="F90" s="517"/>
      <c r="G90" s="499">
        <f>F54</f>
        <v>0</v>
      </c>
      <c r="H90" s="499">
        <f>G54</f>
        <v>0</v>
      </c>
      <c r="I90" s="499">
        <f>H54</f>
        <v>0</v>
      </c>
      <c r="J90" s="499">
        <f>I54</f>
        <v>0</v>
      </c>
    </row>
    <row r="91" spans="1:10" x14ac:dyDescent="0.25">
      <c r="A91" s="558"/>
      <c r="B91" s="559"/>
      <c r="C91" s="516" t="s">
        <v>2487</v>
      </c>
      <c r="D91" s="517"/>
      <c r="E91" s="517"/>
      <c r="F91" s="517"/>
      <c r="G91" s="499" t="e">
        <f>ROUND(G90*G$4,4)</f>
        <v>#VALUE!</v>
      </c>
      <c r="H91" s="499">
        <f>ROUND(H90*H$4,4)</f>
        <v>0</v>
      </c>
      <c r="I91" s="499">
        <f>ROUND(I90*I$4,4)</f>
        <v>0</v>
      </c>
      <c r="J91" s="499">
        <f>ROUND(J90*J$4,4)</f>
        <v>0</v>
      </c>
    </row>
    <row r="92" spans="1:10" x14ac:dyDescent="0.25">
      <c r="A92" s="558"/>
      <c r="B92" s="559"/>
      <c r="C92" s="516" t="s">
        <v>2506</v>
      </c>
      <c r="D92" s="517"/>
      <c r="E92" s="517"/>
      <c r="F92" s="517"/>
      <c r="G92" s="518" t="str">
        <f>[1]Assumptions!D21</f>
        <v>Incarcerated Non-Credit</v>
      </c>
      <c r="H92" s="518">
        <f>[1]Assumptions!F21</f>
        <v>0</v>
      </c>
      <c r="I92" s="518">
        <f>[1]Assumptions!H21</f>
        <v>0</v>
      </c>
      <c r="J92" s="518">
        <f>[1]Assumptions!I21</f>
        <v>3524.68</v>
      </c>
    </row>
    <row r="93" spans="1:10" x14ac:dyDescent="0.25">
      <c r="A93" s="558"/>
      <c r="B93" s="559"/>
      <c r="C93" s="516" t="s">
        <v>2507</v>
      </c>
      <c r="D93" s="517"/>
      <c r="E93" s="517"/>
      <c r="F93" s="517"/>
      <c r="G93" s="514" t="e">
        <f>G91*G92</f>
        <v>#VALUE!</v>
      </c>
      <c r="H93" s="514">
        <f t="shared" ref="H93:J93" si="30">H91*H92</f>
        <v>0</v>
      </c>
      <c r="I93" s="514">
        <f t="shared" si="30"/>
        <v>0</v>
      </c>
      <c r="J93" s="514">
        <f t="shared" si="30"/>
        <v>0</v>
      </c>
    </row>
    <row r="94" spans="1:10" x14ac:dyDescent="0.25">
      <c r="A94" s="508"/>
      <c r="B94" s="422"/>
      <c r="C94" s="422"/>
      <c r="D94" s="422"/>
      <c r="E94" s="422"/>
      <c r="F94" s="422"/>
      <c r="G94" s="422"/>
      <c r="H94" s="422"/>
      <c r="I94" s="422"/>
      <c r="J94" s="422"/>
    </row>
    <row r="95" spans="1:10" x14ac:dyDescent="0.25">
      <c r="A95" s="508"/>
      <c r="B95" s="422"/>
      <c r="C95" s="422"/>
      <c r="D95" s="422"/>
      <c r="E95" s="422"/>
      <c r="F95" s="422"/>
      <c r="G95" s="422"/>
      <c r="H95" s="422"/>
      <c r="I95" s="422"/>
      <c r="J95" s="422"/>
    </row>
    <row r="96" spans="1:10" x14ac:dyDescent="0.25">
      <c r="A96" s="508"/>
      <c r="B96" s="422"/>
      <c r="C96" s="422"/>
      <c r="D96" s="422"/>
      <c r="E96" s="422"/>
      <c r="F96" s="422"/>
      <c r="G96" s="422"/>
      <c r="H96" s="422"/>
      <c r="I96" s="422"/>
      <c r="J96" s="422"/>
    </row>
  </sheetData>
  <mergeCells count="18">
    <mergeCell ref="A80:A93"/>
    <mergeCell ref="B80:B83"/>
    <mergeCell ref="B85:B88"/>
    <mergeCell ref="B90:B93"/>
    <mergeCell ref="A42:A58"/>
    <mergeCell ref="B42:B46"/>
    <mergeCell ref="B48:B52"/>
    <mergeCell ref="B54:B58"/>
    <mergeCell ref="A65:A78"/>
    <mergeCell ref="B65:B68"/>
    <mergeCell ref="B70:B73"/>
    <mergeCell ref="B75:B78"/>
    <mergeCell ref="B3:C3"/>
    <mergeCell ref="A15:A18"/>
    <mergeCell ref="A22:A25"/>
    <mergeCell ref="A30:A40"/>
    <mergeCell ref="B30:B34"/>
    <mergeCell ref="B36:B40"/>
  </mergeCells>
  <conditionalFormatting sqref="G23:J23">
    <cfRule type="expression" dxfId="12" priority="13">
      <formula>IF(G23=0,FALSE,IF(ISBLANK(G23),FALSE,G21&lt;G23))</formula>
    </cfRule>
  </conditionalFormatting>
  <conditionalFormatting sqref="G44:J44">
    <cfRule type="expression" dxfId="11" priority="12">
      <formula>IF(G44=0,FALSE,G42&lt;F42+G44)</formula>
    </cfRule>
  </conditionalFormatting>
  <conditionalFormatting sqref="G32:J32">
    <cfRule type="expression" dxfId="10" priority="11">
      <formula>IF(G32=0,FALSE,IF(ISBLANK(G32),FALSE,G30&lt;F30+G32))</formula>
    </cfRule>
  </conditionalFormatting>
  <conditionalFormatting sqref="G50:J50">
    <cfRule type="expression" dxfId="9" priority="10">
      <formula>IF(G50=0,FALSE,G48&lt;F48+G50)</formula>
    </cfRule>
  </conditionalFormatting>
  <conditionalFormatting sqref="G56:J56">
    <cfRule type="expression" dxfId="8" priority="9">
      <formula>IF(G56=0,FALSE,G54&lt;F54+G56)</formula>
    </cfRule>
  </conditionalFormatting>
  <conditionalFormatting sqref="G62">
    <cfRule type="expression" dxfId="7" priority="8">
      <formula>IF(G62&lt;-1,TRUE,FALSE)</formula>
    </cfRule>
  </conditionalFormatting>
  <conditionalFormatting sqref="H62:J62">
    <cfRule type="expression" dxfId="6" priority="7">
      <formula>IF(H62&lt;-1,TRUE,FALSE)</formula>
    </cfRule>
  </conditionalFormatting>
  <conditionalFormatting sqref="G5">
    <cfRule type="expression" dxfId="5" priority="6">
      <formula>IF(G5&lt;-1,TRUE,FALSE)</formula>
    </cfRule>
  </conditionalFormatting>
  <conditionalFormatting sqref="H5:K5">
    <cfRule type="expression" dxfId="4" priority="5">
      <formula>IF(H5&lt;-1,TRUE,FALSE)</formula>
    </cfRule>
  </conditionalFormatting>
  <conditionalFormatting sqref="G38:J38">
    <cfRule type="expression" dxfId="3" priority="4">
      <formula>IF(G38=0,FALSE,G36&lt;F36+G38)</formula>
    </cfRule>
  </conditionalFormatting>
  <conditionalFormatting sqref="G60:J60">
    <cfRule type="expression" dxfId="2" priority="3">
      <formula>IF(G60&lt;-1,TRUE,FALSE)</formula>
    </cfRule>
  </conditionalFormatting>
  <conditionalFormatting sqref="L5">
    <cfRule type="expression" dxfId="1" priority="2">
      <formula>IF(L5&lt;-1,TRUE,FALSE)</formula>
    </cfRule>
  </conditionalFormatting>
  <conditionalFormatting sqref="K23:L23">
    <cfRule type="expression" dxfId="0" priority="1">
      <formula>IF(K23=0,FALSE,IF(ISBLANK(K23),FALSE,K21&lt;K23))</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249977111117893"/>
    <pageSetUpPr fitToPage="1"/>
  </sheetPr>
  <dimension ref="A1:L34"/>
  <sheetViews>
    <sheetView topLeftCell="A10" workbookViewId="0">
      <selection activeCell="D14" sqref="D14"/>
    </sheetView>
  </sheetViews>
  <sheetFormatPr defaultColWidth="9.140625" defaultRowHeight="15" x14ac:dyDescent="0.25"/>
  <cols>
    <col min="1" max="1" width="14" style="48" customWidth="1"/>
    <col min="2" max="2" width="23.28515625" style="48" bestFit="1" customWidth="1"/>
    <col min="3" max="3" width="23.28515625" style="48" customWidth="1"/>
    <col min="4" max="4" width="27.42578125" style="48" bestFit="1" customWidth="1"/>
    <col min="5" max="5" width="18.28515625" style="48" bestFit="1" customWidth="1"/>
    <col min="6" max="6" width="24.85546875" style="48" bestFit="1" customWidth="1"/>
    <col min="7" max="7" width="13.28515625" style="48" bestFit="1" customWidth="1"/>
    <col min="8" max="8" width="2.42578125" style="48" customWidth="1"/>
    <col min="9" max="9" width="11.5703125" style="48" bestFit="1" customWidth="1"/>
    <col min="10" max="10" width="10.7109375" style="48" bestFit="1" customWidth="1"/>
    <col min="11" max="16384" width="9.140625" style="48"/>
  </cols>
  <sheetData>
    <row r="1" spans="1:12" ht="21" x14ac:dyDescent="0.35">
      <c r="A1" s="38" t="s">
        <v>19</v>
      </c>
    </row>
    <row r="2" spans="1:12" ht="21" x14ac:dyDescent="0.35">
      <c r="A2" s="38" t="s">
        <v>36</v>
      </c>
    </row>
    <row r="3" spans="1:12" ht="21" x14ac:dyDescent="0.35">
      <c r="A3" s="38" t="s">
        <v>43</v>
      </c>
    </row>
    <row r="6" spans="1:12" ht="15.75" thickBot="1" x14ac:dyDescent="0.3">
      <c r="A6" s="42" t="s">
        <v>37</v>
      </c>
      <c r="B6" s="45" t="s">
        <v>42</v>
      </c>
      <c r="C6" s="45" t="s">
        <v>44</v>
      </c>
      <c r="D6" s="45" t="s">
        <v>18</v>
      </c>
      <c r="E6" s="45" t="s">
        <v>17</v>
      </c>
      <c r="F6" s="45" t="s">
        <v>38</v>
      </c>
      <c r="G6" s="44" t="s">
        <v>16</v>
      </c>
    </row>
    <row r="7" spans="1:12" x14ac:dyDescent="0.25">
      <c r="A7" s="68">
        <v>0</v>
      </c>
      <c r="B7" s="69" t="s">
        <v>39</v>
      </c>
      <c r="C7" s="69" t="str">
        <f t="shared" ref="C7:C9" si="0">A7&amp;B7</f>
        <v>01000s</v>
      </c>
      <c r="D7" s="70">
        <v>0</v>
      </c>
      <c r="E7" s="70">
        <v>0</v>
      </c>
      <c r="F7" s="70">
        <v>0</v>
      </c>
      <c r="G7" s="71">
        <f>SUM(D7:F7)</f>
        <v>0</v>
      </c>
    </row>
    <row r="8" spans="1:12" x14ac:dyDescent="0.25">
      <c r="A8" s="72">
        <f>A7</f>
        <v>0</v>
      </c>
      <c r="B8" s="47" t="s">
        <v>40</v>
      </c>
      <c r="C8" s="47" t="str">
        <f t="shared" si="0"/>
        <v>02000s</v>
      </c>
      <c r="D8" s="41">
        <v>0</v>
      </c>
      <c r="E8" s="41">
        <v>0</v>
      </c>
      <c r="F8" s="41">
        <v>0</v>
      </c>
      <c r="G8" s="73">
        <f t="shared" ref="G8:G15" si="1">SUM(D8:F8)</f>
        <v>0</v>
      </c>
    </row>
    <row r="9" spans="1:12" ht="15.75" thickBot="1" x14ac:dyDescent="0.3">
      <c r="A9" s="74">
        <f>A8</f>
        <v>0</v>
      </c>
      <c r="B9" s="75" t="s">
        <v>41</v>
      </c>
      <c r="C9" s="75" t="str">
        <f t="shared" si="0"/>
        <v>03000s</v>
      </c>
      <c r="D9" s="76">
        <v>0</v>
      </c>
      <c r="E9" s="76">
        <v>0</v>
      </c>
      <c r="F9" s="76">
        <v>0</v>
      </c>
      <c r="G9" s="77">
        <f t="shared" si="1"/>
        <v>0</v>
      </c>
    </row>
    <row r="10" spans="1:12" x14ac:dyDescent="0.25">
      <c r="A10" s="58">
        <f>A13-0.01</f>
        <v>0.01</v>
      </c>
      <c r="B10" s="59" t="s">
        <v>39</v>
      </c>
      <c r="C10" s="59" t="str">
        <f>A10&amp;B10</f>
        <v>0.011000s</v>
      </c>
      <c r="D10" s="372">
        <v>202521</v>
      </c>
      <c r="E10" s="372">
        <v>103295</v>
      </c>
      <c r="F10" s="372">
        <v>0</v>
      </c>
      <c r="G10" s="61">
        <f t="shared" si="1"/>
        <v>305816</v>
      </c>
    </row>
    <row r="11" spans="1:12" x14ac:dyDescent="0.25">
      <c r="A11" s="62">
        <v>0.01</v>
      </c>
      <c r="B11" s="43" t="s">
        <v>40</v>
      </c>
      <c r="C11" s="43" t="str">
        <f t="shared" ref="C11:C33" si="2">A11&amp;B11</f>
        <v>0.012000s</v>
      </c>
      <c r="D11" s="373">
        <f>494063-D10</f>
        <v>291542</v>
      </c>
      <c r="E11" s="373">
        <f>255452-E10</f>
        <v>152157</v>
      </c>
      <c r="F11" s="373">
        <v>182894</v>
      </c>
      <c r="G11" s="63">
        <f t="shared" si="1"/>
        <v>626593</v>
      </c>
      <c r="I11" s="39">
        <f>SUM(G10:G11)</f>
        <v>932409</v>
      </c>
      <c r="J11" s="48" t="s">
        <v>244</v>
      </c>
    </row>
    <row r="12" spans="1:12" ht="15.75" thickBot="1" x14ac:dyDescent="0.3">
      <c r="A12" s="64">
        <v>0.01</v>
      </c>
      <c r="B12" s="65" t="s">
        <v>41</v>
      </c>
      <c r="C12" s="65" t="str">
        <f t="shared" si="2"/>
        <v>0.013000s</v>
      </c>
      <c r="D12" s="374">
        <f>(D10*0.1778)+(D11*0.258)</f>
        <v>111226.0698</v>
      </c>
      <c r="E12" s="374">
        <f t="shared" ref="E12:F12" si="3">(E10*0.1778)+(E11*0.258)</f>
        <v>57622.357000000004</v>
      </c>
      <c r="F12" s="374">
        <f t="shared" si="3"/>
        <v>47186.652000000002</v>
      </c>
      <c r="G12" s="67">
        <f t="shared" si="1"/>
        <v>216035.07880000002</v>
      </c>
      <c r="I12" s="39">
        <f>SUM(G10:G12)</f>
        <v>1148444.0788</v>
      </c>
      <c r="J12" s="48" t="s">
        <v>245</v>
      </c>
      <c r="K12" s="250">
        <f>E12/(E11+E10)</f>
        <v>0.22557019322612468</v>
      </c>
      <c r="L12" s="48" t="s">
        <v>2423</v>
      </c>
    </row>
    <row r="13" spans="1:12" x14ac:dyDescent="0.25">
      <c r="A13" s="78">
        <v>0.02</v>
      </c>
      <c r="B13" s="69" t="s">
        <v>39</v>
      </c>
      <c r="C13" s="69" t="str">
        <f t="shared" si="2"/>
        <v>0.021000s</v>
      </c>
      <c r="D13" s="371">
        <v>870666.82</v>
      </c>
      <c r="E13" s="371">
        <v>418231.98</v>
      </c>
      <c r="F13" s="371">
        <v>0</v>
      </c>
      <c r="G13" s="71">
        <f t="shared" si="1"/>
        <v>1288898.7999999998</v>
      </c>
    </row>
    <row r="14" spans="1:12" x14ac:dyDescent="0.25">
      <c r="A14" s="72">
        <f>A13</f>
        <v>0.02</v>
      </c>
      <c r="B14" s="47" t="s">
        <v>40</v>
      </c>
      <c r="C14" s="47" t="str">
        <f t="shared" si="2"/>
        <v>0.022000s</v>
      </c>
      <c r="D14" s="103">
        <f>1472127.17-D13</f>
        <v>601460.35</v>
      </c>
      <c r="E14" s="103">
        <f>766931.77-E13</f>
        <v>348699.79000000004</v>
      </c>
      <c r="F14" s="103">
        <f>399797.35-F13</f>
        <v>399797.35</v>
      </c>
      <c r="G14" s="73">
        <f t="shared" si="1"/>
        <v>1349957.49</v>
      </c>
      <c r="I14" s="39">
        <f>SUM(G13:G14)</f>
        <v>2638856.29</v>
      </c>
      <c r="J14" s="48" t="s">
        <v>244</v>
      </c>
    </row>
    <row r="15" spans="1:12" ht="15.75" thickBot="1" x14ac:dyDescent="0.3">
      <c r="A15" s="74">
        <f>A14</f>
        <v>0.02</v>
      </c>
      <c r="B15" s="75" t="s">
        <v>41</v>
      </c>
      <c r="C15" s="75" t="str">
        <f t="shared" si="2"/>
        <v>0.023000s</v>
      </c>
      <c r="D15" s="374">
        <f>(D13*0.1778)+(D14*0.258)</f>
        <v>309981.33089600003</v>
      </c>
      <c r="E15" s="374">
        <f t="shared" ref="E15" si="4">(E13*0.1778)+(E14*0.258)</f>
        <v>164326.19186400002</v>
      </c>
      <c r="F15" s="374">
        <f t="shared" ref="F15" si="5">(F13*0.1778)+(F14*0.258)</f>
        <v>103147.7163</v>
      </c>
      <c r="G15" s="77">
        <f t="shared" si="1"/>
        <v>577455.23906000005</v>
      </c>
      <c r="I15" s="39">
        <f>SUM(G13:G15)</f>
        <v>3216311.5290600001</v>
      </c>
      <c r="J15" s="48" t="s">
        <v>245</v>
      </c>
    </row>
    <row r="16" spans="1:12" x14ac:dyDescent="0.25">
      <c r="A16" s="58">
        <f>A13+0.01</f>
        <v>0.03</v>
      </c>
      <c r="B16" s="59" t="s">
        <v>39</v>
      </c>
      <c r="C16" s="59" t="str">
        <f t="shared" si="2"/>
        <v>0.031000s</v>
      </c>
      <c r="D16" s="371">
        <v>1538813</v>
      </c>
      <c r="E16" s="371">
        <v>733169</v>
      </c>
      <c r="F16" s="371">
        <v>0</v>
      </c>
      <c r="G16" s="61">
        <f t="shared" ref="G16:G33" si="6">SUM(D16:F16)</f>
        <v>2271982</v>
      </c>
      <c r="K16" s="378"/>
    </row>
    <row r="17" spans="1:10" x14ac:dyDescent="0.25">
      <c r="A17" s="62">
        <f>A16</f>
        <v>0.03</v>
      </c>
      <c r="B17" s="43" t="s">
        <v>40</v>
      </c>
      <c r="C17" s="43" t="str">
        <f t="shared" si="2"/>
        <v>0.032000s</v>
      </c>
      <c r="D17" s="103">
        <f>2630486-D16</f>
        <v>1091673</v>
      </c>
      <c r="E17" s="103">
        <f>1377555-E16</f>
        <v>644386</v>
      </c>
      <c r="F17" s="103">
        <v>751521</v>
      </c>
      <c r="G17" s="63">
        <f t="shared" si="6"/>
        <v>2487580</v>
      </c>
      <c r="I17" s="39">
        <f>SUM(G16:G17)</f>
        <v>4759562</v>
      </c>
      <c r="J17" s="48" t="s">
        <v>244</v>
      </c>
    </row>
    <row r="18" spans="1:10" ht="15.75" thickBot="1" x14ac:dyDescent="0.3">
      <c r="A18" s="64">
        <f>A17</f>
        <v>0.03</v>
      </c>
      <c r="B18" s="65" t="s">
        <v>41</v>
      </c>
      <c r="C18" s="65" t="str">
        <f t="shared" si="2"/>
        <v>0.033000s</v>
      </c>
      <c r="D18" s="374">
        <f>(D16*0.1778)+(D17*0.258)</f>
        <v>555252.58539999998</v>
      </c>
      <c r="E18" s="374">
        <f t="shared" ref="E18" si="7">(E16*0.1778)+(E17*0.258)</f>
        <v>296609.03620000003</v>
      </c>
      <c r="F18" s="374">
        <f t="shared" ref="F18" si="8">(F16*0.1778)+(F17*0.258)</f>
        <v>193892.41800000001</v>
      </c>
      <c r="G18" s="67">
        <f t="shared" si="6"/>
        <v>1045754.0396</v>
      </c>
      <c r="I18" s="39">
        <f>SUM(G16:G18)</f>
        <v>5805316.0395999998</v>
      </c>
      <c r="J18" s="48" t="s">
        <v>245</v>
      </c>
    </row>
    <row r="19" spans="1:10" x14ac:dyDescent="0.25">
      <c r="A19" s="58">
        <f>A16+0.01</f>
        <v>0.04</v>
      </c>
      <c r="B19" s="69" t="s">
        <v>39</v>
      </c>
      <c r="C19" s="69" t="str">
        <f t="shared" si="2"/>
        <v>0.041000s</v>
      </c>
      <c r="D19" s="371">
        <f>1094202-E19</f>
        <v>741103.01459999999</v>
      </c>
      <c r="E19" s="371">
        <f>1094202*0.3227</f>
        <v>353098.98540000001</v>
      </c>
      <c r="F19" s="371">
        <v>0</v>
      </c>
      <c r="G19" s="71">
        <f t="shared" si="6"/>
        <v>1094202</v>
      </c>
    </row>
    <row r="20" spans="1:10" x14ac:dyDescent="0.25">
      <c r="A20" s="72">
        <f>A19</f>
        <v>0.04</v>
      </c>
      <c r="B20" s="47" t="s">
        <v>40</v>
      </c>
      <c r="C20" s="47" t="str">
        <f t="shared" si="2"/>
        <v>0.042000s</v>
      </c>
      <c r="D20" s="103">
        <v>0</v>
      </c>
      <c r="E20" s="103">
        <v>0</v>
      </c>
      <c r="F20" s="103">
        <v>0</v>
      </c>
      <c r="G20" s="73">
        <f t="shared" si="6"/>
        <v>0</v>
      </c>
      <c r="I20" s="39">
        <f>SUM(G19:G20)</f>
        <v>1094202</v>
      </c>
      <c r="J20" s="48" t="s">
        <v>244</v>
      </c>
    </row>
    <row r="21" spans="1:10" ht="15.75" thickBot="1" x14ac:dyDescent="0.3">
      <c r="A21" s="74">
        <f>A20</f>
        <v>0.04</v>
      </c>
      <c r="B21" s="75" t="s">
        <v>41</v>
      </c>
      <c r="C21" s="75" t="str">
        <f t="shared" si="2"/>
        <v>0.043000s</v>
      </c>
      <c r="D21" s="374">
        <f>(D19*0.1778)+(D20*0.258)</f>
        <v>131768.11599588001</v>
      </c>
      <c r="E21" s="374">
        <f t="shared" ref="E21" si="9">(E19*0.1778)+(E20*0.258)</f>
        <v>62780.999604120007</v>
      </c>
      <c r="F21" s="374">
        <f t="shared" ref="F21" si="10">(F19*0.1778)+(F20*0.258)</f>
        <v>0</v>
      </c>
      <c r="G21" s="77">
        <f t="shared" si="6"/>
        <v>194549.11560000002</v>
      </c>
      <c r="I21" s="39">
        <f>SUM(G19:G21)</f>
        <v>1288751.1156000001</v>
      </c>
      <c r="J21" s="48" t="s">
        <v>245</v>
      </c>
    </row>
    <row r="22" spans="1:10" x14ac:dyDescent="0.25">
      <c r="A22" s="58">
        <f>A19+0.005</f>
        <v>4.4999999999999998E-2</v>
      </c>
      <c r="B22" s="59" t="s">
        <v>39</v>
      </c>
      <c r="C22" s="59" t="str">
        <f t="shared" si="2"/>
        <v>0.0451000s</v>
      </c>
      <c r="D22" s="60">
        <f>$D$10*(1+((A22-$A$10)*100))</f>
        <v>911344.5</v>
      </c>
      <c r="E22" s="60">
        <f>$E$10*(1+((A22-$A$10)*100))</f>
        <v>464827.5</v>
      </c>
      <c r="F22" s="60">
        <f>$F$10*(1+((A22-$A$10)*100))</f>
        <v>0</v>
      </c>
      <c r="G22" s="61">
        <f t="shared" si="6"/>
        <v>1376172</v>
      </c>
    </row>
    <row r="23" spans="1:10" x14ac:dyDescent="0.25">
      <c r="A23" s="62">
        <f>A22</f>
        <v>4.4999999999999998E-2</v>
      </c>
      <c r="B23" s="43" t="s">
        <v>40</v>
      </c>
      <c r="C23" s="43" t="str">
        <f t="shared" si="2"/>
        <v>0.0452000s</v>
      </c>
      <c r="D23" s="40">
        <f>$D$11*(1+((A23-$A$11)*100))</f>
        <v>1311939</v>
      </c>
      <c r="E23" s="40">
        <f>$E$11*(1+((A23-$A$11)*100))</f>
        <v>684706.5</v>
      </c>
      <c r="F23" s="40">
        <f>$F$11*(1+((A23-$A$11)*100))</f>
        <v>823023</v>
      </c>
      <c r="G23" s="63">
        <f t="shared" si="6"/>
        <v>2819668.5</v>
      </c>
      <c r="I23" s="39">
        <f>SUM(G22:G23)</f>
        <v>4195840.5</v>
      </c>
      <c r="J23" s="48" t="s">
        <v>244</v>
      </c>
    </row>
    <row r="24" spans="1:10" ht="15.75" thickBot="1" x14ac:dyDescent="0.3">
      <c r="A24" s="64">
        <f>A23</f>
        <v>4.4999999999999998E-2</v>
      </c>
      <c r="B24" s="65" t="s">
        <v>41</v>
      </c>
      <c r="C24" s="65" t="str">
        <f t="shared" si="2"/>
        <v>0.0453000s</v>
      </c>
      <c r="D24" s="66">
        <f>$D$12*(1+((A24-$A$12)*100))</f>
        <v>500517.31409999996</v>
      </c>
      <c r="E24" s="66">
        <f>$E$12*(1+((A24-$A$12)*100))</f>
        <v>259300.60650000002</v>
      </c>
      <c r="F24" s="66">
        <f>$F$12*(1+((A24-$A$12)*100))</f>
        <v>212339.93400000001</v>
      </c>
      <c r="G24" s="67">
        <f t="shared" si="6"/>
        <v>972157.85459999996</v>
      </c>
      <c r="I24" s="39">
        <f>SUM(G22:G24)</f>
        <v>5167998.3546000002</v>
      </c>
      <c r="J24" s="48" t="s">
        <v>245</v>
      </c>
    </row>
    <row r="25" spans="1:10" x14ac:dyDescent="0.25">
      <c r="A25" s="58">
        <f>A22+0.005</f>
        <v>4.9999999999999996E-2</v>
      </c>
      <c r="B25" s="69" t="s">
        <v>39</v>
      </c>
      <c r="C25" s="69" t="str">
        <f t="shared" si="2"/>
        <v>0.051000s</v>
      </c>
      <c r="D25" s="70">
        <f>$D$10*(1+((A25-$A$10)*100))</f>
        <v>1012605</v>
      </c>
      <c r="E25" s="70">
        <f>$E$10*(1+((A25-$A$10)*100))</f>
        <v>516475</v>
      </c>
      <c r="F25" s="70">
        <f>$F$10*(1+((A25-$A$10)*100))</f>
        <v>0</v>
      </c>
      <c r="G25" s="71">
        <f t="shared" si="6"/>
        <v>1529080</v>
      </c>
    </row>
    <row r="26" spans="1:10" x14ac:dyDescent="0.25">
      <c r="A26" s="72">
        <f>A25</f>
        <v>4.9999999999999996E-2</v>
      </c>
      <c r="B26" s="47" t="s">
        <v>40</v>
      </c>
      <c r="C26" s="47" t="str">
        <f t="shared" si="2"/>
        <v>0.052000s</v>
      </c>
      <c r="D26" s="41">
        <f>$D$11*(1+((A26-$A$11)*100))</f>
        <v>1457710</v>
      </c>
      <c r="E26" s="41">
        <f>$E$11*(1+((A26-$A$11)*100))</f>
        <v>760785</v>
      </c>
      <c r="F26" s="41">
        <f>$F$11*(1+((A26-$A$11)*100))</f>
        <v>914470</v>
      </c>
      <c r="G26" s="73">
        <f t="shared" si="6"/>
        <v>3132965</v>
      </c>
      <c r="I26" s="39">
        <f>SUM(G25:G26)</f>
        <v>4662045</v>
      </c>
      <c r="J26" s="48" t="s">
        <v>244</v>
      </c>
    </row>
    <row r="27" spans="1:10" ht="15.75" thickBot="1" x14ac:dyDescent="0.3">
      <c r="A27" s="74">
        <f>A26</f>
        <v>4.9999999999999996E-2</v>
      </c>
      <c r="B27" s="75" t="s">
        <v>41</v>
      </c>
      <c r="C27" s="75" t="str">
        <f t="shared" si="2"/>
        <v>0.053000s</v>
      </c>
      <c r="D27" s="76">
        <f>$D$12*(1+((A27-$A$12)*100))</f>
        <v>556130.34899999993</v>
      </c>
      <c r="E27" s="76">
        <f>$E$12*(1+((A27-$A$12)*100))</f>
        <v>288111.78500000003</v>
      </c>
      <c r="F27" s="76">
        <f>$F$12*(1+((A27-$A$12)*100))</f>
        <v>235933.26</v>
      </c>
      <c r="G27" s="77">
        <f t="shared" si="6"/>
        <v>1080175.3939999999</v>
      </c>
      <c r="I27" s="39">
        <f>SUM(G25:G27)</f>
        <v>5742220.3939999994</v>
      </c>
      <c r="J27" s="48" t="s">
        <v>245</v>
      </c>
    </row>
    <row r="28" spans="1:10" x14ac:dyDescent="0.25">
      <c r="A28" s="58">
        <f>A25+0.005</f>
        <v>5.4999999999999993E-2</v>
      </c>
      <c r="B28" s="59" t="s">
        <v>39</v>
      </c>
      <c r="C28" s="59" t="str">
        <f t="shared" si="2"/>
        <v>0.0551000s</v>
      </c>
      <c r="D28" s="60">
        <f>$D$10*(1+((A28-$A$10)*100))</f>
        <v>1113865.4999999998</v>
      </c>
      <c r="E28" s="60">
        <f>$E$10*(1+((A28-$A$10)*100))</f>
        <v>568122.49999999988</v>
      </c>
      <c r="F28" s="60">
        <f>$F$10*(1+((A28-$A$10)*100))</f>
        <v>0</v>
      </c>
      <c r="G28" s="61">
        <f t="shared" si="6"/>
        <v>1681987.9999999995</v>
      </c>
    </row>
    <row r="29" spans="1:10" x14ac:dyDescent="0.25">
      <c r="A29" s="62">
        <f>A28</f>
        <v>5.4999999999999993E-2</v>
      </c>
      <c r="B29" s="43" t="s">
        <v>40</v>
      </c>
      <c r="C29" s="43" t="str">
        <f t="shared" si="2"/>
        <v>0.0552000s</v>
      </c>
      <c r="D29" s="40">
        <f>$D$11*(1+((A29-$A$11)*100))</f>
        <v>1603480.9999999998</v>
      </c>
      <c r="E29" s="40">
        <f>$E$11*(1+((A29-$A$11)*100))</f>
        <v>836863.49999999988</v>
      </c>
      <c r="F29" s="40">
        <f>$F$11*(1+((A29-$A$11)*100))</f>
        <v>1005916.9999999999</v>
      </c>
      <c r="G29" s="63">
        <f t="shared" si="6"/>
        <v>3446261.4999999995</v>
      </c>
      <c r="I29" s="39">
        <f>SUM(G28:G29)</f>
        <v>5128249.4999999991</v>
      </c>
      <c r="J29" s="48" t="s">
        <v>244</v>
      </c>
    </row>
    <row r="30" spans="1:10" ht="15.75" thickBot="1" x14ac:dyDescent="0.3">
      <c r="A30" s="64">
        <f>A29</f>
        <v>5.4999999999999993E-2</v>
      </c>
      <c r="B30" s="65" t="s">
        <v>41</v>
      </c>
      <c r="C30" s="65" t="str">
        <f t="shared" si="2"/>
        <v>0.0553000s</v>
      </c>
      <c r="D30" s="66">
        <f>$D$12*(1+((A30-$A$12)*100))</f>
        <v>611743.3838999999</v>
      </c>
      <c r="E30" s="66">
        <f>$E$12*(1+((A30-$A$12)*100))</f>
        <v>316922.96349999995</v>
      </c>
      <c r="F30" s="66">
        <f>$F$12*(1+((A30-$A$12)*100))</f>
        <v>259526.58599999998</v>
      </c>
      <c r="G30" s="67">
        <f t="shared" si="6"/>
        <v>1188192.9333999997</v>
      </c>
      <c r="I30" s="39">
        <f>SUM(G28:G30)</f>
        <v>6316442.4333999986</v>
      </c>
      <c r="J30" s="48" t="s">
        <v>245</v>
      </c>
    </row>
    <row r="31" spans="1:10" x14ac:dyDescent="0.25">
      <c r="A31" s="68">
        <v>0.03</v>
      </c>
      <c r="B31" s="69" t="s">
        <v>39</v>
      </c>
      <c r="C31" s="69" t="str">
        <f t="shared" si="2"/>
        <v>0.031000s</v>
      </c>
      <c r="D31" s="70">
        <f>$D$10*(1+((A31-$A$10)*100))</f>
        <v>607563</v>
      </c>
      <c r="E31" s="70">
        <f>$E$10*(1+((A31-$A$10)*100))</f>
        <v>309885</v>
      </c>
      <c r="F31" s="70">
        <f>$F$10*(1+((A31-$A$10)*100))</f>
        <v>0</v>
      </c>
      <c r="G31" s="71">
        <f t="shared" si="6"/>
        <v>917448</v>
      </c>
    </row>
    <row r="32" spans="1:10" x14ac:dyDescent="0.25">
      <c r="A32" s="72">
        <f>A31</f>
        <v>0.03</v>
      </c>
      <c r="B32" s="47" t="s">
        <v>40</v>
      </c>
      <c r="C32" s="47" t="str">
        <f t="shared" si="2"/>
        <v>0.032000s</v>
      </c>
      <c r="D32" s="41">
        <f>$D$11*(1+((A32-$A$11)*100))</f>
        <v>874626</v>
      </c>
      <c r="E32" s="41">
        <f>$E$11*(1+((A32-$A$11)*100))</f>
        <v>456471</v>
      </c>
      <c r="F32" s="41">
        <f>$F$11*(1+((A32-$A$11)*100))</f>
        <v>548682</v>
      </c>
      <c r="G32" s="73">
        <f t="shared" si="6"/>
        <v>1879779</v>
      </c>
      <c r="I32" s="39">
        <f>SUM(G31:G32)</f>
        <v>2797227</v>
      </c>
      <c r="J32" s="48" t="s">
        <v>244</v>
      </c>
    </row>
    <row r="33" spans="1:10" ht="15.75" thickBot="1" x14ac:dyDescent="0.3">
      <c r="A33" s="74">
        <f>A32</f>
        <v>0.03</v>
      </c>
      <c r="B33" s="75" t="s">
        <v>41</v>
      </c>
      <c r="C33" s="75" t="str">
        <f t="shared" si="2"/>
        <v>0.033000s</v>
      </c>
      <c r="D33" s="76">
        <f>$D$12*(1+((A33-$A$12)*100))</f>
        <v>333678.20939999999</v>
      </c>
      <c r="E33" s="76">
        <f>$E$12*(1+((A33-$A$12)*100))</f>
        <v>172867.071</v>
      </c>
      <c r="F33" s="76">
        <f>$F$12*(1+((A33-$A$12)*100))</f>
        <v>141559.95600000001</v>
      </c>
      <c r="G33" s="77">
        <f t="shared" si="6"/>
        <v>648105.23640000005</v>
      </c>
      <c r="I33" s="39">
        <f>SUM(G31:G33)</f>
        <v>3445332.2363999998</v>
      </c>
      <c r="J33" s="48" t="s">
        <v>245</v>
      </c>
    </row>
    <row r="34" spans="1:10" ht="15.75" customHeight="1" x14ac:dyDescent="0.25"/>
  </sheetData>
  <pageMargins left="0.25" right="0.25" top="0.75" bottom="0.75" header="0.3" footer="0.3"/>
  <pageSetup scale="65" fitToHeight="0" orientation="landscape" r:id="rId1"/>
  <headerFooter>
    <oddFooter>&amp;LPrepared by Torres, Jose F.&amp;C&amp;D&amp;RPage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6</vt:i4>
      </vt:variant>
      <vt:variant>
        <vt:lpstr>Named Ranges</vt:lpstr>
      </vt:variant>
      <vt:variant>
        <vt:i4>11</vt:i4>
      </vt:variant>
    </vt:vector>
  </HeadingPairs>
  <TitlesOfParts>
    <vt:vector size="31" baseType="lpstr">
      <vt:lpstr>FTES Graphical Presentation</vt:lpstr>
      <vt:lpstr>FTES Summary Comparison</vt:lpstr>
      <vt:lpstr>FTES Calculations</vt:lpstr>
      <vt:lpstr>FTES Summary Page</vt:lpstr>
      <vt:lpstr>FTES Planning</vt:lpstr>
      <vt:lpstr>Summary</vt:lpstr>
      <vt:lpstr>Tentative</vt:lpstr>
      <vt:lpstr>SCFF</vt:lpstr>
      <vt:lpstr>Salary Increases 2</vt:lpstr>
      <vt:lpstr>Questica Tie-Out V2</vt:lpstr>
      <vt:lpstr>Questica Tie-out</vt:lpstr>
      <vt:lpstr>Sheet1</vt:lpstr>
      <vt:lpstr>Salary Step &amp; Column</vt:lpstr>
      <vt:lpstr>Percent Budget Add</vt:lpstr>
      <vt:lpstr>SBCCD - FTES DISTRIBUTION</vt:lpstr>
      <vt:lpstr>SBCCD - Growth Comparison</vt:lpstr>
      <vt:lpstr>SBCCD - Growth Percents</vt:lpstr>
      <vt:lpstr>District Graph</vt:lpstr>
      <vt:lpstr>Valley Chart</vt:lpstr>
      <vt:lpstr>Crafton Chart</vt:lpstr>
      <vt:lpstr>'FTES Calculations'!Print_Area</vt:lpstr>
      <vt:lpstr>'FTES Graphical Presentation'!Print_Area</vt:lpstr>
      <vt:lpstr>'FTES Planning'!Print_Area</vt:lpstr>
      <vt:lpstr>'FTES Summary Comparison'!Print_Area</vt:lpstr>
      <vt:lpstr>'FTES Summary Page'!Print_Area</vt:lpstr>
      <vt:lpstr>Summary!Print_Area</vt:lpstr>
      <vt:lpstr>Tentative!Print_Area</vt:lpstr>
      <vt:lpstr>'FTES Planning'!Print_Titles</vt:lpstr>
      <vt:lpstr>'Questica Tie-out'!Print_Titles</vt:lpstr>
      <vt:lpstr>'Questica Tie-Out V2'!Print_Titles</vt:lpstr>
      <vt:lpstr>Tentative!Print_Titles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F. Torres</dc:creator>
  <cp:lastModifiedBy>Strong, Michael W</cp:lastModifiedBy>
  <cp:lastPrinted>2019-05-28T23:04:05Z</cp:lastPrinted>
  <dcterms:created xsi:type="dcterms:W3CDTF">2010-10-12T19:22:12Z</dcterms:created>
  <dcterms:modified xsi:type="dcterms:W3CDTF">2019-05-30T23:38:45Z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